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3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4.xml" ContentType="application/vnd.openxmlformats-officedocument.drawing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drawings/drawing5.xml" ContentType="application/vnd.openxmlformats-officedocument.drawing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drawings/drawing6.xml" ContentType="application/vnd.openxmlformats-officedocument.drawing+xml"/>
  <Override PartName="/xl/comments11.xml" ContentType="application/vnd.openxmlformats-officedocument.spreadsheetml.comments+xml"/>
  <Override PartName="/xl/threadedComments/threadedComment9.xml" ContentType="application/vnd.ms-excel.threadedcomments+xml"/>
  <Override PartName="/xl/comments12.xml" ContentType="application/vnd.openxmlformats-officedocument.spreadsheetml.comments+xml"/>
  <Override PartName="/xl/threadedComments/threadedComment10.xml" ContentType="application/vnd.ms-excel.threadedcomments+xml"/>
  <Override PartName="/xl/comments13.xml" ContentType="application/vnd.openxmlformats-officedocument.spreadsheetml.comments+xml"/>
  <Override PartName="/xl/threadedComments/threadedComment11.xml" ContentType="application/vnd.ms-excel.threaded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omments14.xml" ContentType="application/vnd.openxmlformats-officedocument.spreadsheetml.comments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omments1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13_ncr:1_{50DA85A4-A985-3F4D-8761-50AD275E5EEF}" xr6:coauthVersionLast="47" xr6:coauthVersionMax="47" xr10:uidLastSave="{00000000-0000-0000-0000-000000000000}"/>
  <bookViews>
    <workbookView xWindow="0" yWindow="500" windowWidth="29040" windowHeight="15720" tabRatio="778" activeTab="2" xr2:uid="{00000000-000D-0000-FFFF-FFFF00000000}"/>
  </bookViews>
  <sheets>
    <sheet name="Phased P&amp;L Budget (2)" sheetId="2" state="hidden" r:id="rId1"/>
    <sheet name="Reporting" sheetId="49" r:id="rId2"/>
    <sheet name="Exec.Summary_Liquiplanung" sheetId="27" r:id="rId3"/>
    <sheet name="Exec Summary_Sanierung" sheetId="28" state="hidden" r:id="rId4"/>
    <sheet name="Exec Summary_Base Case" sheetId="19" r:id="rId5"/>
    <sheet name="Dezember24" sheetId="20" r:id="rId6"/>
    <sheet name="Januar" sheetId="21" r:id="rId7"/>
    <sheet name="Februar" sheetId="22" r:id="rId8"/>
    <sheet name="März" sheetId="23" r:id="rId9"/>
    <sheet name="April" sheetId="24" r:id="rId10"/>
    <sheet name="Mai" sheetId="25" r:id="rId11"/>
    <sheet name="Juni" sheetId="26" r:id="rId12"/>
    <sheet name="Juli" sheetId="52" r:id="rId13"/>
    <sheet name="August" sheetId="53" r:id="rId14"/>
    <sheet name="September" sheetId="54" r:id="rId15"/>
    <sheet name="Budget 25 LH AG" sheetId="1" r:id="rId16"/>
    <sheet name="Overview" sheetId="3" r:id="rId17"/>
    <sheet name="HQ only" sheetId="5" r:id="rId18"/>
    <sheet name="Hotels Only" sheetId="4" r:id="rId19"/>
    <sheet name="Kudamm" sheetId="6" state="hidden" r:id="rId20"/>
    <sheet name="data entry Kudamm" sheetId="34" state="hidden" r:id="rId21"/>
    <sheet name="Airport" sheetId="7" r:id="rId22"/>
    <sheet name="data entry Airport" sheetId="35" state="hidden" r:id="rId23"/>
    <sheet name="Höchst" sheetId="9" state="hidden" r:id="rId24"/>
    <sheet name="Seestern" sheetId="8" state="hidden" r:id="rId25"/>
    <sheet name="Data entry Seestern" sheetId="38" state="hidden" r:id="rId26"/>
    <sheet name="Main Plaza" sheetId="10" state="hidden" r:id="rId27"/>
    <sheet name="Data Entry Höchst" sheetId="36" state="hidden" r:id="rId28"/>
    <sheet name="Data Entry Main Plaza" sheetId="39" state="hidden" r:id="rId29"/>
    <sheet name="Michel" sheetId="11" state="hidden" r:id="rId30"/>
    <sheet name="Data entry Michel" sheetId="40" state="hidden" r:id="rId31"/>
    <sheet name="Köln Dom" sheetId="12" state="hidden" r:id="rId32"/>
    <sheet name="Data entry Dom" sheetId="41" state="hidden" r:id="rId33"/>
    <sheet name="City Plza" sheetId="13" state="hidden" r:id="rId34"/>
    <sheet name="Data Entry Köln City Plaza" sheetId="42" state="hidden" r:id="rId35"/>
    <sheet name="Leverkusen" sheetId="14" state="hidden" r:id="rId36"/>
    <sheet name="Data Entry Leverkusen" sheetId="43" state="hidden" r:id="rId37"/>
    <sheet name="data entry LH AG" sheetId="50" r:id="rId38"/>
    <sheet name="Exec.Summary_Liquiplanung ORG" sheetId="48" state="hidden" r:id="rId39"/>
    <sheet name="Oberstaufen" sheetId="15" state="hidden" r:id="rId40"/>
    <sheet name="Data entry Oberstaufen" sheetId="47" state="hidden" r:id="rId41"/>
    <sheet name="Sylt" sheetId="16" state="hidden" r:id="rId42"/>
    <sheet name="Data entry Wiesensee" sheetId="45" state="hidden" r:id="rId43"/>
    <sheet name="Data entry sylt" sheetId="44" state="hidden" r:id="rId44"/>
    <sheet name="Wiesensee" sheetId="17" state="hidden" r:id="rId45"/>
    <sheet name="MAA Mainz" sheetId="18" state="hidden" r:id="rId46"/>
    <sheet name="Data entry MAA Mainz" sheetId="46" state="hidden" r:id="rId47"/>
    <sheet name="Data entry hotel only" sheetId="30" r:id="rId48"/>
    <sheet name="Data entry HQ only" sheetId="32" r:id="rId49"/>
    <sheet name="HQ only ORG" sheetId="31" state="hidden" r:id="rId50"/>
    <sheet name="Hotels ORG" sheetId="29" r:id="rId51"/>
    <sheet name="Exec.Summary_Liquiplanung (2)" sheetId="51" state="hidden" r:id="rId52"/>
  </sheets>
  <externalReferences>
    <externalReference r:id="rId53"/>
  </externalReferences>
  <definedNames>
    <definedName name="_1.">April!$C$3:$I$41</definedName>
    <definedName name="_1.S">April!$C$41:$I$41</definedName>
    <definedName name="_10.">April!$L$3:$R$41</definedName>
    <definedName name="_10.s">April!$M$41:$R$41</definedName>
    <definedName name="_11.">April!$M$3:$S$41</definedName>
    <definedName name="_11.s">April!$N$41:$S$41</definedName>
    <definedName name="_12.">April!$N$3:$T$41</definedName>
    <definedName name="_12.s">April!$O$41:$T$41</definedName>
    <definedName name="_13.">April!$O$3:$U$41</definedName>
    <definedName name="_13.s">April!$P$41:$U$41</definedName>
    <definedName name="_14.">April!$P$3:$V$41</definedName>
    <definedName name="_14.s">April!$Q$41:$V$41</definedName>
    <definedName name="_15.">April!$Q$3:$W$41</definedName>
    <definedName name="_15.s">April!$R$41:$W$41</definedName>
    <definedName name="_16.">April!$R$3:$X$41</definedName>
    <definedName name="_16.s">April!$S$41:$X$41</definedName>
    <definedName name="_17.">April!$S$3:$Y$41</definedName>
    <definedName name="_17.s">April!$T$41:$Y$41</definedName>
    <definedName name="_18.">April!$T$3:$Z$41</definedName>
    <definedName name="_18.s">April!$U$41:$Z$41</definedName>
    <definedName name="_19.">April!$U$3:$AA$41</definedName>
    <definedName name="_19.s">April!$V$41:$AA$41</definedName>
    <definedName name="_2.">April!$D$3:$J$41</definedName>
    <definedName name="_2.s">April!$E$41:$J$41</definedName>
    <definedName name="_20.">April!$V$3:$AB$41</definedName>
    <definedName name="_20.s">April!$W$41:$AB$41</definedName>
    <definedName name="_21.">April!$W$3:$AC$41</definedName>
    <definedName name="_21.s">April!$X$41:$AC$41</definedName>
    <definedName name="_22.">April!$X$3:$AD$41</definedName>
    <definedName name="_22.s">April!$Y$41:$AD$41</definedName>
    <definedName name="_23.">April!$Y$3:$AE$41</definedName>
    <definedName name="_23.s">April!$Z$41:$AE$41</definedName>
    <definedName name="_24.">April!$Z$3:$AF$41</definedName>
    <definedName name="_24.s">April!$AA$41:$AF$41</definedName>
    <definedName name="_25.a">April!$AA$3:$AF$41</definedName>
    <definedName name="_25.b">April!$C$3:$C$41</definedName>
    <definedName name="_25.s" localSheetId="38">[1]April!$AB$41:$AF$41,[1]April!$C$41:$C$41</definedName>
    <definedName name="_25.s">April!$AB$41:$AF$41,April!$C$41:$C$41</definedName>
    <definedName name="_26.a">April!$AB$3:$AF$41</definedName>
    <definedName name="_26.b">April!$C$3:$D$41</definedName>
    <definedName name="_26.s" localSheetId="38">[1]April!$C$41:$D$41,[1]April!$AC$41:$AF$41</definedName>
    <definedName name="_26.s">April!$C$41:$D$41,April!$AC$41:$AF$41</definedName>
    <definedName name="_27.a">April!$AC$3:$AF$41</definedName>
    <definedName name="_27.b">April!$C$3:$E$41</definedName>
    <definedName name="_27.s" localSheetId="38">[1]April!$AD$41:$AF$41,[1]April!$C$41:$E$41</definedName>
    <definedName name="_27.s">April!$AD$41:$AF$41,April!$C$41:$E$41</definedName>
    <definedName name="_28.a">April!$AD$3:$AF$41</definedName>
    <definedName name="_28.b">April!$C$3:$F$41</definedName>
    <definedName name="_28.s" localSheetId="38">[1]April!$AE$41:$AF$41,[1]April!$C$41:$F$41</definedName>
    <definedName name="_28.s">April!$AE$41:$AF$41,April!$C$41:$F$41</definedName>
    <definedName name="_29.a">April!$AE$3:$AF$41</definedName>
    <definedName name="_29.b">April!$C$3:$G$41</definedName>
    <definedName name="_29.s" localSheetId="38">[1]April!$AF$41:$AF$41,[1]April!$C$41:$G$41</definedName>
    <definedName name="_29.s">April!$AF$41:$AF$41,April!$C$41:$G$41</definedName>
    <definedName name="_3.">April!$E$3:$K$41</definedName>
    <definedName name="_3.s">April!$F$41:$K$41</definedName>
    <definedName name="_30.a">April!$AF$3:$AF$41</definedName>
    <definedName name="_30.b">April!$C$3:$H$41</definedName>
    <definedName name="_30.s" localSheetId="38">[1]April!$C$41:$H$41,[1]April!#REF!</definedName>
    <definedName name="_30.s">April!$C$41:$H$41,April!#REF!</definedName>
    <definedName name="_4.">April!$F$3:$L$41</definedName>
    <definedName name="_4.s">April!$G$41:$L$41</definedName>
    <definedName name="_5.">April!$G$3:$M$41</definedName>
    <definedName name="_5.s">April!$H$41:$M$41</definedName>
    <definedName name="_6.">April!$H$3:$N$41</definedName>
    <definedName name="_6.s">April!$I$41:$N$41</definedName>
    <definedName name="_7.">April!$I$3:$O$41</definedName>
    <definedName name="_7.s">April!$J$41:$O$41</definedName>
    <definedName name="_8.">April!$J$3:$P$41</definedName>
    <definedName name="_8.s">April!$K$41:$P$41</definedName>
    <definedName name="_9.">April!$K$3:$Q$41</definedName>
    <definedName name="_9.s">April!$L$41:$Q$41</definedName>
    <definedName name="_xlnm.Print_Area" localSheetId="9">April!$A$1:$AI$63</definedName>
    <definedName name="_xlnm.Print_Area" localSheetId="13">August!$A$1:$AI$43</definedName>
    <definedName name="_xlnm.Print_Area" localSheetId="3">'Exec Summary_Sanierung'!$A$1:$Q$113</definedName>
    <definedName name="_xlnm.Print_Area" localSheetId="2">Exec.Summary_Liquiplanung!$A$1:$U$69</definedName>
    <definedName name="_xlnm.Print_Area" localSheetId="51">'Exec.Summary_Liquiplanung (2)'!$A$1:$O$69</definedName>
    <definedName name="_xlnm.Print_Area" localSheetId="38">'Exec.Summary_Liquiplanung ORG'!$A$1:$Q$71</definedName>
    <definedName name="_xlnm.Print_Area" localSheetId="7">Februar!$A$1:$AI$63</definedName>
    <definedName name="_xlnm.Print_Area" localSheetId="6">Januar!$A$1:$AM$88</definedName>
    <definedName name="_xlnm.Print_Area" localSheetId="12">Juli!$A$1:$AI$43</definedName>
    <definedName name="_xlnm.Print_Area" localSheetId="11">Juni!$A$1:$AI$43</definedName>
    <definedName name="_xlnm.Print_Area" localSheetId="10">Mai!$A$1:$AI$63</definedName>
    <definedName name="_xlnm.Print_Area" localSheetId="8">März!$A$1:$AI$62</definedName>
    <definedName name="_xlnm.Print_Area" localSheetId="1">Reporting!$A$1:$AD$70</definedName>
    <definedName name="_xlnm.Print_Area" localSheetId="14">September!$A$1:$AI$43</definedName>
    <definedName name="_xlnm.Print_Titles" localSheetId="21">Airport!$1:$10</definedName>
    <definedName name="_xlnm.Print_Titles" localSheetId="9">April!$A:$B</definedName>
    <definedName name="_xlnm.Print_Titles" localSheetId="15">'Budget 25 LH AG'!$1:$10</definedName>
    <definedName name="_xlnm.Print_Titles" localSheetId="33">'City Plza'!$1:$10</definedName>
    <definedName name="_xlnm.Print_Titles" localSheetId="22">'data entry Airport'!$1:$10</definedName>
    <definedName name="_xlnm.Print_Titles" localSheetId="32">'Data entry Dom'!$1:$10</definedName>
    <definedName name="_xlnm.Print_Titles" localSheetId="27">'Data Entry Höchst'!$1:$10</definedName>
    <definedName name="_xlnm.Print_Titles" localSheetId="47">'Data entry hotel only'!$1:$10</definedName>
    <definedName name="_xlnm.Print_Titles" localSheetId="48">'Data entry HQ only'!$1:$10</definedName>
    <definedName name="_xlnm.Print_Titles" localSheetId="34">'Data Entry Köln City Plaza'!$1:$10</definedName>
    <definedName name="_xlnm.Print_Titles" localSheetId="20">'data entry Kudamm'!$1:$10</definedName>
    <definedName name="_xlnm.Print_Titles" localSheetId="36">'Data Entry Leverkusen'!$1:$10</definedName>
    <definedName name="_xlnm.Print_Titles" localSheetId="37">'data entry LH AG'!$1:$10</definedName>
    <definedName name="_xlnm.Print_Titles" localSheetId="46">'Data entry MAA Mainz'!$1:$10</definedName>
    <definedName name="_xlnm.Print_Titles" localSheetId="28">'Data Entry Main Plaza'!$1:$10</definedName>
    <definedName name="_xlnm.Print_Titles" localSheetId="30">'Data entry Michel'!$1:$10</definedName>
    <definedName name="_xlnm.Print_Titles" localSheetId="40">'Data entry Oberstaufen'!$1:$10</definedName>
    <definedName name="_xlnm.Print_Titles" localSheetId="25">'Data entry Seestern'!$1:$10</definedName>
    <definedName name="_xlnm.Print_Titles" localSheetId="43">'Data entry sylt'!$1:$10</definedName>
    <definedName name="_xlnm.Print_Titles" localSheetId="42">'Data entry Wiesensee'!$1:$10</definedName>
    <definedName name="_xlnm.Print_Titles" localSheetId="7">Februar!$A:$B</definedName>
    <definedName name="_xlnm.Print_Titles" localSheetId="23">Höchst!$1:$10</definedName>
    <definedName name="_xlnm.Print_Titles" localSheetId="18">'Hotels Only'!$1:$10</definedName>
    <definedName name="_xlnm.Print_Titles" localSheetId="50">'Hotels ORG'!$1:$10</definedName>
    <definedName name="_xlnm.Print_Titles" localSheetId="17">'HQ only'!$1:$10</definedName>
    <definedName name="_xlnm.Print_Titles" localSheetId="49">'HQ only ORG'!$1:$10</definedName>
    <definedName name="_xlnm.Print_Titles" localSheetId="6">Januar!$A:$B</definedName>
    <definedName name="_xlnm.Print_Titles" localSheetId="31">'Köln Dom'!$1:$10</definedName>
    <definedName name="_xlnm.Print_Titles" localSheetId="19">Kudamm!$1:$10</definedName>
    <definedName name="_xlnm.Print_Titles" localSheetId="35">Leverkusen!$1:$10</definedName>
    <definedName name="_xlnm.Print_Titles" localSheetId="45">'MAA Mainz'!$1:$10</definedName>
    <definedName name="_xlnm.Print_Titles" localSheetId="10">Mai!$A:$B</definedName>
    <definedName name="_xlnm.Print_Titles" localSheetId="26">'Main Plaza'!$1:$10</definedName>
    <definedName name="_xlnm.Print_Titles" localSheetId="8">März!$A:$A</definedName>
    <definedName name="_xlnm.Print_Titles" localSheetId="29">Michel!$1:$10</definedName>
    <definedName name="_xlnm.Print_Titles" localSheetId="39">Oberstaufen!$1:$10</definedName>
    <definedName name="_xlnm.Print_Titles" localSheetId="0">'Phased P&amp;L Budget (2)'!$1:$10</definedName>
    <definedName name="_xlnm.Print_Titles" localSheetId="24">Seestern!$1:$10</definedName>
    <definedName name="_xlnm.Print_Titles" localSheetId="41">Sylt!$1:$10</definedName>
    <definedName name="_xlnm.Print_Titles" localSheetId="44">Wiesensee!$1:$10</definedName>
    <definedName name="ein1_25b" localSheetId="38">#REF!</definedName>
    <definedName name="ein1_25b">#REF!</definedName>
    <definedName name="ein1_26b" localSheetId="38">#REF!</definedName>
    <definedName name="ein1_26b">#REF!</definedName>
    <definedName name="ein1_27b" localSheetId="38">#REF!</definedName>
    <definedName name="ein1_27b">#REF!</definedName>
    <definedName name="ein1_28b" localSheetId="38">#REF!</definedName>
    <definedName name="ein1_28b">#REF!</definedName>
    <definedName name="ein1_29b" localSheetId="38">#REF!</definedName>
    <definedName name="ein1_29b">#REF!</definedName>
    <definedName name="ein1_30b" localSheetId="38">#REF!</definedName>
    <definedName name="ein1_30b">#REF!</definedName>
    <definedName name="ein2_25b" localSheetId="38">#REF!</definedName>
    <definedName name="ein2_25b">#REF!</definedName>
    <definedName name="ein2_26b" localSheetId="38">#REF!</definedName>
    <definedName name="ein2_26b">#REF!</definedName>
    <definedName name="ein2_27b" localSheetId="38">#REF!</definedName>
    <definedName name="ein2_27b">#REF!</definedName>
    <definedName name="ein2_28b" localSheetId="38">#REF!</definedName>
    <definedName name="ein2_28b">#REF!</definedName>
    <definedName name="ein2_29b" localSheetId="38">#REF!</definedName>
    <definedName name="ein2_29b">#REF!</definedName>
    <definedName name="ein2_30b" localSheetId="38">#REF!</definedName>
    <definedName name="ein2_30b">#REF!</definedName>
    <definedName name="eingabe" localSheetId="38">#REF!</definedName>
    <definedName name="eingabe">#REF!</definedName>
    <definedName name="eingabe2" localSheetId="38">#REF!</definedName>
    <definedName name="eingabe2">#REF!</definedName>
    <definedName name="KH_beteil">April!$E$44</definedName>
    <definedName name="val_hot">April!$E$38</definedName>
    <definedName name="woche3">#REF!</definedName>
    <definedName name="woche4" localSheetId="38">#REF!</definedName>
    <definedName name="woche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2" l="1"/>
  <c r="AF40" i="26"/>
  <c r="AB40" i="26"/>
  <c r="R40" i="26"/>
  <c r="N10" i="26"/>
  <c r="N40" i="26"/>
  <c r="S40" i="26"/>
  <c r="AE40" i="25"/>
  <c r="Z40" i="24"/>
  <c r="H40" i="25" l="1"/>
  <c r="V40" i="25"/>
  <c r="O40" i="25"/>
  <c r="Y40" i="24"/>
  <c r="C8" i="52" l="1"/>
  <c r="AB31" i="26" l="1"/>
  <c r="AA31" i="26" l="1"/>
  <c r="AP50" i="27"/>
  <c r="AP44" i="27"/>
  <c r="AP41" i="27"/>
  <c r="AP40" i="27"/>
  <c r="AP32" i="27"/>
  <c r="AP30" i="27"/>
  <c r="AP29" i="27"/>
  <c r="AP28" i="27"/>
  <c r="AP27" i="27"/>
  <c r="AP26" i="27"/>
  <c r="AP25" i="27"/>
  <c r="AP24" i="27"/>
  <c r="AP23" i="27"/>
  <c r="AP22" i="27"/>
  <c r="AP21" i="27"/>
  <c r="AP20" i="27"/>
  <c r="AP19" i="27"/>
  <c r="AP18" i="27"/>
  <c r="AP17" i="27"/>
  <c r="AP16" i="27"/>
  <c r="AP15" i="27"/>
  <c r="AP14" i="27"/>
  <c r="AP13" i="27"/>
  <c r="AP12" i="27"/>
  <c r="AP11" i="27"/>
  <c r="AP10" i="27"/>
  <c r="AP9" i="27"/>
  <c r="AP8" i="27"/>
  <c r="AO52" i="27"/>
  <c r="AN52" i="27"/>
  <c r="AF8" i="25" l="1"/>
  <c r="Q83" i="19"/>
  <c r="P83" i="19"/>
  <c r="Q82" i="19"/>
  <c r="P82" i="19"/>
  <c r="Q81" i="19"/>
  <c r="P81" i="19"/>
  <c r="Q80" i="19"/>
  <c r="P80" i="19"/>
  <c r="L34" i="19"/>
  <c r="K34" i="19"/>
  <c r="J34" i="19"/>
  <c r="E8" i="26" l="1"/>
  <c r="AH96" i="25" l="1"/>
  <c r="AH97" i="25"/>
  <c r="AG100" i="25"/>
  <c r="AA100" i="25"/>
  <c r="Z100" i="25"/>
  <c r="T100" i="25"/>
  <c r="S100" i="25"/>
  <c r="M100" i="25"/>
  <c r="L100" i="25"/>
  <c r="F100" i="25"/>
  <c r="E100" i="25"/>
  <c r="AG99" i="25"/>
  <c r="AD99" i="25"/>
  <c r="AC99" i="25"/>
  <c r="AA99" i="25"/>
  <c r="Z99" i="25"/>
  <c r="X99" i="25"/>
  <c r="W99" i="25"/>
  <c r="V99" i="25"/>
  <c r="U99" i="25"/>
  <c r="T99" i="25"/>
  <c r="S99" i="25"/>
  <c r="Q99" i="25"/>
  <c r="P99" i="25"/>
  <c r="O99" i="25"/>
  <c r="N99" i="25"/>
  <c r="M99" i="25"/>
  <c r="L99" i="25"/>
  <c r="K99" i="25"/>
  <c r="J99" i="25"/>
  <c r="I99" i="25"/>
  <c r="H99" i="25"/>
  <c r="F99" i="25"/>
  <c r="E99" i="25"/>
  <c r="D99" i="25"/>
  <c r="C99" i="25"/>
  <c r="C102" i="25" s="1"/>
  <c r="D102" i="25" s="1"/>
  <c r="E102" i="25" s="1"/>
  <c r="F102" i="25" s="1"/>
  <c r="C103" i="23" l="1"/>
  <c r="D103" i="23" s="1"/>
  <c r="D102" i="23"/>
  <c r="E102" i="23" s="1"/>
  <c r="F102" i="23" s="1"/>
  <c r="G102" i="23" s="1"/>
  <c r="H102" i="23" s="1"/>
  <c r="C102" i="23"/>
  <c r="O81" i="19"/>
  <c r="N81" i="19"/>
  <c r="M81" i="19"/>
  <c r="L81" i="19"/>
  <c r="K81" i="19"/>
  <c r="E102" i="24" l="1"/>
  <c r="F102" i="24" s="1"/>
  <c r="G102" i="24" s="1"/>
  <c r="H102" i="24" s="1"/>
  <c r="I102" i="24" s="1"/>
  <c r="D102" i="24"/>
  <c r="C102" i="24"/>
  <c r="AA27" i="24"/>
  <c r="AD26" i="24"/>
  <c r="AH97" i="24"/>
  <c r="AI97" i="24" s="1"/>
  <c r="AH96" i="24"/>
  <c r="AH97" i="23"/>
  <c r="AI97" i="23" s="1"/>
  <c r="AH96" i="23"/>
  <c r="E8" i="54"/>
  <c r="F8" i="53"/>
  <c r="K43" i="27" l="1"/>
  <c r="K39" i="27"/>
  <c r="K38" i="27"/>
  <c r="K37" i="27"/>
  <c r="K36" i="27"/>
  <c r="K35" i="27"/>
  <c r="K31" i="27"/>
  <c r="K29" i="27"/>
  <c r="K28" i="27"/>
  <c r="K27" i="27"/>
  <c r="K26" i="27"/>
  <c r="K25" i="27"/>
  <c r="K24" i="27"/>
  <c r="K23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9" i="27"/>
  <c r="K7" i="27"/>
  <c r="K5" i="27"/>
  <c r="J43" i="27"/>
  <c r="J39" i="27"/>
  <c r="J38" i="27"/>
  <c r="J37" i="27"/>
  <c r="J36" i="27"/>
  <c r="J35" i="27"/>
  <c r="J31" i="27"/>
  <c r="J29" i="27"/>
  <c r="AD29" i="27" s="1"/>
  <c r="J28" i="27"/>
  <c r="AD28" i="27" s="1"/>
  <c r="J27" i="27"/>
  <c r="AD27" i="27" s="1"/>
  <c r="J26" i="27"/>
  <c r="AD26" i="27" s="1"/>
  <c r="J25" i="27"/>
  <c r="AD25" i="27" s="1"/>
  <c r="J24" i="27"/>
  <c r="AD24" i="27" s="1"/>
  <c r="J23" i="27"/>
  <c r="AD23" i="27" s="1"/>
  <c r="J22" i="27"/>
  <c r="AD22" i="27" s="1"/>
  <c r="J21" i="27"/>
  <c r="AD21" i="27" s="1"/>
  <c r="J20" i="27"/>
  <c r="AD20" i="27" s="1"/>
  <c r="J19" i="27"/>
  <c r="AD19" i="27" s="1"/>
  <c r="J18" i="27"/>
  <c r="AD18" i="27" s="1"/>
  <c r="J17" i="27"/>
  <c r="AD17" i="27" s="1"/>
  <c r="J16" i="27"/>
  <c r="AD16" i="27" s="1"/>
  <c r="J15" i="27"/>
  <c r="AD15" i="27" s="1"/>
  <c r="J14" i="27"/>
  <c r="AD14" i="27" s="1"/>
  <c r="J13" i="27"/>
  <c r="AD13" i="27" s="1"/>
  <c r="J12" i="27"/>
  <c r="AD12" i="27" s="1"/>
  <c r="J11" i="27"/>
  <c r="AD11" i="27" s="1"/>
  <c r="J9" i="27"/>
  <c r="AD9" i="27" s="1"/>
  <c r="J7" i="27"/>
  <c r="J5" i="27"/>
  <c r="I43" i="27"/>
  <c r="I39" i="27"/>
  <c r="I38" i="27"/>
  <c r="I37" i="27"/>
  <c r="I36" i="27"/>
  <c r="I35" i="27"/>
  <c r="I31" i="27"/>
  <c r="I27" i="27"/>
  <c r="AC27" i="27" s="1"/>
  <c r="I26" i="27"/>
  <c r="AC26" i="27" s="1"/>
  <c r="I25" i="27"/>
  <c r="AC25" i="27" s="1"/>
  <c r="I24" i="27"/>
  <c r="AC24" i="27" s="1"/>
  <c r="I23" i="27"/>
  <c r="AC23" i="27" s="1"/>
  <c r="I22" i="27"/>
  <c r="AC22" i="27" s="1"/>
  <c r="I21" i="27"/>
  <c r="AC21" i="27" s="1"/>
  <c r="I20" i="27"/>
  <c r="AC20" i="27" s="1"/>
  <c r="I19" i="27"/>
  <c r="AC19" i="27" s="1"/>
  <c r="I18" i="27"/>
  <c r="AC18" i="27" s="1"/>
  <c r="I17" i="27"/>
  <c r="AC17" i="27" s="1"/>
  <c r="I16" i="27"/>
  <c r="AC16" i="27" s="1"/>
  <c r="I15" i="27"/>
  <c r="AC15" i="27" s="1"/>
  <c r="I14" i="27"/>
  <c r="AC14" i="27" s="1"/>
  <c r="I13" i="27"/>
  <c r="AC13" i="27" s="1"/>
  <c r="I12" i="27"/>
  <c r="AC12" i="27" s="1"/>
  <c r="I11" i="27"/>
  <c r="AC11" i="27" s="1"/>
  <c r="I9" i="27"/>
  <c r="AC9" i="27" s="1"/>
  <c r="I7" i="27"/>
  <c r="I5" i="27"/>
  <c r="AA27" i="54"/>
  <c r="AH27" i="54" s="1"/>
  <c r="AB26" i="54"/>
  <c r="Z27" i="52"/>
  <c r="AA26" i="52"/>
  <c r="B51" i="54"/>
  <c r="AH48" i="54"/>
  <c r="AH47" i="54"/>
  <c r="AH46" i="54"/>
  <c r="AG44" i="54"/>
  <c r="AE44" i="54"/>
  <c r="X44" i="54"/>
  <c r="W44" i="54"/>
  <c r="J44" i="54"/>
  <c r="I44" i="54"/>
  <c r="AG42" i="54"/>
  <c r="AE42" i="54"/>
  <c r="AD42" i="54"/>
  <c r="AD44" i="54" s="1"/>
  <c r="X42" i="54"/>
  <c r="W42" i="54"/>
  <c r="Q42" i="54"/>
  <c r="Q44" i="54" s="1"/>
  <c r="P42" i="54"/>
  <c r="J42" i="54"/>
  <c r="I42" i="54"/>
  <c r="C42" i="54"/>
  <c r="AH39" i="54"/>
  <c r="B39" i="54"/>
  <c r="AH38" i="54"/>
  <c r="B38" i="54"/>
  <c r="AH37" i="54"/>
  <c r="B37" i="54"/>
  <c r="AH36" i="54"/>
  <c r="B36" i="54"/>
  <c r="AH35" i="54"/>
  <c r="B35" i="54"/>
  <c r="AG32" i="54"/>
  <c r="AF32" i="54"/>
  <c r="AE32" i="54"/>
  <c r="AD32" i="54"/>
  <c r="Z32" i="54"/>
  <c r="Y32" i="54"/>
  <c r="X32" i="54"/>
  <c r="W32" i="54"/>
  <c r="V32" i="54"/>
  <c r="T32" i="54"/>
  <c r="S32" i="54"/>
  <c r="R32" i="54"/>
  <c r="Q32" i="54"/>
  <c r="P32" i="54"/>
  <c r="P44" i="54" s="1"/>
  <c r="O32" i="54"/>
  <c r="M32" i="54"/>
  <c r="L32" i="54"/>
  <c r="K32" i="54"/>
  <c r="J32" i="54"/>
  <c r="I32" i="54"/>
  <c r="H32" i="54"/>
  <c r="F32" i="54"/>
  <c r="D32" i="54"/>
  <c r="B32" i="54"/>
  <c r="AH31" i="54"/>
  <c r="AH30" i="54"/>
  <c r="K30" i="27" s="1"/>
  <c r="AH29" i="54"/>
  <c r="AH28" i="54"/>
  <c r="AC32" i="54"/>
  <c r="AH25" i="54"/>
  <c r="AH24" i="54"/>
  <c r="AH23" i="54"/>
  <c r="AH22" i="54"/>
  <c r="AH21" i="54"/>
  <c r="AH20" i="54"/>
  <c r="AH19" i="54"/>
  <c r="AH18" i="54"/>
  <c r="AH17" i="54"/>
  <c r="AH16" i="54"/>
  <c r="AH15" i="54"/>
  <c r="AH14" i="54"/>
  <c r="AH13" i="54"/>
  <c r="AH11" i="54"/>
  <c r="AH9" i="54"/>
  <c r="E32" i="54"/>
  <c r="AH5" i="54"/>
  <c r="B51" i="53"/>
  <c r="AH48" i="53"/>
  <c r="AH47" i="53"/>
  <c r="AH46" i="53"/>
  <c r="AG42" i="53"/>
  <c r="AG44" i="53" s="1"/>
  <c r="AH39" i="53"/>
  <c r="B39" i="53"/>
  <c r="AH38" i="53"/>
  <c r="B38" i="53"/>
  <c r="AH37" i="53"/>
  <c r="B37" i="53"/>
  <c r="AH36" i="53"/>
  <c r="B36" i="53"/>
  <c r="AH35" i="53"/>
  <c r="B35" i="53"/>
  <c r="AG32" i="53"/>
  <c r="AF32" i="53"/>
  <c r="AE32" i="53"/>
  <c r="AD32" i="53"/>
  <c r="AC32" i="53"/>
  <c r="AA32" i="53"/>
  <c r="Z32" i="53"/>
  <c r="Y32" i="53"/>
  <c r="X32" i="53"/>
  <c r="W32" i="53"/>
  <c r="V32" i="53"/>
  <c r="T32" i="53"/>
  <c r="S32" i="53"/>
  <c r="R32" i="53"/>
  <c r="Q32" i="53"/>
  <c r="P32" i="53"/>
  <c r="O32" i="53"/>
  <c r="M32" i="53"/>
  <c r="L32" i="53"/>
  <c r="K32" i="53"/>
  <c r="J32" i="53"/>
  <c r="I32" i="53"/>
  <c r="H32" i="53"/>
  <c r="F32" i="53"/>
  <c r="E32" i="53"/>
  <c r="D32" i="53"/>
  <c r="C32" i="53"/>
  <c r="B32" i="53"/>
  <c r="AH31" i="53"/>
  <c r="AH30" i="53"/>
  <c r="J30" i="27" s="1"/>
  <c r="AD30" i="27" s="1"/>
  <c r="AH29" i="53"/>
  <c r="AH28" i="53"/>
  <c r="AB27" i="53"/>
  <c r="AH27" i="53" s="1"/>
  <c r="AH26" i="53"/>
  <c r="AC26" i="53"/>
  <c r="AH25" i="53"/>
  <c r="AH24" i="53"/>
  <c r="AH23" i="53"/>
  <c r="AH22" i="53"/>
  <c r="AH21" i="53"/>
  <c r="AH20" i="53"/>
  <c r="AH19" i="53"/>
  <c r="AH18" i="53"/>
  <c r="AH17" i="53"/>
  <c r="AH16" i="53"/>
  <c r="AH15" i="53"/>
  <c r="AH14" i="53"/>
  <c r="AH13" i="53"/>
  <c r="AH12" i="53"/>
  <c r="C12" i="53"/>
  <c r="AH11" i="53"/>
  <c r="AH9" i="53"/>
  <c r="AH5" i="53"/>
  <c r="B51" i="52"/>
  <c r="AH48" i="52"/>
  <c r="AH47" i="52"/>
  <c r="AH46" i="52"/>
  <c r="AH39" i="52"/>
  <c r="B39" i="52"/>
  <c r="AH38" i="52"/>
  <c r="B38" i="52"/>
  <c r="AH37" i="52"/>
  <c r="B37" i="52"/>
  <c r="AH36" i="52"/>
  <c r="B36" i="52"/>
  <c r="AH35" i="52"/>
  <c r="B35" i="52"/>
  <c r="AG32" i="52"/>
  <c r="AF32" i="52"/>
  <c r="AE32" i="52"/>
  <c r="AD32" i="52"/>
  <c r="AA32" i="52"/>
  <c r="Y32" i="52"/>
  <c r="X32" i="52"/>
  <c r="W32" i="52"/>
  <c r="V32" i="52"/>
  <c r="S32" i="52"/>
  <c r="R32" i="52"/>
  <c r="Q32" i="52"/>
  <c r="P32" i="52"/>
  <c r="O32" i="52"/>
  <c r="L32" i="52"/>
  <c r="J32" i="52"/>
  <c r="I32" i="52"/>
  <c r="H32" i="52"/>
  <c r="D32" i="52"/>
  <c r="B32" i="52"/>
  <c r="AH31" i="52"/>
  <c r="AH30" i="52"/>
  <c r="I30" i="27" s="1"/>
  <c r="AC30" i="27" s="1"/>
  <c r="AH29" i="52"/>
  <c r="I29" i="27" s="1"/>
  <c r="AC29" i="27" s="1"/>
  <c r="AH28" i="52"/>
  <c r="I28" i="27" s="1"/>
  <c r="AC28" i="27" s="1"/>
  <c r="AH27" i="52"/>
  <c r="AC32" i="52"/>
  <c r="AH25" i="52"/>
  <c r="AH24" i="52"/>
  <c r="AH23" i="52"/>
  <c r="AH22" i="52"/>
  <c r="AH21" i="52"/>
  <c r="AH20" i="52"/>
  <c r="AH19" i="52"/>
  <c r="AH18" i="52"/>
  <c r="AH17" i="52"/>
  <c r="AH16" i="52"/>
  <c r="AH15" i="52"/>
  <c r="AH14" i="52"/>
  <c r="AH13" i="52"/>
  <c r="C32" i="52"/>
  <c r="AH11" i="52"/>
  <c r="AH9" i="52"/>
  <c r="E32" i="52"/>
  <c r="AH5" i="52"/>
  <c r="F85" i="25"/>
  <c r="D8" i="25"/>
  <c r="AD31" i="24"/>
  <c r="K72" i="25"/>
  <c r="X10" i="24"/>
  <c r="AL71" i="24"/>
  <c r="AH8" i="53" l="1"/>
  <c r="J8" i="27" s="1"/>
  <c r="AD8" i="27" s="1"/>
  <c r="AB32" i="54"/>
  <c r="C32" i="54"/>
  <c r="C44" i="54" s="1"/>
  <c r="AH12" i="54"/>
  <c r="AH8" i="54"/>
  <c r="K8" i="27" s="1"/>
  <c r="AH26" i="54"/>
  <c r="D42" i="53"/>
  <c r="D44" i="53" s="1"/>
  <c r="Y42" i="53"/>
  <c r="Y44" i="53" s="1"/>
  <c r="N32" i="52"/>
  <c r="AB32" i="52"/>
  <c r="U32" i="52"/>
  <c r="AH12" i="52"/>
  <c r="AH8" i="52"/>
  <c r="I8" i="27" s="1"/>
  <c r="AC8" i="27" s="1"/>
  <c r="AH26" i="52"/>
  <c r="U71" i="24"/>
  <c r="C8" i="24"/>
  <c r="B63" i="51"/>
  <c r="AF50" i="51"/>
  <c r="C50" i="51"/>
  <c r="B50" i="51"/>
  <c r="M49" i="51"/>
  <c r="L49" i="51"/>
  <c r="K49" i="51"/>
  <c r="J49" i="51"/>
  <c r="N49" i="51" s="1"/>
  <c r="M48" i="51"/>
  <c r="L48" i="51"/>
  <c r="K48" i="51"/>
  <c r="J48" i="51"/>
  <c r="M47" i="51"/>
  <c r="L47" i="51"/>
  <c r="K47" i="51"/>
  <c r="J47" i="51"/>
  <c r="M46" i="51"/>
  <c r="L46" i="51"/>
  <c r="K46" i="51"/>
  <c r="J46" i="51"/>
  <c r="N46" i="51" s="1"/>
  <c r="M45" i="51"/>
  <c r="L45" i="51"/>
  <c r="K45" i="51"/>
  <c r="J45" i="51"/>
  <c r="AF44" i="51"/>
  <c r="C44" i="51"/>
  <c r="B44" i="51"/>
  <c r="N43" i="51"/>
  <c r="H43" i="51"/>
  <c r="G43" i="51"/>
  <c r="F43" i="51"/>
  <c r="D43" i="51"/>
  <c r="C43" i="51"/>
  <c r="C42" i="51"/>
  <c r="K42" i="51" s="1"/>
  <c r="B42" i="51"/>
  <c r="J42" i="51" s="1"/>
  <c r="AF41" i="51"/>
  <c r="K41" i="51"/>
  <c r="J41" i="51"/>
  <c r="C41" i="51"/>
  <c r="Q41" i="51" s="1"/>
  <c r="B41" i="51"/>
  <c r="P41" i="51" s="1"/>
  <c r="AF40" i="51"/>
  <c r="AF42" i="51" s="1"/>
  <c r="C40" i="51"/>
  <c r="B40" i="51"/>
  <c r="L39" i="51"/>
  <c r="H39" i="51"/>
  <c r="D39" i="51"/>
  <c r="C39" i="51"/>
  <c r="K39" i="51" s="1"/>
  <c r="B39" i="51"/>
  <c r="J39" i="51" s="1"/>
  <c r="J38" i="51"/>
  <c r="H38" i="51"/>
  <c r="D38" i="51"/>
  <c r="L38" i="51" s="1"/>
  <c r="C38" i="51"/>
  <c r="K38" i="51" s="1"/>
  <c r="B38" i="51"/>
  <c r="H37" i="51"/>
  <c r="D37" i="51"/>
  <c r="L37" i="51" s="1"/>
  <c r="C37" i="51"/>
  <c r="K37" i="51" s="1"/>
  <c r="B37" i="51"/>
  <c r="J37" i="51" s="1"/>
  <c r="H36" i="51"/>
  <c r="D36" i="51"/>
  <c r="L36" i="51" s="1"/>
  <c r="C36" i="51"/>
  <c r="K36" i="51" s="1"/>
  <c r="B36" i="51"/>
  <c r="J36" i="51" s="1"/>
  <c r="L35" i="51"/>
  <c r="H35" i="51"/>
  <c r="D35" i="51"/>
  <c r="C35" i="51"/>
  <c r="K35" i="51" s="1"/>
  <c r="B35" i="51"/>
  <c r="J35" i="51" s="1"/>
  <c r="M33" i="51"/>
  <c r="L33" i="51"/>
  <c r="K33" i="51"/>
  <c r="J33" i="51"/>
  <c r="N33" i="51" s="1"/>
  <c r="AF32" i="51"/>
  <c r="D32" i="51"/>
  <c r="L32" i="51" s="1"/>
  <c r="C32" i="51"/>
  <c r="K32" i="51" s="1"/>
  <c r="B32" i="51"/>
  <c r="J32" i="51" s="1"/>
  <c r="D31" i="51"/>
  <c r="L31" i="51" s="1"/>
  <c r="C31" i="51"/>
  <c r="K31" i="51" s="1"/>
  <c r="B31" i="51"/>
  <c r="J31" i="51" s="1"/>
  <c r="AF30" i="51"/>
  <c r="L30" i="51"/>
  <c r="K30" i="51"/>
  <c r="D30" i="51"/>
  <c r="R30" i="51" s="1"/>
  <c r="C30" i="51"/>
  <c r="Q30" i="51" s="1"/>
  <c r="B30" i="51"/>
  <c r="J30" i="51" s="1"/>
  <c r="AF29" i="51"/>
  <c r="D29" i="51"/>
  <c r="R29" i="51" s="1"/>
  <c r="C29" i="51"/>
  <c r="B29" i="51"/>
  <c r="AF28" i="51"/>
  <c r="L28" i="51"/>
  <c r="K28" i="51"/>
  <c r="H28" i="51"/>
  <c r="V28" i="51" s="1"/>
  <c r="D28" i="51"/>
  <c r="R28" i="51" s="1"/>
  <c r="C28" i="51"/>
  <c r="Q28" i="51" s="1"/>
  <c r="B28" i="51"/>
  <c r="J28" i="51" s="1"/>
  <c r="AF27" i="51"/>
  <c r="P27" i="51"/>
  <c r="K27" i="51"/>
  <c r="H27" i="51"/>
  <c r="V27" i="51" s="1"/>
  <c r="D27" i="51"/>
  <c r="C27" i="51"/>
  <c r="Q27" i="51" s="1"/>
  <c r="B27" i="51"/>
  <c r="J27" i="51" s="1"/>
  <c r="AF26" i="51"/>
  <c r="H26" i="51"/>
  <c r="V26" i="51" s="1"/>
  <c r="D26" i="51"/>
  <c r="R26" i="51" s="1"/>
  <c r="C26" i="51"/>
  <c r="Q26" i="51" s="1"/>
  <c r="B26" i="51"/>
  <c r="J26" i="51" s="1"/>
  <c r="AF25" i="51"/>
  <c r="L25" i="51"/>
  <c r="K25" i="51"/>
  <c r="H25" i="51"/>
  <c r="V25" i="51" s="1"/>
  <c r="D25" i="51"/>
  <c r="R25" i="51" s="1"/>
  <c r="C25" i="51"/>
  <c r="Q25" i="51" s="1"/>
  <c r="B25" i="51"/>
  <c r="J25" i="51" s="1"/>
  <c r="AF24" i="51"/>
  <c r="H24" i="51"/>
  <c r="V24" i="51" s="1"/>
  <c r="D24" i="51"/>
  <c r="R24" i="51" s="1"/>
  <c r="C24" i="51"/>
  <c r="Q24" i="51" s="1"/>
  <c r="B24" i="51"/>
  <c r="AF23" i="51"/>
  <c r="L23" i="51"/>
  <c r="K23" i="51"/>
  <c r="H23" i="51"/>
  <c r="V23" i="51" s="1"/>
  <c r="D23" i="51"/>
  <c r="R23" i="51" s="1"/>
  <c r="C23" i="51"/>
  <c r="Q23" i="51" s="1"/>
  <c r="B23" i="51"/>
  <c r="J23" i="51" s="1"/>
  <c r="AF22" i="51"/>
  <c r="P22" i="51"/>
  <c r="H22" i="51"/>
  <c r="V22" i="51" s="1"/>
  <c r="D22" i="51"/>
  <c r="C22" i="51"/>
  <c r="B22" i="51"/>
  <c r="J22" i="51" s="1"/>
  <c r="AF21" i="51"/>
  <c r="L21" i="51"/>
  <c r="H21" i="51"/>
  <c r="V21" i="51" s="1"/>
  <c r="D21" i="51"/>
  <c r="R21" i="51" s="1"/>
  <c r="C21" i="51"/>
  <c r="Q21" i="51" s="1"/>
  <c r="B21" i="51"/>
  <c r="J21" i="51" s="1"/>
  <c r="AF20" i="51"/>
  <c r="L20" i="51"/>
  <c r="K20" i="51"/>
  <c r="H20" i="51"/>
  <c r="V20" i="51" s="1"/>
  <c r="D20" i="51"/>
  <c r="R20" i="51" s="1"/>
  <c r="C20" i="51"/>
  <c r="Q20" i="51" s="1"/>
  <c r="B20" i="51"/>
  <c r="J20" i="51" s="1"/>
  <c r="AF19" i="51"/>
  <c r="H19" i="51"/>
  <c r="V19" i="51" s="1"/>
  <c r="D19" i="51"/>
  <c r="R19" i="51" s="1"/>
  <c r="C19" i="51"/>
  <c r="K19" i="51" s="1"/>
  <c r="B19" i="51"/>
  <c r="AF18" i="51"/>
  <c r="K18" i="51"/>
  <c r="H18" i="51"/>
  <c r="V18" i="51" s="1"/>
  <c r="D18" i="51"/>
  <c r="C18" i="51"/>
  <c r="Q18" i="51" s="1"/>
  <c r="B18" i="51"/>
  <c r="J18" i="51" s="1"/>
  <c r="AF17" i="51"/>
  <c r="P17" i="51"/>
  <c r="H17" i="51"/>
  <c r="V17" i="51" s="1"/>
  <c r="D17" i="51"/>
  <c r="C17" i="51"/>
  <c r="B17" i="51"/>
  <c r="J17" i="51" s="1"/>
  <c r="AF16" i="51"/>
  <c r="H16" i="51"/>
  <c r="V16" i="51" s="1"/>
  <c r="D16" i="51"/>
  <c r="C16" i="51"/>
  <c r="Q16" i="51" s="1"/>
  <c r="B16" i="51"/>
  <c r="J16" i="51" s="1"/>
  <c r="AF15" i="51"/>
  <c r="H15" i="51"/>
  <c r="V15" i="51" s="1"/>
  <c r="D15" i="51"/>
  <c r="C15" i="51"/>
  <c r="B15" i="51"/>
  <c r="J15" i="51" s="1"/>
  <c r="AF14" i="51"/>
  <c r="H14" i="51"/>
  <c r="V14" i="51" s="1"/>
  <c r="D14" i="51"/>
  <c r="R14" i="51" s="1"/>
  <c r="C14" i="51"/>
  <c r="Q14" i="51" s="1"/>
  <c r="B14" i="51"/>
  <c r="J14" i="51" s="1"/>
  <c r="AF13" i="51"/>
  <c r="H13" i="51"/>
  <c r="V13" i="51" s="1"/>
  <c r="D13" i="51"/>
  <c r="C13" i="51"/>
  <c r="B13" i="51"/>
  <c r="J13" i="51" s="1"/>
  <c r="AF12" i="51"/>
  <c r="H12" i="51"/>
  <c r="V12" i="51" s="1"/>
  <c r="D12" i="51"/>
  <c r="C12" i="51"/>
  <c r="B12" i="51"/>
  <c r="AF11" i="51"/>
  <c r="H11" i="51"/>
  <c r="V11" i="51" s="1"/>
  <c r="D11" i="51"/>
  <c r="R11" i="51" s="1"/>
  <c r="C11" i="51"/>
  <c r="K11" i="51" s="1"/>
  <c r="B11" i="51"/>
  <c r="J11" i="51" s="1"/>
  <c r="AF10" i="51"/>
  <c r="D10" i="51"/>
  <c r="C10" i="51"/>
  <c r="B10" i="51"/>
  <c r="J10" i="51" s="1"/>
  <c r="AF9" i="51"/>
  <c r="D9" i="51"/>
  <c r="C9" i="51"/>
  <c r="B9" i="51"/>
  <c r="AF8" i="51"/>
  <c r="D8" i="51"/>
  <c r="R8" i="51" s="1"/>
  <c r="C8" i="51"/>
  <c r="Q8" i="51" s="1"/>
  <c r="B8" i="51"/>
  <c r="J8" i="51" s="1"/>
  <c r="H7" i="51"/>
  <c r="G7" i="51"/>
  <c r="D6" i="51"/>
  <c r="L6" i="51" s="1"/>
  <c r="C6" i="51"/>
  <c r="K6" i="51" s="1"/>
  <c r="B6" i="51"/>
  <c r="J6" i="51" s="1"/>
  <c r="L5" i="51"/>
  <c r="K5" i="51"/>
  <c r="J5" i="51"/>
  <c r="H5" i="51"/>
  <c r="D5" i="51"/>
  <c r="C5" i="51"/>
  <c r="B5" i="51"/>
  <c r="P4" i="51"/>
  <c r="J4" i="51"/>
  <c r="D4" i="51"/>
  <c r="C4" i="51"/>
  <c r="K4" i="51" s="1"/>
  <c r="B4" i="51"/>
  <c r="AF42" i="53" l="1"/>
  <c r="AF44" i="53" s="1"/>
  <c r="E42" i="53"/>
  <c r="E44" i="53" s="1"/>
  <c r="Z42" i="53"/>
  <c r="Z44" i="53" s="1"/>
  <c r="K42" i="53"/>
  <c r="K44" i="53" s="1"/>
  <c r="L42" i="53"/>
  <c r="L44" i="53" s="1"/>
  <c r="R42" i="53"/>
  <c r="R44" i="53" s="1"/>
  <c r="S42" i="53"/>
  <c r="S44" i="53" s="1"/>
  <c r="G32" i="52"/>
  <c r="Q10" i="51"/>
  <c r="K10" i="51"/>
  <c r="R10" i="51"/>
  <c r="L10" i="51"/>
  <c r="Q13" i="51"/>
  <c r="K13" i="51"/>
  <c r="R13" i="51"/>
  <c r="L13" i="51"/>
  <c r="R16" i="51"/>
  <c r="L16" i="51"/>
  <c r="J9" i="51"/>
  <c r="P9" i="51"/>
  <c r="P40" i="51"/>
  <c r="J40" i="51"/>
  <c r="J12" i="51"/>
  <c r="P12" i="51"/>
  <c r="Q40" i="51"/>
  <c r="K40" i="51"/>
  <c r="Q15" i="51"/>
  <c r="K15" i="51"/>
  <c r="R15" i="51"/>
  <c r="L15" i="51"/>
  <c r="R18" i="51"/>
  <c r="L18" i="51"/>
  <c r="J44" i="51"/>
  <c r="P44" i="51"/>
  <c r="K44" i="51"/>
  <c r="Q44" i="51"/>
  <c r="N45" i="51"/>
  <c r="N47" i="51"/>
  <c r="R27" i="51"/>
  <c r="L27" i="51"/>
  <c r="K12" i="51"/>
  <c r="Q12" i="51"/>
  <c r="Q17" i="51"/>
  <c r="K17" i="51"/>
  <c r="Q29" i="51"/>
  <c r="K29" i="51"/>
  <c r="K9" i="51"/>
  <c r="Q9" i="51"/>
  <c r="R17" i="51"/>
  <c r="L17" i="51"/>
  <c r="R9" i="51"/>
  <c r="L9" i="51"/>
  <c r="Q22" i="51"/>
  <c r="K22" i="51"/>
  <c r="Q50" i="51"/>
  <c r="C52" i="51"/>
  <c r="K50" i="51"/>
  <c r="J19" i="51"/>
  <c r="P19" i="51"/>
  <c r="J24" i="51"/>
  <c r="P24" i="51"/>
  <c r="R12" i="51"/>
  <c r="L12" i="51"/>
  <c r="J29" i="51"/>
  <c r="P29" i="51"/>
  <c r="J50" i="51"/>
  <c r="B52" i="51"/>
  <c r="P50" i="51"/>
  <c r="L4" i="51"/>
  <c r="R4" i="51"/>
  <c r="R22" i="51"/>
  <c r="L22" i="51"/>
  <c r="N48" i="51"/>
  <c r="P14" i="51"/>
  <c r="Q19" i="51"/>
  <c r="P8" i="51"/>
  <c r="P11" i="51"/>
  <c r="Q11" i="51"/>
  <c r="P16" i="51"/>
  <c r="P21" i="51"/>
  <c r="P23" i="51"/>
  <c r="K24" i="51"/>
  <c r="L29" i="51"/>
  <c r="P10" i="51"/>
  <c r="P13" i="51"/>
  <c r="K14" i="51"/>
  <c r="L19" i="51"/>
  <c r="Q4" i="51"/>
  <c r="K8" i="51"/>
  <c r="L14" i="51"/>
  <c r="P25" i="51"/>
  <c r="K26" i="51"/>
  <c r="P42" i="51"/>
  <c r="P26" i="51"/>
  <c r="P28" i="51"/>
  <c r="P18" i="51"/>
  <c r="L24" i="51"/>
  <c r="P30" i="51"/>
  <c r="L8" i="51"/>
  <c r="L11" i="51"/>
  <c r="P15" i="51"/>
  <c r="K16" i="51"/>
  <c r="P20" i="51"/>
  <c r="K21" i="51"/>
  <c r="L26" i="51"/>
  <c r="Q42" i="51"/>
  <c r="AB42" i="52" l="1"/>
  <c r="AB44" i="52" s="1"/>
  <c r="V42" i="52"/>
  <c r="V44" i="52" s="1"/>
  <c r="O42" i="52"/>
  <c r="O44" i="52" s="1"/>
  <c r="H42" i="52"/>
  <c r="H44" i="52" s="1"/>
  <c r="G42" i="52"/>
  <c r="G44" i="52" s="1"/>
  <c r="U42" i="52"/>
  <c r="U44" i="52" s="1"/>
  <c r="N42" i="52"/>
  <c r="N44" i="52" s="1"/>
  <c r="AC42" i="52"/>
  <c r="AC44" i="52" s="1"/>
  <c r="Q32" i="51"/>
  <c r="R32" i="51"/>
  <c r="P32" i="51"/>
  <c r="J82" i="19" l="1"/>
  <c r="K82" i="19"/>
  <c r="L82" i="19"/>
  <c r="M82" i="19"/>
  <c r="N82" i="19"/>
  <c r="O82" i="19"/>
  <c r="O75" i="23"/>
  <c r="AP42" i="27" l="1"/>
  <c r="M8" i="23" l="1"/>
  <c r="T39" i="23" l="1"/>
  <c r="AH70" i="22"/>
  <c r="AF70" i="22"/>
  <c r="AE70" i="22"/>
  <c r="AG70" i="22"/>
  <c r="G55" i="19" l="1"/>
  <c r="O28" i="19" l="1"/>
  <c r="N28" i="19"/>
  <c r="M28" i="19"/>
  <c r="L28" i="19"/>
  <c r="K28" i="19"/>
  <c r="J28" i="19"/>
  <c r="I28" i="19"/>
  <c r="H28" i="19"/>
  <c r="G28" i="19"/>
  <c r="F28" i="19"/>
  <c r="W59" i="23"/>
  <c r="X60" i="23"/>
  <c r="N75" i="23" l="1"/>
  <c r="Y59" i="19" l="1"/>
  <c r="G64" i="19" s="1"/>
  <c r="H64" i="19" s="1"/>
  <c r="I64" i="19" s="1"/>
  <c r="J64" i="19" s="1"/>
  <c r="K64" i="19" s="1"/>
  <c r="L64" i="19" s="1"/>
  <c r="M64" i="19" s="1"/>
  <c r="N64" i="19" s="1"/>
  <c r="O64" i="19" s="1"/>
  <c r="Z54" i="19"/>
  <c r="I59" i="19" s="1"/>
  <c r="J59" i="19" s="1"/>
  <c r="K59" i="19" s="1"/>
  <c r="L59" i="19" s="1"/>
  <c r="M59" i="19" s="1"/>
  <c r="N59" i="19" s="1"/>
  <c r="O59" i="19" s="1"/>
  <c r="O55" i="19"/>
  <c r="N55" i="19"/>
  <c r="M55" i="19"/>
  <c r="L55" i="19"/>
  <c r="K55" i="19"/>
  <c r="J55" i="19"/>
  <c r="I55" i="19"/>
  <c r="H55" i="19"/>
  <c r="F55" i="19"/>
  <c r="X61" i="19"/>
  <c r="X62" i="19"/>
  <c r="Y40" i="19" l="1"/>
  <c r="X40" i="19" s="1"/>
  <c r="G53" i="19" s="1"/>
  <c r="H53" i="19" s="1"/>
  <c r="I53" i="19" s="1"/>
  <c r="J53" i="19" s="1"/>
  <c r="K53" i="19" s="1"/>
  <c r="L53" i="19" s="1"/>
  <c r="M53" i="19" s="1"/>
  <c r="N53" i="19" s="1"/>
  <c r="O53" i="19" s="1"/>
  <c r="X39" i="19"/>
  <c r="AD10" i="22" l="1"/>
  <c r="Z40" i="22"/>
  <c r="Z10" i="22" l="1"/>
  <c r="Z41" i="22"/>
  <c r="W40" i="22"/>
  <c r="W10" i="22"/>
  <c r="W41" i="22"/>
  <c r="V41" i="22" l="1"/>
  <c r="V40" i="22"/>
  <c r="V10" i="22"/>
  <c r="U10" i="22"/>
  <c r="U40" i="22"/>
  <c r="U41" i="22"/>
  <c r="T41" i="22"/>
  <c r="T40" i="22"/>
  <c r="T10" i="22"/>
  <c r="S41" i="22"/>
  <c r="S40" i="22"/>
  <c r="S10" i="22"/>
  <c r="P10" i="22"/>
  <c r="P40" i="22"/>
  <c r="P41" i="22"/>
  <c r="O41" i="22"/>
  <c r="O40" i="22"/>
  <c r="D96" i="19" l="1"/>
  <c r="O22" i="19" l="1"/>
  <c r="N22" i="19"/>
  <c r="M22" i="19"/>
  <c r="L22" i="19"/>
  <c r="K22" i="19"/>
  <c r="J22" i="19"/>
  <c r="I22" i="19"/>
  <c r="H22" i="19"/>
  <c r="G22" i="19"/>
  <c r="F22" i="19"/>
  <c r="E22" i="19"/>
  <c r="N40" i="22"/>
  <c r="M42" i="22"/>
  <c r="L42" i="22"/>
  <c r="K42" i="22"/>
  <c r="J42" i="22"/>
  <c r="D42" i="22"/>
  <c r="C42" i="22"/>
  <c r="N41" i="22"/>
  <c r="M41" i="22"/>
  <c r="L41" i="22"/>
  <c r="I41" i="22"/>
  <c r="H41" i="22"/>
  <c r="G41" i="22"/>
  <c r="F41" i="22"/>
  <c r="E41" i="22"/>
  <c r="N42" i="22"/>
  <c r="M40" i="22"/>
  <c r="L40" i="22"/>
  <c r="I40" i="22"/>
  <c r="I42" i="22" s="1"/>
  <c r="H40" i="22"/>
  <c r="H42" i="22" s="1"/>
  <c r="G40" i="22"/>
  <c r="G42" i="22" s="1"/>
  <c r="F40" i="22"/>
  <c r="F42" i="22" s="1"/>
  <c r="E40" i="22"/>
  <c r="E42" i="22" s="1"/>
  <c r="N32" i="22"/>
  <c r="M32" i="22"/>
  <c r="K32" i="22"/>
  <c r="J32" i="22"/>
  <c r="I32" i="22"/>
  <c r="H32" i="22"/>
  <c r="G32" i="22"/>
  <c r="D32" i="22"/>
  <c r="C32" i="22"/>
  <c r="N10" i="22"/>
  <c r="L10" i="22"/>
  <c r="L32" i="22" s="1"/>
  <c r="F10" i="22"/>
  <c r="E10" i="22"/>
  <c r="E32" i="22" s="1"/>
  <c r="F8" i="22"/>
  <c r="F32" i="22" s="1"/>
  <c r="AG41" i="21"/>
  <c r="AF41" i="21"/>
  <c r="AE41" i="21"/>
  <c r="AD41" i="21"/>
  <c r="AG40" i="21"/>
  <c r="AG42" i="21" s="1"/>
  <c r="AF40" i="21"/>
  <c r="AF42" i="21" s="1"/>
  <c r="AE40" i="21"/>
  <c r="AE42" i="21" s="1"/>
  <c r="AD40" i="21"/>
  <c r="AD42" i="21" s="1"/>
  <c r="AD32" i="21"/>
  <c r="AG12" i="21"/>
  <c r="AG32" i="21" s="1"/>
  <c r="AF12" i="21"/>
  <c r="AF32" i="21" s="1"/>
  <c r="AE12" i="21"/>
  <c r="AE32" i="21" s="1"/>
  <c r="AD12" i="21"/>
  <c r="AG10" i="21"/>
  <c r="AF10" i="21"/>
  <c r="AD10" i="21"/>
  <c r="P22" i="19" l="1"/>
  <c r="C22" i="19"/>
  <c r="D169" i="4"/>
  <c r="C168" i="4"/>
  <c r="P28" i="23"/>
  <c r="AC40" i="21"/>
  <c r="AC41" i="21" l="1"/>
  <c r="Z40" i="21"/>
  <c r="Z10" i="21"/>
  <c r="Z51" i="21"/>
  <c r="Z41" i="21"/>
  <c r="Y41" i="21"/>
  <c r="Y10" i="21"/>
  <c r="Y51" i="21"/>
  <c r="Y40" i="21"/>
  <c r="X41" i="21"/>
  <c r="X10" i="21"/>
  <c r="X51" i="21"/>
  <c r="X40" i="21"/>
  <c r="W40" i="21"/>
  <c r="W51" i="21"/>
  <c r="W41" i="21"/>
  <c r="W10" i="21"/>
  <c r="V40" i="21"/>
  <c r="V41" i="21"/>
  <c r="V51" i="21"/>
  <c r="V10" i="21"/>
  <c r="S51" i="21"/>
  <c r="S41" i="21"/>
  <c r="S40" i="21"/>
  <c r="S10" i="21"/>
  <c r="R41" i="21"/>
  <c r="R40" i="21"/>
  <c r="R51" i="21"/>
  <c r="Q51" i="21"/>
  <c r="Q41" i="21"/>
  <c r="Q40" i="21"/>
  <c r="P41" i="21"/>
  <c r="P51" i="21"/>
  <c r="P40" i="21"/>
  <c r="P10" i="21"/>
  <c r="O41" i="21"/>
  <c r="O40" i="21"/>
  <c r="O51" i="21"/>
  <c r="L41" i="21"/>
  <c r="L40" i="21"/>
  <c r="B51" i="49" l="1"/>
  <c r="D51" i="49" s="1"/>
  <c r="AB50" i="49"/>
  <c r="X50" i="49"/>
  <c r="T50" i="49"/>
  <c r="P50" i="49"/>
  <c r="L50" i="49"/>
  <c r="H50" i="49"/>
  <c r="D50" i="49"/>
  <c r="AB49" i="49"/>
  <c r="X49" i="49"/>
  <c r="T49" i="49"/>
  <c r="P49" i="49"/>
  <c r="L49" i="49"/>
  <c r="H49" i="49"/>
  <c r="D49" i="49"/>
  <c r="AB48" i="49"/>
  <c r="X48" i="49"/>
  <c r="T48" i="49"/>
  <c r="P48" i="49"/>
  <c r="L48" i="49"/>
  <c r="H48" i="49"/>
  <c r="D48" i="49"/>
  <c r="AB47" i="49"/>
  <c r="X47" i="49"/>
  <c r="T47" i="49"/>
  <c r="P47" i="49"/>
  <c r="L47" i="49"/>
  <c r="H47" i="49"/>
  <c r="D47" i="49"/>
  <c r="AB46" i="49"/>
  <c r="X46" i="49"/>
  <c r="T46" i="49"/>
  <c r="P46" i="49"/>
  <c r="L46" i="49"/>
  <c r="H46" i="49"/>
  <c r="D46" i="49"/>
  <c r="B45" i="49"/>
  <c r="D45" i="49" s="1"/>
  <c r="Z44" i="49"/>
  <c r="V44" i="49"/>
  <c r="R44" i="49"/>
  <c r="J44" i="49"/>
  <c r="F44" i="49"/>
  <c r="B43" i="49"/>
  <c r="D43" i="49" s="1"/>
  <c r="B42" i="49"/>
  <c r="D42" i="49" s="1"/>
  <c r="B41" i="49"/>
  <c r="D41" i="49" s="1"/>
  <c r="Z40" i="49"/>
  <c r="AB40" i="49" s="1"/>
  <c r="B40" i="49"/>
  <c r="D40" i="49" s="1"/>
  <c r="Z39" i="49"/>
  <c r="AB39" i="49" s="1"/>
  <c r="B39" i="49"/>
  <c r="D39" i="49" s="1"/>
  <c r="Z38" i="49"/>
  <c r="AB38" i="49" s="1"/>
  <c r="B38" i="49"/>
  <c r="D38" i="49" s="1"/>
  <c r="Z37" i="49"/>
  <c r="AB37" i="49" s="1"/>
  <c r="B37" i="49"/>
  <c r="D37" i="49" s="1"/>
  <c r="Z36" i="49"/>
  <c r="AB36" i="49" s="1"/>
  <c r="B36" i="49"/>
  <c r="D36" i="49" s="1"/>
  <c r="AB34" i="49"/>
  <c r="X34" i="49"/>
  <c r="T34" i="49"/>
  <c r="P34" i="49"/>
  <c r="L34" i="49"/>
  <c r="H34" i="49"/>
  <c r="D34" i="49"/>
  <c r="B33" i="49"/>
  <c r="D33" i="49" s="1"/>
  <c r="B32" i="49"/>
  <c r="D32" i="49" s="1"/>
  <c r="B31" i="49"/>
  <c r="D31" i="49" s="1"/>
  <c r="B30" i="49"/>
  <c r="D30" i="49" s="1"/>
  <c r="Z29" i="49"/>
  <c r="AB29" i="49" s="1"/>
  <c r="B29" i="49"/>
  <c r="D29" i="49" s="1"/>
  <c r="Z28" i="49"/>
  <c r="AB28" i="49" s="1"/>
  <c r="B28" i="49"/>
  <c r="D28" i="49" s="1"/>
  <c r="Z27" i="49"/>
  <c r="AB27" i="49" s="1"/>
  <c r="B27" i="49"/>
  <c r="D27" i="49" s="1"/>
  <c r="Z26" i="49"/>
  <c r="AB26" i="49" s="1"/>
  <c r="B26" i="49"/>
  <c r="D26" i="49" s="1"/>
  <c r="Z25" i="49"/>
  <c r="AB25" i="49" s="1"/>
  <c r="B25" i="49"/>
  <c r="D25" i="49" s="1"/>
  <c r="Z24" i="49"/>
  <c r="AB24" i="49" s="1"/>
  <c r="B24" i="49"/>
  <c r="D24" i="49" s="1"/>
  <c r="Z23" i="49"/>
  <c r="AB23" i="49" s="1"/>
  <c r="B23" i="49"/>
  <c r="D23" i="49" s="1"/>
  <c r="Z22" i="49"/>
  <c r="AB22" i="49" s="1"/>
  <c r="B22" i="49"/>
  <c r="D22" i="49" s="1"/>
  <c r="Z21" i="49"/>
  <c r="AB21" i="49" s="1"/>
  <c r="B21" i="49"/>
  <c r="D21" i="49" s="1"/>
  <c r="Z20" i="49"/>
  <c r="AB20" i="49" s="1"/>
  <c r="B20" i="49"/>
  <c r="D20" i="49" s="1"/>
  <c r="Z19" i="49"/>
  <c r="AB19" i="49" s="1"/>
  <c r="B19" i="49"/>
  <c r="D19" i="49" s="1"/>
  <c r="Z18" i="49"/>
  <c r="AB18" i="49" s="1"/>
  <c r="B18" i="49"/>
  <c r="D18" i="49" s="1"/>
  <c r="Z17" i="49"/>
  <c r="AB17" i="49" s="1"/>
  <c r="B17" i="49"/>
  <c r="D17" i="49" s="1"/>
  <c r="Z16" i="49"/>
  <c r="AB16" i="49" s="1"/>
  <c r="B16" i="49"/>
  <c r="D16" i="49" s="1"/>
  <c r="Z15" i="49"/>
  <c r="AB15" i="49" s="1"/>
  <c r="B15" i="49"/>
  <c r="D15" i="49" s="1"/>
  <c r="Z14" i="49"/>
  <c r="AB14" i="49" s="1"/>
  <c r="B14" i="49"/>
  <c r="D14" i="49" s="1"/>
  <c r="Z13" i="49"/>
  <c r="AB13" i="49" s="1"/>
  <c r="B13" i="49"/>
  <c r="D13" i="49" s="1"/>
  <c r="Z12" i="49"/>
  <c r="AB12" i="49" s="1"/>
  <c r="B12" i="49"/>
  <c r="D12" i="49" s="1"/>
  <c r="B11" i="49"/>
  <c r="D11" i="49" s="1"/>
  <c r="B10" i="49"/>
  <c r="D10" i="49" s="1"/>
  <c r="B9" i="49"/>
  <c r="D9" i="49" s="1"/>
  <c r="Z8" i="49"/>
  <c r="V8" i="49"/>
  <c r="B7" i="49"/>
  <c r="D7" i="49" s="1"/>
  <c r="Z6" i="49"/>
  <c r="AB6" i="49" s="1"/>
  <c r="B6" i="49"/>
  <c r="D6" i="49" s="1"/>
  <c r="B5" i="49"/>
  <c r="D5" i="49" s="1"/>
  <c r="B64" i="49" l="1"/>
  <c r="B53" i="49"/>
  <c r="AC26" i="26"/>
  <c r="AD26" i="25"/>
  <c r="AH29" i="26"/>
  <c r="K41" i="21"/>
  <c r="D82" i="19"/>
  <c r="E82" i="19"/>
  <c r="F82" i="19"/>
  <c r="G82" i="19"/>
  <c r="H82" i="19"/>
  <c r="I82" i="19"/>
  <c r="T43" i="27"/>
  <c r="S49" i="27"/>
  <c r="R49" i="27"/>
  <c r="Q49" i="27"/>
  <c r="P49" i="27"/>
  <c r="O49" i="27"/>
  <c r="N49" i="27"/>
  <c r="S48" i="27"/>
  <c r="R48" i="27"/>
  <c r="Q48" i="27"/>
  <c r="P48" i="27"/>
  <c r="O48" i="27"/>
  <c r="N48" i="27"/>
  <c r="S47" i="27"/>
  <c r="R47" i="27"/>
  <c r="Q47" i="27"/>
  <c r="P47" i="27"/>
  <c r="O47" i="27"/>
  <c r="N47" i="27"/>
  <c r="S46" i="27"/>
  <c r="R46" i="27"/>
  <c r="Q46" i="27"/>
  <c r="P46" i="27"/>
  <c r="O46" i="27"/>
  <c r="N46" i="27"/>
  <c r="S45" i="27"/>
  <c r="R45" i="27"/>
  <c r="Q45" i="27"/>
  <c r="P45" i="27"/>
  <c r="O45" i="27"/>
  <c r="N45" i="27"/>
  <c r="S33" i="27"/>
  <c r="R33" i="27"/>
  <c r="Q33" i="27"/>
  <c r="P33" i="27"/>
  <c r="O33" i="27"/>
  <c r="N33" i="27"/>
  <c r="M49" i="27"/>
  <c r="M48" i="27"/>
  <c r="M47" i="27"/>
  <c r="M46" i="27"/>
  <c r="M45" i="27"/>
  <c r="M33" i="27"/>
  <c r="O42" i="48"/>
  <c r="N42" i="48"/>
  <c r="N51" i="48" s="1"/>
  <c r="M42" i="48"/>
  <c r="M51" i="48" s="1"/>
  <c r="L42" i="48"/>
  <c r="L51" i="48" s="1"/>
  <c r="K42" i="48"/>
  <c r="K51" i="48" s="1"/>
  <c r="J42" i="48"/>
  <c r="J51" i="48" s="1"/>
  <c r="K27" i="48"/>
  <c r="K26" i="48"/>
  <c r="O10" i="48"/>
  <c r="N10" i="48"/>
  <c r="M10" i="48"/>
  <c r="L10" i="48"/>
  <c r="K10" i="48"/>
  <c r="K32" i="48" s="1"/>
  <c r="J10" i="48"/>
  <c r="O8" i="48"/>
  <c r="N8" i="48"/>
  <c r="M8" i="48"/>
  <c r="L8" i="48"/>
  <c r="J8" i="48"/>
  <c r="J4" i="48"/>
  <c r="H29" i="51" l="1"/>
  <c r="V29" i="51" s="1"/>
  <c r="Z30" i="49"/>
  <c r="AB30" i="49" s="1"/>
  <c r="L32" i="48"/>
  <c r="L44" i="48" s="1"/>
  <c r="M32" i="48"/>
  <c r="M44" i="48" s="1"/>
  <c r="J32" i="48"/>
  <c r="J44" i="48" s="1"/>
  <c r="J50" i="48" s="1"/>
  <c r="K4" i="48" s="1"/>
  <c r="N32" i="48"/>
  <c r="N44" i="48" s="1"/>
  <c r="T33" i="27"/>
  <c r="T46" i="27"/>
  <c r="T48" i="27"/>
  <c r="B63" i="27"/>
  <c r="T45" i="27"/>
  <c r="T47" i="27"/>
  <c r="T49" i="27"/>
  <c r="O32" i="48"/>
  <c r="O44" i="48" s="1"/>
  <c r="O51" i="48"/>
  <c r="K44" i="48"/>
  <c r="K50" i="48" l="1"/>
  <c r="L4" i="48" s="1"/>
  <c r="L50" i="48" s="1"/>
  <c r="M4" i="48" s="1"/>
  <c r="M50" i="48" s="1"/>
  <c r="N4" i="48" s="1"/>
  <c r="N50" i="48" s="1"/>
  <c r="O4" i="48" s="1"/>
  <c r="O50" i="48" s="1"/>
  <c r="AN42" i="20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U92" i="31"/>
  <c r="O166" i="18"/>
  <c r="N166" i="18"/>
  <c r="M166" i="18"/>
  <c r="L166" i="18"/>
  <c r="K166" i="18"/>
  <c r="J166" i="18"/>
  <c r="I166" i="18"/>
  <c r="H166" i="18"/>
  <c r="G166" i="18"/>
  <c r="F166" i="18"/>
  <c r="E166" i="18"/>
  <c r="D166" i="18"/>
  <c r="C166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O160" i="18"/>
  <c r="N160" i="18"/>
  <c r="M160" i="18"/>
  <c r="L160" i="18"/>
  <c r="K160" i="18"/>
  <c r="J160" i="18"/>
  <c r="I160" i="18"/>
  <c r="H160" i="18"/>
  <c r="G160" i="18"/>
  <c r="F160" i="18"/>
  <c r="E160" i="18"/>
  <c r="D160" i="18"/>
  <c r="C160" i="18"/>
  <c r="O159" i="18"/>
  <c r="N159" i="18"/>
  <c r="M159" i="18"/>
  <c r="L159" i="18"/>
  <c r="K159" i="18"/>
  <c r="J159" i="18"/>
  <c r="I159" i="18"/>
  <c r="H159" i="18"/>
  <c r="G159" i="18"/>
  <c r="F159" i="18"/>
  <c r="E159" i="18"/>
  <c r="D159" i="18"/>
  <c r="C159" i="18"/>
  <c r="O158" i="18"/>
  <c r="N158" i="18"/>
  <c r="M158" i="18"/>
  <c r="L158" i="18"/>
  <c r="K158" i="18"/>
  <c r="J158" i="18"/>
  <c r="I158" i="18"/>
  <c r="H158" i="18"/>
  <c r="G158" i="18"/>
  <c r="F158" i="18"/>
  <c r="E158" i="18"/>
  <c r="D158" i="18"/>
  <c r="C158" i="18"/>
  <c r="O157" i="18"/>
  <c r="N157" i="18"/>
  <c r="M157" i="18"/>
  <c r="L157" i="18"/>
  <c r="K157" i="18"/>
  <c r="J157" i="18"/>
  <c r="I157" i="18"/>
  <c r="H157" i="18"/>
  <c r="G157" i="18"/>
  <c r="F157" i="18"/>
  <c r="E157" i="18"/>
  <c r="D157" i="18"/>
  <c r="C157" i="18"/>
  <c r="O156" i="18"/>
  <c r="N156" i="18"/>
  <c r="M156" i="18"/>
  <c r="L156" i="18"/>
  <c r="K156" i="18"/>
  <c r="J156" i="18"/>
  <c r="I156" i="18"/>
  <c r="H156" i="18"/>
  <c r="G156" i="18"/>
  <c r="F156" i="18"/>
  <c r="E156" i="18"/>
  <c r="D156" i="18"/>
  <c r="C156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C147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C146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C145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O136" i="18"/>
  <c r="N136" i="18"/>
  <c r="M136" i="18"/>
  <c r="L136" i="18"/>
  <c r="K136" i="18"/>
  <c r="J136" i="18"/>
  <c r="I136" i="18"/>
  <c r="H136" i="18"/>
  <c r="G136" i="18"/>
  <c r="F136" i="18"/>
  <c r="E136" i="18"/>
  <c r="D136" i="18"/>
  <c r="C136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O81" i="18"/>
  <c r="N81" i="18"/>
  <c r="M81" i="18"/>
  <c r="L81" i="18"/>
  <c r="K81" i="18"/>
  <c r="J81" i="18"/>
  <c r="I81" i="18"/>
  <c r="H81" i="18"/>
  <c r="G81" i="18"/>
  <c r="F81" i="18"/>
  <c r="E81" i="18"/>
  <c r="D81" i="18"/>
  <c r="C81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O158" i="17"/>
  <c r="N158" i="17"/>
  <c r="M158" i="17"/>
  <c r="L158" i="17"/>
  <c r="K158" i="17"/>
  <c r="J158" i="17"/>
  <c r="I158" i="17"/>
  <c r="H158" i="17"/>
  <c r="G158" i="17"/>
  <c r="F158" i="17"/>
  <c r="E158" i="17"/>
  <c r="D158" i="17"/>
  <c r="C158" i="17"/>
  <c r="O157" i="17"/>
  <c r="N157" i="17"/>
  <c r="M157" i="17"/>
  <c r="L157" i="17"/>
  <c r="K157" i="17"/>
  <c r="J157" i="17"/>
  <c r="I157" i="17"/>
  <c r="H157" i="17"/>
  <c r="G157" i="17"/>
  <c r="F157" i="17"/>
  <c r="E157" i="17"/>
  <c r="D157" i="17"/>
  <c r="C157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O146" i="17"/>
  <c r="N146" i="17"/>
  <c r="M146" i="17"/>
  <c r="L146" i="17"/>
  <c r="K146" i="17"/>
  <c r="J146" i="17"/>
  <c r="I146" i="17"/>
  <c r="H146" i="17"/>
  <c r="G146" i="17"/>
  <c r="F146" i="17"/>
  <c r="E146" i="17"/>
  <c r="D146" i="17"/>
  <c r="C146" i="17"/>
  <c r="O145" i="17"/>
  <c r="N145" i="17"/>
  <c r="M145" i="17"/>
  <c r="L145" i="17"/>
  <c r="K145" i="17"/>
  <c r="J145" i="17"/>
  <c r="I145" i="17"/>
  <c r="H145" i="17"/>
  <c r="G145" i="17"/>
  <c r="F145" i="17"/>
  <c r="E145" i="17"/>
  <c r="D145" i="17"/>
  <c r="C145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O134" i="17"/>
  <c r="N134" i="17"/>
  <c r="M134" i="17"/>
  <c r="L134" i="17"/>
  <c r="K134" i="17"/>
  <c r="J134" i="17"/>
  <c r="I134" i="17"/>
  <c r="H134" i="17"/>
  <c r="G134" i="17"/>
  <c r="F134" i="17"/>
  <c r="E134" i="17"/>
  <c r="D134" i="17"/>
  <c r="C134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C125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C165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C164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O162" i="14"/>
  <c r="N162" i="14"/>
  <c r="M162" i="14"/>
  <c r="L162" i="14"/>
  <c r="K162" i="14"/>
  <c r="J162" i="14"/>
  <c r="I162" i="14"/>
  <c r="H162" i="14"/>
  <c r="G162" i="14"/>
  <c r="F162" i="14"/>
  <c r="E162" i="14"/>
  <c r="D162" i="14"/>
  <c r="C162" i="14"/>
  <c r="O161" i="14"/>
  <c r="N161" i="14"/>
  <c r="M161" i="14"/>
  <c r="L161" i="14"/>
  <c r="K161" i="14"/>
  <c r="J161" i="14"/>
  <c r="I161" i="14"/>
  <c r="H161" i="14"/>
  <c r="G161" i="14"/>
  <c r="F161" i="14"/>
  <c r="E161" i="14"/>
  <c r="D161" i="14"/>
  <c r="C161" i="14"/>
  <c r="O160" i="14"/>
  <c r="N160" i="14"/>
  <c r="M160" i="14"/>
  <c r="L160" i="14"/>
  <c r="K160" i="14"/>
  <c r="J160" i="14"/>
  <c r="I160" i="14"/>
  <c r="H160" i="14"/>
  <c r="G160" i="14"/>
  <c r="F160" i="14"/>
  <c r="E160" i="14"/>
  <c r="D160" i="14"/>
  <c r="C160" i="14"/>
  <c r="O159" i="14"/>
  <c r="N159" i="14"/>
  <c r="M159" i="14"/>
  <c r="L159" i="14"/>
  <c r="K159" i="14"/>
  <c r="J159" i="14"/>
  <c r="I159" i="14"/>
  <c r="H159" i="14"/>
  <c r="G159" i="14"/>
  <c r="F159" i="14"/>
  <c r="E159" i="14"/>
  <c r="D159" i="14"/>
  <c r="C159" i="14"/>
  <c r="O158" i="14"/>
  <c r="N158" i="14"/>
  <c r="M158" i="14"/>
  <c r="L158" i="14"/>
  <c r="K158" i="14"/>
  <c r="J158" i="14"/>
  <c r="I158" i="14"/>
  <c r="H158" i="14"/>
  <c r="G158" i="14"/>
  <c r="F158" i="14"/>
  <c r="E158" i="14"/>
  <c r="D158" i="14"/>
  <c r="C158" i="14"/>
  <c r="O157" i="14"/>
  <c r="N157" i="14"/>
  <c r="M157" i="14"/>
  <c r="L157" i="14"/>
  <c r="K157" i="14"/>
  <c r="J157" i="14"/>
  <c r="I157" i="14"/>
  <c r="H157" i="14"/>
  <c r="G157" i="14"/>
  <c r="F157" i="14"/>
  <c r="E157" i="14"/>
  <c r="D157" i="14"/>
  <c r="C157" i="14"/>
  <c r="O156" i="14"/>
  <c r="N156" i="14"/>
  <c r="M156" i="14"/>
  <c r="L156" i="14"/>
  <c r="K156" i="14"/>
  <c r="J156" i="14"/>
  <c r="I156" i="14"/>
  <c r="H156" i="14"/>
  <c r="G156" i="14"/>
  <c r="F156" i="14"/>
  <c r="E156" i="14"/>
  <c r="D156" i="14"/>
  <c r="C156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O147" i="14"/>
  <c r="N147" i="14"/>
  <c r="M147" i="14"/>
  <c r="L147" i="14"/>
  <c r="K147" i="14"/>
  <c r="J147" i="14"/>
  <c r="I147" i="14"/>
  <c r="H147" i="14"/>
  <c r="G147" i="14"/>
  <c r="F147" i="14"/>
  <c r="E147" i="14"/>
  <c r="D147" i="14"/>
  <c r="C147" i="14"/>
  <c r="O146" i="14"/>
  <c r="N146" i="14"/>
  <c r="M146" i="14"/>
  <c r="L146" i="14"/>
  <c r="K146" i="14"/>
  <c r="J146" i="14"/>
  <c r="I146" i="14"/>
  <c r="H146" i="14"/>
  <c r="G146" i="14"/>
  <c r="F146" i="14"/>
  <c r="E146" i="14"/>
  <c r="D146" i="14"/>
  <c r="C146" i="14"/>
  <c r="O145" i="14"/>
  <c r="N145" i="14"/>
  <c r="M145" i="14"/>
  <c r="L145" i="14"/>
  <c r="K145" i="14"/>
  <c r="J145" i="14"/>
  <c r="I145" i="14"/>
  <c r="H145" i="14"/>
  <c r="G145" i="14"/>
  <c r="F145" i="14"/>
  <c r="E145" i="14"/>
  <c r="D145" i="14"/>
  <c r="C145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O137" i="14"/>
  <c r="O36" i="19" s="1"/>
  <c r="N137" i="14"/>
  <c r="N36" i="19" s="1"/>
  <c r="M137" i="14"/>
  <c r="M36" i="19" s="1"/>
  <c r="L137" i="14"/>
  <c r="L36" i="19" s="1"/>
  <c r="K137" i="14"/>
  <c r="K36" i="19" s="1"/>
  <c r="J137" i="14"/>
  <c r="J36" i="19" s="1"/>
  <c r="I137" i="14"/>
  <c r="I36" i="19" s="1"/>
  <c r="H137" i="14"/>
  <c r="H36" i="19" s="1"/>
  <c r="G137" i="14"/>
  <c r="G36" i="19" s="1"/>
  <c r="F137" i="14"/>
  <c r="F36" i="19" s="1"/>
  <c r="E137" i="14"/>
  <c r="D137" i="14"/>
  <c r="C137" i="14"/>
  <c r="O136" i="14"/>
  <c r="N136" i="14"/>
  <c r="M136" i="14"/>
  <c r="L136" i="14"/>
  <c r="K136" i="14"/>
  <c r="J136" i="14"/>
  <c r="I136" i="14"/>
  <c r="H136" i="14"/>
  <c r="G136" i="14"/>
  <c r="F136" i="14"/>
  <c r="E136" i="14"/>
  <c r="D136" i="14"/>
  <c r="C136" i="14"/>
  <c r="O135" i="14"/>
  <c r="N135" i="14"/>
  <c r="M135" i="14"/>
  <c r="L135" i="14"/>
  <c r="K135" i="14"/>
  <c r="J135" i="14"/>
  <c r="I135" i="14"/>
  <c r="H135" i="14"/>
  <c r="G135" i="14"/>
  <c r="F135" i="14"/>
  <c r="E135" i="14"/>
  <c r="D135" i="14"/>
  <c r="C135" i="14"/>
  <c r="O134" i="14"/>
  <c r="N134" i="14"/>
  <c r="M134" i="14"/>
  <c r="L134" i="14"/>
  <c r="K134" i="14"/>
  <c r="J134" i="14"/>
  <c r="I134" i="14"/>
  <c r="H134" i="14"/>
  <c r="G134" i="14"/>
  <c r="F134" i="14"/>
  <c r="E134" i="14"/>
  <c r="D134" i="14"/>
  <c r="C134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O125" i="14"/>
  <c r="N125" i="14"/>
  <c r="M125" i="14"/>
  <c r="L125" i="14"/>
  <c r="K125" i="14"/>
  <c r="J125" i="14"/>
  <c r="I125" i="14"/>
  <c r="H125" i="14"/>
  <c r="G125" i="14"/>
  <c r="F125" i="14"/>
  <c r="E125" i="14"/>
  <c r="D125" i="14"/>
  <c r="C125" i="14"/>
  <c r="O124" i="14"/>
  <c r="N124" i="14"/>
  <c r="M124" i="14"/>
  <c r="L124" i="14"/>
  <c r="K124" i="14"/>
  <c r="J124" i="14"/>
  <c r="I124" i="14"/>
  <c r="H124" i="14"/>
  <c r="G124" i="14"/>
  <c r="F124" i="14"/>
  <c r="E124" i="14"/>
  <c r="D124" i="14"/>
  <c r="C124" i="14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C123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C114" i="14"/>
  <c r="O113" i="14"/>
  <c r="N113" i="14"/>
  <c r="M113" i="14"/>
  <c r="L113" i="14"/>
  <c r="K113" i="14"/>
  <c r="J113" i="14"/>
  <c r="I113" i="14"/>
  <c r="H113" i="14"/>
  <c r="G113" i="14"/>
  <c r="F113" i="14"/>
  <c r="E113" i="14"/>
  <c r="D113" i="14"/>
  <c r="C113" i="14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C112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O103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O102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O162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O161" i="13"/>
  <c r="N161" i="13"/>
  <c r="M161" i="13"/>
  <c r="L161" i="13"/>
  <c r="K161" i="13"/>
  <c r="J161" i="13"/>
  <c r="I161" i="13"/>
  <c r="H161" i="13"/>
  <c r="G161" i="13"/>
  <c r="F161" i="13"/>
  <c r="E161" i="13"/>
  <c r="D161" i="13"/>
  <c r="C161" i="13"/>
  <c r="O160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O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O154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O153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O151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O149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O146" i="13"/>
  <c r="N146" i="13"/>
  <c r="M146" i="13"/>
  <c r="L146" i="13"/>
  <c r="K146" i="13"/>
  <c r="J146" i="13"/>
  <c r="I146" i="13"/>
  <c r="H146" i="13"/>
  <c r="G146" i="13"/>
  <c r="F146" i="13"/>
  <c r="E146" i="13"/>
  <c r="D146" i="13"/>
  <c r="C146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O134" i="13"/>
  <c r="N134" i="13"/>
  <c r="M134" i="13"/>
  <c r="L134" i="13"/>
  <c r="K134" i="13"/>
  <c r="J134" i="13"/>
  <c r="I134" i="13"/>
  <c r="H134" i="13"/>
  <c r="G134" i="13"/>
  <c r="F134" i="13"/>
  <c r="E134" i="13"/>
  <c r="D134" i="13"/>
  <c r="C134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123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O166" i="12"/>
  <c r="N166" i="12"/>
  <c r="M166" i="12"/>
  <c r="L166" i="12"/>
  <c r="K166" i="12"/>
  <c r="J166" i="12"/>
  <c r="I166" i="12"/>
  <c r="H166" i="12"/>
  <c r="G166" i="12"/>
  <c r="F166" i="12"/>
  <c r="E166" i="12"/>
  <c r="D166" i="12"/>
  <c r="C166" i="12"/>
  <c r="O165" i="12"/>
  <c r="N165" i="12"/>
  <c r="M165" i="12"/>
  <c r="L165" i="12"/>
  <c r="K165" i="12"/>
  <c r="J165" i="12"/>
  <c r="I165" i="12"/>
  <c r="H165" i="12"/>
  <c r="G165" i="12"/>
  <c r="F165" i="12"/>
  <c r="E165" i="12"/>
  <c r="D165" i="12"/>
  <c r="C165" i="12"/>
  <c r="O164" i="12"/>
  <c r="N164" i="12"/>
  <c r="M164" i="12"/>
  <c r="L164" i="12"/>
  <c r="K164" i="12"/>
  <c r="J164" i="12"/>
  <c r="I164" i="12"/>
  <c r="H164" i="12"/>
  <c r="G164" i="12"/>
  <c r="F164" i="12"/>
  <c r="E164" i="12"/>
  <c r="D164" i="12"/>
  <c r="C164" i="12"/>
  <c r="O163" i="12"/>
  <c r="N163" i="12"/>
  <c r="M163" i="12"/>
  <c r="L163" i="12"/>
  <c r="K163" i="12"/>
  <c r="J163" i="12"/>
  <c r="I163" i="12"/>
  <c r="H163" i="12"/>
  <c r="G163" i="12"/>
  <c r="F163" i="12"/>
  <c r="E163" i="12"/>
  <c r="D163" i="12"/>
  <c r="C163" i="12"/>
  <c r="O162" i="12"/>
  <c r="N162" i="12"/>
  <c r="M162" i="12"/>
  <c r="L162" i="12"/>
  <c r="K162" i="12"/>
  <c r="J162" i="12"/>
  <c r="I162" i="12"/>
  <c r="H162" i="12"/>
  <c r="G162" i="12"/>
  <c r="F162" i="12"/>
  <c r="E162" i="12"/>
  <c r="D162" i="12"/>
  <c r="C162" i="12"/>
  <c r="O161" i="12"/>
  <c r="N161" i="12"/>
  <c r="M161" i="12"/>
  <c r="L161" i="12"/>
  <c r="K161" i="12"/>
  <c r="J161" i="12"/>
  <c r="I161" i="12"/>
  <c r="H161" i="12"/>
  <c r="G161" i="12"/>
  <c r="F161" i="12"/>
  <c r="E161" i="12"/>
  <c r="D161" i="12"/>
  <c r="C161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C160" i="12"/>
  <c r="O159" i="12"/>
  <c r="N159" i="12"/>
  <c r="M159" i="12"/>
  <c r="L159" i="12"/>
  <c r="K159" i="12"/>
  <c r="J159" i="12"/>
  <c r="I159" i="12"/>
  <c r="H159" i="12"/>
  <c r="G159" i="12"/>
  <c r="F159" i="12"/>
  <c r="E159" i="12"/>
  <c r="D159" i="12"/>
  <c r="C159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O157" i="12"/>
  <c r="N157" i="12"/>
  <c r="M157" i="12"/>
  <c r="L157" i="12"/>
  <c r="K157" i="12"/>
  <c r="J157" i="12"/>
  <c r="I157" i="12"/>
  <c r="H157" i="12"/>
  <c r="G157" i="12"/>
  <c r="F157" i="12"/>
  <c r="E157" i="12"/>
  <c r="D157" i="12"/>
  <c r="C157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C156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C146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O136" i="12"/>
  <c r="N136" i="12"/>
  <c r="M136" i="12"/>
  <c r="L136" i="12"/>
  <c r="K136" i="12"/>
  <c r="J136" i="12"/>
  <c r="I136" i="12"/>
  <c r="H136" i="12"/>
  <c r="G136" i="12"/>
  <c r="F136" i="12"/>
  <c r="E136" i="12"/>
  <c r="D136" i="12"/>
  <c r="C136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C135" i="12"/>
  <c r="O134" i="12"/>
  <c r="N134" i="12"/>
  <c r="M134" i="12"/>
  <c r="L134" i="12"/>
  <c r="K134" i="12"/>
  <c r="J134" i="12"/>
  <c r="I134" i="12"/>
  <c r="H134" i="12"/>
  <c r="G134" i="12"/>
  <c r="F134" i="12"/>
  <c r="E134" i="12"/>
  <c r="D134" i="12"/>
  <c r="C134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O166" i="9"/>
  <c r="M166" i="9"/>
  <c r="L166" i="9"/>
  <c r="K166" i="9"/>
  <c r="J166" i="9"/>
  <c r="I166" i="9"/>
  <c r="H166" i="9"/>
  <c r="G166" i="9"/>
  <c r="F166" i="9"/>
  <c r="E166" i="9"/>
  <c r="D166" i="9"/>
  <c r="C166" i="9"/>
  <c r="O165" i="9"/>
  <c r="M165" i="9"/>
  <c r="L165" i="9"/>
  <c r="K165" i="9"/>
  <c r="J165" i="9"/>
  <c r="I165" i="9"/>
  <c r="H165" i="9"/>
  <c r="G165" i="9"/>
  <c r="F165" i="9"/>
  <c r="E165" i="9"/>
  <c r="D165" i="9"/>
  <c r="C165" i="9"/>
  <c r="O164" i="9"/>
  <c r="M164" i="9"/>
  <c r="L164" i="9"/>
  <c r="K164" i="9"/>
  <c r="J164" i="9"/>
  <c r="I164" i="9"/>
  <c r="H164" i="9"/>
  <c r="G164" i="9"/>
  <c r="F164" i="9"/>
  <c r="E164" i="9"/>
  <c r="D164" i="9"/>
  <c r="C164" i="9"/>
  <c r="O163" i="9"/>
  <c r="M163" i="9"/>
  <c r="L163" i="9"/>
  <c r="K163" i="9"/>
  <c r="J163" i="9"/>
  <c r="I163" i="9"/>
  <c r="H163" i="9"/>
  <c r="G163" i="9"/>
  <c r="F163" i="9"/>
  <c r="E163" i="9"/>
  <c r="D163" i="9"/>
  <c r="C163" i="9"/>
  <c r="O162" i="9"/>
  <c r="M162" i="9"/>
  <c r="L162" i="9"/>
  <c r="K162" i="9"/>
  <c r="J162" i="9"/>
  <c r="I162" i="9"/>
  <c r="H162" i="9"/>
  <c r="G162" i="9"/>
  <c r="F162" i="9"/>
  <c r="E162" i="9"/>
  <c r="D162" i="9"/>
  <c r="C162" i="9"/>
  <c r="O161" i="9"/>
  <c r="M161" i="9"/>
  <c r="L161" i="9"/>
  <c r="K161" i="9"/>
  <c r="J161" i="9"/>
  <c r="I161" i="9"/>
  <c r="H161" i="9"/>
  <c r="G161" i="9"/>
  <c r="F161" i="9"/>
  <c r="E161" i="9"/>
  <c r="D161" i="9"/>
  <c r="C161" i="9"/>
  <c r="O160" i="9"/>
  <c r="M160" i="9"/>
  <c r="L160" i="9"/>
  <c r="K160" i="9"/>
  <c r="J160" i="9"/>
  <c r="I160" i="9"/>
  <c r="H160" i="9"/>
  <c r="G160" i="9"/>
  <c r="F160" i="9"/>
  <c r="E160" i="9"/>
  <c r="D160" i="9"/>
  <c r="C160" i="9"/>
  <c r="O159" i="9"/>
  <c r="M159" i="9"/>
  <c r="L159" i="9"/>
  <c r="K159" i="9"/>
  <c r="J159" i="9"/>
  <c r="I159" i="9"/>
  <c r="H159" i="9"/>
  <c r="G159" i="9"/>
  <c r="F159" i="9"/>
  <c r="E159" i="9"/>
  <c r="D159" i="9"/>
  <c r="C159" i="9"/>
  <c r="O158" i="9"/>
  <c r="M158" i="9"/>
  <c r="L158" i="9"/>
  <c r="L172" i="9" s="1"/>
  <c r="K158" i="9"/>
  <c r="K172" i="9" s="1"/>
  <c r="J158" i="9"/>
  <c r="J172" i="9" s="1"/>
  <c r="I158" i="9"/>
  <c r="I172" i="9" s="1"/>
  <c r="H158" i="9"/>
  <c r="H172" i="9" s="1"/>
  <c r="G158" i="9"/>
  <c r="G172" i="9" s="1"/>
  <c r="F158" i="9"/>
  <c r="F172" i="9" s="1"/>
  <c r="E158" i="9"/>
  <c r="D158" i="9"/>
  <c r="C158" i="9"/>
  <c r="O157" i="9"/>
  <c r="M157" i="9"/>
  <c r="L157" i="9"/>
  <c r="K157" i="9"/>
  <c r="J157" i="9"/>
  <c r="I157" i="9"/>
  <c r="H157" i="9"/>
  <c r="G157" i="9"/>
  <c r="F157" i="9"/>
  <c r="E157" i="9"/>
  <c r="D157" i="9"/>
  <c r="C157" i="9"/>
  <c r="O156" i="9"/>
  <c r="M156" i="9"/>
  <c r="L156" i="9"/>
  <c r="K156" i="9"/>
  <c r="J156" i="9"/>
  <c r="I156" i="9"/>
  <c r="H156" i="9"/>
  <c r="G156" i="9"/>
  <c r="F156" i="9"/>
  <c r="E156" i="9"/>
  <c r="D156" i="9"/>
  <c r="C156" i="9"/>
  <c r="O155" i="9"/>
  <c r="M155" i="9"/>
  <c r="L155" i="9"/>
  <c r="K155" i="9"/>
  <c r="J155" i="9"/>
  <c r="I155" i="9"/>
  <c r="H155" i="9"/>
  <c r="G155" i="9"/>
  <c r="F155" i="9"/>
  <c r="E155" i="9"/>
  <c r="D155" i="9"/>
  <c r="C155" i="9"/>
  <c r="O154" i="9"/>
  <c r="M154" i="9"/>
  <c r="L154" i="9"/>
  <c r="K154" i="9"/>
  <c r="J154" i="9"/>
  <c r="I154" i="9"/>
  <c r="H154" i="9"/>
  <c r="G154" i="9"/>
  <c r="F154" i="9"/>
  <c r="E154" i="9"/>
  <c r="D154" i="9"/>
  <c r="C154" i="9"/>
  <c r="O153" i="9"/>
  <c r="M153" i="9"/>
  <c r="L153" i="9"/>
  <c r="L31" i="19" s="1"/>
  <c r="K153" i="9"/>
  <c r="K31" i="19" s="1"/>
  <c r="J153" i="9"/>
  <c r="J31" i="19" s="1"/>
  <c r="I153" i="9"/>
  <c r="I31" i="19" s="1"/>
  <c r="H153" i="9"/>
  <c r="H31" i="19" s="1"/>
  <c r="G153" i="9"/>
  <c r="G31" i="19" s="1"/>
  <c r="F153" i="9"/>
  <c r="F31" i="19" s="1"/>
  <c r="E153" i="9"/>
  <c r="D153" i="9"/>
  <c r="C153" i="9"/>
  <c r="O152" i="9"/>
  <c r="M152" i="9"/>
  <c r="L152" i="9"/>
  <c r="K152" i="9"/>
  <c r="J152" i="9"/>
  <c r="I152" i="9"/>
  <c r="H152" i="9"/>
  <c r="G152" i="9"/>
  <c r="F152" i="9"/>
  <c r="E152" i="9"/>
  <c r="D152" i="9"/>
  <c r="C152" i="9"/>
  <c r="O151" i="9"/>
  <c r="M151" i="9"/>
  <c r="L151" i="9"/>
  <c r="K151" i="9"/>
  <c r="J151" i="9"/>
  <c r="I151" i="9"/>
  <c r="H151" i="9"/>
  <c r="G151" i="9"/>
  <c r="F151" i="9"/>
  <c r="E151" i="9"/>
  <c r="D151" i="9"/>
  <c r="C151" i="9"/>
  <c r="O150" i="9"/>
  <c r="M150" i="9"/>
  <c r="L150" i="9"/>
  <c r="K150" i="9"/>
  <c r="J150" i="9"/>
  <c r="I150" i="9"/>
  <c r="H150" i="9"/>
  <c r="G150" i="9"/>
  <c r="F150" i="9"/>
  <c r="E150" i="9"/>
  <c r="D150" i="9"/>
  <c r="C150" i="9"/>
  <c r="O149" i="9"/>
  <c r="M149" i="9"/>
  <c r="L149" i="9"/>
  <c r="K149" i="9"/>
  <c r="J149" i="9"/>
  <c r="I149" i="9"/>
  <c r="H149" i="9"/>
  <c r="G149" i="9"/>
  <c r="F149" i="9"/>
  <c r="E149" i="9"/>
  <c r="D149" i="9"/>
  <c r="C149" i="9"/>
  <c r="O148" i="9"/>
  <c r="M148" i="9"/>
  <c r="L148" i="9"/>
  <c r="K148" i="9"/>
  <c r="J148" i="9"/>
  <c r="I148" i="9"/>
  <c r="H148" i="9"/>
  <c r="G148" i="9"/>
  <c r="F148" i="9"/>
  <c r="E148" i="9"/>
  <c r="D148" i="9"/>
  <c r="C148" i="9"/>
  <c r="O147" i="9"/>
  <c r="M147" i="9"/>
  <c r="L147" i="9"/>
  <c r="K147" i="9"/>
  <c r="J147" i="9"/>
  <c r="I147" i="9"/>
  <c r="H147" i="9"/>
  <c r="G147" i="9"/>
  <c r="F147" i="9"/>
  <c r="E147" i="9"/>
  <c r="D147" i="9"/>
  <c r="C147" i="9"/>
  <c r="O146" i="9"/>
  <c r="M146" i="9"/>
  <c r="L146" i="9"/>
  <c r="K146" i="9"/>
  <c r="J146" i="9"/>
  <c r="I146" i="9"/>
  <c r="H146" i="9"/>
  <c r="G146" i="9"/>
  <c r="F146" i="9"/>
  <c r="E146" i="9"/>
  <c r="D146" i="9"/>
  <c r="C146" i="9"/>
  <c r="O145" i="9"/>
  <c r="M145" i="9"/>
  <c r="L145" i="9"/>
  <c r="K145" i="9"/>
  <c r="J145" i="9"/>
  <c r="I145" i="9"/>
  <c r="H145" i="9"/>
  <c r="G145" i="9"/>
  <c r="F145" i="9"/>
  <c r="E145" i="9"/>
  <c r="D145" i="9"/>
  <c r="C145" i="9"/>
  <c r="O144" i="9"/>
  <c r="M144" i="9"/>
  <c r="L144" i="9"/>
  <c r="K144" i="9"/>
  <c r="J144" i="9"/>
  <c r="I144" i="9"/>
  <c r="H144" i="9"/>
  <c r="G144" i="9"/>
  <c r="F144" i="9"/>
  <c r="E144" i="9"/>
  <c r="D144" i="9"/>
  <c r="C144" i="9"/>
  <c r="O143" i="9"/>
  <c r="M143" i="9"/>
  <c r="L143" i="9"/>
  <c r="K143" i="9"/>
  <c r="J143" i="9"/>
  <c r="I143" i="9"/>
  <c r="H143" i="9"/>
  <c r="G143" i="9"/>
  <c r="F143" i="9"/>
  <c r="E143" i="9"/>
  <c r="D143" i="9"/>
  <c r="C143" i="9"/>
  <c r="O142" i="9"/>
  <c r="M142" i="9"/>
  <c r="L142" i="9"/>
  <c r="K142" i="9"/>
  <c r="J142" i="9"/>
  <c r="I142" i="9"/>
  <c r="H142" i="9"/>
  <c r="G142" i="9"/>
  <c r="F142" i="9"/>
  <c r="E142" i="9"/>
  <c r="D142" i="9"/>
  <c r="C142" i="9"/>
  <c r="O141" i="9"/>
  <c r="M141" i="9"/>
  <c r="L141" i="9"/>
  <c r="K141" i="9"/>
  <c r="J141" i="9"/>
  <c r="I141" i="9"/>
  <c r="H141" i="9"/>
  <c r="G141" i="9"/>
  <c r="F141" i="9"/>
  <c r="E141" i="9"/>
  <c r="D141" i="9"/>
  <c r="C141" i="9"/>
  <c r="O140" i="9"/>
  <c r="M140" i="9"/>
  <c r="L140" i="9"/>
  <c r="K140" i="9"/>
  <c r="J140" i="9"/>
  <c r="I140" i="9"/>
  <c r="H140" i="9"/>
  <c r="G140" i="9"/>
  <c r="F140" i="9"/>
  <c r="E140" i="9"/>
  <c r="D140" i="9"/>
  <c r="C140" i="9"/>
  <c r="O139" i="9"/>
  <c r="M139" i="9"/>
  <c r="L139" i="9"/>
  <c r="K139" i="9"/>
  <c r="J139" i="9"/>
  <c r="I139" i="9"/>
  <c r="H139" i="9"/>
  <c r="G139" i="9"/>
  <c r="F139" i="9"/>
  <c r="E139" i="9"/>
  <c r="D139" i="9"/>
  <c r="C139" i="9"/>
  <c r="O138" i="9"/>
  <c r="M138" i="9"/>
  <c r="L138" i="9"/>
  <c r="K138" i="9"/>
  <c r="J138" i="9"/>
  <c r="I138" i="9"/>
  <c r="H138" i="9"/>
  <c r="G138" i="9"/>
  <c r="F138" i="9"/>
  <c r="E138" i="9"/>
  <c r="D138" i="9"/>
  <c r="C138" i="9"/>
  <c r="O137" i="9"/>
  <c r="M137" i="9"/>
  <c r="L137" i="9"/>
  <c r="K137" i="9"/>
  <c r="J137" i="9"/>
  <c r="I137" i="9"/>
  <c r="H137" i="9"/>
  <c r="G137" i="9"/>
  <c r="F137" i="9"/>
  <c r="E137" i="9"/>
  <c r="D137" i="9"/>
  <c r="C137" i="9"/>
  <c r="O136" i="9"/>
  <c r="M136" i="9"/>
  <c r="L136" i="9"/>
  <c r="K136" i="9"/>
  <c r="J136" i="9"/>
  <c r="I136" i="9"/>
  <c r="H136" i="9"/>
  <c r="G136" i="9"/>
  <c r="F136" i="9"/>
  <c r="E136" i="9"/>
  <c r="D136" i="9"/>
  <c r="C136" i="9"/>
  <c r="O135" i="9"/>
  <c r="M135" i="9"/>
  <c r="L135" i="9"/>
  <c r="K135" i="9"/>
  <c r="J135" i="9"/>
  <c r="I135" i="9"/>
  <c r="H135" i="9"/>
  <c r="G135" i="9"/>
  <c r="F135" i="9"/>
  <c r="E135" i="9"/>
  <c r="D135" i="9"/>
  <c r="C135" i="9"/>
  <c r="O134" i="9"/>
  <c r="M134" i="9"/>
  <c r="L134" i="9"/>
  <c r="K134" i="9"/>
  <c r="J134" i="9"/>
  <c r="I134" i="9"/>
  <c r="H134" i="9"/>
  <c r="G134" i="9"/>
  <c r="F134" i="9"/>
  <c r="E134" i="9"/>
  <c r="D134" i="9"/>
  <c r="C134" i="9"/>
  <c r="O133" i="9"/>
  <c r="M133" i="9"/>
  <c r="L133" i="9"/>
  <c r="K133" i="9"/>
  <c r="J133" i="9"/>
  <c r="I133" i="9"/>
  <c r="H133" i="9"/>
  <c r="G133" i="9"/>
  <c r="F133" i="9"/>
  <c r="E133" i="9"/>
  <c r="D133" i="9"/>
  <c r="C133" i="9"/>
  <c r="O132" i="9"/>
  <c r="M132" i="9"/>
  <c r="L132" i="9"/>
  <c r="K132" i="9"/>
  <c r="J132" i="9"/>
  <c r="I132" i="9"/>
  <c r="H132" i="9"/>
  <c r="G132" i="9"/>
  <c r="F132" i="9"/>
  <c r="E132" i="9"/>
  <c r="D132" i="9"/>
  <c r="C132" i="9"/>
  <c r="O131" i="9"/>
  <c r="M131" i="9"/>
  <c r="L131" i="9"/>
  <c r="K131" i="9"/>
  <c r="J131" i="9"/>
  <c r="I131" i="9"/>
  <c r="H131" i="9"/>
  <c r="G131" i="9"/>
  <c r="F131" i="9"/>
  <c r="E131" i="9"/>
  <c r="D131" i="9"/>
  <c r="C131" i="9"/>
  <c r="O130" i="9"/>
  <c r="M130" i="9"/>
  <c r="L130" i="9"/>
  <c r="K130" i="9"/>
  <c r="J130" i="9"/>
  <c r="I130" i="9"/>
  <c r="H130" i="9"/>
  <c r="G130" i="9"/>
  <c r="F130" i="9"/>
  <c r="E130" i="9"/>
  <c r="D130" i="9"/>
  <c r="C130" i="9"/>
  <c r="O129" i="9"/>
  <c r="M129" i="9"/>
  <c r="L129" i="9"/>
  <c r="K129" i="9"/>
  <c r="J129" i="9"/>
  <c r="I129" i="9"/>
  <c r="H129" i="9"/>
  <c r="G129" i="9"/>
  <c r="F129" i="9"/>
  <c r="E129" i="9"/>
  <c r="D129" i="9"/>
  <c r="C129" i="9"/>
  <c r="O128" i="9"/>
  <c r="M128" i="9"/>
  <c r="L128" i="9"/>
  <c r="K128" i="9"/>
  <c r="J128" i="9"/>
  <c r="I128" i="9"/>
  <c r="H128" i="9"/>
  <c r="G128" i="9"/>
  <c r="F128" i="9"/>
  <c r="E128" i="9"/>
  <c r="D128" i="9"/>
  <c r="C128" i="9"/>
  <c r="O127" i="9"/>
  <c r="M127" i="9"/>
  <c r="L127" i="9"/>
  <c r="K127" i="9"/>
  <c r="J127" i="9"/>
  <c r="I127" i="9"/>
  <c r="H127" i="9"/>
  <c r="G127" i="9"/>
  <c r="F127" i="9"/>
  <c r="E127" i="9"/>
  <c r="D127" i="9"/>
  <c r="C127" i="9"/>
  <c r="O126" i="9"/>
  <c r="M126" i="9"/>
  <c r="L126" i="9"/>
  <c r="K126" i="9"/>
  <c r="J126" i="9"/>
  <c r="I126" i="9"/>
  <c r="H126" i="9"/>
  <c r="G126" i="9"/>
  <c r="F126" i="9"/>
  <c r="E126" i="9"/>
  <c r="D126" i="9"/>
  <c r="C126" i="9"/>
  <c r="O125" i="9"/>
  <c r="M125" i="9"/>
  <c r="L125" i="9"/>
  <c r="K125" i="9"/>
  <c r="J125" i="9"/>
  <c r="I125" i="9"/>
  <c r="H125" i="9"/>
  <c r="G125" i="9"/>
  <c r="F125" i="9"/>
  <c r="E125" i="9"/>
  <c r="D125" i="9"/>
  <c r="C125" i="9"/>
  <c r="O124" i="9"/>
  <c r="M124" i="9"/>
  <c r="L124" i="9"/>
  <c r="K124" i="9"/>
  <c r="J124" i="9"/>
  <c r="I124" i="9"/>
  <c r="H124" i="9"/>
  <c r="G124" i="9"/>
  <c r="F124" i="9"/>
  <c r="E124" i="9"/>
  <c r="D124" i="9"/>
  <c r="C124" i="9"/>
  <c r="O123" i="9"/>
  <c r="M123" i="9"/>
  <c r="L123" i="9"/>
  <c r="K123" i="9"/>
  <c r="J123" i="9"/>
  <c r="I123" i="9"/>
  <c r="H123" i="9"/>
  <c r="G123" i="9"/>
  <c r="F123" i="9"/>
  <c r="E123" i="9"/>
  <c r="D123" i="9"/>
  <c r="C123" i="9"/>
  <c r="O122" i="9"/>
  <c r="M122" i="9"/>
  <c r="L122" i="9"/>
  <c r="K122" i="9"/>
  <c r="J122" i="9"/>
  <c r="I122" i="9"/>
  <c r="H122" i="9"/>
  <c r="G122" i="9"/>
  <c r="F122" i="9"/>
  <c r="E122" i="9"/>
  <c r="D122" i="9"/>
  <c r="C122" i="9"/>
  <c r="O121" i="9"/>
  <c r="M121" i="9"/>
  <c r="L121" i="9"/>
  <c r="K121" i="9"/>
  <c r="J121" i="9"/>
  <c r="I121" i="9"/>
  <c r="H121" i="9"/>
  <c r="G121" i="9"/>
  <c r="F121" i="9"/>
  <c r="E121" i="9"/>
  <c r="D121" i="9"/>
  <c r="C121" i="9"/>
  <c r="O120" i="9"/>
  <c r="M120" i="9"/>
  <c r="L120" i="9"/>
  <c r="K120" i="9"/>
  <c r="J120" i="9"/>
  <c r="I120" i="9"/>
  <c r="H120" i="9"/>
  <c r="G120" i="9"/>
  <c r="F120" i="9"/>
  <c r="E120" i="9"/>
  <c r="D120" i="9"/>
  <c r="C120" i="9"/>
  <c r="O119" i="9"/>
  <c r="M119" i="9"/>
  <c r="L119" i="9"/>
  <c r="K119" i="9"/>
  <c r="J119" i="9"/>
  <c r="I119" i="9"/>
  <c r="H119" i="9"/>
  <c r="G119" i="9"/>
  <c r="F119" i="9"/>
  <c r="E119" i="9"/>
  <c r="D119" i="9"/>
  <c r="C119" i="9"/>
  <c r="O118" i="9"/>
  <c r="M118" i="9"/>
  <c r="L118" i="9"/>
  <c r="K118" i="9"/>
  <c r="J118" i="9"/>
  <c r="I118" i="9"/>
  <c r="H118" i="9"/>
  <c r="G118" i="9"/>
  <c r="F118" i="9"/>
  <c r="E118" i="9"/>
  <c r="D118" i="9"/>
  <c r="C118" i="9"/>
  <c r="O117" i="9"/>
  <c r="M117" i="9"/>
  <c r="L117" i="9"/>
  <c r="K117" i="9"/>
  <c r="J117" i="9"/>
  <c r="I117" i="9"/>
  <c r="H117" i="9"/>
  <c r="G117" i="9"/>
  <c r="F117" i="9"/>
  <c r="E117" i="9"/>
  <c r="D117" i="9"/>
  <c r="C117" i="9"/>
  <c r="O116" i="9"/>
  <c r="M116" i="9"/>
  <c r="L116" i="9"/>
  <c r="K116" i="9"/>
  <c r="J116" i="9"/>
  <c r="I116" i="9"/>
  <c r="H116" i="9"/>
  <c r="G116" i="9"/>
  <c r="F116" i="9"/>
  <c r="E116" i="9"/>
  <c r="D116" i="9"/>
  <c r="C116" i="9"/>
  <c r="O115" i="9"/>
  <c r="M115" i="9"/>
  <c r="L115" i="9"/>
  <c r="K115" i="9"/>
  <c r="J115" i="9"/>
  <c r="I115" i="9"/>
  <c r="H115" i="9"/>
  <c r="G115" i="9"/>
  <c r="F115" i="9"/>
  <c r="E115" i="9"/>
  <c r="D115" i="9"/>
  <c r="C115" i="9"/>
  <c r="O114" i="9"/>
  <c r="M114" i="9"/>
  <c r="L114" i="9"/>
  <c r="K114" i="9"/>
  <c r="J114" i="9"/>
  <c r="I114" i="9"/>
  <c r="H114" i="9"/>
  <c r="G114" i="9"/>
  <c r="F114" i="9"/>
  <c r="E114" i="9"/>
  <c r="D114" i="9"/>
  <c r="C114" i="9"/>
  <c r="O113" i="9"/>
  <c r="M113" i="9"/>
  <c r="L113" i="9"/>
  <c r="K113" i="9"/>
  <c r="J113" i="9"/>
  <c r="I113" i="9"/>
  <c r="H113" i="9"/>
  <c r="G113" i="9"/>
  <c r="F113" i="9"/>
  <c r="E113" i="9"/>
  <c r="D113" i="9"/>
  <c r="C113" i="9"/>
  <c r="O112" i="9"/>
  <c r="M112" i="9"/>
  <c r="L112" i="9"/>
  <c r="K112" i="9"/>
  <c r="J112" i="9"/>
  <c r="I112" i="9"/>
  <c r="H112" i="9"/>
  <c r="G112" i="9"/>
  <c r="F112" i="9"/>
  <c r="E112" i="9"/>
  <c r="D112" i="9"/>
  <c r="C112" i="9"/>
  <c r="O111" i="9"/>
  <c r="M111" i="9"/>
  <c r="L111" i="9"/>
  <c r="K111" i="9"/>
  <c r="J111" i="9"/>
  <c r="I111" i="9"/>
  <c r="H111" i="9"/>
  <c r="G111" i="9"/>
  <c r="F111" i="9"/>
  <c r="E111" i="9"/>
  <c r="D111" i="9"/>
  <c r="C111" i="9"/>
  <c r="O110" i="9"/>
  <c r="M110" i="9"/>
  <c r="L110" i="9"/>
  <c r="K110" i="9"/>
  <c r="J110" i="9"/>
  <c r="I110" i="9"/>
  <c r="H110" i="9"/>
  <c r="G110" i="9"/>
  <c r="F110" i="9"/>
  <c r="E110" i="9"/>
  <c r="D110" i="9"/>
  <c r="C110" i="9"/>
  <c r="O109" i="9"/>
  <c r="M109" i="9"/>
  <c r="L109" i="9"/>
  <c r="K109" i="9"/>
  <c r="J109" i="9"/>
  <c r="I109" i="9"/>
  <c r="H109" i="9"/>
  <c r="G109" i="9"/>
  <c r="F109" i="9"/>
  <c r="E109" i="9"/>
  <c r="D109" i="9"/>
  <c r="C109" i="9"/>
  <c r="O108" i="9"/>
  <c r="M108" i="9"/>
  <c r="L108" i="9"/>
  <c r="K108" i="9"/>
  <c r="J108" i="9"/>
  <c r="I108" i="9"/>
  <c r="H108" i="9"/>
  <c r="G108" i="9"/>
  <c r="F108" i="9"/>
  <c r="E108" i="9"/>
  <c r="D108" i="9"/>
  <c r="C108" i="9"/>
  <c r="O107" i="9"/>
  <c r="M107" i="9"/>
  <c r="L107" i="9"/>
  <c r="K107" i="9"/>
  <c r="J107" i="9"/>
  <c r="I107" i="9"/>
  <c r="H107" i="9"/>
  <c r="G107" i="9"/>
  <c r="F107" i="9"/>
  <c r="E107" i="9"/>
  <c r="D107" i="9"/>
  <c r="C107" i="9"/>
  <c r="O106" i="9"/>
  <c r="M106" i="9"/>
  <c r="L106" i="9"/>
  <c r="K106" i="9"/>
  <c r="J106" i="9"/>
  <c r="I106" i="9"/>
  <c r="H106" i="9"/>
  <c r="G106" i="9"/>
  <c r="F106" i="9"/>
  <c r="E106" i="9"/>
  <c r="D106" i="9"/>
  <c r="C106" i="9"/>
  <c r="O105" i="9"/>
  <c r="M105" i="9"/>
  <c r="L105" i="9"/>
  <c r="K105" i="9"/>
  <c r="J105" i="9"/>
  <c r="I105" i="9"/>
  <c r="H105" i="9"/>
  <c r="G105" i="9"/>
  <c r="F105" i="9"/>
  <c r="E105" i="9"/>
  <c r="D105" i="9"/>
  <c r="C105" i="9"/>
  <c r="O104" i="9"/>
  <c r="M104" i="9"/>
  <c r="L104" i="9"/>
  <c r="K104" i="9"/>
  <c r="J104" i="9"/>
  <c r="I104" i="9"/>
  <c r="H104" i="9"/>
  <c r="G104" i="9"/>
  <c r="F104" i="9"/>
  <c r="E104" i="9"/>
  <c r="D104" i="9"/>
  <c r="C104" i="9"/>
  <c r="O103" i="9"/>
  <c r="M103" i="9"/>
  <c r="L103" i="9"/>
  <c r="K103" i="9"/>
  <c r="J103" i="9"/>
  <c r="I103" i="9"/>
  <c r="H103" i="9"/>
  <c r="G103" i="9"/>
  <c r="F103" i="9"/>
  <c r="E103" i="9"/>
  <c r="D103" i="9"/>
  <c r="C103" i="9"/>
  <c r="O102" i="9"/>
  <c r="M102" i="9"/>
  <c r="L102" i="9"/>
  <c r="K102" i="9"/>
  <c r="J102" i="9"/>
  <c r="I102" i="9"/>
  <c r="H102" i="9"/>
  <c r="G102" i="9"/>
  <c r="F102" i="9"/>
  <c r="E102" i="9"/>
  <c r="D102" i="9"/>
  <c r="C102" i="9"/>
  <c r="O101" i="9"/>
  <c r="M101" i="9"/>
  <c r="L101" i="9"/>
  <c r="K101" i="9"/>
  <c r="J101" i="9"/>
  <c r="I101" i="9"/>
  <c r="H101" i="9"/>
  <c r="G101" i="9"/>
  <c r="F101" i="9"/>
  <c r="E101" i="9"/>
  <c r="D101" i="9"/>
  <c r="C101" i="9"/>
  <c r="O100" i="9"/>
  <c r="M100" i="9"/>
  <c r="L100" i="9"/>
  <c r="K100" i="9"/>
  <c r="J100" i="9"/>
  <c r="I100" i="9"/>
  <c r="H100" i="9"/>
  <c r="G100" i="9"/>
  <c r="F100" i="9"/>
  <c r="E100" i="9"/>
  <c r="D100" i="9"/>
  <c r="C100" i="9"/>
  <c r="O99" i="9"/>
  <c r="M99" i="9"/>
  <c r="L99" i="9"/>
  <c r="K99" i="9"/>
  <c r="J99" i="9"/>
  <c r="I99" i="9"/>
  <c r="H99" i="9"/>
  <c r="G99" i="9"/>
  <c r="F99" i="9"/>
  <c r="E99" i="9"/>
  <c r="D99" i="9"/>
  <c r="C99" i="9"/>
  <c r="O98" i="9"/>
  <c r="M98" i="9"/>
  <c r="L98" i="9"/>
  <c r="K98" i="9"/>
  <c r="J98" i="9"/>
  <c r="I98" i="9"/>
  <c r="H98" i="9"/>
  <c r="G98" i="9"/>
  <c r="F98" i="9"/>
  <c r="E98" i="9"/>
  <c r="D98" i="9"/>
  <c r="C98" i="9"/>
  <c r="O97" i="9"/>
  <c r="M97" i="9"/>
  <c r="L97" i="9"/>
  <c r="K97" i="9"/>
  <c r="J97" i="9"/>
  <c r="I97" i="9"/>
  <c r="H97" i="9"/>
  <c r="G97" i="9"/>
  <c r="F97" i="9"/>
  <c r="E97" i="9"/>
  <c r="D97" i="9"/>
  <c r="C97" i="9"/>
  <c r="O96" i="9"/>
  <c r="M96" i="9"/>
  <c r="L96" i="9"/>
  <c r="K96" i="9"/>
  <c r="J96" i="9"/>
  <c r="I96" i="9"/>
  <c r="H96" i="9"/>
  <c r="G96" i="9"/>
  <c r="F96" i="9"/>
  <c r="E96" i="9"/>
  <c r="D96" i="9"/>
  <c r="C96" i="9"/>
  <c r="O95" i="9"/>
  <c r="M95" i="9"/>
  <c r="L95" i="9"/>
  <c r="K95" i="9"/>
  <c r="J95" i="9"/>
  <c r="I95" i="9"/>
  <c r="H95" i="9"/>
  <c r="G95" i="9"/>
  <c r="F95" i="9"/>
  <c r="E95" i="9"/>
  <c r="D95" i="9"/>
  <c r="C95" i="9"/>
  <c r="O94" i="9"/>
  <c r="M94" i="9"/>
  <c r="L94" i="9"/>
  <c r="K94" i="9"/>
  <c r="J94" i="9"/>
  <c r="I94" i="9"/>
  <c r="H94" i="9"/>
  <c r="G94" i="9"/>
  <c r="F94" i="9"/>
  <c r="E94" i="9"/>
  <c r="D94" i="9"/>
  <c r="C94" i="9"/>
  <c r="O93" i="9"/>
  <c r="M93" i="9"/>
  <c r="L93" i="9"/>
  <c r="K93" i="9"/>
  <c r="J93" i="9"/>
  <c r="I93" i="9"/>
  <c r="H93" i="9"/>
  <c r="G93" i="9"/>
  <c r="F93" i="9"/>
  <c r="E93" i="9"/>
  <c r="D93" i="9"/>
  <c r="C93" i="9"/>
  <c r="O92" i="9"/>
  <c r="M92" i="9"/>
  <c r="L92" i="9"/>
  <c r="K92" i="9"/>
  <c r="J92" i="9"/>
  <c r="I92" i="9"/>
  <c r="H92" i="9"/>
  <c r="G92" i="9"/>
  <c r="F92" i="9"/>
  <c r="E92" i="9"/>
  <c r="D92" i="9"/>
  <c r="C92" i="9"/>
  <c r="O91" i="9"/>
  <c r="M91" i="9"/>
  <c r="L91" i="9"/>
  <c r="K91" i="9"/>
  <c r="J91" i="9"/>
  <c r="I91" i="9"/>
  <c r="H91" i="9"/>
  <c r="G91" i="9"/>
  <c r="F91" i="9"/>
  <c r="E91" i="9"/>
  <c r="D91" i="9"/>
  <c r="C91" i="9"/>
  <c r="O90" i="9"/>
  <c r="M90" i="9"/>
  <c r="L90" i="9"/>
  <c r="K90" i="9"/>
  <c r="J90" i="9"/>
  <c r="I90" i="9"/>
  <c r="H90" i="9"/>
  <c r="G90" i="9"/>
  <c r="F90" i="9"/>
  <c r="E90" i="9"/>
  <c r="D90" i="9"/>
  <c r="C90" i="9"/>
  <c r="O89" i="9"/>
  <c r="M89" i="9"/>
  <c r="L89" i="9"/>
  <c r="K89" i="9"/>
  <c r="J89" i="9"/>
  <c r="I89" i="9"/>
  <c r="H89" i="9"/>
  <c r="G89" i="9"/>
  <c r="F89" i="9"/>
  <c r="E89" i="9"/>
  <c r="D89" i="9"/>
  <c r="C89" i="9"/>
  <c r="O88" i="9"/>
  <c r="M88" i="9"/>
  <c r="L88" i="9"/>
  <c r="K88" i="9"/>
  <c r="J88" i="9"/>
  <c r="I88" i="9"/>
  <c r="H88" i="9"/>
  <c r="G88" i="9"/>
  <c r="F88" i="9"/>
  <c r="E88" i="9"/>
  <c r="D88" i="9"/>
  <c r="C88" i="9"/>
  <c r="O87" i="9"/>
  <c r="M87" i="9"/>
  <c r="L87" i="9"/>
  <c r="K87" i="9"/>
  <c r="J87" i="9"/>
  <c r="I87" i="9"/>
  <c r="H87" i="9"/>
  <c r="G87" i="9"/>
  <c r="F87" i="9"/>
  <c r="E87" i="9"/>
  <c r="D87" i="9"/>
  <c r="C87" i="9"/>
  <c r="O86" i="9"/>
  <c r="M86" i="9"/>
  <c r="L86" i="9"/>
  <c r="K86" i="9"/>
  <c r="J86" i="9"/>
  <c r="I86" i="9"/>
  <c r="H86" i="9"/>
  <c r="G86" i="9"/>
  <c r="F86" i="9"/>
  <c r="E86" i="9"/>
  <c r="D86" i="9"/>
  <c r="C86" i="9"/>
  <c r="O85" i="9"/>
  <c r="M85" i="9"/>
  <c r="L85" i="9"/>
  <c r="K85" i="9"/>
  <c r="J85" i="9"/>
  <c r="I85" i="9"/>
  <c r="H85" i="9"/>
  <c r="G85" i="9"/>
  <c r="F85" i="9"/>
  <c r="E85" i="9"/>
  <c r="D85" i="9"/>
  <c r="C85" i="9"/>
  <c r="O84" i="9"/>
  <c r="M84" i="9"/>
  <c r="L84" i="9"/>
  <c r="K84" i="9"/>
  <c r="J84" i="9"/>
  <c r="I84" i="9"/>
  <c r="H84" i="9"/>
  <c r="G84" i="9"/>
  <c r="F84" i="9"/>
  <c r="E84" i="9"/>
  <c r="D84" i="9"/>
  <c r="C84" i="9"/>
  <c r="O83" i="9"/>
  <c r="M83" i="9"/>
  <c r="L83" i="9"/>
  <c r="K83" i="9"/>
  <c r="J83" i="9"/>
  <c r="I83" i="9"/>
  <c r="H83" i="9"/>
  <c r="G83" i="9"/>
  <c r="F83" i="9"/>
  <c r="E83" i="9"/>
  <c r="D83" i="9"/>
  <c r="C83" i="9"/>
  <c r="O82" i="9"/>
  <c r="M82" i="9"/>
  <c r="L82" i="9"/>
  <c r="K82" i="9"/>
  <c r="J82" i="9"/>
  <c r="I82" i="9"/>
  <c r="H82" i="9"/>
  <c r="G82" i="9"/>
  <c r="F82" i="9"/>
  <c r="E82" i="9"/>
  <c r="D82" i="9"/>
  <c r="C82" i="9"/>
  <c r="O81" i="9"/>
  <c r="M81" i="9"/>
  <c r="L81" i="9"/>
  <c r="K81" i="9"/>
  <c r="J81" i="9"/>
  <c r="I81" i="9"/>
  <c r="H81" i="9"/>
  <c r="G81" i="9"/>
  <c r="F81" i="9"/>
  <c r="E81" i="9"/>
  <c r="D81" i="9"/>
  <c r="C81" i="9"/>
  <c r="O80" i="9"/>
  <c r="M80" i="9"/>
  <c r="L80" i="9"/>
  <c r="K80" i="9"/>
  <c r="J80" i="9"/>
  <c r="I80" i="9"/>
  <c r="H80" i="9"/>
  <c r="G80" i="9"/>
  <c r="F80" i="9"/>
  <c r="E80" i="9"/>
  <c r="D80" i="9"/>
  <c r="C80" i="9"/>
  <c r="O79" i="9"/>
  <c r="M79" i="9"/>
  <c r="L79" i="9"/>
  <c r="K79" i="9"/>
  <c r="J79" i="9"/>
  <c r="I79" i="9"/>
  <c r="H79" i="9"/>
  <c r="G79" i="9"/>
  <c r="F79" i="9"/>
  <c r="E79" i="9"/>
  <c r="D79" i="9"/>
  <c r="C79" i="9"/>
  <c r="O78" i="9"/>
  <c r="M78" i="9"/>
  <c r="L78" i="9"/>
  <c r="K78" i="9"/>
  <c r="J78" i="9"/>
  <c r="I78" i="9"/>
  <c r="H78" i="9"/>
  <c r="G78" i="9"/>
  <c r="F78" i="9"/>
  <c r="E78" i="9"/>
  <c r="D78" i="9"/>
  <c r="C78" i="9"/>
  <c r="O77" i="9"/>
  <c r="M77" i="9"/>
  <c r="L77" i="9"/>
  <c r="K77" i="9"/>
  <c r="J77" i="9"/>
  <c r="I77" i="9"/>
  <c r="H77" i="9"/>
  <c r="G77" i="9"/>
  <c r="F77" i="9"/>
  <c r="E77" i="9"/>
  <c r="D77" i="9"/>
  <c r="C77" i="9"/>
  <c r="O76" i="9"/>
  <c r="M76" i="9"/>
  <c r="L76" i="9"/>
  <c r="K76" i="9"/>
  <c r="J76" i="9"/>
  <c r="I76" i="9"/>
  <c r="H76" i="9"/>
  <c r="G76" i="9"/>
  <c r="F76" i="9"/>
  <c r="E76" i="9"/>
  <c r="D76" i="9"/>
  <c r="C76" i="9"/>
  <c r="O75" i="9"/>
  <c r="M75" i="9"/>
  <c r="L75" i="9"/>
  <c r="K75" i="9"/>
  <c r="J75" i="9"/>
  <c r="I75" i="9"/>
  <c r="H75" i="9"/>
  <c r="G75" i="9"/>
  <c r="F75" i="9"/>
  <c r="E75" i="9"/>
  <c r="D75" i="9"/>
  <c r="C75" i="9"/>
  <c r="O74" i="9"/>
  <c r="M74" i="9"/>
  <c r="L74" i="9"/>
  <c r="K74" i="9"/>
  <c r="J74" i="9"/>
  <c r="I74" i="9"/>
  <c r="H74" i="9"/>
  <c r="G74" i="9"/>
  <c r="F74" i="9"/>
  <c r="E74" i="9"/>
  <c r="D74" i="9"/>
  <c r="C74" i="9"/>
  <c r="O73" i="9"/>
  <c r="M73" i="9"/>
  <c r="L73" i="9"/>
  <c r="K73" i="9"/>
  <c r="J73" i="9"/>
  <c r="I73" i="9"/>
  <c r="H73" i="9"/>
  <c r="G73" i="9"/>
  <c r="F73" i="9"/>
  <c r="E73" i="9"/>
  <c r="D73" i="9"/>
  <c r="C73" i="9"/>
  <c r="O72" i="9"/>
  <c r="M72" i="9"/>
  <c r="L72" i="9"/>
  <c r="K72" i="9"/>
  <c r="J72" i="9"/>
  <c r="I72" i="9"/>
  <c r="H72" i="9"/>
  <c r="G72" i="9"/>
  <c r="F72" i="9"/>
  <c r="E72" i="9"/>
  <c r="D72" i="9"/>
  <c r="C72" i="9"/>
  <c r="O71" i="9"/>
  <c r="M71" i="9"/>
  <c r="L71" i="9"/>
  <c r="K71" i="9"/>
  <c r="J71" i="9"/>
  <c r="I71" i="9"/>
  <c r="H71" i="9"/>
  <c r="G71" i="9"/>
  <c r="F71" i="9"/>
  <c r="E71" i="9"/>
  <c r="D71" i="9"/>
  <c r="C71" i="9"/>
  <c r="O70" i="9"/>
  <c r="M70" i="9"/>
  <c r="L70" i="9"/>
  <c r="K70" i="9"/>
  <c r="J70" i="9"/>
  <c r="I70" i="9"/>
  <c r="H70" i="9"/>
  <c r="G70" i="9"/>
  <c r="F70" i="9"/>
  <c r="E70" i="9"/>
  <c r="D70" i="9"/>
  <c r="C70" i="9"/>
  <c r="O69" i="9"/>
  <c r="M69" i="9"/>
  <c r="L69" i="9"/>
  <c r="K69" i="9"/>
  <c r="J69" i="9"/>
  <c r="I69" i="9"/>
  <c r="H69" i="9"/>
  <c r="G69" i="9"/>
  <c r="F69" i="9"/>
  <c r="E69" i="9"/>
  <c r="D69" i="9"/>
  <c r="C69" i="9"/>
  <c r="O68" i="9"/>
  <c r="M68" i="9"/>
  <c r="L68" i="9"/>
  <c r="K68" i="9"/>
  <c r="J68" i="9"/>
  <c r="I68" i="9"/>
  <c r="H68" i="9"/>
  <c r="G68" i="9"/>
  <c r="F68" i="9"/>
  <c r="E68" i="9"/>
  <c r="D68" i="9"/>
  <c r="C68" i="9"/>
  <c r="O67" i="9"/>
  <c r="M67" i="9"/>
  <c r="L67" i="9"/>
  <c r="K67" i="9"/>
  <c r="J67" i="9"/>
  <c r="I67" i="9"/>
  <c r="H67" i="9"/>
  <c r="G67" i="9"/>
  <c r="F67" i="9"/>
  <c r="E67" i="9"/>
  <c r="D67" i="9"/>
  <c r="C67" i="9"/>
  <c r="O66" i="9"/>
  <c r="M66" i="9"/>
  <c r="L66" i="9"/>
  <c r="K66" i="9"/>
  <c r="J66" i="9"/>
  <c r="I66" i="9"/>
  <c r="H66" i="9"/>
  <c r="G66" i="9"/>
  <c r="F66" i="9"/>
  <c r="E66" i="9"/>
  <c r="D66" i="9"/>
  <c r="C66" i="9"/>
  <c r="O65" i="9"/>
  <c r="M65" i="9"/>
  <c r="L65" i="9"/>
  <c r="K65" i="9"/>
  <c r="J65" i="9"/>
  <c r="I65" i="9"/>
  <c r="H65" i="9"/>
  <c r="G65" i="9"/>
  <c r="F65" i="9"/>
  <c r="E65" i="9"/>
  <c r="D65" i="9"/>
  <c r="C65" i="9"/>
  <c r="O64" i="9"/>
  <c r="M64" i="9"/>
  <c r="L64" i="9"/>
  <c r="K64" i="9"/>
  <c r="J64" i="9"/>
  <c r="I64" i="9"/>
  <c r="H64" i="9"/>
  <c r="G64" i="9"/>
  <c r="F64" i="9"/>
  <c r="E64" i="9"/>
  <c r="D64" i="9"/>
  <c r="C64" i="9"/>
  <c r="O63" i="9"/>
  <c r="M63" i="9"/>
  <c r="L63" i="9"/>
  <c r="K63" i="9"/>
  <c r="J63" i="9"/>
  <c r="I63" i="9"/>
  <c r="H63" i="9"/>
  <c r="G63" i="9"/>
  <c r="F63" i="9"/>
  <c r="E63" i="9"/>
  <c r="D63" i="9"/>
  <c r="C63" i="9"/>
  <c r="O62" i="9"/>
  <c r="M62" i="9"/>
  <c r="L62" i="9"/>
  <c r="K62" i="9"/>
  <c r="J62" i="9"/>
  <c r="I62" i="9"/>
  <c r="H62" i="9"/>
  <c r="G62" i="9"/>
  <c r="F62" i="9"/>
  <c r="E62" i="9"/>
  <c r="D62" i="9"/>
  <c r="C62" i="9"/>
  <c r="O61" i="9"/>
  <c r="M61" i="9"/>
  <c r="L61" i="9"/>
  <c r="K61" i="9"/>
  <c r="J61" i="9"/>
  <c r="I61" i="9"/>
  <c r="H61" i="9"/>
  <c r="G61" i="9"/>
  <c r="F61" i="9"/>
  <c r="E61" i="9"/>
  <c r="D61" i="9"/>
  <c r="C61" i="9"/>
  <c r="O60" i="9"/>
  <c r="M60" i="9"/>
  <c r="L60" i="9"/>
  <c r="K60" i="9"/>
  <c r="J60" i="9"/>
  <c r="I60" i="9"/>
  <c r="H60" i="9"/>
  <c r="G60" i="9"/>
  <c r="F60" i="9"/>
  <c r="E60" i="9"/>
  <c r="D60" i="9"/>
  <c r="C60" i="9"/>
  <c r="O59" i="9"/>
  <c r="M59" i="9"/>
  <c r="L59" i="9"/>
  <c r="K59" i="9"/>
  <c r="J59" i="9"/>
  <c r="I59" i="9"/>
  <c r="H59" i="9"/>
  <c r="G59" i="9"/>
  <c r="F59" i="9"/>
  <c r="E59" i="9"/>
  <c r="D59" i="9"/>
  <c r="C59" i="9"/>
  <c r="O58" i="9"/>
  <c r="M58" i="9"/>
  <c r="L58" i="9"/>
  <c r="K58" i="9"/>
  <c r="J58" i="9"/>
  <c r="I58" i="9"/>
  <c r="H58" i="9"/>
  <c r="G58" i="9"/>
  <c r="F58" i="9"/>
  <c r="E58" i="9"/>
  <c r="D58" i="9"/>
  <c r="C58" i="9"/>
  <c r="O57" i="9"/>
  <c r="M57" i="9"/>
  <c r="L57" i="9"/>
  <c r="K57" i="9"/>
  <c r="J57" i="9"/>
  <c r="I57" i="9"/>
  <c r="H57" i="9"/>
  <c r="G57" i="9"/>
  <c r="F57" i="9"/>
  <c r="E57" i="9"/>
  <c r="D57" i="9"/>
  <c r="C57" i="9"/>
  <c r="O56" i="9"/>
  <c r="M56" i="9"/>
  <c r="L56" i="9"/>
  <c r="K56" i="9"/>
  <c r="J56" i="9"/>
  <c r="I56" i="9"/>
  <c r="H56" i="9"/>
  <c r="G56" i="9"/>
  <c r="F56" i="9"/>
  <c r="E56" i="9"/>
  <c r="D56" i="9"/>
  <c r="C56" i="9"/>
  <c r="O55" i="9"/>
  <c r="M55" i="9"/>
  <c r="L55" i="9"/>
  <c r="K55" i="9"/>
  <c r="J55" i="9"/>
  <c r="I55" i="9"/>
  <c r="H55" i="9"/>
  <c r="G55" i="9"/>
  <c r="F55" i="9"/>
  <c r="E55" i="9"/>
  <c r="D55" i="9"/>
  <c r="C55" i="9"/>
  <c r="O54" i="9"/>
  <c r="M54" i="9"/>
  <c r="L54" i="9"/>
  <c r="K54" i="9"/>
  <c r="J54" i="9"/>
  <c r="I54" i="9"/>
  <c r="H54" i="9"/>
  <c r="G54" i="9"/>
  <c r="F54" i="9"/>
  <c r="E54" i="9"/>
  <c r="D54" i="9"/>
  <c r="C54" i="9"/>
  <c r="O53" i="9"/>
  <c r="M53" i="9"/>
  <c r="L53" i="9"/>
  <c r="K53" i="9"/>
  <c r="J53" i="9"/>
  <c r="I53" i="9"/>
  <c r="H53" i="9"/>
  <c r="G53" i="9"/>
  <c r="F53" i="9"/>
  <c r="E53" i="9"/>
  <c r="D53" i="9"/>
  <c r="C53" i="9"/>
  <c r="O52" i="9"/>
  <c r="M52" i="9"/>
  <c r="L52" i="9"/>
  <c r="K52" i="9"/>
  <c r="J52" i="9"/>
  <c r="I52" i="9"/>
  <c r="H52" i="9"/>
  <c r="G52" i="9"/>
  <c r="F52" i="9"/>
  <c r="E52" i="9"/>
  <c r="D52" i="9"/>
  <c r="C52" i="9"/>
  <c r="O51" i="9"/>
  <c r="M51" i="9"/>
  <c r="L51" i="9"/>
  <c r="K51" i="9"/>
  <c r="J51" i="9"/>
  <c r="I51" i="9"/>
  <c r="H51" i="9"/>
  <c r="G51" i="9"/>
  <c r="F51" i="9"/>
  <c r="E51" i="9"/>
  <c r="D51" i="9"/>
  <c r="C51" i="9"/>
  <c r="O50" i="9"/>
  <c r="M50" i="9"/>
  <c r="L50" i="9"/>
  <c r="K50" i="9"/>
  <c r="J50" i="9"/>
  <c r="I50" i="9"/>
  <c r="H50" i="9"/>
  <c r="G50" i="9"/>
  <c r="F50" i="9"/>
  <c r="E50" i="9"/>
  <c r="D50" i="9"/>
  <c r="C50" i="9"/>
  <c r="O49" i="9"/>
  <c r="M49" i="9"/>
  <c r="L49" i="9"/>
  <c r="K49" i="9"/>
  <c r="J49" i="9"/>
  <c r="I49" i="9"/>
  <c r="H49" i="9"/>
  <c r="G49" i="9"/>
  <c r="F49" i="9"/>
  <c r="E49" i="9"/>
  <c r="D49" i="9"/>
  <c r="C49" i="9"/>
  <c r="O48" i="9"/>
  <c r="M48" i="9"/>
  <c r="L48" i="9"/>
  <c r="K48" i="9"/>
  <c r="J48" i="9"/>
  <c r="I48" i="9"/>
  <c r="H48" i="9"/>
  <c r="G48" i="9"/>
  <c r="F48" i="9"/>
  <c r="E48" i="9"/>
  <c r="D48" i="9"/>
  <c r="C48" i="9"/>
  <c r="O47" i="9"/>
  <c r="M47" i="9"/>
  <c r="L47" i="9"/>
  <c r="K47" i="9"/>
  <c r="J47" i="9"/>
  <c r="I47" i="9"/>
  <c r="H47" i="9"/>
  <c r="G47" i="9"/>
  <c r="F47" i="9"/>
  <c r="E47" i="9"/>
  <c r="D47" i="9"/>
  <c r="C47" i="9"/>
  <c r="O46" i="9"/>
  <c r="M46" i="9"/>
  <c r="L46" i="9"/>
  <c r="K46" i="9"/>
  <c r="J46" i="9"/>
  <c r="I46" i="9"/>
  <c r="H46" i="9"/>
  <c r="G46" i="9"/>
  <c r="F46" i="9"/>
  <c r="E46" i="9"/>
  <c r="D46" i="9"/>
  <c r="C46" i="9"/>
  <c r="O45" i="9"/>
  <c r="M45" i="9"/>
  <c r="L45" i="9"/>
  <c r="K45" i="9"/>
  <c r="J45" i="9"/>
  <c r="I45" i="9"/>
  <c r="H45" i="9"/>
  <c r="G45" i="9"/>
  <c r="F45" i="9"/>
  <c r="E45" i="9"/>
  <c r="D45" i="9"/>
  <c r="C45" i="9"/>
  <c r="O44" i="9"/>
  <c r="M44" i="9"/>
  <c r="L44" i="9"/>
  <c r="K44" i="9"/>
  <c r="J44" i="9"/>
  <c r="I44" i="9"/>
  <c r="H44" i="9"/>
  <c r="G44" i="9"/>
  <c r="F44" i="9"/>
  <c r="E44" i="9"/>
  <c r="D44" i="9"/>
  <c r="C44" i="9"/>
  <c r="O43" i="9"/>
  <c r="M43" i="9"/>
  <c r="L43" i="9"/>
  <c r="K43" i="9"/>
  <c r="J43" i="9"/>
  <c r="I43" i="9"/>
  <c r="H43" i="9"/>
  <c r="G43" i="9"/>
  <c r="F43" i="9"/>
  <c r="E43" i="9"/>
  <c r="D43" i="9"/>
  <c r="C43" i="9"/>
  <c r="O42" i="9"/>
  <c r="M42" i="9"/>
  <c r="L42" i="9"/>
  <c r="K42" i="9"/>
  <c r="J42" i="9"/>
  <c r="I42" i="9"/>
  <c r="H42" i="9"/>
  <c r="G42" i="9"/>
  <c r="F42" i="9"/>
  <c r="E42" i="9"/>
  <c r="D42" i="9"/>
  <c r="C42" i="9"/>
  <c r="O41" i="9"/>
  <c r="M41" i="9"/>
  <c r="L41" i="9"/>
  <c r="K41" i="9"/>
  <c r="J41" i="9"/>
  <c r="I41" i="9"/>
  <c r="H41" i="9"/>
  <c r="G41" i="9"/>
  <c r="F41" i="9"/>
  <c r="E41" i="9"/>
  <c r="D41" i="9"/>
  <c r="C41" i="9"/>
  <c r="O40" i="9"/>
  <c r="M40" i="9"/>
  <c r="L40" i="9"/>
  <c r="K40" i="9"/>
  <c r="J40" i="9"/>
  <c r="I40" i="9"/>
  <c r="H40" i="9"/>
  <c r="G40" i="9"/>
  <c r="F40" i="9"/>
  <c r="E40" i="9"/>
  <c r="D40" i="9"/>
  <c r="C40" i="9"/>
  <c r="O39" i="9"/>
  <c r="M39" i="9"/>
  <c r="L39" i="9"/>
  <c r="K39" i="9"/>
  <c r="J39" i="9"/>
  <c r="I39" i="9"/>
  <c r="H39" i="9"/>
  <c r="G39" i="9"/>
  <c r="F39" i="9"/>
  <c r="E39" i="9"/>
  <c r="D39" i="9"/>
  <c r="C39" i="9"/>
  <c r="O38" i="9"/>
  <c r="M38" i="9"/>
  <c r="L38" i="9"/>
  <c r="K38" i="9"/>
  <c r="J38" i="9"/>
  <c r="I38" i="9"/>
  <c r="H38" i="9"/>
  <c r="G38" i="9"/>
  <c r="F38" i="9"/>
  <c r="E38" i="9"/>
  <c r="D38" i="9"/>
  <c r="C38" i="9"/>
  <c r="O37" i="9"/>
  <c r="M37" i="9"/>
  <c r="L37" i="9"/>
  <c r="K37" i="9"/>
  <c r="J37" i="9"/>
  <c r="I37" i="9"/>
  <c r="H37" i="9"/>
  <c r="G37" i="9"/>
  <c r="F37" i="9"/>
  <c r="E37" i="9"/>
  <c r="D37" i="9"/>
  <c r="C37" i="9"/>
  <c r="O36" i="9"/>
  <c r="M36" i="9"/>
  <c r="L36" i="9"/>
  <c r="K36" i="9"/>
  <c r="J36" i="9"/>
  <c r="I36" i="9"/>
  <c r="H36" i="9"/>
  <c r="G36" i="9"/>
  <c r="F36" i="9"/>
  <c r="E36" i="9"/>
  <c r="D36" i="9"/>
  <c r="C36" i="9"/>
  <c r="O35" i="9"/>
  <c r="M35" i="9"/>
  <c r="L35" i="9"/>
  <c r="K35" i="9"/>
  <c r="J35" i="9"/>
  <c r="I35" i="9"/>
  <c r="H35" i="9"/>
  <c r="G35" i="9"/>
  <c r="F35" i="9"/>
  <c r="E35" i="9"/>
  <c r="D35" i="9"/>
  <c r="C35" i="9"/>
  <c r="O34" i="9"/>
  <c r="M34" i="9"/>
  <c r="L34" i="9"/>
  <c r="K34" i="9"/>
  <c r="J34" i="9"/>
  <c r="I34" i="9"/>
  <c r="H34" i="9"/>
  <c r="G34" i="9"/>
  <c r="F34" i="9"/>
  <c r="E34" i="9"/>
  <c r="D34" i="9"/>
  <c r="C34" i="9"/>
  <c r="O33" i="9"/>
  <c r="M33" i="9"/>
  <c r="L33" i="9"/>
  <c r="K33" i="9"/>
  <c r="J33" i="9"/>
  <c r="I33" i="9"/>
  <c r="H33" i="9"/>
  <c r="G33" i="9"/>
  <c r="F33" i="9"/>
  <c r="E33" i="9"/>
  <c r="D33" i="9"/>
  <c r="C33" i="9"/>
  <c r="O32" i="9"/>
  <c r="M32" i="9"/>
  <c r="L32" i="9"/>
  <c r="K32" i="9"/>
  <c r="J32" i="9"/>
  <c r="I32" i="9"/>
  <c r="H32" i="9"/>
  <c r="G32" i="9"/>
  <c r="F32" i="9"/>
  <c r="E32" i="9"/>
  <c r="D32" i="9"/>
  <c r="C32" i="9"/>
  <c r="O31" i="9"/>
  <c r="M31" i="9"/>
  <c r="L31" i="9"/>
  <c r="K31" i="9"/>
  <c r="J31" i="9"/>
  <c r="I31" i="9"/>
  <c r="H31" i="9"/>
  <c r="G31" i="9"/>
  <c r="F31" i="9"/>
  <c r="E31" i="9"/>
  <c r="D31" i="9"/>
  <c r="C31" i="9"/>
  <c r="O30" i="9"/>
  <c r="M30" i="9"/>
  <c r="L30" i="9"/>
  <c r="K30" i="9"/>
  <c r="J30" i="9"/>
  <c r="I30" i="9"/>
  <c r="H30" i="9"/>
  <c r="G30" i="9"/>
  <c r="F30" i="9"/>
  <c r="E30" i="9"/>
  <c r="D30" i="9"/>
  <c r="C30" i="9"/>
  <c r="O29" i="9"/>
  <c r="M29" i="9"/>
  <c r="L29" i="9"/>
  <c r="K29" i="9"/>
  <c r="J29" i="9"/>
  <c r="I29" i="9"/>
  <c r="H29" i="9"/>
  <c r="G29" i="9"/>
  <c r="F29" i="9"/>
  <c r="E29" i="9"/>
  <c r="D29" i="9"/>
  <c r="C29" i="9"/>
  <c r="O28" i="9"/>
  <c r="M28" i="9"/>
  <c r="L28" i="9"/>
  <c r="K28" i="9"/>
  <c r="J28" i="9"/>
  <c r="I28" i="9"/>
  <c r="H28" i="9"/>
  <c r="G28" i="9"/>
  <c r="F28" i="9"/>
  <c r="E28" i="9"/>
  <c r="D28" i="9"/>
  <c r="C28" i="9"/>
  <c r="O27" i="9"/>
  <c r="M27" i="9"/>
  <c r="L27" i="9"/>
  <c r="K27" i="9"/>
  <c r="J27" i="9"/>
  <c r="I27" i="9"/>
  <c r="H27" i="9"/>
  <c r="G27" i="9"/>
  <c r="F27" i="9"/>
  <c r="E27" i="9"/>
  <c r="D27" i="9"/>
  <c r="C27" i="9"/>
  <c r="O26" i="9"/>
  <c r="M26" i="9"/>
  <c r="L26" i="9"/>
  <c r="K26" i="9"/>
  <c r="J26" i="9"/>
  <c r="I26" i="9"/>
  <c r="H26" i="9"/>
  <c r="G26" i="9"/>
  <c r="F26" i="9"/>
  <c r="E26" i="9"/>
  <c r="D26" i="9"/>
  <c r="C26" i="9"/>
  <c r="O25" i="9"/>
  <c r="M25" i="9"/>
  <c r="L25" i="9"/>
  <c r="K25" i="9"/>
  <c r="J25" i="9"/>
  <c r="I25" i="9"/>
  <c r="H25" i="9"/>
  <c r="G25" i="9"/>
  <c r="F25" i="9"/>
  <c r="E25" i="9"/>
  <c r="D25" i="9"/>
  <c r="C25" i="9"/>
  <c r="O24" i="9"/>
  <c r="M24" i="9"/>
  <c r="L24" i="9"/>
  <c r="K24" i="9"/>
  <c r="J24" i="9"/>
  <c r="I24" i="9"/>
  <c r="H24" i="9"/>
  <c r="G24" i="9"/>
  <c r="F24" i="9"/>
  <c r="E24" i="9"/>
  <c r="D24" i="9"/>
  <c r="C24" i="9"/>
  <c r="O23" i="9"/>
  <c r="M23" i="9"/>
  <c r="L23" i="9"/>
  <c r="K23" i="9"/>
  <c r="J23" i="9"/>
  <c r="I23" i="9"/>
  <c r="H23" i="9"/>
  <c r="G23" i="9"/>
  <c r="F23" i="9"/>
  <c r="E23" i="9"/>
  <c r="D23" i="9"/>
  <c r="C23" i="9"/>
  <c r="O22" i="9"/>
  <c r="M22" i="9"/>
  <c r="L22" i="9"/>
  <c r="K22" i="9"/>
  <c r="J22" i="9"/>
  <c r="I22" i="9"/>
  <c r="H22" i="9"/>
  <c r="G22" i="9"/>
  <c r="F22" i="9"/>
  <c r="E22" i="9"/>
  <c r="D22" i="9"/>
  <c r="C22" i="9"/>
  <c r="O21" i="9"/>
  <c r="M21" i="9"/>
  <c r="L21" i="9"/>
  <c r="K21" i="9"/>
  <c r="J21" i="9"/>
  <c r="I21" i="9"/>
  <c r="H21" i="9"/>
  <c r="G21" i="9"/>
  <c r="F21" i="9"/>
  <c r="E21" i="9"/>
  <c r="D21" i="9"/>
  <c r="C21" i="9"/>
  <c r="O20" i="9"/>
  <c r="M20" i="9"/>
  <c r="L20" i="9"/>
  <c r="K20" i="9"/>
  <c r="J20" i="9"/>
  <c r="I20" i="9"/>
  <c r="H20" i="9"/>
  <c r="G20" i="9"/>
  <c r="F20" i="9"/>
  <c r="E20" i="9"/>
  <c r="D20" i="9"/>
  <c r="C20" i="9"/>
  <c r="O19" i="9"/>
  <c r="M19" i="9"/>
  <c r="L19" i="9"/>
  <c r="K19" i="9"/>
  <c r="J19" i="9"/>
  <c r="I19" i="9"/>
  <c r="H19" i="9"/>
  <c r="G19" i="9"/>
  <c r="F19" i="9"/>
  <c r="E19" i="9"/>
  <c r="D19" i="9"/>
  <c r="C19" i="9"/>
  <c r="O18" i="9"/>
  <c r="M18" i="9"/>
  <c r="L18" i="9"/>
  <c r="K18" i="9"/>
  <c r="J18" i="9"/>
  <c r="I18" i="9"/>
  <c r="H18" i="9"/>
  <c r="G18" i="9"/>
  <c r="F18" i="9"/>
  <c r="E18" i="9"/>
  <c r="D18" i="9"/>
  <c r="C18" i="9"/>
  <c r="O17" i="9"/>
  <c r="M17" i="9"/>
  <c r="L17" i="9"/>
  <c r="K17" i="9"/>
  <c r="J17" i="9"/>
  <c r="I17" i="9"/>
  <c r="H17" i="9"/>
  <c r="G17" i="9"/>
  <c r="F17" i="9"/>
  <c r="E17" i="9"/>
  <c r="D17" i="9"/>
  <c r="C17" i="9"/>
  <c r="O16" i="9"/>
  <c r="M16" i="9"/>
  <c r="L16" i="9"/>
  <c r="K16" i="9"/>
  <c r="J16" i="9"/>
  <c r="I16" i="9"/>
  <c r="H16" i="9"/>
  <c r="G16" i="9"/>
  <c r="F16" i="9"/>
  <c r="E16" i="9"/>
  <c r="D16" i="9"/>
  <c r="C16" i="9"/>
  <c r="O15" i="9"/>
  <c r="M15" i="9"/>
  <c r="L15" i="9"/>
  <c r="K15" i="9"/>
  <c r="J15" i="9"/>
  <c r="I15" i="9"/>
  <c r="H15" i="9"/>
  <c r="G15" i="9"/>
  <c r="F15" i="9"/>
  <c r="E15" i="9"/>
  <c r="D15" i="9"/>
  <c r="C15" i="9"/>
  <c r="O14" i="9"/>
  <c r="M14" i="9"/>
  <c r="L14" i="9"/>
  <c r="K14" i="9"/>
  <c r="J14" i="9"/>
  <c r="I14" i="9"/>
  <c r="H14" i="9"/>
  <c r="G14" i="9"/>
  <c r="F14" i="9"/>
  <c r="E14" i="9"/>
  <c r="D14" i="9"/>
  <c r="C14" i="9"/>
  <c r="O13" i="9"/>
  <c r="M13" i="9"/>
  <c r="L13" i="9"/>
  <c r="K13" i="9"/>
  <c r="J13" i="9"/>
  <c r="I13" i="9"/>
  <c r="H13" i="9"/>
  <c r="G13" i="9"/>
  <c r="F13" i="9"/>
  <c r="E13" i="9"/>
  <c r="D13" i="9"/>
  <c r="C13" i="9"/>
  <c r="O12" i="9"/>
  <c r="M12" i="9"/>
  <c r="L12" i="9"/>
  <c r="K12" i="9"/>
  <c r="J12" i="9"/>
  <c r="I12" i="9"/>
  <c r="H12" i="9"/>
  <c r="G12" i="9"/>
  <c r="F12" i="9"/>
  <c r="E12" i="9"/>
  <c r="D12" i="9"/>
  <c r="C12" i="9"/>
  <c r="O11" i="9"/>
  <c r="M11" i="9"/>
  <c r="L11" i="9"/>
  <c r="K11" i="9"/>
  <c r="J11" i="9"/>
  <c r="I11" i="9"/>
  <c r="H11" i="9"/>
  <c r="G11" i="9"/>
  <c r="F11" i="9"/>
  <c r="E11" i="9"/>
  <c r="D11" i="9"/>
  <c r="C11" i="9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O158" i="7"/>
  <c r="N158" i="7"/>
  <c r="M158" i="7"/>
  <c r="L158" i="7"/>
  <c r="L172" i="7" s="1"/>
  <c r="K158" i="7"/>
  <c r="K172" i="7" s="1"/>
  <c r="J158" i="7"/>
  <c r="J172" i="7" s="1"/>
  <c r="I158" i="7"/>
  <c r="I172" i="7" s="1"/>
  <c r="H158" i="7"/>
  <c r="H172" i="7" s="1"/>
  <c r="G158" i="7"/>
  <c r="G172" i="7" s="1"/>
  <c r="F158" i="7"/>
  <c r="F172" i="7" s="1"/>
  <c r="F173" i="7" s="1"/>
  <c r="E158" i="7"/>
  <c r="D158" i="7"/>
  <c r="C158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O137" i="7"/>
  <c r="N137" i="7"/>
  <c r="M137" i="7"/>
  <c r="L137" i="7"/>
  <c r="L171" i="7" s="1"/>
  <c r="K137" i="7"/>
  <c r="K171" i="7" s="1"/>
  <c r="J137" i="7"/>
  <c r="J171" i="7" s="1"/>
  <c r="I137" i="7"/>
  <c r="I171" i="7" s="1"/>
  <c r="H137" i="7"/>
  <c r="H171" i="7" s="1"/>
  <c r="G137" i="7"/>
  <c r="G171" i="7" s="1"/>
  <c r="F137" i="7"/>
  <c r="F171" i="7" s="1"/>
  <c r="E137" i="7"/>
  <c r="D137" i="7"/>
  <c r="C137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O166" i="6"/>
  <c r="N166" i="6"/>
  <c r="M166" i="6"/>
  <c r="L166" i="6"/>
  <c r="K166" i="6"/>
  <c r="J166" i="6"/>
  <c r="I166" i="6"/>
  <c r="H166" i="6"/>
  <c r="G166" i="6"/>
  <c r="F166" i="6"/>
  <c r="E166" i="6"/>
  <c r="D166" i="6"/>
  <c r="C166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C165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C164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C163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C161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C160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C157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K25" i="26"/>
  <c r="AK23" i="26"/>
  <c r="J173" i="7" l="1"/>
  <c r="F171" i="9"/>
  <c r="F173" i="9" s="1"/>
  <c r="F32" i="19"/>
  <c r="G171" i="9"/>
  <c r="G173" i="9" s="1"/>
  <c r="G32" i="19"/>
  <c r="H32" i="19"/>
  <c r="H171" i="9"/>
  <c r="H173" i="9" s="1"/>
  <c r="I32" i="19"/>
  <c r="I171" i="9"/>
  <c r="I173" i="9" s="1"/>
  <c r="J32" i="19"/>
  <c r="J171" i="9"/>
  <c r="J173" i="9" s="1"/>
  <c r="K171" i="9"/>
  <c r="K173" i="9" s="1"/>
  <c r="K32" i="19"/>
  <c r="L171" i="9"/>
  <c r="L173" i="9" s="1"/>
  <c r="L32" i="19"/>
  <c r="J174" i="7"/>
  <c r="J175" i="7"/>
  <c r="J176" i="7" s="1"/>
  <c r="K173" i="7"/>
  <c r="L173" i="7"/>
  <c r="F175" i="7"/>
  <c r="F174" i="7"/>
  <c r="G173" i="7"/>
  <c r="H173" i="7"/>
  <c r="I173" i="7"/>
  <c r="AK50" i="20"/>
  <c r="AK44" i="20"/>
  <c r="AK42" i="20"/>
  <c r="M174" i="9" l="1"/>
  <c r="M173" i="9"/>
  <c r="I174" i="7"/>
  <c r="I175" i="7"/>
  <c r="I176" i="7" s="1"/>
  <c r="H174" i="7"/>
  <c r="H175" i="7"/>
  <c r="H176" i="7" s="1"/>
  <c r="G175" i="7"/>
  <c r="G176" i="7" s="1"/>
  <c r="G174" i="7"/>
  <c r="M173" i="7"/>
  <c r="M174" i="7"/>
  <c r="F176" i="7"/>
  <c r="M176" i="7" s="1"/>
  <c r="M175" i="7"/>
  <c r="L174" i="7"/>
  <c r="L175" i="7"/>
  <c r="L176" i="7" s="1"/>
  <c r="K174" i="7"/>
  <c r="N174" i="7" s="1"/>
  <c r="K175" i="7"/>
  <c r="K176" i="7" s="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I12" i="21"/>
  <c r="H12" i="21"/>
  <c r="G12" i="21"/>
  <c r="F12" i="21"/>
  <c r="E12" i="21"/>
  <c r="D12" i="21"/>
  <c r="C12" i="21"/>
  <c r="AQ38" i="21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Q166" i="5" s="1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Q165" i="5" s="1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Q164" i="5" s="1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Q163" i="5" s="1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Q162" i="5" s="1"/>
  <c r="O161" i="5"/>
  <c r="N161" i="5"/>
  <c r="M161" i="5"/>
  <c r="L161" i="5"/>
  <c r="K161" i="5"/>
  <c r="J161" i="5"/>
  <c r="I161" i="5"/>
  <c r="H161" i="5"/>
  <c r="G161" i="5"/>
  <c r="F161" i="5"/>
  <c r="E161" i="5"/>
  <c r="D161" i="5"/>
  <c r="R161" i="5" s="1"/>
  <c r="C161" i="5"/>
  <c r="Q161" i="5" s="1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Q160" i="5" s="1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Q159" i="5" s="1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Q158" i="5" s="1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Q157" i="5" s="1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Q156" i="5" s="1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Q155" i="5" s="1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Q154" i="5" s="1"/>
  <c r="O153" i="5"/>
  <c r="O12" i="28" s="1"/>
  <c r="O38" i="28" s="1"/>
  <c r="N153" i="5"/>
  <c r="N12" i="28" s="1"/>
  <c r="N38" i="28" s="1"/>
  <c r="M153" i="5"/>
  <c r="M12" i="28" s="1"/>
  <c r="M38" i="28" s="1"/>
  <c r="L153" i="5"/>
  <c r="L12" i="28" s="1"/>
  <c r="L38" i="28" s="1"/>
  <c r="K153" i="5"/>
  <c r="K12" i="28" s="1"/>
  <c r="K38" i="28" s="1"/>
  <c r="J153" i="5"/>
  <c r="J12" i="28" s="1"/>
  <c r="J38" i="28" s="1"/>
  <c r="I153" i="5"/>
  <c r="H153" i="5"/>
  <c r="G153" i="5"/>
  <c r="G12" i="28" s="1"/>
  <c r="G38" i="28" s="1"/>
  <c r="F153" i="5"/>
  <c r="F12" i="28" s="1"/>
  <c r="F38" i="28" s="1"/>
  <c r="E153" i="5"/>
  <c r="E12" i="28" s="1"/>
  <c r="E38" i="28" s="1"/>
  <c r="D153" i="5"/>
  <c r="C153" i="5"/>
  <c r="C12" i="28" s="1"/>
  <c r="C38" i="28" s="1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Q152" i="5" s="1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Q151" i="5" s="1"/>
  <c r="O150" i="5"/>
  <c r="N150" i="5"/>
  <c r="M150" i="5"/>
  <c r="L150" i="5"/>
  <c r="K150" i="5"/>
  <c r="J150" i="5"/>
  <c r="I150" i="5"/>
  <c r="H150" i="5"/>
  <c r="G150" i="5"/>
  <c r="F150" i="5"/>
  <c r="E150" i="5"/>
  <c r="D150" i="5"/>
  <c r="R150" i="5" s="1"/>
  <c r="C150" i="5"/>
  <c r="Q150" i="5" s="1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Q149" i="5" s="1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Q148" i="5" s="1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Q147" i="5" s="1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Q146" i="5" s="1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Q145" i="5" s="1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Q144" i="5" s="1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Q143" i="5" s="1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Q142" i="5" s="1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Q141" i="5" s="1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Q140" i="5" s="1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Q139" i="5" s="1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Q138" i="5" s="1"/>
  <c r="O137" i="5"/>
  <c r="N137" i="5"/>
  <c r="M137" i="5"/>
  <c r="L137" i="5"/>
  <c r="K137" i="5"/>
  <c r="J137" i="5"/>
  <c r="I137" i="5"/>
  <c r="H137" i="5"/>
  <c r="G137" i="5"/>
  <c r="F137" i="5"/>
  <c r="E137" i="5"/>
  <c r="D137" i="5"/>
  <c r="R137" i="5" s="1"/>
  <c r="C137" i="5"/>
  <c r="Q137" i="5" s="1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Q136" i="5" s="1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Q135" i="5" s="1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Q134" i="5" s="1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Q133" i="5" s="1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Q132" i="5" s="1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Q131" i="5" s="1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Q130" i="5" s="1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Q129" i="5" s="1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Q128" i="5" s="1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Q127" i="5" s="1"/>
  <c r="O126" i="5"/>
  <c r="N126" i="5"/>
  <c r="M126" i="5"/>
  <c r="L126" i="5"/>
  <c r="K126" i="5"/>
  <c r="J126" i="5"/>
  <c r="I126" i="5"/>
  <c r="H126" i="5"/>
  <c r="G126" i="5"/>
  <c r="F126" i="5"/>
  <c r="E126" i="5"/>
  <c r="D126" i="5"/>
  <c r="R126" i="5" s="1"/>
  <c r="C126" i="5"/>
  <c r="Q126" i="5" s="1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Q125" i="5" s="1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Q124" i="5" s="1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Q123" i="5" s="1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Q122" i="5" s="1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Q121" i="5" s="1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Q120" i="5" s="1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Q119" i="5" s="1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Q118" i="5" s="1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Q117" i="5" s="1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Q116" i="5" s="1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Q115" i="5" s="1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Q114" i="5" s="1"/>
  <c r="O113" i="5"/>
  <c r="N113" i="5"/>
  <c r="M113" i="5"/>
  <c r="L113" i="5"/>
  <c r="K113" i="5"/>
  <c r="J113" i="5"/>
  <c r="I113" i="5"/>
  <c r="H113" i="5"/>
  <c r="G113" i="5"/>
  <c r="F113" i="5"/>
  <c r="E113" i="5"/>
  <c r="D113" i="5"/>
  <c r="R113" i="5" s="1"/>
  <c r="C113" i="5"/>
  <c r="Q113" i="5" s="1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Q112" i="5" s="1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Q111" i="5" s="1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Q110" i="5" s="1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Q109" i="5" s="1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Q108" i="5" s="1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Q107" i="5" s="1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Q106" i="5" s="1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Q105" i="5" s="1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Q104" i="5" s="1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Q103" i="5" s="1"/>
  <c r="O102" i="5"/>
  <c r="N102" i="5"/>
  <c r="M102" i="5"/>
  <c r="L102" i="5"/>
  <c r="K102" i="5"/>
  <c r="J102" i="5"/>
  <c r="I102" i="5"/>
  <c r="H102" i="5"/>
  <c r="G102" i="5"/>
  <c r="F102" i="5"/>
  <c r="E102" i="5"/>
  <c r="D102" i="5"/>
  <c r="R102" i="5" s="1"/>
  <c r="C102" i="5"/>
  <c r="Q102" i="5" s="1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Q101" i="5" s="1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Q100" i="5" s="1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Q99" i="5" s="1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Q98" i="5" s="1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Q97" i="5" s="1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Q96" i="5" s="1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Q95" i="5" s="1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Q94" i="5" s="1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Q93" i="5" s="1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Q92" i="5" s="1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Q91" i="5" s="1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Q90" i="5" s="1"/>
  <c r="O89" i="5"/>
  <c r="N89" i="5"/>
  <c r="M89" i="5"/>
  <c r="L89" i="5"/>
  <c r="K89" i="5"/>
  <c r="J89" i="5"/>
  <c r="I89" i="5"/>
  <c r="H89" i="5"/>
  <c r="G89" i="5"/>
  <c r="F89" i="5"/>
  <c r="E89" i="5"/>
  <c r="D89" i="5"/>
  <c r="R89" i="5" s="1"/>
  <c r="C89" i="5"/>
  <c r="Q89" i="5" s="1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Q88" i="5" s="1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Q87" i="5" s="1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Q86" i="5" s="1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Q85" i="5" s="1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Q84" i="5" s="1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Q83" i="5" s="1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Q82" i="5" s="1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Q81" i="5" s="1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Q80" i="5" s="1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Q79" i="5" s="1"/>
  <c r="O78" i="5"/>
  <c r="N78" i="5"/>
  <c r="M78" i="5"/>
  <c r="L78" i="5"/>
  <c r="K78" i="5"/>
  <c r="J78" i="5"/>
  <c r="I78" i="5"/>
  <c r="H78" i="5"/>
  <c r="G78" i="5"/>
  <c r="F78" i="5"/>
  <c r="E78" i="5"/>
  <c r="D78" i="5"/>
  <c r="R78" i="5" s="1"/>
  <c r="C78" i="5"/>
  <c r="Q78" i="5" s="1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Q77" i="5" s="1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Q76" i="5" s="1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Q75" i="5" s="1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Q74" i="5" s="1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Q73" i="5" s="1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Q72" i="5" s="1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Q71" i="5" s="1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Q70" i="5" s="1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Q69" i="5" s="1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Q68" i="5" s="1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Q67" i="5" s="1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Q66" i="5" s="1"/>
  <c r="O65" i="5"/>
  <c r="N65" i="5"/>
  <c r="M65" i="5"/>
  <c r="L65" i="5"/>
  <c r="K65" i="5"/>
  <c r="J65" i="5"/>
  <c r="I65" i="5"/>
  <c r="H65" i="5"/>
  <c r="G65" i="5"/>
  <c r="F65" i="5"/>
  <c r="E65" i="5"/>
  <c r="D65" i="5"/>
  <c r="R65" i="5" s="1"/>
  <c r="C65" i="5"/>
  <c r="Q65" i="5" s="1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Q64" i="5" s="1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Q63" i="5" s="1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Q62" i="5" s="1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Q61" i="5" s="1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Q60" i="5" s="1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Q59" i="5" s="1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Q58" i="5" s="1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Q57" i="5" s="1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Q56" i="5" s="1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Q55" i="5" s="1"/>
  <c r="O54" i="5"/>
  <c r="N54" i="5"/>
  <c r="M54" i="5"/>
  <c r="L54" i="5"/>
  <c r="K54" i="5"/>
  <c r="J54" i="5"/>
  <c r="I54" i="5"/>
  <c r="H54" i="5"/>
  <c r="G54" i="5"/>
  <c r="F54" i="5"/>
  <c r="E54" i="5"/>
  <c r="D54" i="5"/>
  <c r="R54" i="5" s="1"/>
  <c r="C54" i="5"/>
  <c r="Q54" i="5" s="1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Q53" i="5" s="1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Q52" i="5" s="1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Q51" i="5" s="1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Q50" i="5" s="1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Q49" i="5" s="1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Q48" i="5" s="1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Q47" i="5" s="1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Q46" i="5" s="1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Q45" i="5" s="1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Q44" i="5" s="1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Q43" i="5" s="1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Q42" i="5" s="1"/>
  <c r="O41" i="5"/>
  <c r="N41" i="5"/>
  <c r="M41" i="5"/>
  <c r="L41" i="5"/>
  <c r="K41" i="5"/>
  <c r="J41" i="5"/>
  <c r="I41" i="5"/>
  <c r="H41" i="5"/>
  <c r="G41" i="5"/>
  <c r="F41" i="5"/>
  <c r="E41" i="5"/>
  <c r="D41" i="5"/>
  <c r="R41" i="5" s="1"/>
  <c r="C41" i="5"/>
  <c r="Q41" i="5" s="1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Q40" i="5" s="1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Q39" i="5" s="1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Q38" i="5" s="1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Q37" i="5" s="1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Q36" i="5" s="1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Q35" i="5" s="1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Q34" i="5" s="1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Q33" i="5" s="1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Q32" i="5" s="1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Q31" i="5" s="1"/>
  <c r="O30" i="5"/>
  <c r="N30" i="5"/>
  <c r="M30" i="5"/>
  <c r="L30" i="5"/>
  <c r="K30" i="5"/>
  <c r="J30" i="5"/>
  <c r="I30" i="5"/>
  <c r="H30" i="5"/>
  <c r="G30" i="5"/>
  <c r="F30" i="5"/>
  <c r="E30" i="5"/>
  <c r="D30" i="5"/>
  <c r="R30" i="5" s="1"/>
  <c r="C30" i="5"/>
  <c r="Q30" i="5" s="1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Q29" i="5" s="1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Q28" i="5" s="1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Q27" i="5" s="1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Q26" i="5" s="1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Q25" i="5" s="1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Q24" i="5" s="1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Q23" i="5" s="1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Q22" i="5" s="1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Q21" i="5" s="1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Q20" i="5" s="1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Q19" i="5" s="1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Q18" i="5" s="1"/>
  <c r="O17" i="5"/>
  <c r="N17" i="5"/>
  <c r="M17" i="5"/>
  <c r="L17" i="5"/>
  <c r="K17" i="5"/>
  <c r="J17" i="5"/>
  <c r="I17" i="5"/>
  <c r="H17" i="5"/>
  <c r="G17" i="5"/>
  <c r="F17" i="5"/>
  <c r="E17" i="5"/>
  <c r="D17" i="5"/>
  <c r="R17" i="5" s="1"/>
  <c r="C17" i="5"/>
  <c r="Q17" i="5" s="1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Q16" i="5" s="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Q15" i="5" s="1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Q14" i="5" s="1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Q13" i="5" s="1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Q12" i="5" s="1"/>
  <c r="O11" i="5"/>
  <c r="O72" i="28" s="1"/>
  <c r="O7" i="28" s="1"/>
  <c r="O61" i="28" s="1"/>
  <c r="N11" i="5"/>
  <c r="N5" i="28" s="1"/>
  <c r="M11" i="5"/>
  <c r="M5" i="28" s="1"/>
  <c r="L11" i="5"/>
  <c r="L72" i="28" s="1"/>
  <c r="L7" i="28" s="1"/>
  <c r="L61" i="28" s="1"/>
  <c r="K11" i="5"/>
  <c r="K5" i="28" s="1"/>
  <c r="J11" i="5"/>
  <c r="J5" i="28" s="1"/>
  <c r="I11" i="5"/>
  <c r="I72" i="28" s="1"/>
  <c r="I7" i="28" s="1"/>
  <c r="I61" i="28" s="1"/>
  <c r="H11" i="5"/>
  <c r="H72" i="28" s="1"/>
  <c r="H7" i="28" s="1"/>
  <c r="H61" i="28" s="1"/>
  <c r="G11" i="5"/>
  <c r="G72" i="28" s="1"/>
  <c r="G7" i="28" s="1"/>
  <c r="G61" i="28" s="1"/>
  <c r="F11" i="5"/>
  <c r="F72" i="28" s="1"/>
  <c r="F7" i="28" s="1"/>
  <c r="F61" i="28" s="1"/>
  <c r="E11" i="5"/>
  <c r="E72" i="28" s="1"/>
  <c r="E7" i="28" s="1"/>
  <c r="E61" i="28" s="1"/>
  <c r="C11" i="5"/>
  <c r="Q11" i="5" s="1"/>
  <c r="D11" i="5"/>
  <c r="Q39" i="4"/>
  <c r="Q38" i="4"/>
  <c r="Q33" i="4"/>
  <c r="Q32" i="4"/>
  <c r="Q26" i="4"/>
  <c r="Q25" i="4"/>
  <c r="Q24" i="4"/>
  <c r="O166" i="4"/>
  <c r="N166" i="4"/>
  <c r="M166" i="4"/>
  <c r="L166" i="4"/>
  <c r="K166" i="4"/>
  <c r="J166" i="4"/>
  <c r="I166" i="4"/>
  <c r="H166" i="4"/>
  <c r="G166" i="4"/>
  <c r="F166" i="4"/>
  <c r="E166" i="4"/>
  <c r="O165" i="4"/>
  <c r="N165" i="4"/>
  <c r="M165" i="4"/>
  <c r="L165" i="4"/>
  <c r="K165" i="4"/>
  <c r="J165" i="4"/>
  <c r="I165" i="4"/>
  <c r="H165" i="4"/>
  <c r="G165" i="4"/>
  <c r="F165" i="4"/>
  <c r="E165" i="4"/>
  <c r="O164" i="4"/>
  <c r="N164" i="4"/>
  <c r="M164" i="4"/>
  <c r="L164" i="4"/>
  <c r="K164" i="4"/>
  <c r="J164" i="4"/>
  <c r="I164" i="4"/>
  <c r="H164" i="4"/>
  <c r="G164" i="4"/>
  <c r="F164" i="4"/>
  <c r="E164" i="4"/>
  <c r="O163" i="4"/>
  <c r="N163" i="4"/>
  <c r="M163" i="4"/>
  <c r="L163" i="4"/>
  <c r="K163" i="4"/>
  <c r="J163" i="4"/>
  <c r="I163" i="4"/>
  <c r="H163" i="4"/>
  <c r="G163" i="4"/>
  <c r="F163" i="4"/>
  <c r="E163" i="4"/>
  <c r="O162" i="4"/>
  <c r="N162" i="4"/>
  <c r="M162" i="4"/>
  <c r="L162" i="4"/>
  <c r="K162" i="4"/>
  <c r="J162" i="4"/>
  <c r="I162" i="4"/>
  <c r="I168" i="4" s="1"/>
  <c r="H162" i="4"/>
  <c r="H168" i="4" s="1"/>
  <c r="I169" i="4" s="1"/>
  <c r="G162" i="4"/>
  <c r="G168" i="4" s="1"/>
  <c r="H169" i="4" s="1"/>
  <c r="F162" i="4"/>
  <c r="F168" i="4" s="1"/>
  <c r="G169" i="4" s="1"/>
  <c r="E162" i="4"/>
  <c r="E168" i="4" s="1"/>
  <c r="F169" i="4" s="1"/>
  <c r="O161" i="4"/>
  <c r="N161" i="4"/>
  <c r="M161" i="4"/>
  <c r="L161" i="4"/>
  <c r="K161" i="4"/>
  <c r="J161" i="4"/>
  <c r="I161" i="4"/>
  <c r="H161" i="4"/>
  <c r="G161" i="4"/>
  <c r="F161" i="4"/>
  <c r="E161" i="4"/>
  <c r="O160" i="4"/>
  <c r="N160" i="4"/>
  <c r="M160" i="4"/>
  <c r="L160" i="4"/>
  <c r="K160" i="4"/>
  <c r="J160" i="4"/>
  <c r="I160" i="4"/>
  <c r="H160" i="4"/>
  <c r="G160" i="4"/>
  <c r="F160" i="4"/>
  <c r="E160" i="4"/>
  <c r="O159" i="4"/>
  <c r="N159" i="4"/>
  <c r="M159" i="4"/>
  <c r="L159" i="4"/>
  <c r="K159" i="4"/>
  <c r="J159" i="4"/>
  <c r="I159" i="4"/>
  <c r="H159" i="4"/>
  <c r="G159" i="4"/>
  <c r="F159" i="4"/>
  <c r="E159" i="4"/>
  <c r="O158" i="4"/>
  <c r="N158" i="4"/>
  <c r="M158" i="4"/>
  <c r="L158" i="4"/>
  <c r="K158" i="4"/>
  <c r="J158" i="4"/>
  <c r="I158" i="4"/>
  <c r="H158" i="4"/>
  <c r="G158" i="4"/>
  <c r="F158" i="4"/>
  <c r="E158" i="4"/>
  <c r="O157" i="4"/>
  <c r="N157" i="4"/>
  <c r="M157" i="4"/>
  <c r="L157" i="4"/>
  <c r="K157" i="4"/>
  <c r="J157" i="4"/>
  <c r="I157" i="4"/>
  <c r="H157" i="4"/>
  <c r="G157" i="4"/>
  <c r="F157" i="4"/>
  <c r="E157" i="4"/>
  <c r="O156" i="4"/>
  <c r="N156" i="4"/>
  <c r="M156" i="4"/>
  <c r="L156" i="4"/>
  <c r="K156" i="4"/>
  <c r="J156" i="4"/>
  <c r="I156" i="4"/>
  <c r="H156" i="4"/>
  <c r="G156" i="4"/>
  <c r="F156" i="4"/>
  <c r="E156" i="4"/>
  <c r="O155" i="4"/>
  <c r="N155" i="4"/>
  <c r="M155" i="4"/>
  <c r="L155" i="4"/>
  <c r="K155" i="4"/>
  <c r="J155" i="4"/>
  <c r="I155" i="4"/>
  <c r="H155" i="4"/>
  <c r="G155" i="4"/>
  <c r="F155" i="4"/>
  <c r="E155" i="4"/>
  <c r="O154" i="4"/>
  <c r="N154" i="4"/>
  <c r="M154" i="4"/>
  <c r="L154" i="4"/>
  <c r="K154" i="4"/>
  <c r="J154" i="4"/>
  <c r="I154" i="4"/>
  <c r="H154" i="4"/>
  <c r="G154" i="4"/>
  <c r="F154" i="4"/>
  <c r="E154" i="4"/>
  <c r="O153" i="4"/>
  <c r="N153" i="4"/>
  <c r="M153" i="4"/>
  <c r="M11" i="28" s="1"/>
  <c r="M14" i="28" s="1"/>
  <c r="L153" i="4"/>
  <c r="L11" i="28" s="1"/>
  <c r="L14" i="28" s="1"/>
  <c r="K153" i="4"/>
  <c r="K11" i="28" s="1"/>
  <c r="K14" i="28" s="1"/>
  <c r="J153" i="4"/>
  <c r="J11" i="28" s="1"/>
  <c r="I153" i="4"/>
  <c r="I11" i="28" s="1"/>
  <c r="I14" i="28" s="1"/>
  <c r="H153" i="4"/>
  <c r="H11" i="28" s="1"/>
  <c r="H14" i="28" s="1"/>
  <c r="G153" i="4"/>
  <c r="G11" i="28" s="1"/>
  <c r="G14" i="28" s="1"/>
  <c r="F153" i="4"/>
  <c r="F11" i="28" s="1"/>
  <c r="F14" i="28" s="1"/>
  <c r="E153" i="4"/>
  <c r="E11" i="28" s="1"/>
  <c r="E14" i="28" s="1"/>
  <c r="O152" i="4"/>
  <c r="N152" i="4"/>
  <c r="M152" i="4"/>
  <c r="L152" i="4"/>
  <c r="K152" i="4"/>
  <c r="J152" i="4"/>
  <c r="I152" i="4"/>
  <c r="H152" i="4"/>
  <c r="G152" i="4"/>
  <c r="F152" i="4"/>
  <c r="E152" i="4"/>
  <c r="O151" i="4"/>
  <c r="N151" i="4"/>
  <c r="M151" i="4"/>
  <c r="L151" i="4"/>
  <c r="K151" i="4"/>
  <c r="J151" i="4"/>
  <c r="I151" i="4"/>
  <c r="H151" i="4"/>
  <c r="G151" i="4"/>
  <c r="F151" i="4"/>
  <c r="E151" i="4"/>
  <c r="O150" i="4"/>
  <c r="N150" i="4"/>
  <c r="M150" i="4"/>
  <c r="L150" i="4"/>
  <c r="K150" i="4"/>
  <c r="J150" i="4"/>
  <c r="I150" i="4"/>
  <c r="H150" i="4"/>
  <c r="G150" i="4"/>
  <c r="F150" i="4"/>
  <c r="E150" i="4"/>
  <c r="O149" i="4"/>
  <c r="N149" i="4"/>
  <c r="M149" i="4"/>
  <c r="L149" i="4"/>
  <c r="K149" i="4"/>
  <c r="J149" i="4"/>
  <c r="I149" i="4"/>
  <c r="H149" i="4"/>
  <c r="G149" i="4"/>
  <c r="F149" i="4"/>
  <c r="E149" i="4"/>
  <c r="O148" i="4"/>
  <c r="N148" i="4"/>
  <c r="M148" i="4"/>
  <c r="L148" i="4"/>
  <c r="K148" i="4"/>
  <c r="J148" i="4"/>
  <c r="I148" i="4"/>
  <c r="H148" i="4"/>
  <c r="G148" i="4"/>
  <c r="F148" i="4"/>
  <c r="E148" i="4"/>
  <c r="O147" i="4"/>
  <c r="N147" i="4"/>
  <c r="M147" i="4"/>
  <c r="L147" i="4"/>
  <c r="K147" i="4"/>
  <c r="J147" i="4"/>
  <c r="I147" i="4"/>
  <c r="H147" i="4"/>
  <c r="G147" i="4"/>
  <c r="F147" i="4"/>
  <c r="E147" i="4"/>
  <c r="O146" i="4"/>
  <c r="N146" i="4"/>
  <c r="M146" i="4"/>
  <c r="L146" i="4"/>
  <c r="K146" i="4"/>
  <c r="J146" i="4"/>
  <c r="I146" i="4"/>
  <c r="H146" i="4"/>
  <c r="G146" i="4"/>
  <c r="F146" i="4"/>
  <c r="E146" i="4"/>
  <c r="O145" i="4"/>
  <c r="N145" i="4"/>
  <c r="M145" i="4"/>
  <c r="L145" i="4"/>
  <c r="K145" i="4"/>
  <c r="J145" i="4"/>
  <c r="I145" i="4"/>
  <c r="H145" i="4"/>
  <c r="G145" i="4"/>
  <c r="F145" i="4"/>
  <c r="E145" i="4"/>
  <c r="O144" i="4"/>
  <c r="N144" i="4"/>
  <c r="M144" i="4"/>
  <c r="L144" i="4"/>
  <c r="K144" i="4"/>
  <c r="J144" i="4"/>
  <c r="I144" i="4"/>
  <c r="H144" i="4"/>
  <c r="G144" i="4"/>
  <c r="F144" i="4"/>
  <c r="E144" i="4"/>
  <c r="O143" i="4"/>
  <c r="N143" i="4"/>
  <c r="M143" i="4"/>
  <c r="L143" i="4"/>
  <c r="K143" i="4"/>
  <c r="J143" i="4"/>
  <c r="I143" i="4"/>
  <c r="H143" i="4"/>
  <c r="G143" i="4"/>
  <c r="F143" i="4"/>
  <c r="E143" i="4"/>
  <c r="O142" i="4"/>
  <c r="N142" i="4"/>
  <c r="M142" i="4"/>
  <c r="L142" i="4"/>
  <c r="K142" i="4"/>
  <c r="J142" i="4"/>
  <c r="I142" i="4"/>
  <c r="H142" i="4"/>
  <c r="G142" i="4"/>
  <c r="F142" i="4"/>
  <c r="E142" i="4"/>
  <c r="O141" i="4"/>
  <c r="N141" i="4"/>
  <c r="M141" i="4"/>
  <c r="L141" i="4"/>
  <c r="K141" i="4"/>
  <c r="J141" i="4"/>
  <c r="I141" i="4"/>
  <c r="H141" i="4"/>
  <c r="G141" i="4"/>
  <c r="F141" i="4"/>
  <c r="E141" i="4"/>
  <c r="O140" i="4"/>
  <c r="N140" i="4"/>
  <c r="M140" i="4"/>
  <c r="L140" i="4"/>
  <c r="K140" i="4"/>
  <c r="J140" i="4"/>
  <c r="I140" i="4"/>
  <c r="H140" i="4"/>
  <c r="G140" i="4"/>
  <c r="F140" i="4"/>
  <c r="E140" i="4"/>
  <c r="O139" i="4"/>
  <c r="N139" i="4"/>
  <c r="M139" i="4"/>
  <c r="L139" i="4"/>
  <c r="K139" i="4"/>
  <c r="J139" i="4"/>
  <c r="I139" i="4"/>
  <c r="H139" i="4"/>
  <c r="G139" i="4"/>
  <c r="F139" i="4"/>
  <c r="E139" i="4"/>
  <c r="O138" i="4"/>
  <c r="N138" i="4"/>
  <c r="M138" i="4"/>
  <c r="L138" i="4"/>
  <c r="K138" i="4"/>
  <c r="J138" i="4"/>
  <c r="I138" i="4"/>
  <c r="H138" i="4"/>
  <c r="G138" i="4"/>
  <c r="F138" i="4"/>
  <c r="E138" i="4"/>
  <c r="O137" i="4"/>
  <c r="N137" i="4"/>
  <c r="M137" i="4"/>
  <c r="L137" i="4"/>
  <c r="K137" i="4"/>
  <c r="J137" i="4"/>
  <c r="I137" i="4"/>
  <c r="H137" i="4"/>
  <c r="G137" i="4"/>
  <c r="F137" i="4"/>
  <c r="E137" i="4"/>
  <c r="O136" i="4"/>
  <c r="N136" i="4"/>
  <c r="M136" i="4"/>
  <c r="L136" i="4"/>
  <c r="K136" i="4"/>
  <c r="J136" i="4"/>
  <c r="I136" i="4"/>
  <c r="H136" i="4"/>
  <c r="G136" i="4"/>
  <c r="F136" i="4"/>
  <c r="E136" i="4"/>
  <c r="O135" i="4"/>
  <c r="N135" i="4"/>
  <c r="M135" i="4"/>
  <c r="L135" i="4"/>
  <c r="K135" i="4"/>
  <c r="J135" i="4"/>
  <c r="I135" i="4"/>
  <c r="H135" i="4"/>
  <c r="G135" i="4"/>
  <c r="F135" i="4"/>
  <c r="E135" i="4"/>
  <c r="O134" i="4"/>
  <c r="N134" i="4"/>
  <c r="M134" i="4"/>
  <c r="L134" i="4"/>
  <c r="K134" i="4"/>
  <c r="J134" i="4"/>
  <c r="I134" i="4"/>
  <c r="H134" i="4"/>
  <c r="G134" i="4"/>
  <c r="F134" i="4"/>
  <c r="E134" i="4"/>
  <c r="O133" i="4"/>
  <c r="N133" i="4"/>
  <c r="M133" i="4"/>
  <c r="L133" i="4"/>
  <c r="K133" i="4"/>
  <c r="J133" i="4"/>
  <c r="I133" i="4"/>
  <c r="H133" i="4"/>
  <c r="G133" i="4"/>
  <c r="F133" i="4"/>
  <c r="E133" i="4"/>
  <c r="O132" i="4"/>
  <c r="N132" i="4"/>
  <c r="M132" i="4"/>
  <c r="L132" i="4"/>
  <c r="K132" i="4"/>
  <c r="J132" i="4"/>
  <c r="I132" i="4"/>
  <c r="H132" i="4"/>
  <c r="G132" i="4"/>
  <c r="F132" i="4"/>
  <c r="E132" i="4"/>
  <c r="O131" i="4"/>
  <c r="N131" i="4"/>
  <c r="M131" i="4"/>
  <c r="L131" i="4"/>
  <c r="K131" i="4"/>
  <c r="J131" i="4"/>
  <c r="I131" i="4"/>
  <c r="H131" i="4"/>
  <c r="G131" i="4"/>
  <c r="F131" i="4"/>
  <c r="E131" i="4"/>
  <c r="O130" i="4"/>
  <c r="N130" i="4"/>
  <c r="M130" i="4"/>
  <c r="L130" i="4"/>
  <c r="K130" i="4"/>
  <c r="J130" i="4"/>
  <c r="I130" i="4"/>
  <c r="H130" i="4"/>
  <c r="G130" i="4"/>
  <c r="F130" i="4"/>
  <c r="E130" i="4"/>
  <c r="O129" i="4"/>
  <c r="N129" i="4"/>
  <c r="M129" i="4"/>
  <c r="L129" i="4"/>
  <c r="K129" i="4"/>
  <c r="J129" i="4"/>
  <c r="I129" i="4"/>
  <c r="H129" i="4"/>
  <c r="G129" i="4"/>
  <c r="F129" i="4"/>
  <c r="E129" i="4"/>
  <c r="O128" i="4"/>
  <c r="N128" i="4"/>
  <c r="M128" i="4"/>
  <c r="L128" i="4"/>
  <c r="K128" i="4"/>
  <c r="J128" i="4"/>
  <c r="I128" i="4"/>
  <c r="H128" i="4"/>
  <c r="G128" i="4"/>
  <c r="F128" i="4"/>
  <c r="E128" i="4"/>
  <c r="O127" i="4"/>
  <c r="N127" i="4"/>
  <c r="M127" i="4"/>
  <c r="L127" i="4"/>
  <c r="K127" i="4"/>
  <c r="J127" i="4"/>
  <c r="I127" i="4"/>
  <c r="H127" i="4"/>
  <c r="G127" i="4"/>
  <c r="F127" i="4"/>
  <c r="E127" i="4"/>
  <c r="O126" i="4"/>
  <c r="N126" i="4"/>
  <c r="M126" i="4"/>
  <c r="L126" i="4"/>
  <c r="K126" i="4"/>
  <c r="J126" i="4"/>
  <c r="I126" i="4"/>
  <c r="H126" i="4"/>
  <c r="G126" i="4"/>
  <c r="F126" i="4"/>
  <c r="E126" i="4"/>
  <c r="O125" i="4"/>
  <c r="N125" i="4"/>
  <c r="M125" i="4"/>
  <c r="L125" i="4"/>
  <c r="K125" i="4"/>
  <c r="J125" i="4"/>
  <c r="I125" i="4"/>
  <c r="H125" i="4"/>
  <c r="G125" i="4"/>
  <c r="F125" i="4"/>
  <c r="E125" i="4"/>
  <c r="O124" i="4"/>
  <c r="N124" i="4"/>
  <c r="M124" i="4"/>
  <c r="L124" i="4"/>
  <c r="K124" i="4"/>
  <c r="J124" i="4"/>
  <c r="I124" i="4"/>
  <c r="H124" i="4"/>
  <c r="G124" i="4"/>
  <c r="F124" i="4"/>
  <c r="E124" i="4"/>
  <c r="O123" i="4"/>
  <c r="N123" i="4"/>
  <c r="M123" i="4"/>
  <c r="L123" i="4"/>
  <c r="K123" i="4"/>
  <c r="J123" i="4"/>
  <c r="I123" i="4"/>
  <c r="H123" i="4"/>
  <c r="G123" i="4"/>
  <c r="F123" i="4"/>
  <c r="E123" i="4"/>
  <c r="O122" i="4"/>
  <c r="N122" i="4"/>
  <c r="M122" i="4"/>
  <c r="L122" i="4"/>
  <c r="K122" i="4"/>
  <c r="J122" i="4"/>
  <c r="I122" i="4"/>
  <c r="H122" i="4"/>
  <c r="G122" i="4"/>
  <c r="F122" i="4"/>
  <c r="E122" i="4"/>
  <c r="O121" i="4"/>
  <c r="N121" i="4"/>
  <c r="M121" i="4"/>
  <c r="L121" i="4"/>
  <c r="K121" i="4"/>
  <c r="J121" i="4"/>
  <c r="I121" i="4"/>
  <c r="H121" i="4"/>
  <c r="G121" i="4"/>
  <c r="F121" i="4"/>
  <c r="E121" i="4"/>
  <c r="O120" i="4"/>
  <c r="N120" i="4"/>
  <c r="M120" i="4"/>
  <c r="L120" i="4"/>
  <c r="K120" i="4"/>
  <c r="J120" i="4"/>
  <c r="I120" i="4"/>
  <c r="H120" i="4"/>
  <c r="G120" i="4"/>
  <c r="F120" i="4"/>
  <c r="E120" i="4"/>
  <c r="O119" i="4"/>
  <c r="N119" i="4"/>
  <c r="M119" i="4"/>
  <c r="L119" i="4"/>
  <c r="K119" i="4"/>
  <c r="J119" i="4"/>
  <c r="I119" i="4"/>
  <c r="H119" i="4"/>
  <c r="G119" i="4"/>
  <c r="F119" i="4"/>
  <c r="E119" i="4"/>
  <c r="O118" i="4"/>
  <c r="N118" i="4"/>
  <c r="M118" i="4"/>
  <c r="L118" i="4"/>
  <c r="K118" i="4"/>
  <c r="J118" i="4"/>
  <c r="I118" i="4"/>
  <c r="H118" i="4"/>
  <c r="G118" i="4"/>
  <c r="F118" i="4"/>
  <c r="E118" i="4"/>
  <c r="O117" i="4"/>
  <c r="N117" i="4"/>
  <c r="M117" i="4"/>
  <c r="L117" i="4"/>
  <c r="K117" i="4"/>
  <c r="J117" i="4"/>
  <c r="I117" i="4"/>
  <c r="H117" i="4"/>
  <c r="G117" i="4"/>
  <c r="F117" i="4"/>
  <c r="E117" i="4"/>
  <c r="O116" i="4"/>
  <c r="N116" i="4"/>
  <c r="M116" i="4"/>
  <c r="L116" i="4"/>
  <c r="K116" i="4"/>
  <c r="J116" i="4"/>
  <c r="I116" i="4"/>
  <c r="H116" i="4"/>
  <c r="G116" i="4"/>
  <c r="F116" i="4"/>
  <c r="E116" i="4"/>
  <c r="O115" i="4"/>
  <c r="N115" i="4"/>
  <c r="M115" i="4"/>
  <c r="L115" i="4"/>
  <c r="K115" i="4"/>
  <c r="J115" i="4"/>
  <c r="I115" i="4"/>
  <c r="H115" i="4"/>
  <c r="G115" i="4"/>
  <c r="F115" i="4"/>
  <c r="E115" i="4"/>
  <c r="O114" i="4"/>
  <c r="N114" i="4"/>
  <c r="M114" i="4"/>
  <c r="L114" i="4"/>
  <c r="K114" i="4"/>
  <c r="J114" i="4"/>
  <c r="I114" i="4"/>
  <c r="H114" i="4"/>
  <c r="G114" i="4"/>
  <c r="F114" i="4"/>
  <c r="E114" i="4"/>
  <c r="O113" i="4"/>
  <c r="N113" i="4"/>
  <c r="M113" i="4"/>
  <c r="L113" i="4"/>
  <c r="K113" i="4"/>
  <c r="J113" i="4"/>
  <c r="I113" i="4"/>
  <c r="H113" i="4"/>
  <c r="G113" i="4"/>
  <c r="F113" i="4"/>
  <c r="E113" i="4"/>
  <c r="O112" i="4"/>
  <c r="N112" i="4"/>
  <c r="M112" i="4"/>
  <c r="L112" i="4"/>
  <c r="K112" i="4"/>
  <c r="J112" i="4"/>
  <c r="I112" i="4"/>
  <c r="H112" i="4"/>
  <c r="G112" i="4"/>
  <c r="F112" i="4"/>
  <c r="E112" i="4"/>
  <c r="O111" i="4"/>
  <c r="N111" i="4"/>
  <c r="M111" i="4"/>
  <c r="L111" i="4"/>
  <c r="K111" i="4"/>
  <c r="J111" i="4"/>
  <c r="I111" i="4"/>
  <c r="H111" i="4"/>
  <c r="G111" i="4"/>
  <c r="F111" i="4"/>
  <c r="E111" i="4"/>
  <c r="O110" i="4"/>
  <c r="N110" i="4"/>
  <c r="M110" i="4"/>
  <c r="L110" i="4"/>
  <c r="K110" i="4"/>
  <c r="J110" i="4"/>
  <c r="I110" i="4"/>
  <c r="H110" i="4"/>
  <c r="G110" i="4"/>
  <c r="F110" i="4"/>
  <c r="E110" i="4"/>
  <c r="O109" i="4"/>
  <c r="N109" i="4"/>
  <c r="M109" i="4"/>
  <c r="L109" i="4"/>
  <c r="K109" i="4"/>
  <c r="J109" i="4"/>
  <c r="I109" i="4"/>
  <c r="H109" i="4"/>
  <c r="G109" i="4"/>
  <c r="F109" i="4"/>
  <c r="E109" i="4"/>
  <c r="O108" i="4"/>
  <c r="N108" i="4"/>
  <c r="M108" i="4"/>
  <c r="L108" i="4"/>
  <c r="K108" i="4"/>
  <c r="J108" i="4"/>
  <c r="I108" i="4"/>
  <c r="H108" i="4"/>
  <c r="G108" i="4"/>
  <c r="F108" i="4"/>
  <c r="E108" i="4"/>
  <c r="O107" i="4"/>
  <c r="N107" i="4"/>
  <c r="M107" i="4"/>
  <c r="L107" i="4"/>
  <c r="K107" i="4"/>
  <c r="J107" i="4"/>
  <c r="I107" i="4"/>
  <c r="H107" i="4"/>
  <c r="G107" i="4"/>
  <c r="F107" i="4"/>
  <c r="E107" i="4"/>
  <c r="O106" i="4"/>
  <c r="N106" i="4"/>
  <c r="M106" i="4"/>
  <c r="L106" i="4"/>
  <c r="K106" i="4"/>
  <c r="J106" i="4"/>
  <c r="I106" i="4"/>
  <c r="H106" i="4"/>
  <c r="G106" i="4"/>
  <c r="F106" i="4"/>
  <c r="E106" i="4"/>
  <c r="O105" i="4"/>
  <c r="N105" i="4"/>
  <c r="M105" i="4"/>
  <c r="L105" i="4"/>
  <c r="K105" i="4"/>
  <c r="J105" i="4"/>
  <c r="I105" i="4"/>
  <c r="H105" i="4"/>
  <c r="G105" i="4"/>
  <c r="F105" i="4"/>
  <c r="E105" i="4"/>
  <c r="O104" i="4"/>
  <c r="N104" i="4"/>
  <c r="M104" i="4"/>
  <c r="L104" i="4"/>
  <c r="K104" i="4"/>
  <c r="J104" i="4"/>
  <c r="I104" i="4"/>
  <c r="H104" i="4"/>
  <c r="G104" i="4"/>
  <c r="F104" i="4"/>
  <c r="E104" i="4"/>
  <c r="O103" i="4"/>
  <c r="N103" i="4"/>
  <c r="M103" i="4"/>
  <c r="L103" i="4"/>
  <c r="K103" i="4"/>
  <c r="J103" i="4"/>
  <c r="I103" i="4"/>
  <c r="H103" i="4"/>
  <c r="G103" i="4"/>
  <c r="F103" i="4"/>
  <c r="E103" i="4"/>
  <c r="O102" i="4"/>
  <c r="N102" i="4"/>
  <c r="M102" i="4"/>
  <c r="L102" i="4"/>
  <c r="K102" i="4"/>
  <c r="J102" i="4"/>
  <c r="I102" i="4"/>
  <c r="H102" i="4"/>
  <c r="G102" i="4"/>
  <c r="F102" i="4"/>
  <c r="E102" i="4"/>
  <c r="O101" i="4"/>
  <c r="N101" i="4"/>
  <c r="M101" i="4"/>
  <c r="L101" i="4"/>
  <c r="K101" i="4"/>
  <c r="J101" i="4"/>
  <c r="I101" i="4"/>
  <c r="H101" i="4"/>
  <c r="G101" i="4"/>
  <c r="F101" i="4"/>
  <c r="E101" i="4"/>
  <c r="O100" i="4"/>
  <c r="N100" i="4"/>
  <c r="M100" i="4"/>
  <c r="L100" i="4"/>
  <c r="K100" i="4"/>
  <c r="J100" i="4"/>
  <c r="I100" i="4"/>
  <c r="H100" i="4"/>
  <c r="G100" i="4"/>
  <c r="F100" i="4"/>
  <c r="E100" i="4"/>
  <c r="O99" i="4"/>
  <c r="N99" i="4"/>
  <c r="M99" i="4"/>
  <c r="L99" i="4"/>
  <c r="K99" i="4"/>
  <c r="J99" i="4"/>
  <c r="I99" i="4"/>
  <c r="H99" i="4"/>
  <c r="G99" i="4"/>
  <c r="F99" i="4"/>
  <c r="E99" i="4"/>
  <c r="O98" i="4"/>
  <c r="N98" i="4"/>
  <c r="M98" i="4"/>
  <c r="L98" i="4"/>
  <c r="K98" i="4"/>
  <c r="J98" i="4"/>
  <c r="I98" i="4"/>
  <c r="H98" i="4"/>
  <c r="G98" i="4"/>
  <c r="F98" i="4"/>
  <c r="E98" i="4"/>
  <c r="O97" i="4"/>
  <c r="N97" i="4"/>
  <c r="M97" i="4"/>
  <c r="L97" i="4"/>
  <c r="K97" i="4"/>
  <c r="J97" i="4"/>
  <c r="I97" i="4"/>
  <c r="H97" i="4"/>
  <c r="G97" i="4"/>
  <c r="F97" i="4"/>
  <c r="E97" i="4"/>
  <c r="O96" i="4"/>
  <c r="N96" i="4"/>
  <c r="M96" i="4"/>
  <c r="L96" i="4"/>
  <c r="K96" i="4"/>
  <c r="J96" i="4"/>
  <c r="I96" i="4"/>
  <c r="H96" i="4"/>
  <c r="G96" i="4"/>
  <c r="F96" i="4"/>
  <c r="E96" i="4"/>
  <c r="O95" i="4"/>
  <c r="N95" i="4"/>
  <c r="M95" i="4"/>
  <c r="L95" i="4"/>
  <c r="K95" i="4"/>
  <c r="J95" i="4"/>
  <c r="I95" i="4"/>
  <c r="H95" i="4"/>
  <c r="G95" i="4"/>
  <c r="F95" i="4"/>
  <c r="E95" i="4"/>
  <c r="O94" i="4"/>
  <c r="N94" i="4"/>
  <c r="M94" i="4"/>
  <c r="L94" i="4"/>
  <c r="K94" i="4"/>
  <c r="J94" i="4"/>
  <c r="I94" i="4"/>
  <c r="H94" i="4"/>
  <c r="G94" i="4"/>
  <c r="F94" i="4"/>
  <c r="E94" i="4"/>
  <c r="O93" i="4"/>
  <c r="N93" i="4"/>
  <c r="M93" i="4"/>
  <c r="L93" i="4"/>
  <c r="K93" i="4"/>
  <c r="J93" i="4"/>
  <c r="I93" i="4"/>
  <c r="H93" i="4"/>
  <c r="G93" i="4"/>
  <c r="F93" i="4"/>
  <c r="E93" i="4"/>
  <c r="O92" i="4"/>
  <c r="N92" i="4"/>
  <c r="M92" i="4"/>
  <c r="L92" i="4"/>
  <c r="K92" i="4"/>
  <c r="J92" i="4"/>
  <c r="I92" i="4"/>
  <c r="H92" i="4"/>
  <c r="G92" i="4"/>
  <c r="F92" i="4"/>
  <c r="E92" i="4"/>
  <c r="O91" i="4"/>
  <c r="N91" i="4"/>
  <c r="M91" i="4"/>
  <c r="L91" i="4"/>
  <c r="K91" i="4"/>
  <c r="J91" i="4"/>
  <c r="I91" i="4"/>
  <c r="H91" i="4"/>
  <c r="G91" i="4"/>
  <c r="F91" i="4"/>
  <c r="E91" i="4"/>
  <c r="O90" i="4"/>
  <c r="N90" i="4"/>
  <c r="M90" i="4"/>
  <c r="L90" i="4"/>
  <c r="K90" i="4"/>
  <c r="J90" i="4"/>
  <c r="I90" i="4"/>
  <c r="H90" i="4"/>
  <c r="G90" i="4"/>
  <c r="F90" i="4"/>
  <c r="E90" i="4"/>
  <c r="O89" i="4"/>
  <c r="N89" i="4"/>
  <c r="M89" i="4"/>
  <c r="L89" i="4"/>
  <c r="K89" i="4"/>
  <c r="J89" i="4"/>
  <c r="I89" i="4"/>
  <c r="H89" i="4"/>
  <c r="G89" i="4"/>
  <c r="F89" i="4"/>
  <c r="E89" i="4"/>
  <c r="O88" i="4"/>
  <c r="N88" i="4"/>
  <c r="M88" i="4"/>
  <c r="L88" i="4"/>
  <c r="K88" i="4"/>
  <c r="J88" i="4"/>
  <c r="I88" i="4"/>
  <c r="H88" i="4"/>
  <c r="G88" i="4"/>
  <c r="F88" i="4"/>
  <c r="E88" i="4"/>
  <c r="O87" i="4"/>
  <c r="N87" i="4"/>
  <c r="M87" i="4"/>
  <c r="L87" i="4"/>
  <c r="K87" i="4"/>
  <c r="J87" i="4"/>
  <c r="I87" i="4"/>
  <c r="H87" i="4"/>
  <c r="G87" i="4"/>
  <c r="F87" i="4"/>
  <c r="E87" i="4"/>
  <c r="O86" i="4"/>
  <c r="N86" i="4"/>
  <c r="M86" i="4"/>
  <c r="L86" i="4"/>
  <c r="K86" i="4"/>
  <c r="J86" i="4"/>
  <c r="I86" i="4"/>
  <c r="H86" i="4"/>
  <c r="G86" i="4"/>
  <c r="F86" i="4"/>
  <c r="E86" i="4"/>
  <c r="O85" i="4"/>
  <c r="N85" i="4"/>
  <c r="M85" i="4"/>
  <c r="L85" i="4"/>
  <c r="K85" i="4"/>
  <c r="J85" i="4"/>
  <c r="I85" i="4"/>
  <c r="H85" i="4"/>
  <c r="G85" i="4"/>
  <c r="F85" i="4"/>
  <c r="E85" i="4"/>
  <c r="O84" i="4"/>
  <c r="N84" i="4"/>
  <c r="M84" i="4"/>
  <c r="L84" i="4"/>
  <c r="K84" i="4"/>
  <c r="J84" i="4"/>
  <c r="I84" i="4"/>
  <c r="H84" i="4"/>
  <c r="G84" i="4"/>
  <c r="F84" i="4"/>
  <c r="E84" i="4"/>
  <c r="O83" i="4"/>
  <c r="N83" i="4"/>
  <c r="M83" i="4"/>
  <c r="L83" i="4"/>
  <c r="K83" i="4"/>
  <c r="J83" i="4"/>
  <c r="I83" i="4"/>
  <c r="H83" i="4"/>
  <c r="G83" i="4"/>
  <c r="F83" i="4"/>
  <c r="E83" i="4"/>
  <c r="O82" i="4"/>
  <c r="N82" i="4"/>
  <c r="M82" i="4"/>
  <c r="L82" i="4"/>
  <c r="K82" i="4"/>
  <c r="J82" i="4"/>
  <c r="I82" i="4"/>
  <c r="H82" i="4"/>
  <c r="G82" i="4"/>
  <c r="F82" i="4"/>
  <c r="E82" i="4"/>
  <c r="O81" i="4"/>
  <c r="N81" i="4"/>
  <c r="M81" i="4"/>
  <c r="L81" i="4"/>
  <c r="K81" i="4"/>
  <c r="J81" i="4"/>
  <c r="I81" i="4"/>
  <c r="H81" i="4"/>
  <c r="G81" i="4"/>
  <c r="F81" i="4"/>
  <c r="E81" i="4"/>
  <c r="O80" i="4"/>
  <c r="N80" i="4"/>
  <c r="M80" i="4"/>
  <c r="L80" i="4"/>
  <c r="K80" i="4"/>
  <c r="J80" i="4"/>
  <c r="I80" i="4"/>
  <c r="H80" i="4"/>
  <c r="G80" i="4"/>
  <c r="F80" i="4"/>
  <c r="E80" i="4"/>
  <c r="O79" i="4"/>
  <c r="N79" i="4"/>
  <c r="M79" i="4"/>
  <c r="L79" i="4"/>
  <c r="K79" i="4"/>
  <c r="J79" i="4"/>
  <c r="I79" i="4"/>
  <c r="H79" i="4"/>
  <c r="G79" i="4"/>
  <c r="F79" i="4"/>
  <c r="E79" i="4"/>
  <c r="O78" i="4"/>
  <c r="N78" i="4"/>
  <c r="M78" i="4"/>
  <c r="L78" i="4"/>
  <c r="K78" i="4"/>
  <c r="J78" i="4"/>
  <c r="I78" i="4"/>
  <c r="H78" i="4"/>
  <c r="G78" i="4"/>
  <c r="F78" i="4"/>
  <c r="E78" i="4"/>
  <c r="O77" i="4"/>
  <c r="N77" i="4"/>
  <c r="M77" i="4"/>
  <c r="L77" i="4"/>
  <c r="K77" i="4"/>
  <c r="J77" i="4"/>
  <c r="I77" i="4"/>
  <c r="H77" i="4"/>
  <c r="G77" i="4"/>
  <c r="F77" i="4"/>
  <c r="E77" i="4"/>
  <c r="O76" i="4"/>
  <c r="N76" i="4"/>
  <c r="M76" i="4"/>
  <c r="L76" i="4"/>
  <c r="K76" i="4"/>
  <c r="J76" i="4"/>
  <c r="I76" i="4"/>
  <c r="H76" i="4"/>
  <c r="G76" i="4"/>
  <c r="F76" i="4"/>
  <c r="E76" i="4"/>
  <c r="O75" i="4"/>
  <c r="N75" i="4"/>
  <c r="M75" i="4"/>
  <c r="L75" i="4"/>
  <c r="K75" i="4"/>
  <c r="J75" i="4"/>
  <c r="I75" i="4"/>
  <c r="H75" i="4"/>
  <c r="G75" i="4"/>
  <c r="F75" i="4"/>
  <c r="E75" i="4"/>
  <c r="O74" i="4"/>
  <c r="N74" i="4"/>
  <c r="M74" i="4"/>
  <c r="L74" i="4"/>
  <c r="K74" i="4"/>
  <c r="J74" i="4"/>
  <c r="I74" i="4"/>
  <c r="H74" i="4"/>
  <c r="G74" i="4"/>
  <c r="F74" i="4"/>
  <c r="E74" i="4"/>
  <c r="O73" i="4"/>
  <c r="N73" i="4"/>
  <c r="M73" i="4"/>
  <c r="L73" i="4"/>
  <c r="K73" i="4"/>
  <c r="J73" i="4"/>
  <c r="I73" i="4"/>
  <c r="H73" i="4"/>
  <c r="G73" i="4"/>
  <c r="F73" i="4"/>
  <c r="E73" i="4"/>
  <c r="O72" i="4"/>
  <c r="N72" i="4"/>
  <c r="M72" i="4"/>
  <c r="L72" i="4"/>
  <c r="K72" i="4"/>
  <c r="J72" i="4"/>
  <c r="I72" i="4"/>
  <c r="H72" i="4"/>
  <c r="G72" i="4"/>
  <c r="F72" i="4"/>
  <c r="E72" i="4"/>
  <c r="O71" i="4"/>
  <c r="N71" i="4"/>
  <c r="M71" i="4"/>
  <c r="L71" i="4"/>
  <c r="K71" i="4"/>
  <c r="J71" i="4"/>
  <c r="I71" i="4"/>
  <c r="H71" i="4"/>
  <c r="G71" i="4"/>
  <c r="F71" i="4"/>
  <c r="E71" i="4"/>
  <c r="O70" i="4"/>
  <c r="N70" i="4"/>
  <c r="M70" i="4"/>
  <c r="L70" i="4"/>
  <c r="K70" i="4"/>
  <c r="J70" i="4"/>
  <c r="I70" i="4"/>
  <c r="H70" i="4"/>
  <c r="G70" i="4"/>
  <c r="F70" i="4"/>
  <c r="E70" i="4"/>
  <c r="O69" i="4"/>
  <c r="N69" i="4"/>
  <c r="M69" i="4"/>
  <c r="L69" i="4"/>
  <c r="K69" i="4"/>
  <c r="J69" i="4"/>
  <c r="I69" i="4"/>
  <c r="H69" i="4"/>
  <c r="G69" i="4"/>
  <c r="F69" i="4"/>
  <c r="E69" i="4"/>
  <c r="O68" i="4"/>
  <c r="N68" i="4"/>
  <c r="M68" i="4"/>
  <c r="L68" i="4"/>
  <c r="K68" i="4"/>
  <c r="J68" i="4"/>
  <c r="I68" i="4"/>
  <c r="H68" i="4"/>
  <c r="G68" i="4"/>
  <c r="F68" i="4"/>
  <c r="E68" i="4"/>
  <c r="O67" i="4"/>
  <c r="N67" i="4"/>
  <c r="M67" i="4"/>
  <c r="L67" i="4"/>
  <c r="K67" i="4"/>
  <c r="J67" i="4"/>
  <c r="I67" i="4"/>
  <c r="H67" i="4"/>
  <c r="G67" i="4"/>
  <c r="F67" i="4"/>
  <c r="E67" i="4"/>
  <c r="O66" i="4"/>
  <c r="N66" i="4"/>
  <c r="M66" i="4"/>
  <c r="L66" i="4"/>
  <c r="K66" i="4"/>
  <c r="J66" i="4"/>
  <c r="I66" i="4"/>
  <c r="H66" i="4"/>
  <c r="G66" i="4"/>
  <c r="F66" i="4"/>
  <c r="E66" i="4"/>
  <c r="O65" i="4"/>
  <c r="N65" i="4"/>
  <c r="M65" i="4"/>
  <c r="L65" i="4"/>
  <c r="K65" i="4"/>
  <c r="J65" i="4"/>
  <c r="I65" i="4"/>
  <c r="H65" i="4"/>
  <c r="G65" i="4"/>
  <c r="F65" i="4"/>
  <c r="E65" i="4"/>
  <c r="O64" i="4"/>
  <c r="N64" i="4"/>
  <c r="M64" i="4"/>
  <c r="L64" i="4"/>
  <c r="K64" i="4"/>
  <c r="J64" i="4"/>
  <c r="I64" i="4"/>
  <c r="H64" i="4"/>
  <c r="G64" i="4"/>
  <c r="F64" i="4"/>
  <c r="E64" i="4"/>
  <c r="O63" i="4"/>
  <c r="N63" i="4"/>
  <c r="M63" i="4"/>
  <c r="L63" i="4"/>
  <c r="K63" i="4"/>
  <c r="J63" i="4"/>
  <c r="I63" i="4"/>
  <c r="H63" i="4"/>
  <c r="G63" i="4"/>
  <c r="F63" i="4"/>
  <c r="E63" i="4"/>
  <c r="O62" i="4"/>
  <c r="N62" i="4"/>
  <c r="M62" i="4"/>
  <c r="L62" i="4"/>
  <c r="K62" i="4"/>
  <c r="J62" i="4"/>
  <c r="I62" i="4"/>
  <c r="H62" i="4"/>
  <c r="G62" i="4"/>
  <c r="F62" i="4"/>
  <c r="E62" i="4"/>
  <c r="O61" i="4"/>
  <c r="N61" i="4"/>
  <c r="M61" i="4"/>
  <c r="L61" i="4"/>
  <c r="K61" i="4"/>
  <c r="J61" i="4"/>
  <c r="I61" i="4"/>
  <c r="H61" i="4"/>
  <c r="G61" i="4"/>
  <c r="F61" i="4"/>
  <c r="E61" i="4"/>
  <c r="O60" i="4"/>
  <c r="N60" i="4"/>
  <c r="M60" i="4"/>
  <c r="L60" i="4"/>
  <c r="K60" i="4"/>
  <c r="J60" i="4"/>
  <c r="I60" i="4"/>
  <c r="H60" i="4"/>
  <c r="G60" i="4"/>
  <c r="F60" i="4"/>
  <c r="E60" i="4"/>
  <c r="O59" i="4"/>
  <c r="N59" i="4"/>
  <c r="M59" i="4"/>
  <c r="L59" i="4"/>
  <c r="K59" i="4"/>
  <c r="J59" i="4"/>
  <c r="I59" i="4"/>
  <c r="H59" i="4"/>
  <c r="G59" i="4"/>
  <c r="F59" i="4"/>
  <c r="E59" i="4"/>
  <c r="O58" i="4"/>
  <c r="N58" i="4"/>
  <c r="M58" i="4"/>
  <c r="L58" i="4"/>
  <c r="K58" i="4"/>
  <c r="J58" i="4"/>
  <c r="I58" i="4"/>
  <c r="H58" i="4"/>
  <c r="G58" i="4"/>
  <c r="F58" i="4"/>
  <c r="E58" i="4"/>
  <c r="O57" i="4"/>
  <c r="N57" i="4"/>
  <c r="M57" i="4"/>
  <c r="L57" i="4"/>
  <c r="K57" i="4"/>
  <c r="J57" i="4"/>
  <c r="I57" i="4"/>
  <c r="H57" i="4"/>
  <c r="G57" i="4"/>
  <c r="F57" i="4"/>
  <c r="E57" i="4"/>
  <c r="O56" i="4"/>
  <c r="N56" i="4"/>
  <c r="M56" i="4"/>
  <c r="L56" i="4"/>
  <c r="K56" i="4"/>
  <c r="J56" i="4"/>
  <c r="I56" i="4"/>
  <c r="H56" i="4"/>
  <c r="G56" i="4"/>
  <c r="F56" i="4"/>
  <c r="E56" i="4"/>
  <c r="O55" i="4"/>
  <c r="N55" i="4"/>
  <c r="M55" i="4"/>
  <c r="L55" i="4"/>
  <c r="K55" i="4"/>
  <c r="J55" i="4"/>
  <c r="I55" i="4"/>
  <c r="H55" i="4"/>
  <c r="G55" i="4"/>
  <c r="F55" i="4"/>
  <c r="E55" i="4"/>
  <c r="O54" i="4"/>
  <c r="N54" i="4"/>
  <c r="M54" i="4"/>
  <c r="L54" i="4"/>
  <c r="K54" i="4"/>
  <c r="J54" i="4"/>
  <c r="I54" i="4"/>
  <c r="H54" i="4"/>
  <c r="G54" i="4"/>
  <c r="F54" i="4"/>
  <c r="E54" i="4"/>
  <c r="O53" i="4"/>
  <c r="N53" i="4"/>
  <c r="M53" i="4"/>
  <c r="L53" i="4"/>
  <c r="K53" i="4"/>
  <c r="J53" i="4"/>
  <c r="I53" i="4"/>
  <c r="H53" i="4"/>
  <c r="G53" i="4"/>
  <c r="F53" i="4"/>
  <c r="E53" i="4"/>
  <c r="O52" i="4"/>
  <c r="N52" i="4"/>
  <c r="M52" i="4"/>
  <c r="L52" i="4"/>
  <c r="K52" i="4"/>
  <c r="J52" i="4"/>
  <c r="I52" i="4"/>
  <c r="H52" i="4"/>
  <c r="G52" i="4"/>
  <c r="F52" i="4"/>
  <c r="E52" i="4"/>
  <c r="O51" i="4"/>
  <c r="N51" i="4"/>
  <c r="M51" i="4"/>
  <c r="L51" i="4"/>
  <c r="K51" i="4"/>
  <c r="J51" i="4"/>
  <c r="I51" i="4"/>
  <c r="H51" i="4"/>
  <c r="G51" i="4"/>
  <c r="F51" i="4"/>
  <c r="E51" i="4"/>
  <c r="O50" i="4"/>
  <c r="N50" i="4"/>
  <c r="M50" i="4"/>
  <c r="L50" i="4"/>
  <c r="K50" i="4"/>
  <c r="J50" i="4"/>
  <c r="I50" i="4"/>
  <c r="H50" i="4"/>
  <c r="G50" i="4"/>
  <c r="F50" i="4"/>
  <c r="E50" i="4"/>
  <c r="O49" i="4"/>
  <c r="N49" i="4"/>
  <c r="M49" i="4"/>
  <c r="L49" i="4"/>
  <c r="K49" i="4"/>
  <c r="J49" i="4"/>
  <c r="I49" i="4"/>
  <c r="H49" i="4"/>
  <c r="G49" i="4"/>
  <c r="F49" i="4"/>
  <c r="E49" i="4"/>
  <c r="O48" i="4"/>
  <c r="N48" i="4"/>
  <c r="M48" i="4"/>
  <c r="L48" i="4"/>
  <c r="K48" i="4"/>
  <c r="J48" i="4"/>
  <c r="I48" i="4"/>
  <c r="H48" i="4"/>
  <c r="G48" i="4"/>
  <c r="F48" i="4"/>
  <c r="E48" i="4"/>
  <c r="O47" i="4"/>
  <c r="N47" i="4"/>
  <c r="M47" i="4"/>
  <c r="L47" i="4"/>
  <c r="K47" i="4"/>
  <c r="J47" i="4"/>
  <c r="I47" i="4"/>
  <c r="H47" i="4"/>
  <c r="G47" i="4"/>
  <c r="F47" i="4"/>
  <c r="E47" i="4"/>
  <c r="O46" i="4"/>
  <c r="N46" i="4"/>
  <c r="M46" i="4"/>
  <c r="L46" i="4"/>
  <c r="K46" i="4"/>
  <c r="J46" i="4"/>
  <c r="I46" i="4"/>
  <c r="H46" i="4"/>
  <c r="G46" i="4"/>
  <c r="F46" i="4"/>
  <c r="E46" i="4"/>
  <c r="O45" i="4"/>
  <c r="N45" i="4"/>
  <c r="M45" i="4"/>
  <c r="L45" i="4"/>
  <c r="K45" i="4"/>
  <c r="J45" i="4"/>
  <c r="I45" i="4"/>
  <c r="H45" i="4"/>
  <c r="G45" i="4"/>
  <c r="F45" i="4"/>
  <c r="E45" i="4"/>
  <c r="O44" i="4"/>
  <c r="N44" i="4"/>
  <c r="M44" i="4"/>
  <c r="L44" i="4"/>
  <c r="K44" i="4"/>
  <c r="J44" i="4"/>
  <c r="I44" i="4"/>
  <c r="H44" i="4"/>
  <c r="G44" i="4"/>
  <c r="F44" i="4"/>
  <c r="E44" i="4"/>
  <c r="O43" i="4"/>
  <c r="N43" i="4"/>
  <c r="M43" i="4"/>
  <c r="L43" i="4"/>
  <c r="K43" i="4"/>
  <c r="J43" i="4"/>
  <c r="I43" i="4"/>
  <c r="H43" i="4"/>
  <c r="G43" i="4"/>
  <c r="F43" i="4"/>
  <c r="E43" i="4"/>
  <c r="O42" i="4"/>
  <c r="N42" i="4"/>
  <c r="M42" i="4"/>
  <c r="L42" i="4"/>
  <c r="K42" i="4"/>
  <c r="J42" i="4"/>
  <c r="I42" i="4"/>
  <c r="H42" i="4"/>
  <c r="G42" i="4"/>
  <c r="F42" i="4"/>
  <c r="E42" i="4"/>
  <c r="O41" i="4"/>
  <c r="N41" i="4"/>
  <c r="M41" i="4"/>
  <c r="L41" i="4"/>
  <c r="K41" i="4"/>
  <c r="J41" i="4"/>
  <c r="I41" i="4"/>
  <c r="H41" i="4"/>
  <c r="G41" i="4"/>
  <c r="F41" i="4"/>
  <c r="E41" i="4"/>
  <c r="O40" i="4"/>
  <c r="N40" i="4"/>
  <c r="M40" i="4"/>
  <c r="L40" i="4"/>
  <c r="K40" i="4"/>
  <c r="J40" i="4"/>
  <c r="I40" i="4"/>
  <c r="H40" i="4"/>
  <c r="G40" i="4"/>
  <c r="F40" i="4"/>
  <c r="E40" i="4"/>
  <c r="O39" i="4"/>
  <c r="N39" i="4"/>
  <c r="M39" i="4"/>
  <c r="L39" i="4"/>
  <c r="K39" i="4"/>
  <c r="J39" i="4"/>
  <c r="I39" i="4"/>
  <c r="H39" i="4"/>
  <c r="G39" i="4"/>
  <c r="F39" i="4"/>
  <c r="E39" i="4"/>
  <c r="O38" i="4"/>
  <c r="N38" i="4"/>
  <c r="M38" i="4"/>
  <c r="L38" i="4"/>
  <c r="K38" i="4"/>
  <c r="J38" i="4"/>
  <c r="I38" i="4"/>
  <c r="H38" i="4"/>
  <c r="G38" i="4"/>
  <c r="F38" i="4"/>
  <c r="E38" i="4"/>
  <c r="O37" i="4"/>
  <c r="N37" i="4"/>
  <c r="M37" i="4"/>
  <c r="L37" i="4"/>
  <c r="K37" i="4"/>
  <c r="J37" i="4"/>
  <c r="I37" i="4"/>
  <c r="H37" i="4"/>
  <c r="G37" i="4"/>
  <c r="F37" i="4"/>
  <c r="E37" i="4"/>
  <c r="O36" i="4"/>
  <c r="N36" i="4"/>
  <c r="M36" i="4"/>
  <c r="L36" i="4"/>
  <c r="K36" i="4"/>
  <c r="J36" i="4"/>
  <c r="I36" i="4"/>
  <c r="H36" i="4"/>
  <c r="G36" i="4"/>
  <c r="F36" i="4"/>
  <c r="E36" i="4"/>
  <c r="O35" i="4"/>
  <c r="N35" i="4"/>
  <c r="M35" i="4"/>
  <c r="L35" i="4"/>
  <c r="K35" i="4"/>
  <c r="J35" i="4"/>
  <c r="I35" i="4"/>
  <c r="H35" i="4"/>
  <c r="G35" i="4"/>
  <c r="F35" i="4"/>
  <c r="E35" i="4"/>
  <c r="O34" i="4"/>
  <c r="N34" i="4"/>
  <c r="M34" i="4"/>
  <c r="L34" i="4"/>
  <c r="K34" i="4"/>
  <c r="J34" i="4"/>
  <c r="I34" i="4"/>
  <c r="H34" i="4"/>
  <c r="G34" i="4"/>
  <c r="F34" i="4"/>
  <c r="E34" i="4"/>
  <c r="O33" i="4"/>
  <c r="N33" i="4"/>
  <c r="M33" i="4"/>
  <c r="L33" i="4"/>
  <c r="K33" i="4"/>
  <c r="J33" i="4"/>
  <c r="I33" i="4"/>
  <c r="H33" i="4"/>
  <c r="G33" i="4"/>
  <c r="F33" i="4"/>
  <c r="E33" i="4"/>
  <c r="O32" i="4"/>
  <c r="N32" i="4"/>
  <c r="M32" i="4"/>
  <c r="L32" i="4"/>
  <c r="K32" i="4"/>
  <c r="J32" i="4"/>
  <c r="I32" i="4"/>
  <c r="H32" i="4"/>
  <c r="G32" i="4"/>
  <c r="F32" i="4"/>
  <c r="E32" i="4"/>
  <c r="O31" i="4"/>
  <c r="N31" i="4"/>
  <c r="M31" i="4"/>
  <c r="L31" i="4"/>
  <c r="K31" i="4"/>
  <c r="J31" i="4"/>
  <c r="I31" i="4"/>
  <c r="H31" i="4"/>
  <c r="G31" i="4"/>
  <c r="F31" i="4"/>
  <c r="E31" i="4"/>
  <c r="O30" i="4"/>
  <c r="N30" i="4"/>
  <c r="M30" i="4"/>
  <c r="L30" i="4"/>
  <c r="K30" i="4"/>
  <c r="J30" i="4"/>
  <c r="I30" i="4"/>
  <c r="H30" i="4"/>
  <c r="G30" i="4"/>
  <c r="F30" i="4"/>
  <c r="E30" i="4"/>
  <c r="O29" i="4"/>
  <c r="N29" i="4"/>
  <c r="M29" i="4"/>
  <c r="L29" i="4"/>
  <c r="K29" i="4"/>
  <c r="J29" i="4"/>
  <c r="I29" i="4"/>
  <c r="H29" i="4"/>
  <c r="G29" i="4"/>
  <c r="F29" i="4"/>
  <c r="E29" i="4"/>
  <c r="O28" i="4"/>
  <c r="N28" i="4"/>
  <c r="M28" i="4"/>
  <c r="L28" i="4"/>
  <c r="K28" i="4"/>
  <c r="J28" i="4"/>
  <c r="I28" i="4"/>
  <c r="H28" i="4"/>
  <c r="G28" i="4"/>
  <c r="F28" i="4"/>
  <c r="E28" i="4"/>
  <c r="O27" i="4"/>
  <c r="N27" i="4"/>
  <c r="M27" i="4"/>
  <c r="L27" i="4"/>
  <c r="K27" i="4"/>
  <c r="J27" i="4"/>
  <c r="I27" i="4"/>
  <c r="H27" i="4"/>
  <c r="G27" i="4"/>
  <c r="F27" i="4"/>
  <c r="E27" i="4"/>
  <c r="O26" i="4"/>
  <c r="N26" i="4"/>
  <c r="M26" i="4"/>
  <c r="L26" i="4"/>
  <c r="K26" i="4"/>
  <c r="J26" i="4"/>
  <c r="I26" i="4"/>
  <c r="H26" i="4"/>
  <c r="G26" i="4"/>
  <c r="F26" i="4"/>
  <c r="E26" i="4"/>
  <c r="O25" i="4"/>
  <c r="N25" i="4"/>
  <c r="M25" i="4"/>
  <c r="L25" i="4"/>
  <c r="K25" i="4"/>
  <c r="J25" i="4"/>
  <c r="I25" i="4"/>
  <c r="H25" i="4"/>
  <c r="G25" i="4"/>
  <c r="F25" i="4"/>
  <c r="E25" i="4"/>
  <c r="O24" i="4"/>
  <c r="N24" i="4"/>
  <c r="M24" i="4"/>
  <c r="L24" i="4"/>
  <c r="K24" i="4"/>
  <c r="J24" i="4"/>
  <c r="I24" i="4"/>
  <c r="H24" i="4"/>
  <c r="G24" i="4"/>
  <c r="F24" i="4"/>
  <c r="E24" i="4"/>
  <c r="O23" i="4"/>
  <c r="N23" i="4"/>
  <c r="M23" i="4"/>
  <c r="L23" i="4"/>
  <c r="K23" i="4"/>
  <c r="J23" i="4"/>
  <c r="I23" i="4"/>
  <c r="H23" i="4"/>
  <c r="G23" i="4"/>
  <c r="F23" i="4"/>
  <c r="E23" i="4"/>
  <c r="O22" i="4"/>
  <c r="N22" i="4"/>
  <c r="M22" i="4"/>
  <c r="L22" i="4"/>
  <c r="K22" i="4"/>
  <c r="J22" i="4"/>
  <c r="I22" i="4"/>
  <c r="H22" i="4"/>
  <c r="G22" i="4"/>
  <c r="F22" i="4"/>
  <c r="E22" i="4"/>
  <c r="O21" i="4"/>
  <c r="N21" i="4"/>
  <c r="M21" i="4"/>
  <c r="L21" i="4"/>
  <c r="K21" i="4"/>
  <c r="J21" i="4"/>
  <c r="I21" i="4"/>
  <c r="H21" i="4"/>
  <c r="G21" i="4"/>
  <c r="F21" i="4"/>
  <c r="E21" i="4"/>
  <c r="O20" i="4"/>
  <c r="N20" i="4"/>
  <c r="M20" i="4"/>
  <c r="L20" i="4"/>
  <c r="K20" i="4"/>
  <c r="J20" i="4"/>
  <c r="I20" i="4"/>
  <c r="H20" i="4"/>
  <c r="G20" i="4"/>
  <c r="F20" i="4"/>
  <c r="E20" i="4"/>
  <c r="O19" i="4"/>
  <c r="N19" i="4"/>
  <c r="M19" i="4"/>
  <c r="L19" i="4"/>
  <c r="K19" i="4"/>
  <c r="J19" i="4"/>
  <c r="I19" i="4"/>
  <c r="H19" i="4"/>
  <c r="G19" i="4"/>
  <c r="F19" i="4"/>
  <c r="E19" i="4"/>
  <c r="O18" i="4"/>
  <c r="N18" i="4"/>
  <c r="M18" i="4"/>
  <c r="L18" i="4"/>
  <c r="K18" i="4"/>
  <c r="J18" i="4"/>
  <c r="I18" i="4"/>
  <c r="H18" i="4"/>
  <c r="G18" i="4"/>
  <c r="F18" i="4"/>
  <c r="E18" i="4"/>
  <c r="O17" i="4"/>
  <c r="N17" i="4"/>
  <c r="M17" i="4"/>
  <c r="L17" i="4"/>
  <c r="K17" i="4"/>
  <c r="J17" i="4"/>
  <c r="I17" i="4"/>
  <c r="H17" i="4"/>
  <c r="G17" i="4"/>
  <c r="F17" i="4"/>
  <c r="E17" i="4"/>
  <c r="O16" i="4"/>
  <c r="N16" i="4"/>
  <c r="M16" i="4"/>
  <c r="L16" i="4"/>
  <c r="K16" i="4"/>
  <c r="J16" i="4"/>
  <c r="I16" i="4"/>
  <c r="H16" i="4"/>
  <c r="G16" i="4"/>
  <c r="F16" i="4"/>
  <c r="E16" i="4"/>
  <c r="O15" i="4"/>
  <c r="N15" i="4"/>
  <c r="M15" i="4"/>
  <c r="L15" i="4"/>
  <c r="K15" i="4"/>
  <c r="J15" i="4"/>
  <c r="I15" i="4"/>
  <c r="H15" i="4"/>
  <c r="G15" i="4"/>
  <c r="F15" i="4"/>
  <c r="E15" i="4"/>
  <c r="O14" i="4"/>
  <c r="N14" i="4"/>
  <c r="M14" i="4"/>
  <c r="L14" i="4"/>
  <c r="K14" i="4"/>
  <c r="J14" i="4"/>
  <c r="I14" i="4"/>
  <c r="H14" i="4"/>
  <c r="G14" i="4"/>
  <c r="F14" i="4"/>
  <c r="E14" i="4"/>
  <c r="O13" i="4"/>
  <c r="N13" i="4"/>
  <c r="M13" i="4"/>
  <c r="L13" i="4"/>
  <c r="K13" i="4"/>
  <c r="J13" i="4"/>
  <c r="I13" i="4"/>
  <c r="H13" i="4"/>
  <c r="G13" i="4"/>
  <c r="F13" i="4"/>
  <c r="E13" i="4"/>
  <c r="O12" i="4"/>
  <c r="N12" i="4"/>
  <c r="M12" i="4"/>
  <c r="L12" i="4"/>
  <c r="K12" i="4"/>
  <c r="J12" i="4"/>
  <c r="I12" i="4"/>
  <c r="H12" i="4"/>
  <c r="G12" i="4"/>
  <c r="F12" i="4"/>
  <c r="E12" i="4"/>
  <c r="O11" i="4"/>
  <c r="N11" i="4"/>
  <c r="N4" i="28" s="1"/>
  <c r="M11" i="4"/>
  <c r="M71" i="28" s="1"/>
  <c r="M6" i="28" s="1"/>
  <c r="M60" i="28" s="1"/>
  <c r="L11" i="4"/>
  <c r="L4" i="28" s="1"/>
  <c r="K11" i="4"/>
  <c r="K71" i="28" s="1"/>
  <c r="K6" i="28" s="1"/>
  <c r="J11" i="4"/>
  <c r="J71" i="28" s="1"/>
  <c r="J6" i="28" s="1"/>
  <c r="I11" i="4"/>
  <c r="I4" i="28" s="1"/>
  <c r="H11" i="4"/>
  <c r="H71" i="28" s="1"/>
  <c r="H6" i="28" s="1"/>
  <c r="H60" i="28" s="1"/>
  <c r="H73" i="28" s="1"/>
  <c r="G11" i="4"/>
  <c r="G71" i="28" s="1"/>
  <c r="F11" i="4"/>
  <c r="F4" i="28" s="1"/>
  <c r="E11" i="4"/>
  <c r="E71" i="28" s="1"/>
  <c r="D166" i="4"/>
  <c r="D165" i="4"/>
  <c r="D164" i="4"/>
  <c r="D163" i="4"/>
  <c r="D162" i="4"/>
  <c r="D161" i="4"/>
  <c r="R161" i="4" s="1"/>
  <c r="D160" i="4"/>
  <c r="D159" i="4"/>
  <c r="D158" i="4"/>
  <c r="D157" i="4"/>
  <c r="D156" i="4"/>
  <c r="D155" i="4"/>
  <c r="D154" i="4"/>
  <c r="D153" i="4"/>
  <c r="D152" i="4"/>
  <c r="D151" i="4"/>
  <c r="D150" i="4"/>
  <c r="D149" i="4"/>
  <c r="R149" i="4" s="1"/>
  <c r="D148" i="4"/>
  <c r="D147" i="4"/>
  <c r="D146" i="4"/>
  <c r="D145" i="4"/>
  <c r="D144" i="4"/>
  <c r="D143" i="4"/>
  <c r="D142" i="4"/>
  <c r="D141" i="4"/>
  <c r="D140" i="4"/>
  <c r="D139" i="4"/>
  <c r="D138" i="4"/>
  <c r="D137" i="4"/>
  <c r="R137" i="4" s="1"/>
  <c r="D136" i="4"/>
  <c r="D135" i="4"/>
  <c r="D134" i="4"/>
  <c r="D133" i="4"/>
  <c r="D132" i="4"/>
  <c r="D131" i="4"/>
  <c r="D130" i="4"/>
  <c r="D129" i="4"/>
  <c r="D128" i="4"/>
  <c r="D127" i="4"/>
  <c r="D126" i="4"/>
  <c r="D125" i="4"/>
  <c r="R125" i="4" s="1"/>
  <c r="D124" i="4"/>
  <c r="D123" i="4"/>
  <c r="D122" i="4"/>
  <c r="D121" i="4"/>
  <c r="D120" i="4"/>
  <c r="D119" i="4"/>
  <c r="D118" i="4"/>
  <c r="D117" i="4"/>
  <c r="D116" i="4"/>
  <c r="D115" i="4"/>
  <c r="D114" i="4"/>
  <c r="D113" i="4"/>
  <c r="R113" i="4" s="1"/>
  <c r="D112" i="4"/>
  <c r="D111" i="4"/>
  <c r="D110" i="4"/>
  <c r="D109" i="4"/>
  <c r="D108" i="4"/>
  <c r="D107" i="4"/>
  <c r="D106" i="4"/>
  <c r="D105" i="4"/>
  <c r="D104" i="4"/>
  <c r="D103" i="4"/>
  <c r="D102" i="4"/>
  <c r="D101" i="4"/>
  <c r="R101" i="4" s="1"/>
  <c r="D100" i="4"/>
  <c r="D99" i="4"/>
  <c r="D98" i="4"/>
  <c r="D97" i="4"/>
  <c r="D96" i="4"/>
  <c r="D95" i="4"/>
  <c r="D94" i="4"/>
  <c r="D93" i="4"/>
  <c r="D92" i="4"/>
  <c r="D91" i="4"/>
  <c r="D90" i="4"/>
  <c r="D89" i="4"/>
  <c r="R89" i="4" s="1"/>
  <c r="D88" i="4"/>
  <c r="D87" i="4"/>
  <c r="D86" i="4"/>
  <c r="D85" i="4"/>
  <c r="D84" i="4"/>
  <c r="D83" i="4"/>
  <c r="D82" i="4"/>
  <c r="D81" i="4"/>
  <c r="D80" i="4"/>
  <c r="D79" i="4"/>
  <c r="D78" i="4"/>
  <c r="D77" i="4"/>
  <c r="R77" i="4" s="1"/>
  <c r="D76" i="4"/>
  <c r="D75" i="4"/>
  <c r="D74" i="4"/>
  <c r="D73" i="4"/>
  <c r="D72" i="4"/>
  <c r="D71" i="4"/>
  <c r="D70" i="4"/>
  <c r="D69" i="4"/>
  <c r="D68" i="4"/>
  <c r="D67" i="4"/>
  <c r="D66" i="4"/>
  <c r="D65" i="4"/>
  <c r="R65" i="4" s="1"/>
  <c r="D64" i="4"/>
  <c r="D63" i="4"/>
  <c r="D62" i="4"/>
  <c r="D61" i="4"/>
  <c r="D60" i="4"/>
  <c r="D59" i="4"/>
  <c r="D58" i="4"/>
  <c r="D57" i="4"/>
  <c r="D56" i="4"/>
  <c r="D55" i="4"/>
  <c r="D54" i="4"/>
  <c r="D53" i="4"/>
  <c r="R53" i="4" s="1"/>
  <c r="D52" i="4"/>
  <c r="D51" i="4"/>
  <c r="D50" i="4"/>
  <c r="D49" i="4"/>
  <c r="D48" i="4"/>
  <c r="D47" i="4"/>
  <c r="D46" i="4"/>
  <c r="D45" i="4"/>
  <c r="D44" i="4"/>
  <c r="D43" i="4"/>
  <c r="D42" i="4"/>
  <c r="D41" i="4"/>
  <c r="R41" i="4" s="1"/>
  <c r="D40" i="4"/>
  <c r="D39" i="4"/>
  <c r="D38" i="4"/>
  <c r="D37" i="4"/>
  <c r="D36" i="4"/>
  <c r="D35" i="4"/>
  <c r="D34" i="4"/>
  <c r="D33" i="4"/>
  <c r="D32" i="4"/>
  <c r="D31" i="4"/>
  <c r="D30" i="4"/>
  <c r="D29" i="4"/>
  <c r="R29" i="4" s="1"/>
  <c r="D28" i="4"/>
  <c r="D27" i="4"/>
  <c r="D26" i="4"/>
  <c r="D25" i="4"/>
  <c r="D24" i="4"/>
  <c r="D23" i="4"/>
  <c r="D22" i="4"/>
  <c r="D21" i="4"/>
  <c r="D20" i="4"/>
  <c r="D19" i="4"/>
  <c r="D18" i="4"/>
  <c r="D17" i="4"/>
  <c r="R17" i="4" s="1"/>
  <c r="D16" i="4"/>
  <c r="D15" i="4"/>
  <c r="D14" i="4"/>
  <c r="D13" i="4"/>
  <c r="D12" i="4"/>
  <c r="D11" i="4"/>
  <c r="C166" i="4"/>
  <c r="Q166" i="4" s="1"/>
  <c r="C165" i="4"/>
  <c r="Q165" i="4" s="1"/>
  <c r="C164" i="4"/>
  <c r="Q164" i="4" s="1"/>
  <c r="C163" i="4"/>
  <c r="Q163" i="4" s="1"/>
  <c r="C162" i="4"/>
  <c r="Q162" i="4" s="1"/>
  <c r="C161" i="4"/>
  <c r="Q161" i="4" s="1"/>
  <c r="C160" i="4"/>
  <c r="Q160" i="4" s="1"/>
  <c r="C159" i="4"/>
  <c r="Q159" i="4" s="1"/>
  <c r="C158" i="4"/>
  <c r="Q158" i="4" s="1"/>
  <c r="C157" i="4"/>
  <c r="Q157" i="4" s="1"/>
  <c r="C156" i="4"/>
  <c r="Q156" i="4" s="1"/>
  <c r="C155" i="4"/>
  <c r="Q155" i="4" s="1"/>
  <c r="C154" i="4"/>
  <c r="Q154" i="4" s="1"/>
  <c r="C153" i="4"/>
  <c r="Q153" i="4" s="1"/>
  <c r="C152" i="4"/>
  <c r="Q152" i="4" s="1"/>
  <c r="C151" i="4"/>
  <c r="Q151" i="4" s="1"/>
  <c r="C150" i="4"/>
  <c r="Q150" i="4" s="1"/>
  <c r="C149" i="4"/>
  <c r="Q149" i="4" s="1"/>
  <c r="C148" i="4"/>
  <c r="Q148" i="4" s="1"/>
  <c r="C147" i="4"/>
  <c r="Q147" i="4" s="1"/>
  <c r="C146" i="4"/>
  <c r="Q146" i="4" s="1"/>
  <c r="C145" i="4"/>
  <c r="Q145" i="4" s="1"/>
  <c r="C144" i="4"/>
  <c r="Q144" i="4" s="1"/>
  <c r="C143" i="4"/>
  <c r="Q143" i="4" s="1"/>
  <c r="C142" i="4"/>
  <c r="Q142" i="4" s="1"/>
  <c r="C141" i="4"/>
  <c r="Q141" i="4" s="1"/>
  <c r="C140" i="4"/>
  <c r="Q140" i="4" s="1"/>
  <c r="C139" i="4"/>
  <c r="Q139" i="4" s="1"/>
  <c r="C138" i="4"/>
  <c r="Q138" i="4" s="1"/>
  <c r="C137" i="4"/>
  <c r="Q137" i="4" s="1"/>
  <c r="C136" i="4"/>
  <c r="Q136" i="4" s="1"/>
  <c r="C135" i="4"/>
  <c r="Q135" i="4" s="1"/>
  <c r="C134" i="4"/>
  <c r="Q134" i="4" s="1"/>
  <c r="C133" i="4"/>
  <c r="Q133" i="4" s="1"/>
  <c r="C132" i="4"/>
  <c r="Q132" i="4" s="1"/>
  <c r="C131" i="4"/>
  <c r="Q131" i="4" s="1"/>
  <c r="C130" i="4"/>
  <c r="Q130" i="4" s="1"/>
  <c r="C129" i="4"/>
  <c r="Q129" i="4" s="1"/>
  <c r="C128" i="4"/>
  <c r="Q128" i="4" s="1"/>
  <c r="C127" i="4"/>
  <c r="Q127" i="4" s="1"/>
  <c r="C126" i="4"/>
  <c r="Q126" i="4" s="1"/>
  <c r="C125" i="4"/>
  <c r="Q125" i="4" s="1"/>
  <c r="C124" i="4"/>
  <c r="Q124" i="4" s="1"/>
  <c r="C123" i="4"/>
  <c r="Q123" i="4" s="1"/>
  <c r="C122" i="4"/>
  <c r="Q122" i="4" s="1"/>
  <c r="C121" i="4"/>
  <c r="Q121" i="4" s="1"/>
  <c r="C120" i="4"/>
  <c r="Q120" i="4" s="1"/>
  <c r="C119" i="4"/>
  <c r="Q119" i="4" s="1"/>
  <c r="C118" i="4"/>
  <c r="Q118" i="4" s="1"/>
  <c r="C117" i="4"/>
  <c r="Q117" i="4" s="1"/>
  <c r="C116" i="4"/>
  <c r="Q116" i="4" s="1"/>
  <c r="C115" i="4"/>
  <c r="Q115" i="4" s="1"/>
  <c r="C114" i="4"/>
  <c r="Q114" i="4" s="1"/>
  <c r="C113" i="4"/>
  <c r="Q113" i="4" s="1"/>
  <c r="C112" i="4"/>
  <c r="Q112" i="4" s="1"/>
  <c r="C111" i="4"/>
  <c r="Q111" i="4" s="1"/>
  <c r="C110" i="4"/>
  <c r="Q110" i="4" s="1"/>
  <c r="C109" i="4"/>
  <c r="Q109" i="4" s="1"/>
  <c r="C108" i="4"/>
  <c r="Q108" i="4" s="1"/>
  <c r="C107" i="4"/>
  <c r="Q107" i="4" s="1"/>
  <c r="C106" i="4"/>
  <c r="Q106" i="4" s="1"/>
  <c r="C105" i="4"/>
  <c r="Q105" i="4" s="1"/>
  <c r="C104" i="4"/>
  <c r="Q104" i="4" s="1"/>
  <c r="C103" i="4"/>
  <c r="Q103" i="4" s="1"/>
  <c r="C102" i="4"/>
  <c r="Q102" i="4" s="1"/>
  <c r="C101" i="4"/>
  <c r="Q101" i="4" s="1"/>
  <c r="C100" i="4"/>
  <c r="Q100" i="4" s="1"/>
  <c r="C99" i="4"/>
  <c r="Q99" i="4" s="1"/>
  <c r="C98" i="4"/>
  <c r="Q98" i="4" s="1"/>
  <c r="C97" i="4"/>
  <c r="Q97" i="4" s="1"/>
  <c r="C96" i="4"/>
  <c r="Q96" i="4" s="1"/>
  <c r="C95" i="4"/>
  <c r="Q95" i="4" s="1"/>
  <c r="C94" i="4"/>
  <c r="Q94" i="4" s="1"/>
  <c r="C93" i="4"/>
  <c r="Q93" i="4" s="1"/>
  <c r="C92" i="4"/>
  <c r="Q92" i="4" s="1"/>
  <c r="C91" i="4"/>
  <c r="Q91" i="4" s="1"/>
  <c r="C90" i="4"/>
  <c r="Q90" i="4" s="1"/>
  <c r="C89" i="4"/>
  <c r="Q89" i="4" s="1"/>
  <c r="C88" i="4"/>
  <c r="Q88" i="4" s="1"/>
  <c r="C87" i="4"/>
  <c r="Q87" i="4" s="1"/>
  <c r="C86" i="4"/>
  <c r="Q86" i="4" s="1"/>
  <c r="C85" i="4"/>
  <c r="Q85" i="4" s="1"/>
  <c r="C84" i="4"/>
  <c r="Q84" i="4" s="1"/>
  <c r="C83" i="4"/>
  <c r="Q83" i="4" s="1"/>
  <c r="C82" i="4"/>
  <c r="Q82" i="4" s="1"/>
  <c r="C81" i="4"/>
  <c r="Q81" i="4" s="1"/>
  <c r="C80" i="4"/>
  <c r="Q80" i="4" s="1"/>
  <c r="C79" i="4"/>
  <c r="Q79" i="4" s="1"/>
  <c r="C78" i="4"/>
  <c r="Q78" i="4" s="1"/>
  <c r="C77" i="4"/>
  <c r="Q77" i="4" s="1"/>
  <c r="C76" i="4"/>
  <c r="Q76" i="4" s="1"/>
  <c r="C75" i="4"/>
  <c r="Q75" i="4" s="1"/>
  <c r="C74" i="4"/>
  <c r="Q74" i="4" s="1"/>
  <c r="C73" i="4"/>
  <c r="Q73" i="4" s="1"/>
  <c r="C72" i="4"/>
  <c r="Q72" i="4" s="1"/>
  <c r="C71" i="4"/>
  <c r="Q71" i="4" s="1"/>
  <c r="C70" i="4"/>
  <c r="Q70" i="4" s="1"/>
  <c r="C69" i="4"/>
  <c r="Q69" i="4" s="1"/>
  <c r="C68" i="4"/>
  <c r="Q68" i="4" s="1"/>
  <c r="C67" i="4"/>
  <c r="Q67" i="4" s="1"/>
  <c r="C66" i="4"/>
  <c r="Q66" i="4" s="1"/>
  <c r="C65" i="4"/>
  <c r="Q65" i="4" s="1"/>
  <c r="C64" i="4"/>
  <c r="Q64" i="4" s="1"/>
  <c r="C63" i="4"/>
  <c r="Q63" i="4" s="1"/>
  <c r="C62" i="4"/>
  <c r="Q62" i="4" s="1"/>
  <c r="C61" i="4"/>
  <c r="Q61" i="4" s="1"/>
  <c r="C60" i="4"/>
  <c r="Q60" i="4" s="1"/>
  <c r="C59" i="4"/>
  <c r="Q59" i="4" s="1"/>
  <c r="C58" i="4"/>
  <c r="Q58" i="4" s="1"/>
  <c r="C57" i="4"/>
  <c r="Q57" i="4" s="1"/>
  <c r="C56" i="4"/>
  <c r="Q56" i="4" s="1"/>
  <c r="C55" i="4"/>
  <c r="Q55" i="4" s="1"/>
  <c r="C54" i="4"/>
  <c r="Q54" i="4" s="1"/>
  <c r="C53" i="4"/>
  <c r="Q53" i="4" s="1"/>
  <c r="C52" i="4"/>
  <c r="Q52" i="4" s="1"/>
  <c r="C51" i="4"/>
  <c r="Q51" i="4" s="1"/>
  <c r="C50" i="4"/>
  <c r="Q50" i="4" s="1"/>
  <c r="C49" i="4"/>
  <c r="Q49" i="4" s="1"/>
  <c r="C48" i="4"/>
  <c r="Q48" i="4" s="1"/>
  <c r="C47" i="4"/>
  <c r="Q47" i="4" s="1"/>
  <c r="C46" i="4"/>
  <c r="Q46" i="4" s="1"/>
  <c r="C45" i="4"/>
  <c r="Q45" i="4" s="1"/>
  <c r="C44" i="4"/>
  <c r="Q44" i="4" s="1"/>
  <c r="C43" i="4"/>
  <c r="Q43" i="4" s="1"/>
  <c r="C42" i="4"/>
  <c r="Q42" i="4" s="1"/>
  <c r="C41" i="4"/>
  <c r="Q41" i="4" s="1"/>
  <c r="C40" i="4"/>
  <c r="Q40" i="4" s="1"/>
  <c r="C37" i="4"/>
  <c r="Q37" i="4" s="1"/>
  <c r="C36" i="4"/>
  <c r="Q36" i="4" s="1"/>
  <c r="C35" i="4"/>
  <c r="Q35" i="4" s="1"/>
  <c r="C34" i="4"/>
  <c r="Q34" i="4" s="1"/>
  <c r="C31" i="4"/>
  <c r="Q31" i="4" s="1"/>
  <c r="C30" i="4"/>
  <c r="Q30" i="4" s="1"/>
  <c r="C29" i="4"/>
  <c r="Q29" i="4" s="1"/>
  <c r="C28" i="4"/>
  <c r="Q28" i="4" s="1"/>
  <c r="C27" i="4"/>
  <c r="Q27" i="4" s="1"/>
  <c r="C23" i="4"/>
  <c r="Q23" i="4" s="1"/>
  <c r="C22" i="4"/>
  <c r="Q22" i="4" s="1"/>
  <c r="C21" i="4"/>
  <c r="Q21" i="4" s="1"/>
  <c r="C20" i="4"/>
  <c r="Q20" i="4" s="1"/>
  <c r="C19" i="4"/>
  <c r="Q19" i="4" s="1"/>
  <c r="C18" i="4"/>
  <c r="Q18" i="4" s="1"/>
  <c r="C17" i="4"/>
  <c r="Q17" i="4" s="1"/>
  <c r="C16" i="4"/>
  <c r="Q16" i="4" s="1"/>
  <c r="C15" i="4"/>
  <c r="Q15" i="4" s="1"/>
  <c r="C14" i="4"/>
  <c r="Q14" i="4" s="1"/>
  <c r="C13" i="4"/>
  <c r="Q13" i="4" s="1"/>
  <c r="C12" i="4"/>
  <c r="Q12" i="4" s="1"/>
  <c r="C11" i="4"/>
  <c r="Q11" i="4" s="1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C5" i="29"/>
  <c r="E10" i="21"/>
  <c r="D10" i="21"/>
  <c r="K10" i="21"/>
  <c r="Y40" i="20"/>
  <c r="K13" i="21"/>
  <c r="K12" i="21" s="1"/>
  <c r="J41" i="21"/>
  <c r="I41" i="21"/>
  <c r="H41" i="21"/>
  <c r="E41" i="21"/>
  <c r="D41" i="21"/>
  <c r="I10" i="21"/>
  <c r="J13" i="21"/>
  <c r="J12" i="21" s="1"/>
  <c r="J10" i="21"/>
  <c r="AF41" i="20"/>
  <c r="U92" i="5"/>
  <c r="C79" i="19"/>
  <c r="I90" i="28"/>
  <c r="H90" i="28"/>
  <c r="G90" i="28"/>
  <c r="F90" i="28"/>
  <c r="E90" i="28"/>
  <c r="D90" i="28"/>
  <c r="I87" i="28"/>
  <c r="H87" i="28"/>
  <c r="G87" i="28"/>
  <c r="F87" i="28"/>
  <c r="E87" i="28"/>
  <c r="D87" i="28"/>
  <c r="O71" i="28"/>
  <c r="O6" i="28" s="1"/>
  <c r="O60" i="28" s="1"/>
  <c r="E65" i="28"/>
  <c r="D65" i="28"/>
  <c r="D89" i="28" s="1"/>
  <c r="E89" i="28" s="1"/>
  <c r="F89" i="28" s="1"/>
  <c r="G89" i="28" s="1"/>
  <c r="H89" i="28" s="1"/>
  <c r="I89" i="28" s="1"/>
  <c r="Q57" i="28"/>
  <c r="P57" i="28"/>
  <c r="Q56" i="28"/>
  <c r="P56" i="28"/>
  <c r="Q55" i="28"/>
  <c r="P55" i="28"/>
  <c r="Q54" i="28"/>
  <c r="P54" i="28"/>
  <c r="O53" i="28"/>
  <c r="N53" i="28"/>
  <c r="M53" i="28"/>
  <c r="L53" i="28"/>
  <c r="K53" i="28"/>
  <c r="J53" i="28"/>
  <c r="I53" i="28"/>
  <c r="P53" i="28" s="1"/>
  <c r="Q52" i="28"/>
  <c r="P52" i="28"/>
  <c r="O51" i="28"/>
  <c r="N51" i="28"/>
  <c r="M51" i="28"/>
  <c r="L51" i="28"/>
  <c r="K51" i="28"/>
  <c r="J51" i="28"/>
  <c r="I51" i="28"/>
  <c r="H51" i="28"/>
  <c r="G51" i="28"/>
  <c r="F51" i="28"/>
  <c r="Q50" i="28"/>
  <c r="P50" i="28"/>
  <c r="Q49" i="28"/>
  <c r="P49" i="28"/>
  <c r="Q48" i="28"/>
  <c r="I48" i="28"/>
  <c r="H48" i="28"/>
  <c r="G48" i="28"/>
  <c r="F48" i="28"/>
  <c r="Q47" i="28"/>
  <c r="P47" i="28"/>
  <c r="O46" i="28"/>
  <c r="N46" i="28"/>
  <c r="M46" i="28"/>
  <c r="L46" i="28"/>
  <c r="K46" i="28"/>
  <c r="J46" i="28"/>
  <c r="I46" i="28"/>
  <c r="H46" i="28"/>
  <c r="G46" i="28"/>
  <c r="F46" i="28"/>
  <c r="Q45" i="28"/>
  <c r="P45" i="28"/>
  <c r="Q44" i="28"/>
  <c r="P44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O42" i="28"/>
  <c r="N42" i="28"/>
  <c r="M42" i="28"/>
  <c r="L42" i="28"/>
  <c r="K42" i="28"/>
  <c r="J42" i="28"/>
  <c r="I42" i="28"/>
  <c r="H42" i="28"/>
  <c r="G42" i="28"/>
  <c r="F42" i="28"/>
  <c r="P41" i="28"/>
  <c r="O41" i="28"/>
  <c r="N41" i="28"/>
  <c r="O40" i="28"/>
  <c r="N40" i="28"/>
  <c r="M40" i="28"/>
  <c r="L40" i="28"/>
  <c r="K40" i="28"/>
  <c r="J40" i="28"/>
  <c r="I40" i="28"/>
  <c r="H40" i="28"/>
  <c r="G40" i="28"/>
  <c r="F40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O33" i="28"/>
  <c r="O34" i="28" s="1"/>
  <c r="N33" i="28"/>
  <c r="N34" i="28" s="1"/>
  <c r="M33" i="28"/>
  <c r="M34" i="28" s="1"/>
  <c r="L33" i="28"/>
  <c r="L34" i="28" s="1"/>
  <c r="K33" i="28"/>
  <c r="K34" i="28" s="1"/>
  <c r="J33" i="28"/>
  <c r="J34" i="28" s="1"/>
  <c r="I33" i="28"/>
  <c r="I34" i="28" s="1"/>
  <c r="H33" i="28"/>
  <c r="H34" i="28" s="1"/>
  <c r="G33" i="28"/>
  <c r="G34" i="28" s="1"/>
  <c r="F33" i="28"/>
  <c r="F34" i="28" s="1"/>
  <c r="E33" i="28"/>
  <c r="E34" i="28" s="1"/>
  <c r="D33" i="28"/>
  <c r="D34" i="28" s="1"/>
  <c r="C33" i="28"/>
  <c r="O31" i="28"/>
  <c r="N31" i="28"/>
  <c r="N32" i="28" s="1"/>
  <c r="M31" i="28"/>
  <c r="M32" i="28" s="1"/>
  <c r="L31" i="28"/>
  <c r="L32" i="28" s="1"/>
  <c r="K31" i="28"/>
  <c r="K32" i="28" s="1"/>
  <c r="J31" i="28"/>
  <c r="J32" i="28" s="1"/>
  <c r="I31" i="28"/>
  <c r="I32" i="28" s="1"/>
  <c r="H31" i="28"/>
  <c r="H32" i="28" s="1"/>
  <c r="G31" i="28"/>
  <c r="G32" i="28" s="1"/>
  <c r="F31" i="28"/>
  <c r="F32" i="28" s="1"/>
  <c r="E31" i="28"/>
  <c r="E32" i="28" s="1"/>
  <c r="D31" i="28"/>
  <c r="C31" i="28"/>
  <c r="O29" i="28"/>
  <c r="O30" i="28" s="1"/>
  <c r="N29" i="28"/>
  <c r="N30" i="28" s="1"/>
  <c r="M29" i="28"/>
  <c r="M30" i="28" s="1"/>
  <c r="L29" i="28"/>
  <c r="L30" i="28" s="1"/>
  <c r="K29" i="28"/>
  <c r="K30" i="28" s="1"/>
  <c r="J29" i="28"/>
  <c r="I29" i="28"/>
  <c r="I30" i="28" s="1"/>
  <c r="H29" i="28"/>
  <c r="H30" i="28" s="1"/>
  <c r="G29" i="28"/>
  <c r="G30" i="28" s="1"/>
  <c r="F29" i="28"/>
  <c r="F30" i="28" s="1"/>
  <c r="E29" i="28"/>
  <c r="E30" i="28" s="1"/>
  <c r="D29" i="28"/>
  <c r="D30" i="28" s="1"/>
  <c r="C29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O22" i="28"/>
  <c r="N22" i="28"/>
  <c r="M22" i="28"/>
  <c r="L22" i="28"/>
  <c r="K22" i="28"/>
  <c r="J22" i="28"/>
  <c r="I22" i="28"/>
  <c r="H22" i="28"/>
  <c r="G22" i="28"/>
  <c r="F22" i="28"/>
  <c r="D22" i="28"/>
  <c r="E22" i="28" s="1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O20" i="28"/>
  <c r="N20" i="28"/>
  <c r="M20" i="28"/>
  <c r="L20" i="28"/>
  <c r="K20" i="28"/>
  <c r="J20" i="28"/>
  <c r="I20" i="28"/>
  <c r="H20" i="28"/>
  <c r="G20" i="28"/>
  <c r="F20" i="28"/>
  <c r="D20" i="28"/>
  <c r="E20" i="28" s="1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O18" i="28"/>
  <c r="N18" i="28"/>
  <c r="M18" i="28"/>
  <c r="L18" i="28"/>
  <c r="K18" i="28"/>
  <c r="J18" i="28"/>
  <c r="I18" i="28"/>
  <c r="H18" i="28"/>
  <c r="G18" i="28"/>
  <c r="F18" i="28"/>
  <c r="D18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O16" i="28"/>
  <c r="N16" i="28"/>
  <c r="M16" i="28"/>
  <c r="L16" i="28"/>
  <c r="K16" i="28"/>
  <c r="J16" i="28"/>
  <c r="I16" i="28"/>
  <c r="I80" i="28" s="1"/>
  <c r="I96" i="28" s="1"/>
  <c r="H16" i="28"/>
  <c r="H80" i="28" s="1"/>
  <c r="H96" i="28" s="1"/>
  <c r="G16" i="28"/>
  <c r="G80" i="28" s="1"/>
  <c r="G96" i="28" s="1"/>
  <c r="F16" i="28"/>
  <c r="D16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I12" i="28"/>
  <c r="I38" i="28" s="1"/>
  <c r="H12" i="28"/>
  <c r="H38" i="28" s="1"/>
  <c r="O11" i="28"/>
  <c r="O14" i="28" s="1"/>
  <c r="N11" i="28"/>
  <c r="N14" i="28" s="1"/>
  <c r="Q10" i="28"/>
  <c r="P10" i="28"/>
  <c r="O4" i="28"/>
  <c r="Q3" i="28"/>
  <c r="P3" i="28"/>
  <c r="O3" i="28"/>
  <c r="N3" i="28"/>
  <c r="M3" i="28"/>
  <c r="L3" i="28"/>
  <c r="K3" i="28"/>
  <c r="J3" i="28"/>
  <c r="I3" i="28"/>
  <c r="H3" i="28"/>
  <c r="G3" i="28"/>
  <c r="F3" i="28"/>
  <c r="E3" i="28"/>
  <c r="D3" i="28"/>
  <c r="C3" i="28"/>
  <c r="N71" i="28" l="1"/>
  <c r="N6" i="28" s="1"/>
  <c r="N60" i="28" s="1"/>
  <c r="R16" i="4"/>
  <c r="R40" i="4"/>
  <c r="R64" i="4"/>
  <c r="R76" i="4"/>
  <c r="R88" i="4"/>
  <c r="R100" i="4"/>
  <c r="R112" i="4"/>
  <c r="R124" i="4"/>
  <c r="R136" i="4"/>
  <c r="R148" i="4"/>
  <c r="R160" i="4"/>
  <c r="R91" i="5"/>
  <c r="R19" i="5"/>
  <c r="R43" i="5"/>
  <c r="R67" i="5"/>
  <c r="R33" i="5"/>
  <c r="R57" i="5"/>
  <c r="R81" i="5"/>
  <c r="R105" i="5"/>
  <c r="R129" i="5"/>
  <c r="R153" i="5"/>
  <c r="G5" i="28"/>
  <c r="D4" i="28"/>
  <c r="D87" i="19"/>
  <c r="R115" i="5"/>
  <c r="R139" i="5"/>
  <c r="R163" i="5"/>
  <c r="E5" i="28"/>
  <c r="O5" i="28"/>
  <c r="R27" i="5"/>
  <c r="R51" i="5"/>
  <c r="R75" i="5"/>
  <c r="R99" i="5"/>
  <c r="R123" i="5"/>
  <c r="R147" i="5"/>
  <c r="H4" i="28"/>
  <c r="R37" i="4"/>
  <c r="R73" i="4"/>
  <c r="R109" i="4"/>
  <c r="R133" i="4"/>
  <c r="R13" i="4"/>
  <c r="R49" i="4"/>
  <c r="R85" i="4"/>
  <c r="R121" i="4"/>
  <c r="R145" i="4"/>
  <c r="L71" i="28"/>
  <c r="L6" i="28" s="1"/>
  <c r="L60" i="28" s="1"/>
  <c r="L73" i="28" s="1"/>
  <c r="R25" i="4"/>
  <c r="R61" i="4"/>
  <c r="R97" i="4"/>
  <c r="R157" i="4"/>
  <c r="R22" i="5"/>
  <c r="R46" i="5"/>
  <c r="R70" i="5"/>
  <c r="R94" i="5"/>
  <c r="R118" i="5"/>
  <c r="R142" i="5"/>
  <c r="R166" i="5"/>
  <c r="R35" i="5"/>
  <c r="R59" i="5"/>
  <c r="R83" i="5"/>
  <c r="R107" i="5"/>
  <c r="R131" i="5"/>
  <c r="R155" i="5"/>
  <c r="I5" i="28"/>
  <c r="R11" i="5"/>
  <c r="R144" i="5"/>
  <c r="R25" i="5"/>
  <c r="R49" i="5"/>
  <c r="R73" i="5"/>
  <c r="R97" i="5"/>
  <c r="R121" i="5"/>
  <c r="R145" i="5"/>
  <c r="R14" i="5"/>
  <c r="R38" i="5"/>
  <c r="R62" i="5"/>
  <c r="R86" i="5"/>
  <c r="R110" i="5"/>
  <c r="R134" i="5"/>
  <c r="R158" i="5"/>
  <c r="R54" i="4"/>
  <c r="R90" i="4"/>
  <c r="R31" i="4"/>
  <c r="R91" i="4"/>
  <c r="R139" i="4"/>
  <c r="R68" i="4"/>
  <c r="J4" i="28"/>
  <c r="K4" i="28"/>
  <c r="F71" i="28"/>
  <c r="F6" i="28" s="1"/>
  <c r="R14" i="4"/>
  <c r="R38" i="4"/>
  <c r="R62" i="4"/>
  <c r="R74" i="4"/>
  <c r="R86" i="4"/>
  <c r="R98" i="4"/>
  <c r="R110" i="4"/>
  <c r="R122" i="4"/>
  <c r="R134" i="4"/>
  <c r="R146" i="4"/>
  <c r="R158" i="4"/>
  <c r="I71" i="28"/>
  <c r="I6" i="28" s="1"/>
  <c r="I60" i="28" s="1"/>
  <c r="I73" i="28" s="1"/>
  <c r="R15" i="4"/>
  <c r="R27" i="4"/>
  <c r="R39" i="4"/>
  <c r="R51" i="4"/>
  <c r="R63" i="4"/>
  <c r="R75" i="4"/>
  <c r="R87" i="4"/>
  <c r="R99" i="4"/>
  <c r="R111" i="4"/>
  <c r="R123" i="4"/>
  <c r="R135" i="4"/>
  <c r="R147" i="4"/>
  <c r="R159" i="4"/>
  <c r="R78" i="4"/>
  <c r="R114" i="4"/>
  <c r="R126" i="4"/>
  <c r="R150" i="4"/>
  <c r="R19" i="4"/>
  <c r="R43" i="4"/>
  <c r="R67" i="4"/>
  <c r="R79" i="4"/>
  <c r="R115" i="4"/>
  <c r="R127" i="4"/>
  <c r="R163" i="4"/>
  <c r="R56" i="4"/>
  <c r="R92" i="4"/>
  <c r="R104" i="4"/>
  <c r="R116" i="4"/>
  <c r="R128" i="4"/>
  <c r="R140" i="4"/>
  <c r="R152" i="4"/>
  <c r="R164" i="4"/>
  <c r="R33" i="4"/>
  <c r="R57" i="4"/>
  <c r="R69" i="4"/>
  <c r="R93" i="4"/>
  <c r="R105" i="4"/>
  <c r="R129" i="4"/>
  <c r="R141" i="4"/>
  <c r="R153" i="4"/>
  <c r="G4" i="28"/>
  <c r="R22" i="4"/>
  <c r="R46" i="4"/>
  <c r="R70" i="4"/>
  <c r="R82" i="4"/>
  <c r="R94" i="4"/>
  <c r="R106" i="4"/>
  <c r="R118" i="4"/>
  <c r="R130" i="4"/>
  <c r="R142" i="4"/>
  <c r="R154" i="4"/>
  <c r="R166" i="4"/>
  <c r="R23" i="4"/>
  <c r="R35" i="4"/>
  <c r="R47" i="4"/>
  <c r="R59" i="4"/>
  <c r="R71" i="4"/>
  <c r="R83" i="4"/>
  <c r="R95" i="4"/>
  <c r="R107" i="4"/>
  <c r="R119" i="4"/>
  <c r="R131" i="4"/>
  <c r="R143" i="4"/>
  <c r="R155" i="4"/>
  <c r="R30" i="4"/>
  <c r="R66" i="4"/>
  <c r="R102" i="4"/>
  <c r="R138" i="4"/>
  <c r="R55" i="4"/>
  <c r="R103" i="4"/>
  <c r="R151" i="4"/>
  <c r="R32" i="4"/>
  <c r="R80" i="4"/>
  <c r="R21" i="4"/>
  <c r="R45" i="4"/>
  <c r="R81" i="4"/>
  <c r="R117" i="4"/>
  <c r="R165" i="4"/>
  <c r="D11" i="28"/>
  <c r="D14" i="28" s="1"/>
  <c r="P14" i="28" s="1"/>
  <c r="R24" i="4"/>
  <c r="R48" i="4"/>
  <c r="R60" i="4"/>
  <c r="R72" i="4"/>
  <c r="R84" i="4"/>
  <c r="R96" i="4"/>
  <c r="R108" i="4"/>
  <c r="R120" i="4"/>
  <c r="R132" i="4"/>
  <c r="R144" i="4"/>
  <c r="R156" i="4"/>
  <c r="K72" i="28"/>
  <c r="K7" i="28" s="1"/>
  <c r="K61" i="28" s="1"/>
  <c r="R29" i="5"/>
  <c r="R37" i="5"/>
  <c r="R85" i="5"/>
  <c r="R141" i="5"/>
  <c r="R157" i="5"/>
  <c r="L5" i="28"/>
  <c r="M72" i="28"/>
  <c r="M7" i="28" s="1"/>
  <c r="M61" i="28" s="1"/>
  <c r="R18" i="5"/>
  <c r="R26" i="5"/>
  <c r="R34" i="5"/>
  <c r="R42" i="5"/>
  <c r="R50" i="5"/>
  <c r="R58" i="5"/>
  <c r="R66" i="5"/>
  <c r="R74" i="5"/>
  <c r="R82" i="5"/>
  <c r="R90" i="5"/>
  <c r="R98" i="5"/>
  <c r="R106" i="5"/>
  <c r="R114" i="5"/>
  <c r="R122" i="5"/>
  <c r="R130" i="5"/>
  <c r="R138" i="5"/>
  <c r="R146" i="5"/>
  <c r="R154" i="5"/>
  <c r="R162" i="5"/>
  <c r="J72" i="28"/>
  <c r="J7" i="28" s="1"/>
  <c r="J61" i="28" s="1"/>
  <c r="R13" i="5"/>
  <c r="R45" i="5"/>
  <c r="R53" i="5"/>
  <c r="R101" i="5"/>
  <c r="R109" i="5"/>
  <c r="R117" i="5"/>
  <c r="R125" i="5"/>
  <c r="R133" i="5"/>
  <c r="R149" i="5"/>
  <c r="R165" i="5"/>
  <c r="C5" i="28"/>
  <c r="D72" i="28"/>
  <c r="D7" i="28" s="1"/>
  <c r="D61" i="28" s="1"/>
  <c r="P61" i="28" s="1"/>
  <c r="N72" i="28"/>
  <c r="N7" i="28" s="1"/>
  <c r="N61" i="28" s="1"/>
  <c r="R15" i="5"/>
  <c r="R16" i="5"/>
  <c r="R23" i="5"/>
  <c r="R24" i="5"/>
  <c r="R31" i="5"/>
  <c r="R32" i="5"/>
  <c r="R39" i="5"/>
  <c r="R40" i="5"/>
  <c r="R47" i="5"/>
  <c r="R48" i="5"/>
  <c r="R55" i="5"/>
  <c r="R56" i="5"/>
  <c r="R63" i="5"/>
  <c r="R64" i="5"/>
  <c r="R71" i="5"/>
  <c r="R72" i="5"/>
  <c r="R79" i="5"/>
  <c r="R80" i="5"/>
  <c r="R87" i="5"/>
  <c r="R88" i="5"/>
  <c r="R95" i="5"/>
  <c r="R96" i="5"/>
  <c r="R103" i="5"/>
  <c r="R104" i="5"/>
  <c r="R111" i="5"/>
  <c r="R112" i="5"/>
  <c r="R119" i="5"/>
  <c r="R120" i="5"/>
  <c r="R127" i="5"/>
  <c r="R128" i="5"/>
  <c r="R135" i="5"/>
  <c r="R136" i="5"/>
  <c r="R143" i="5"/>
  <c r="R151" i="5"/>
  <c r="R152" i="5"/>
  <c r="R159" i="5"/>
  <c r="R160" i="5"/>
  <c r="D12" i="28"/>
  <c r="P12" i="28" s="1"/>
  <c r="R21" i="5"/>
  <c r="R61" i="5"/>
  <c r="R69" i="5"/>
  <c r="R77" i="5"/>
  <c r="R93" i="5"/>
  <c r="D5" i="28"/>
  <c r="R12" i="5"/>
  <c r="R20" i="5"/>
  <c r="R28" i="5"/>
  <c r="R36" i="5"/>
  <c r="R44" i="5"/>
  <c r="R52" i="5"/>
  <c r="R60" i="5"/>
  <c r="R68" i="5"/>
  <c r="R76" i="5"/>
  <c r="R84" i="5"/>
  <c r="R92" i="5"/>
  <c r="R100" i="5"/>
  <c r="R108" i="5"/>
  <c r="R116" i="5"/>
  <c r="R124" i="5"/>
  <c r="R132" i="5"/>
  <c r="R140" i="5"/>
  <c r="R148" i="5"/>
  <c r="R156" i="5"/>
  <c r="R164" i="5"/>
  <c r="C71" i="28"/>
  <c r="C11" i="28"/>
  <c r="C14" i="28" s="1"/>
  <c r="R18" i="4"/>
  <c r="R26" i="4"/>
  <c r="R34" i="4"/>
  <c r="R42" i="4"/>
  <c r="R50" i="4"/>
  <c r="R58" i="4"/>
  <c r="R162" i="4"/>
  <c r="D168" i="4"/>
  <c r="E169" i="4" s="1"/>
  <c r="C4" i="28"/>
  <c r="R12" i="4"/>
  <c r="R20" i="4"/>
  <c r="R28" i="4"/>
  <c r="R36" i="4"/>
  <c r="R44" i="4"/>
  <c r="R52" i="4"/>
  <c r="H5" i="28"/>
  <c r="Q153" i="5"/>
  <c r="M4" i="28"/>
  <c r="R11" i="4"/>
  <c r="F5" i="28"/>
  <c r="E86" i="28"/>
  <c r="E88" i="28" s="1"/>
  <c r="E91" i="28" s="1"/>
  <c r="E4" i="28"/>
  <c r="D71" i="28"/>
  <c r="D6" i="28" s="1"/>
  <c r="O8" i="28"/>
  <c r="G86" i="28"/>
  <c r="G88" i="28" s="1"/>
  <c r="G91" i="28" s="1"/>
  <c r="P24" i="28"/>
  <c r="P25" i="28"/>
  <c r="Q41" i="28"/>
  <c r="F80" i="28"/>
  <c r="F96" i="28" s="1"/>
  <c r="H58" i="28"/>
  <c r="H86" i="28"/>
  <c r="H88" i="28" s="1"/>
  <c r="H91" i="28" s="1"/>
  <c r="P51" i="28"/>
  <c r="P31" i="28"/>
  <c r="P46" i="28"/>
  <c r="P15" i="28"/>
  <c r="P17" i="28"/>
  <c r="P19" i="28"/>
  <c r="P21" i="28"/>
  <c r="P23" i="28"/>
  <c r="Q29" i="28"/>
  <c r="N58" i="28"/>
  <c r="O58" i="28"/>
  <c r="Q17" i="28"/>
  <c r="P39" i="28"/>
  <c r="Q27" i="28"/>
  <c r="P48" i="28"/>
  <c r="P65" i="28"/>
  <c r="Q42" i="28"/>
  <c r="Q21" i="28"/>
  <c r="Q26" i="28"/>
  <c r="J30" i="28"/>
  <c r="Q30" i="28" s="1"/>
  <c r="P42" i="28"/>
  <c r="G58" i="28"/>
  <c r="Q25" i="28"/>
  <c r="Q46" i="28"/>
  <c r="I58" i="28"/>
  <c r="Q16" i="28"/>
  <c r="Q43" i="28"/>
  <c r="J58" i="28"/>
  <c r="P43" i="28"/>
  <c r="Q24" i="28"/>
  <c r="E58" i="28"/>
  <c r="L58" i="28"/>
  <c r="Q31" i="28"/>
  <c r="F36" i="28"/>
  <c r="P40" i="28"/>
  <c r="M58" i="28"/>
  <c r="G36" i="28"/>
  <c r="P26" i="28"/>
  <c r="Q28" i="28"/>
  <c r="H36" i="28"/>
  <c r="P27" i="28"/>
  <c r="O32" i="28"/>
  <c r="Q32" i="28" s="1"/>
  <c r="J14" i="28"/>
  <c r="Q14" i="28" s="1"/>
  <c r="Q15" i="28"/>
  <c r="Q19" i="28"/>
  <c r="Q23" i="28"/>
  <c r="P28" i="28"/>
  <c r="Q53" i="28"/>
  <c r="P34" i="28"/>
  <c r="Q51" i="28"/>
  <c r="P20" i="28"/>
  <c r="L36" i="28"/>
  <c r="Q20" i="28"/>
  <c r="M80" i="28"/>
  <c r="J60" i="28"/>
  <c r="Q11" i="28"/>
  <c r="K60" i="28"/>
  <c r="F58" i="28"/>
  <c r="Q40" i="28"/>
  <c r="M73" i="28"/>
  <c r="K36" i="28"/>
  <c r="M36" i="28"/>
  <c r="N36" i="28"/>
  <c r="O80" i="28"/>
  <c r="D80" i="28"/>
  <c r="D96" i="28" s="1"/>
  <c r="D32" i="28"/>
  <c r="P32" i="28" s="1"/>
  <c r="E16" i="28"/>
  <c r="P16" i="28" s="1"/>
  <c r="Q34" i="28"/>
  <c r="P30" i="28"/>
  <c r="Q12" i="28"/>
  <c r="Q33" i="28"/>
  <c r="L80" i="28"/>
  <c r="Q38" i="28"/>
  <c r="K58" i="28"/>
  <c r="J80" i="28"/>
  <c r="Q18" i="28"/>
  <c r="K80" i="28"/>
  <c r="N80" i="28"/>
  <c r="I36" i="28"/>
  <c r="Q22" i="28"/>
  <c r="Q39" i="28"/>
  <c r="O76" i="28"/>
  <c r="O73" i="28"/>
  <c r="H76" i="28"/>
  <c r="E6" i="28"/>
  <c r="P22" i="28"/>
  <c r="P33" i="28"/>
  <c r="G6" i="28"/>
  <c r="E18" i="28"/>
  <c r="P18" i="28" s="1"/>
  <c r="P29" i="28"/>
  <c r="N73" i="28" l="1"/>
  <c r="F86" i="28"/>
  <c r="F88" i="28" s="1"/>
  <c r="F91" i="28" s="1"/>
  <c r="H8" i="28"/>
  <c r="P11" i="28"/>
  <c r="N76" i="28"/>
  <c r="N8" i="28"/>
  <c r="Q61" i="28"/>
  <c r="Q7" i="28"/>
  <c r="L8" i="28"/>
  <c r="L76" i="28"/>
  <c r="P4" i="28"/>
  <c r="G8" i="28"/>
  <c r="J8" i="28"/>
  <c r="K76" i="28"/>
  <c r="Q5" i="28"/>
  <c r="K8" i="28"/>
  <c r="I86" i="28"/>
  <c r="I88" i="28" s="1"/>
  <c r="I91" i="28" s="1"/>
  <c r="I8" i="28"/>
  <c r="I76" i="28"/>
  <c r="I94" i="28" s="1"/>
  <c r="M8" i="28"/>
  <c r="D38" i="28"/>
  <c r="P38" i="28" s="1"/>
  <c r="P7" i="28"/>
  <c r="D8" i="28"/>
  <c r="J76" i="28"/>
  <c r="M76" i="28"/>
  <c r="Q4" i="28"/>
  <c r="E8" i="28"/>
  <c r="F8" i="28"/>
  <c r="P5" i="28"/>
  <c r="H63" i="28"/>
  <c r="H68" i="28" s="1"/>
  <c r="D86" i="28"/>
  <c r="D88" i="28" s="1"/>
  <c r="D91" i="28" s="1"/>
  <c r="I63" i="28"/>
  <c r="I77" i="28" s="1"/>
  <c r="N63" i="28"/>
  <c r="N68" i="28" s="1"/>
  <c r="R25" i="28"/>
  <c r="L63" i="28"/>
  <c r="L68" i="28" s="1"/>
  <c r="M63" i="28"/>
  <c r="M68" i="28" s="1"/>
  <c r="K73" i="28"/>
  <c r="K63" i="28"/>
  <c r="R24" i="28"/>
  <c r="R28" i="28"/>
  <c r="D60" i="28"/>
  <c r="P6" i="28"/>
  <c r="Q6" i="28"/>
  <c r="R31" i="28"/>
  <c r="J36" i="28"/>
  <c r="J63" i="28" s="1"/>
  <c r="R17" i="28"/>
  <c r="R19" i="28"/>
  <c r="O36" i="28"/>
  <c r="R29" i="28"/>
  <c r="R15" i="28"/>
  <c r="R21" i="28"/>
  <c r="R33" i="28"/>
  <c r="D76" i="28"/>
  <c r="D94" i="28" s="1"/>
  <c r="Q60" i="28"/>
  <c r="J73" i="28"/>
  <c r="D36" i="28"/>
  <c r="F60" i="28"/>
  <c r="F76" i="28"/>
  <c r="E60" i="28"/>
  <c r="E76" i="28"/>
  <c r="H94" i="28"/>
  <c r="Q58" i="28"/>
  <c r="G60" i="28"/>
  <c r="G63" i="28" s="1"/>
  <c r="G68" i="28" s="1"/>
  <c r="G76" i="28"/>
  <c r="E66" i="28"/>
  <c r="P66" i="28" s="1"/>
  <c r="E80" i="28"/>
  <c r="E96" i="28" s="1"/>
  <c r="E36" i="28"/>
  <c r="D58" i="28" l="1"/>
  <c r="P58" i="28" s="1"/>
  <c r="I78" i="28"/>
  <c r="I81" i="28" s="1"/>
  <c r="Q8" i="28"/>
  <c r="P8" i="28"/>
  <c r="H77" i="28"/>
  <c r="H78" i="28" s="1"/>
  <c r="H81" i="28" s="1"/>
  <c r="H92" i="28" s="1"/>
  <c r="L77" i="28"/>
  <c r="L78" i="28" s="1"/>
  <c r="L81" i="28" s="1"/>
  <c r="L82" i="28" s="1"/>
  <c r="J77" i="28"/>
  <c r="J78" i="28" s="1"/>
  <c r="J81" i="28" s="1"/>
  <c r="J82" i="28" s="1"/>
  <c r="O63" i="28"/>
  <c r="O68" i="28" s="1"/>
  <c r="D73" i="28"/>
  <c r="D63" i="28"/>
  <c r="E73" i="28"/>
  <c r="E63" i="28"/>
  <c r="E68" i="28" s="1"/>
  <c r="F73" i="28"/>
  <c r="F63" i="28"/>
  <c r="F68" i="28" s="1"/>
  <c r="I68" i="28"/>
  <c r="Q36" i="28"/>
  <c r="J68" i="28"/>
  <c r="M77" i="28"/>
  <c r="M78" i="28" s="1"/>
  <c r="M81" i="28" s="1"/>
  <c r="M82" i="28" s="1"/>
  <c r="C58" i="28"/>
  <c r="N77" i="28"/>
  <c r="N78" i="28" s="1"/>
  <c r="N81" i="28" s="1"/>
  <c r="N82" i="28" s="1"/>
  <c r="I95" i="28"/>
  <c r="I97" i="28" s="1"/>
  <c r="I82" i="28"/>
  <c r="I92" i="28"/>
  <c r="P36" i="28"/>
  <c r="C36" i="28"/>
  <c r="F94" i="28"/>
  <c r="P60" i="28"/>
  <c r="G94" i="28"/>
  <c r="G77" i="28"/>
  <c r="G78" i="28" s="1"/>
  <c r="G81" i="28" s="1"/>
  <c r="G73" i="28"/>
  <c r="K77" i="28"/>
  <c r="K78" i="28" s="1"/>
  <c r="K81" i="28" s="1"/>
  <c r="K82" i="28" s="1"/>
  <c r="K68" i="28"/>
  <c r="E94" i="28"/>
  <c r="H82" i="28" l="1"/>
  <c r="H95" i="28"/>
  <c r="H97" i="28" s="1"/>
  <c r="F77" i="28"/>
  <c r="F78" i="28" s="1"/>
  <c r="F81" i="28" s="1"/>
  <c r="F95" i="28" s="1"/>
  <c r="F97" i="28" s="1"/>
  <c r="O77" i="28"/>
  <c r="O78" i="28" s="1"/>
  <c r="O81" i="28" s="1"/>
  <c r="O82" i="28" s="1"/>
  <c r="P63" i="28"/>
  <c r="E77" i="28"/>
  <c r="E78" i="28" s="1"/>
  <c r="E81" i="28" s="1"/>
  <c r="E95" i="28" s="1"/>
  <c r="E97" i="28" s="1"/>
  <c r="Q63" i="28"/>
  <c r="Q68" i="28"/>
  <c r="Q74" i="28" s="1"/>
  <c r="G95" i="28"/>
  <c r="G97" i="28" s="1"/>
  <c r="G82" i="28"/>
  <c r="G92" i="28"/>
  <c r="D77" i="28"/>
  <c r="D78" i="28" s="1"/>
  <c r="D81" i="28" s="1"/>
  <c r="D68" i="28"/>
  <c r="F92" i="28" l="1"/>
  <c r="F82" i="28"/>
  <c r="E92" i="28"/>
  <c r="E82" i="28"/>
  <c r="D69" i="28"/>
  <c r="E69" i="28" s="1"/>
  <c r="F69" i="28" s="1"/>
  <c r="G69" i="28" s="1"/>
  <c r="H69" i="28" s="1"/>
  <c r="I69" i="28" s="1"/>
  <c r="J69" i="28" s="1"/>
  <c r="K69" i="28" s="1"/>
  <c r="L69" i="28" s="1"/>
  <c r="M69" i="28" s="1"/>
  <c r="N69" i="28" s="1"/>
  <c r="O69" i="28" s="1"/>
  <c r="P68" i="28"/>
  <c r="P74" i="28" s="1"/>
  <c r="D82" i="28"/>
  <c r="D95" i="28"/>
  <c r="D97" i="28" s="1"/>
  <c r="D92" i="28"/>
  <c r="AP45" i="21" l="1"/>
  <c r="I171" i="16"/>
  <c r="I172" i="16"/>
  <c r="I174" i="16"/>
  <c r="I175" i="16"/>
  <c r="I171" i="17"/>
  <c r="I172" i="17"/>
  <c r="I174" i="17"/>
  <c r="I175" i="17"/>
  <c r="I171" i="15"/>
  <c r="I172" i="15"/>
  <c r="I174" i="15"/>
  <c r="I175" i="15"/>
  <c r="I175" i="1"/>
  <c r="I172" i="1"/>
  <c r="I171" i="1"/>
  <c r="I173" i="1" s="1"/>
  <c r="I173" i="17" l="1"/>
  <c r="I176" i="17" s="1"/>
  <c r="I173" i="15"/>
  <c r="I176" i="15" s="1"/>
  <c r="I173" i="16"/>
  <c r="I176" i="16" s="1"/>
  <c r="I178" i="1" l="1"/>
  <c r="I117" i="19" s="1"/>
  <c r="H175" i="15"/>
  <c r="G175" i="15"/>
  <c r="F175" i="15"/>
  <c r="E175" i="15"/>
  <c r="D175" i="15"/>
  <c r="C175" i="15"/>
  <c r="H174" i="15"/>
  <c r="G174" i="15"/>
  <c r="F174" i="15"/>
  <c r="E174" i="15"/>
  <c r="D174" i="15"/>
  <c r="C174" i="15"/>
  <c r="H172" i="15"/>
  <c r="G172" i="15"/>
  <c r="F172" i="15"/>
  <c r="E172" i="15"/>
  <c r="D172" i="15"/>
  <c r="C172" i="15"/>
  <c r="H171" i="15"/>
  <c r="G171" i="15"/>
  <c r="F171" i="15"/>
  <c r="E171" i="15"/>
  <c r="D171" i="15"/>
  <c r="C171" i="15"/>
  <c r="H175" i="16"/>
  <c r="G175" i="16"/>
  <c r="F175" i="16"/>
  <c r="E175" i="16"/>
  <c r="D175" i="16"/>
  <c r="C175" i="16"/>
  <c r="H174" i="16"/>
  <c r="G174" i="16"/>
  <c r="F174" i="16"/>
  <c r="E174" i="16"/>
  <c r="D174" i="16"/>
  <c r="C174" i="16"/>
  <c r="H172" i="16"/>
  <c r="G172" i="16"/>
  <c r="F172" i="16"/>
  <c r="E172" i="16"/>
  <c r="D172" i="16"/>
  <c r="C172" i="16"/>
  <c r="H171" i="16"/>
  <c r="G171" i="16"/>
  <c r="F171" i="16"/>
  <c r="F173" i="16" s="1"/>
  <c r="F176" i="16" s="1"/>
  <c r="E171" i="16"/>
  <c r="D171" i="16"/>
  <c r="C171" i="16"/>
  <c r="H175" i="17"/>
  <c r="G175" i="17"/>
  <c r="F175" i="17"/>
  <c r="E175" i="17"/>
  <c r="D175" i="17"/>
  <c r="C175" i="17"/>
  <c r="H174" i="17"/>
  <c r="G174" i="17"/>
  <c r="F174" i="17"/>
  <c r="E174" i="17"/>
  <c r="D174" i="17"/>
  <c r="C174" i="17"/>
  <c r="H172" i="17"/>
  <c r="G172" i="17"/>
  <c r="F172" i="17"/>
  <c r="E172" i="17"/>
  <c r="D172" i="17"/>
  <c r="C172" i="17"/>
  <c r="H171" i="17"/>
  <c r="G171" i="17"/>
  <c r="F171" i="17"/>
  <c r="E171" i="17"/>
  <c r="E173" i="17" s="1"/>
  <c r="E176" i="17" s="1"/>
  <c r="D171" i="17"/>
  <c r="C171" i="17"/>
  <c r="H175" i="6"/>
  <c r="G175" i="6"/>
  <c r="F175" i="6"/>
  <c r="E175" i="6"/>
  <c r="D175" i="6"/>
  <c r="C175" i="6"/>
  <c r="H174" i="6"/>
  <c r="G174" i="6"/>
  <c r="F174" i="6"/>
  <c r="E174" i="6"/>
  <c r="D174" i="6"/>
  <c r="C174" i="6"/>
  <c r="H172" i="6"/>
  <c r="G172" i="6"/>
  <c r="F172" i="6"/>
  <c r="E172" i="6"/>
  <c r="D172" i="6"/>
  <c r="C172" i="6"/>
  <c r="H171" i="6"/>
  <c r="G171" i="6"/>
  <c r="F171" i="6"/>
  <c r="E171" i="6"/>
  <c r="D171" i="6"/>
  <c r="C171" i="6"/>
  <c r="H175" i="1"/>
  <c r="H173" i="1"/>
  <c r="H172" i="1"/>
  <c r="H171" i="1"/>
  <c r="G175" i="1"/>
  <c r="G172" i="1"/>
  <c r="G171" i="1"/>
  <c r="G173" i="1" s="1"/>
  <c r="F175" i="1"/>
  <c r="F173" i="1"/>
  <c r="F172" i="1"/>
  <c r="F171" i="1"/>
  <c r="E175" i="1"/>
  <c r="E173" i="1"/>
  <c r="E172" i="1"/>
  <c r="E171" i="1"/>
  <c r="D175" i="1"/>
  <c r="D172" i="1"/>
  <c r="D171" i="1"/>
  <c r="D173" i="1" s="1"/>
  <c r="C175" i="1"/>
  <c r="C173" i="1"/>
  <c r="C172" i="1"/>
  <c r="C171" i="1"/>
  <c r="D114" i="19"/>
  <c r="I114" i="19"/>
  <c r="H114" i="19"/>
  <c r="G114" i="19"/>
  <c r="F114" i="19"/>
  <c r="E114" i="19"/>
  <c r="I111" i="19"/>
  <c r="H111" i="19"/>
  <c r="G111" i="19"/>
  <c r="F111" i="19"/>
  <c r="E111" i="19"/>
  <c r="D111" i="19"/>
  <c r="D8" i="1"/>
  <c r="D7" i="1" s="1"/>
  <c r="I174" i="1" s="1"/>
  <c r="I176" i="1" s="1"/>
  <c r="AQ45" i="21"/>
  <c r="AB27" i="26"/>
  <c r="AC27" i="25"/>
  <c r="AN41" i="20"/>
  <c r="I179" i="1" l="1"/>
  <c r="I93" i="28"/>
  <c r="D173" i="17"/>
  <c r="D176" i="17" s="1"/>
  <c r="G173" i="16"/>
  <c r="G176" i="16" s="1"/>
  <c r="D173" i="15"/>
  <c r="D176" i="15" s="1"/>
  <c r="C173" i="15"/>
  <c r="C176" i="15" s="1"/>
  <c r="G173" i="6"/>
  <c r="G176" i="6" s="1"/>
  <c r="H173" i="6"/>
  <c r="H176" i="6" s="1"/>
  <c r="F173" i="15"/>
  <c r="F176" i="15" s="1"/>
  <c r="E173" i="15"/>
  <c r="E176" i="15" s="1"/>
  <c r="G173" i="15"/>
  <c r="G176" i="15" s="1"/>
  <c r="H173" i="15"/>
  <c r="H176" i="15" s="1"/>
  <c r="G173" i="17"/>
  <c r="G176" i="17" s="1"/>
  <c r="H173" i="17"/>
  <c r="H176" i="17" s="1"/>
  <c r="F173" i="17"/>
  <c r="F176" i="17" s="1"/>
  <c r="C173" i="17"/>
  <c r="C176" i="17" s="1"/>
  <c r="G174" i="1"/>
  <c r="G176" i="1" s="1"/>
  <c r="D173" i="16"/>
  <c r="D176" i="16" s="1"/>
  <c r="H174" i="1"/>
  <c r="H176" i="1" s="1"/>
  <c r="E174" i="1"/>
  <c r="E176" i="1" s="1"/>
  <c r="C173" i="16"/>
  <c r="C176" i="16" s="1"/>
  <c r="D174" i="1"/>
  <c r="D176" i="1" s="1"/>
  <c r="D107" i="19" s="1"/>
  <c r="E173" i="16"/>
  <c r="E176" i="16" s="1"/>
  <c r="E7" i="1"/>
  <c r="I84" i="28"/>
  <c r="I107" i="19"/>
  <c r="C174" i="1"/>
  <c r="C176" i="1" s="1"/>
  <c r="F174" i="1"/>
  <c r="F176" i="1" s="1"/>
  <c r="H173" i="16"/>
  <c r="H176" i="16" s="1"/>
  <c r="I181" i="1"/>
  <c r="C173" i="6"/>
  <c r="C176" i="6" s="1"/>
  <c r="E173" i="6"/>
  <c r="E176" i="6" s="1"/>
  <c r="D173" i="6"/>
  <c r="D176" i="6" s="1"/>
  <c r="F173" i="6"/>
  <c r="F176" i="6" s="1"/>
  <c r="AN45" i="22"/>
  <c r="AO45" i="22" s="1"/>
  <c r="AP44" i="21"/>
  <c r="E28" i="19"/>
  <c r="H43" i="27"/>
  <c r="H39" i="27"/>
  <c r="S39" i="27" s="1"/>
  <c r="H38" i="27"/>
  <c r="S38" i="27" s="1"/>
  <c r="H37" i="27"/>
  <c r="S37" i="27" s="1"/>
  <c r="H36" i="27"/>
  <c r="S36" i="27" s="1"/>
  <c r="H35" i="27"/>
  <c r="S35" i="27" s="1"/>
  <c r="H28" i="27"/>
  <c r="H27" i="27"/>
  <c r="H25" i="27"/>
  <c r="H23" i="27"/>
  <c r="H18" i="27"/>
  <c r="H17" i="27"/>
  <c r="H7" i="27"/>
  <c r="H5" i="27"/>
  <c r="S5" i="27" s="1"/>
  <c r="G43" i="27"/>
  <c r="G35" i="27"/>
  <c r="R35" i="27" s="1"/>
  <c r="G28" i="27"/>
  <c r="G7" i="27"/>
  <c r="G5" i="27"/>
  <c r="R5" i="27" s="1"/>
  <c r="F43" i="27"/>
  <c r="F39" i="27"/>
  <c r="Q39" i="27" s="1"/>
  <c r="F36" i="27"/>
  <c r="Q36" i="27" s="1"/>
  <c r="F35" i="27"/>
  <c r="Q35" i="27" s="1"/>
  <c r="F20" i="27"/>
  <c r="F19" i="27"/>
  <c r="F18" i="27"/>
  <c r="F17" i="27"/>
  <c r="F16" i="27"/>
  <c r="F5" i="27"/>
  <c r="Q5" i="27" s="1"/>
  <c r="AH49" i="23"/>
  <c r="AH48" i="23"/>
  <c r="AH47" i="23"/>
  <c r="AH46" i="23"/>
  <c r="AH45" i="23"/>
  <c r="AH43" i="23"/>
  <c r="AH39" i="23"/>
  <c r="E39" i="51" s="1"/>
  <c r="M39" i="51" s="1"/>
  <c r="N39" i="51" s="1"/>
  <c r="AH38" i="23"/>
  <c r="E38" i="27" s="1"/>
  <c r="P38" i="27" s="1"/>
  <c r="AH37" i="23"/>
  <c r="AH36" i="23"/>
  <c r="E36" i="27" s="1"/>
  <c r="P36" i="27" s="1"/>
  <c r="AH35" i="23"/>
  <c r="AH34" i="23"/>
  <c r="AH33" i="23"/>
  <c r="AH31" i="23"/>
  <c r="AH30" i="23"/>
  <c r="AH28" i="23"/>
  <c r="E28" i="51" s="1"/>
  <c r="AH27" i="23"/>
  <c r="E27" i="51" s="1"/>
  <c r="AH26" i="23"/>
  <c r="AH25" i="23"/>
  <c r="E25" i="51" s="1"/>
  <c r="AH24" i="23"/>
  <c r="AH23" i="23"/>
  <c r="AH22" i="23"/>
  <c r="E22" i="51" s="1"/>
  <c r="AH21" i="23"/>
  <c r="AH20" i="23"/>
  <c r="AH19" i="23"/>
  <c r="AH18" i="23"/>
  <c r="E18" i="51" s="1"/>
  <c r="AH17" i="23"/>
  <c r="E17" i="51" s="1"/>
  <c r="AH16" i="23"/>
  <c r="E16" i="51" s="1"/>
  <c r="AH15" i="23"/>
  <c r="E15" i="51" s="1"/>
  <c r="AH14" i="23"/>
  <c r="E14" i="51" s="1"/>
  <c r="AH13" i="23"/>
  <c r="AH12" i="23"/>
  <c r="AH11" i="23"/>
  <c r="AH9" i="23"/>
  <c r="AH7" i="23"/>
  <c r="D43" i="27"/>
  <c r="AH7" i="22"/>
  <c r="C43" i="27"/>
  <c r="B28" i="27"/>
  <c r="B27" i="27"/>
  <c r="B11" i="27"/>
  <c r="AH48" i="20"/>
  <c r="AH47" i="20"/>
  <c r="AH46" i="20"/>
  <c r="AH45" i="20"/>
  <c r="AH43" i="20"/>
  <c r="AH41" i="20"/>
  <c r="AH39" i="20"/>
  <c r="B39" i="27" s="1"/>
  <c r="M39" i="27" s="1"/>
  <c r="AH34" i="20"/>
  <c r="AH33" i="20"/>
  <c r="AH31" i="20"/>
  <c r="B31" i="27" s="1"/>
  <c r="M31" i="27" s="1"/>
  <c r="AH30" i="20"/>
  <c r="B30" i="27" s="1"/>
  <c r="AH29" i="20"/>
  <c r="B29" i="27" s="1"/>
  <c r="AH28" i="20"/>
  <c r="AH27" i="20"/>
  <c r="AH26" i="20"/>
  <c r="AK26" i="20" s="1"/>
  <c r="AH25" i="20"/>
  <c r="B25" i="27" s="1"/>
  <c r="AH23" i="20"/>
  <c r="B23" i="27" s="1"/>
  <c r="AH11" i="20"/>
  <c r="AH10" i="20"/>
  <c r="AH9" i="20"/>
  <c r="B9" i="27" s="1"/>
  <c r="AH8" i="20"/>
  <c r="B8" i="27" s="1"/>
  <c r="AH7" i="20"/>
  <c r="AQ42" i="20"/>
  <c r="AQ44" i="21"/>
  <c r="AO45" i="20"/>
  <c r="AO44" i="20"/>
  <c r="AN43" i="20"/>
  <c r="AO43" i="20" s="1"/>
  <c r="AO42" i="20"/>
  <c r="AO41" i="20"/>
  <c r="C5" i="4"/>
  <c r="R6" i="20"/>
  <c r="AH5" i="26"/>
  <c r="AH9" i="26"/>
  <c r="H9" i="27" s="1"/>
  <c r="AH11" i="26"/>
  <c r="H11" i="27" s="1"/>
  <c r="C12" i="26"/>
  <c r="C32" i="26" s="1"/>
  <c r="C44" i="26" s="1"/>
  <c r="P32" i="26"/>
  <c r="P44" i="26" s="1"/>
  <c r="Q32" i="26"/>
  <c r="Q44" i="26" s="1"/>
  <c r="AD32" i="26"/>
  <c r="AD44" i="26" s="1"/>
  <c r="AH13" i="26"/>
  <c r="H13" i="27" s="1"/>
  <c r="AH14" i="26"/>
  <c r="H14" i="27" s="1"/>
  <c r="AH15" i="26"/>
  <c r="H15" i="27" s="1"/>
  <c r="AH16" i="26"/>
  <c r="H16" i="27" s="1"/>
  <c r="AH17" i="26"/>
  <c r="AH18" i="26"/>
  <c r="AH19" i="26"/>
  <c r="H19" i="27" s="1"/>
  <c r="AH20" i="26"/>
  <c r="H20" i="27" s="1"/>
  <c r="AH21" i="26"/>
  <c r="H21" i="27" s="1"/>
  <c r="AH22" i="26"/>
  <c r="H22" i="27" s="1"/>
  <c r="AH23" i="26"/>
  <c r="AH24" i="26"/>
  <c r="AH25" i="26"/>
  <c r="AH26" i="26"/>
  <c r="AH27" i="26"/>
  <c r="AH28" i="26"/>
  <c r="AH30" i="26"/>
  <c r="H30" i="51" s="1"/>
  <c r="V30" i="51" s="1"/>
  <c r="AH31" i="26"/>
  <c r="B32" i="26"/>
  <c r="F32" i="26"/>
  <c r="H32" i="26"/>
  <c r="I32" i="26"/>
  <c r="J32" i="26"/>
  <c r="J44" i="26" s="1"/>
  <c r="K32" i="26"/>
  <c r="L32" i="26"/>
  <c r="M32" i="26"/>
  <c r="R32" i="26"/>
  <c r="S32" i="26"/>
  <c r="T32" i="26"/>
  <c r="V32" i="26"/>
  <c r="W32" i="26"/>
  <c r="X32" i="26"/>
  <c r="Y32" i="26"/>
  <c r="Z32" i="26"/>
  <c r="AA32" i="26"/>
  <c r="AC32" i="26"/>
  <c r="AE32" i="26"/>
  <c r="AF32" i="26"/>
  <c r="AG32" i="26"/>
  <c r="AG44" i="26" s="1"/>
  <c r="B35" i="26"/>
  <c r="AH35" i="26"/>
  <c r="B36" i="26"/>
  <c r="AH36" i="26"/>
  <c r="B37" i="26"/>
  <c r="AH37" i="26"/>
  <c r="B38" i="26"/>
  <c r="AH38" i="26"/>
  <c r="B39" i="26"/>
  <c r="AH39" i="26"/>
  <c r="C42" i="26"/>
  <c r="I42" i="26"/>
  <c r="J42" i="26"/>
  <c r="P42" i="26"/>
  <c r="Q42" i="26"/>
  <c r="W42" i="26"/>
  <c r="W44" i="26" s="1"/>
  <c r="X42" i="26"/>
  <c r="AD42" i="26"/>
  <c r="AE42" i="26"/>
  <c r="AG42" i="26"/>
  <c r="I44" i="26"/>
  <c r="AH46" i="26"/>
  <c r="AH47" i="26"/>
  <c r="AH48" i="26"/>
  <c r="B51" i="26"/>
  <c r="AH5" i="25"/>
  <c r="AH9" i="25"/>
  <c r="G9" i="27" s="1"/>
  <c r="AH11" i="25"/>
  <c r="G11" i="27" s="1"/>
  <c r="M32" i="25"/>
  <c r="AH13" i="25"/>
  <c r="AH14" i="25"/>
  <c r="AH15" i="25"/>
  <c r="G15" i="27" s="1"/>
  <c r="AH16" i="25"/>
  <c r="G16" i="27" s="1"/>
  <c r="AH17" i="25"/>
  <c r="AH18" i="25"/>
  <c r="AH19" i="25"/>
  <c r="AH20" i="25"/>
  <c r="AH21" i="25"/>
  <c r="AH22" i="25"/>
  <c r="AH23" i="25"/>
  <c r="AH24" i="25"/>
  <c r="AH25" i="25"/>
  <c r="AH26" i="25"/>
  <c r="AH27" i="25"/>
  <c r="AH28" i="25"/>
  <c r="AH30" i="25"/>
  <c r="AH31" i="25"/>
  <c r="G31" i="27" s="1"/>
  <c r="R31" i="27" s="1"/>
  <c r="B32" i="25"/>
  <c r="C32" i="25"/>
  <c r="E32" i="25"/>
  <c r="H32" i="25"/>
  <c r="I32" i="25"/>
  <c r="J32" i="25"/>
  <c r="L32" i="25"/>
  <c r="O32" i="25"/>
  <c r="P32" i="25"/>
  <c r="S32" i="25"/>
  <c r="T32" i="25"/>
  <c r="U32" i="25"/>
  <c r="V32" i="25"/>
  <c r="W32" i="25"/>
  <c r="X32" i="25"/>
  <c r="Z32" i="25"/>
  <c r="AA32" i="25"/>
  <c r="AB32" i="25"/>
  <c r="AB99" i="25" s="1"/>
  <c r="AC32" i="25"/>
  <c r="AD32" i="25"/>
  <c r="AF32" i="25"/>
  <c r="AF99" i="25" s="1"/>
  <c r="AG32" i="25"/>
  <c r="B35" i="25"/>
  <c r="AH35" i="25"/>
  <c r="B36" i="25"/>
  <c r="AH36" i="25"/>
  <c r="G36" i="27" s="1"/>
  <c r="R36" i="27" s="1"/>
  <c r="B37" i="25"/>
  <c r="AH37" i="25"/>
  <c r="B38" i="25"/>
  <c r="AH38" i="25"/>
  <c r="G38" i="27" s="1"/>
  <c r="R38" i="27" s="1"/>
  <c r="B39" i="25"/>
  <c r="AH39" i="25"/>
  <c r="G39" i="27" s="1"/>
  <c r="R39" i="27" s="1"/>
  <c r="E42" i="25"/>
  <c r="F42" i="25"/>
  <c r="L42" i="25"/>
  <c r="M42" i="25"/>
  <c r="S42" i="25"/>
  <c r="T42" i="25"/>
  <c r="Z42" i="25"/>
  <c r="AA42" i="25"/>
  <c r="AG42" i="25"/>
  <c r="Z44" i="25"/>
  <c r="AH46" i="25"/>
  <c r="AH47" i="25"/>
  <c r="AH48" i="25"/>
  <c r="B51" i="25"/>
  <c r="AH5" i="24"/>
  <c r="AH9" i="24"/>
  <c r="AH11" i="24"/>
  <c r="N32" i="24"/>
  <c r="O32" i="24"/>
  <c r="AG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F28" i="27" s="1"/>
  <c r="AH30" i="24"/>
  <c r="AH31" i="24"/>
  <c r="C32" i="24"/>
  <c r="C99" i="24" s="1"/>
  <c r="D32" i="24"/>
  <c r="D99" i="24" s="1"/>
  <c r="G32" i="24"/>
  <c r="G99" i="24" s="1"/>
  <c r="H32" i="24"/>
  <c r="I32" i="24"/>
  <c r="I99" i="24" s="1"/>
  <c r="J32" i="24"/>
  <c r="J99" i="24" s="1"/>
  <c r="J102" i="24" s="1"/>
  <c r="K102" i="24" s="1"/>
  <c r="L102" i="24" s="1"/>
  <c r="M102" i="24" s="1"/>
  <c r="N102" i="24" s="1"/>
  <c r="O102" i="24" s="1"/>
  <c r="P102" i="24" s="1"/>
  <c r="Q102" i="24" s="1"/>
  <c r="R102" i="24" s="1"/>
  <c r="S102" i="24" s="1"/>
  <c r="T102" i="24" s="1"/>
  <c r="U102" i="24" s="1"/>
  <c r="V102" i="24" s="1"/>
  <c r="W102" i="24" s="1"/>
  <c r="X102" i="24" s="1"/>
  <c r="Y102" i="24" s="1"/>
  <c r="Z102" i="24" s="1"/>
  <c r="K32" i="24"/>
  <c r="K99" i="24" s="1"/>
  <c r="P32" i="24"/>
  <c r="P99" i="24" s="1"/>
  <c r="R32" i="24"/>
  <c r="R99" i="24" s="1"/>
  <c r="T32" i="24"/>
  <c r="T99" i="24" s="1"/>
  <c r="U32" i="24"/>
  <c r="V32" i="24"/>
  <c r="W32" i="24"/>
  <c r="W99" i="24" s="1"/>
  <c r="X32" i="24"/>
  <c r="X99" i="24" s="1"/>
  <c r="Y32" i="24"/>
  <c r="Y99" i="24" s="1"/>
  <c r="AB32" i="24"/>
  <c r="AB99" i="24" s="1"/>
  <c r="AC32" i="24"/>
  <c r="AD32" i="24"/>
  <c r="AD99" i="24" s="1"/>
  <c r="AF32" i="24"/>
  <c r="AF99" i="24" s="1"/>
  <c r="AG32" i="24"/>
  <c r="AG99" i="24" s="1"/>
  <c r="AH35" i="24"/>
  <c r="AH36" i="24"/>
  <c r="AH37" i="24"/>
  <c r="AH38" i="24"/>
  <c r="AH39" i="24"/>
  <c r="G42" i="24"/>
  <c r="G100" i="24" s="1"/>
  <c r="H42" i="24"/>
  <c r="H100" i="24" s="1"/>
  <c r="N42" i="24"/>
  <c r="N100" i="24" s="1"/>
  <c r="O42" i="24"/>
  <c r="O100" i="24" s="1"/>
  <c r="U42" i="24"/>
  <c r="U100" i="24" s="1"/>
  <c r="V42" i="24"/>
  <c r="V100" i="24" s="1"/>
  <c r="AB42" i="24"/>
  <c r="AB100" i="24" s="1"/>
  <c r="AC42" i="24"/>
  <c r="AC100" i="24" s="1"/>
  <c r="AG42" i="24"/>
  <c r="AG100" i="24" s="1"/>
  <c r="AH46" i="24"/>
  <c r="AH47" i="24"/>
  <c r="AH48" i="24"/>
  <c r="B51" i="24"/>
  <c r="AH5" i="23"/>
  <c r="Y32" i="23"/>
  <c r="Y99" i="23" s="1"/>
  <c r="AE32" i="23"/>
  <c r="AE99" i="23" s="1"/>
  <c r="D32" i="23"/>
  <c r="D99" i="23" s="1"/>
  <c r="F32" i="23"/>
  <c r="F99" i="23" s="1"/>
  <c r="G32" i="23"/>
  <c r="G99" i="23" s="1"/>
  <c r="H32" i="23"/>
  <c r="H99" i="23" s="1"/>
  <c r="J32" i="23"/>
  <c r="K32" i="23"/>
  <c r="K99" i="23" s="1"/>
  <c r="L32" i="23"/>
  <c r="L99" i="23" s="1"/>
  <c r="M32" i="23"/>
  <c r="M99" i="23" s="1"/>
  <c r="N32" i="23"/>
  <c r="N99" i="23" s="1"/>
  <c r="Q32" i="23"/>
  <c r="Q99" i="23" s="1"/>
  <c r="R32" i="23"/>
  <c r="R99" i="23" s="1"/>
  <c r="S32" i="23"/>
  <c r="S99" i="23" s="1"/>
  <c r="T32" i="23"/>
  <c r="T99" i="23" s="1"/>
  <c r="U32" i="23"/>
  <c r="U99" i="23" s="1"/>
  <c r="W32" i="23"/>
  <c r="W99" i="23" s="1"/>
  <c r="X32" i="23"/>
  <c r="X99" i="23" s="1"/>
  <c r="Z32" i="23"/>
  <c r="Z99" i="23" s="1"/>
  <c r="AA32" i="23"/>
  <c r="AA99" i="23" s="1"/>
  <c r="AF32" i="23"/>
  <c r="AF99" i="23" s="1"/>
  <c r="AG32" i="23"/>
  <c r="AG99" i="23" s="1"/>
  <c r="B42" i="23"/>
  <c r="B44" i="23" s="1"/>
  <c r="C42" i="23"/>
  <c r="C100" i="23" s="1"/>
  <c r="D42" i="23"/>
  <c r="D100" i="23" s="1"/>
  <c r="J42" i="23"/>
  <c r="J100" i="23" s="1"/>
  <c r="K42" i="23"/>
  <c r="K100" i="23" s="1"/>
  <c r="Q42" i="23"/>
  <c r="Q100" i="23" s="1"/>
  <c r="R42" i="23"/>
  <c r="R100" i="23" s="1"/>
  <c r="X42" i="23"/>
  <c r="Y42" i="23"/>
  <c r="Y100" i="23" s="1"/>
  <c r="AE42" i="23"/>
  <c r="AE100" i="23" s="1"/>
  <c r="AF42" i="23"/>
  <c r="AF100" i="23" s="1"/>
  <c r="B51" i="23"/>
  <c r="AH5" i="22"/>
  <c r="B8" i="22"/>
  <c r="AH8" i="22"/>
  <c r="B9" i="22"/>
  <c r="AH9" i="22"/>
  <c r="AH11" i="22"/>
  <c r="R32" i="22"/>
  <c r="AE32" i="22"/>
  <c r="AF32" i="22"/>
  <c r="AH13" i="22"/>
  <c r="AH14" i="22"/>
  <c r="AH15" i="22"/>
  <c r="J16" i="49" s="1"/>
  <c r="L16" i="49" s="1"/>
  <c r="AH16" i="22"/>
  <c r="AH17" i="22"/>
  <c r="AH18" i="22"/>
  <c r="AH19" i="22"/>
  <c r="AH20" i="22"/>
  <c r="AH21" i="22"/>
  <c r="AH22" i="22"/>
  <c r="B23" i="22"/>
  <c r="AH23" i="22"/>
  <c r="D23" i="27" s="1"/>
  <c r="B24" i="22"/>
  <c r="AH24" i="22"/>
  <c r="J25" i="49" s="1"/>
  <c r="L25" i="49" s="1"/>
  <c r="AH25" i="22"/>
  <c r="B26" i="22"/>
  <c r="AH26" i="22"/>
  <c r="J27" i="49" s="1"/>
  <c r="L27" i="49" s="1"/>
  <c r="B27" i="22"/>
  <c r="AH27" i="22"/>
  <c r="B28" i="22"/>
  <c r="AH28" i="22"/>
  <c r="B30" i="22"/>
  <c r="AH30" i="22"/>
  <c r="B31" i="22"/>
  <c r="AH31" i="22"/>
  <c r="Q32" i="22"/>
  <c r="S32" i="22"/>
  <c r="T32" i="22"/>
  <c r="U32" i="22"/>
  <c r="W32" i="22"/>
  <c r="X32" i="22"/>
  <c r="Y32" i="22"/>
  <c r="AA32" i="22"/>
  <c r="AB32" i="22"/>
  <c r="AD32" i="22"/>
  <c r="AG32" i="22"/>
  <c r="B35" i="22"/>
  <c r="AH35" i="22"/>
  <c r="B36" i="22"/>
  <c r="AH36" i="22"/>
  <c r="B37" i="22"/>
  <c r="AH37" i="22"/>
  <c r="B38" i="22"/>
  <c r="AH38" i="22"/>
  <c r="J39" i="49" s="1"/>
  <c r="L39" i="49" s="1"/>
  <c r="B39" i="22"/>
  <c r="AH39" i="22"/>
  <c r="Q42" i="22"/>
  <c r="R42" i="22"/>
  <c r="X42" i="22"/>
  <c r="Y42" i="22"/>
  <c r="AE42" i="22"/>
  <c r="AF42" i="22"/>
  <c r="AG42" i="22"/>
  <c r="AH46" i="22"/>
  <c r="AH47" i="22"/>
  <c r="AH48" i="22"/>
  <c r="AH5" i="21"/>
  <c r="B9" i="21"/>
  <c r="AH9" i="21"/>
  <c r="B10" i="21"/>
  <c r="AH10" i="21"/>
  <c r="F11" i="49" s="1"/>
  <c r="H11" i="49" s="1"/>
  <c r="AH11" i="21"/>
  <c r="N32" i="21"/>
  <c r="AA32" i="21"/>
  <c r="B12" i="21"/>
  <c r="AH13" i="21"/>
  <c r="F14" i="49" s="1"/>
  <c r="H14" i="49" s="1"/>
  <c r="AH14" i="21"/>
  <c r="AH15" i="21"/>
  <c r="AH16" i="21"/>
  <c r="AH17" i="21"/>
  <c r="AH18" i="21"/>
  <c r="AH19" i="21"/>
  <c r="AH20" i="21"/>
  <c r="AH21" i="21"/>
  <c r="AH22" i="21"/>
  <c r="B23" i="21"/>
  <c r="AH23" i="21"/>
  <c r="B24" i="21"/>
  <c r="AH24" i="21"/>
  <c r="F25" i="49" s="1"/>
  <c r="H25" i="49" s="1"/>
  <c r="AH25" i="21"/>
  <c r="F26" i="49" s="1"/>
  <c r="H26" i="49" s="1"/>
  <c r="B26" i="21"/>
  <c r="AH26" i="21"/>
  <c r="F27" i="49" s="1"/>
  <c r="H27" i="49" s="1"/>
  <c r="B27" i="21"/>
  <c r="AH27" i="21"/>
  <c r="B28" i="21"/>
  <c r="AH28" i="21"/>
  <c r="B30" i="21"/>
  <c r="AH30" i="21"/>
  <c r="B31" i="21"/>
  <c r="AH31" i="21"/>
  <c r="C32" i="21"/>
  <c r="D32" i="21"/>
  <c r="F32" i="21"/>
  <c r="F44" i="21" s="1"/>
  <c r="G32" i="21"/>
  <c r="H32" i="21"/>
  <c r="I32" i="21"/>
  <c r="J32" i="21"/>
  <c r="K32" i="21"/>
  <c r="M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B32" i="21"/>
  <c r="AC32" i="21"/>
  <c r="B35" i="21"/>
  <c r="AH35" i="21"/>
  <c r="B36" i="21"/>
  <c r="AH36" i="21"/>
  <c r="B37" i="21"/>
  <c r="AH37" i="21"/>
  <c r="B38" i="21"/>
  <c r="AH38" i="21"/>
  <c r="B39" i="21"/>
  <c r="AH39" i="21"/>
  <c r="F42" i="21"/>
  <c r="G42" i="21"/>
  <c r="M42" i="21"/>
  <c r="N42" i="21"/>
  <c r="T42" i="21"/>
  <c r="U42" i="21"/>
  <c r="AA42" i="21"/>
  <c r="AB42" i="21"/>
  <c r="AH46" i="21"/>
  <c r="AH47" i="21"/>
  <c r="AH48" i="21"/>
  <c r="C4" i="20"/>
  <c r="AH4" i="20"/>
  <c r="AH5" i="20"/>
  <c r="AH6" i="20" s="1"/>
  <c r="B6" i="27" s="1"/>
  <c r="M6" i="27" s="1"/>
  <c r="B6" i="20"/>
  <c r="C6" i="20"/>
  <c r="B8" i="20"/>
  <c r="B9" i="20"/>
  <c r="B10" i="20"/>
  <c r="C12" i="20"/>
  <c r="D12" i="20"/>
  <c r="D32" i="20" s="1"/>
  <c r="E12" i="20"/>
  <c r="F12" i="20"/>
  <c r="G12" i="20"/>
  <c r="H12" i="20"/>
  <c r="I12" i="20"/>
  <c r="I32" i="20" s="1"/>
  <c r="J12" i="20"/>
  <c r="K12" i="20"/>
  <c r="K32" i="20" s="1"/>
  <c r="L12" i="20"/>
  <c r="L32" i="20" s="1"/>
  <c r="M12" i="20"/>
  <c r="N12" i="20"/>
  <c r="O12" i="20"/>
  <c r="P12" i="20"/>
  <c r="P32" i="20" s="1"/>
  <c r="P44" i="20" s="1"/>
  <c r="Q12" i="20"/>
  <c r="Q32" i="20" s="1"/>
  <c r="R12" i="20"/>
  <c r="AH12" i="20" s="1"/>
  <c r="B12" i="27" s="1"/>
  <c r="S12" i="20"/>
  <c r="S32" i="20" s="1"/>
  <c r="T12" i="20"/>
  <c r="T32" i="20" s="1"/>
  <c r="U12" i="20"/>
  <c r="V12" i="20"/>
  <c r="W12" i="20"/>
  <c r="X12" i="20"/>
  <c r="X32" i="20" s="1"/>
  <c r="X44" i="20" s="1"/>
  <c r="Y12" i="20"/>
  <c r="Y32" i="20" s="1"/>
  <c r="Z12" i="20"/>
  <c r="AA12" i="20"/>
  <c r="AA32" i="20" s="1"/>
  <c r="AB12" i="20"/>
  <c r="AB32" i="20" s="1"/>
  <c r="AC12" i="20"/>
  <c r="AD12" i="20"/>
  <c r="AE12" i="20"/>
  <c r="AF12" i="20"/>
  <c r="AF32" i="20" s="1"/>
  <c r="AG12" i="20"/>
  <c r="AG32" i="20" s="1"/>
  <c r="AH13" i="20"/>
  <c r="B13" i="27" s="1"/>
  <c r="AH14" i="20"/>
  <c r="B14" i="27" s="1"/>
  <c r="AH15" i="20"/>
  <c r="B15" i="27" s="1"/>
  <c r="AH16" i="20"/>
  <c r="B16" i="27" s="1"/>
  <c r="AH17" i="20"/>
  <c r="B17" i="27" s="1"/>
  <c r="AH18" i="20"/>
  <c r="B18" i="27" s="1"/>
  <c r="AH19" i="20"/>
  <c r="B19" i="27" s="1"/>
  <c r="AH20" i="20"/>
  <c r="B20" i="27" s="1"/>
  <c r="AH21" i="20"/>
  <c r="B21" i="27" s="1"/>
  <c r="AH22" i="20"/>
  <c r="B22" i="27" s="1"/>
  <c r="B23" i="20"/>
  <c r="B24" i="20"/>
  <c r="AH24" i="20"/>
  <c r="B24" i="27" s="1"/>
  <c r="B26" i="20"/>
  <c r="B27" i="20"/>
  <c r="B28" i="20"/>
  <c r="B29" i="20"/>
  <c r="B30" i="20"/>
  <c r="B31" i="20"/>
  <c r="E32" i="20"/>
  <c r="F32" i="20"/>
  <c r="G32" i="20"/>
  <c r="H32" i="20"/>
  <c r="J32" i="20"/>
  <c r="M32" i="20"/>
  <c r="N32" i="20"/>
  <c r="O32" i="20"/>
  <c r="R32" i="20"/>
  <c r="U32" i="20"/>
  <c r="V32" i="20"/>
  <c r="W32" i="20"/>
  <c r="Z32" i="20"/>
  <c r="AC32" i="20"/>
  <c r="AD32" i="20"/>
  <c r="AE32" i="20"/>
  <c r="B35" i="20"/>
  <c r="AH35" i="20"/>
  <c r="B35" i="27" s="1"/>
  <c r="M35" i="27" s="1"/>
  <c r="B36" i="20"/>
  <c r="AH36" i="20"/>
  <c r="B36" i="27" s="1"/>
  <c r="M36" i="27" s="1"/>
  <c r="B37" i="20"/>
  <c r="AH37" i="20"/>
  <c r="B37" i="27" s="1"/>
  <c r="M37" i="27" s="1"/>
  <c r="B38" i="20"/>
  <c r="AH38" i="20"/>
  <c r="B38" i="27" s="1"/>
  <c r="M38" i="27" s="1"/>
  <c r="AM38" i="20"/>
  <c r="B39" i="20"/>
  <c r="B41" i="20"/>
  <c r="C42" i="20"/>
  <c r="D42" i="20"/>
  <c r="E42" i="20"/>
  <c r="F42" i="20"/>
  <c r="G42" i="20"/>
  <c r="H42" i="20"/>
  <c r="I42" i="20"/>
  <c r="I44" i="20" s="1"/>
  <c r="J42" i="20"/>
  <c r="J44" i="20" s="1"/>
  <c r="K42" i="20"/>
  <c r="K44" i="20" s="1"/>
  <c r="L42" i="20"/>
  <c r="M42" i="20"/>
  <c r="N42" i="20"/>
  <c r="O42" i="20"/>
  <c r="P42" i="20"/>
  <c r="Q42" i="20"/>
  <c r="Q44" i="20" s="1"/>
  <c r="W42" i="20"/>
  <c r="X42" i="20"/>
  <c r="AD42" i="20"/>
  <c r="AE42" i="20"/>
  <c r="E44" i="20"/>
  <c r="F44" i="20"/>
  <c r="M44" i="20"/>
  <c r="N44" i="20"/>
  <c r="W44" i="20"/>
  <c r="AD44" i="20"/>
  <c r="AE44" i="20"/>
  <c r="B50" i="20"/>
  <c r="B51" i="20"/>
  <c r="D52" i="20"/>
  <c r="E52" i="20" s="1"/>
  <c r="F52" i="20" s="1"/>
  <c r="G52" i="20" s="1"/>
  <c r="H52" i="20" s="1"/>
  <c r="I52" i="20" s="1"/>
  <c r="J52" i="20" s="1"/>
  <c r="K52" i="20" s="1"/>
  <c r="L52" i="20" s="1"/>
  <c r="M52" i="20" s="1"/>
  <c r="N52" i="20" s="1"/>
  <c r="O52" i="20" s="1"/>
  <c r="P52" i="20" s="1"/>
  <c r="Q52" i="20" s="1"/>
  <c r="R52" i="20" s="1"/>
  <c r="S52" i="20" s="1"/>
  <c r="T52" i="20" s="1"/>
  <c r="U52" i="20" s="1"/>
  <c r="V52" i="20" s="1"/>
  <c r="W52" i="20" s="1"/>
  <c r="X52" i="20" s="1"/>
  <c r="Y52" i="20" s="1"/>
  <c r="Z52" i="20" s="1"/>
  <c r="AA52" i="20" s="1"/>
  <c r="AB52" i="20" s="1"/>
  <c r="AC52" i="20" s="1"/>
  <c r="AD52" i="20" s="1"/>
  <c r="AE52" i="20" s="1"/>
  <c r="AF52" i="20" s="1"/>
  <c r="AG52" i="20" s="1"/>
  <c r="AH52" i="20" s="1"/>
  <c r="D178" i="1" l="1"/>
  <c r="D93" i="28" s="1"/>
  <c r="H9" i="51"/>
  <c r="V9" i="51" s="1"/>
  <c r="Z10" i="49"/>
  <c r="AB10" i="49" s="1"/>
  <c r="AK9" i="26"/>
  <c r="AA44" i="25"/>
  <c r="F14" i="51"/>
  <c r="T14" i="51" s="1"/>
  <c r="R15" i="49"/>
  <c r="T15" i="49" s="1"/>
  <c r="F13" i="51"/>
  <c r="T13" i="51" s="1"/>
  <c r="R14" i="49"/>
  <c r="T14" i="49" s="1"/>
  <c r="AC44" i="24"/>
  <c r="AC99" i="24"/>
  <c r="F23" i="51"/>
  <c r="T23" i="51" s="1"/>
  <c r="R24" i="49"/>
  <c r="T24" i="49" s="1"/>
  <c r="AK23" i="24"/>
  <c r="O44" i="24"/>
  <c r="O99" i="24"/>
  <c r="H44" i="24"/>
  <c r="H99" i="24"/>
  <c r="F22" i="51"/>
  <c r="T22" i="51" s="1"/>
  <c r="R23" i="49"/>
  <c r="T23" i="49" s="1"/>
  <c r="N44" i="24"/>
  <c r="N99" i="24"/>
  <c r="F21" i="51"/>
  <c r="T21" i="51" s="1"/>
  <c r="R22" i="49"/>
  <c r="T22" i="49" s="1"/>
  <c r="F11" i="51"/>
  <c r="T11" i="51" s="1"/>
  <c r="R12" i="49"/>
  <c r="T12" i="49" s="1"/>
  <c r="F21" i="27"/>
  <c r="Q21" i="27" s="1"/>
  <c r="F20" i="51"/>
  <c r="T20" i="51" s="1"/>
  <c r="R21" i="49"/>
  <c r="T21" i="49" s="1"/>
  <c r="F9" i="51"/>
  <c r="T9" i="51" s="1"/>
  <c r="R10" i="49"/>
  <c r="T10" i="49" s="1"/>
  <c r="AK9" i="24"/>
  <c r="F9" i="27"/>
  <c r="Q9" i="27" s="1"/>
  <c r="F22" i="27"/>
  <c r="Q22" i="27" s="1"/>
  <c r="F39" i="51"/>
  <c r="R40" i="49"/>
  <c r="T40" i="49" s="1"/>
  <c r="F19" i="51"/>
  <c r="T19" i="51" s="1"/>
  <c r="R20" i="49"/>
  <c r="T20" i="49" s="1"/>
  <c r="F5" i="51"/>
  <c r="R6" i="49"/>
  <c r="T6" i="49" s="1"/>
  <c r="F11" i="27"/>
  <c r="Q11" i="27" s="1"/>
  <c r="F23" i="27"/>
  <c r="AG44" i="24"/>
  <c r="F38" i="51"/>
  <c r="R39" i="49"/>
  <c r="T39" i="49" s="1"/>
  <c r="V44" i="24"/>
  <c r="V99" i="24"/>
  <c r="F18" i="51"/>
  <c r="T18" i="51" s="1"/>
  <c r="R19" i="49"/>
  <c r="T19" i="49" s="1"/>
  <c r="G44" i="24"/>
  <c r="F37" i="51"/>
  <c r="R38" i="49"/>
  <c r="T38" i="49" s="1"/>
  <c r="U44" i="24"/>
  <c r="U99" i="24"/>
  <c r="F17" i="51"/>
  <c r="T17" i="51" s="1"/>
  <c r="R18" i="49"/>
  <c r="T18" i="49" s="1"/>
  <c r="F13" i="27"/>
  <c r="Q13" i="27" s="1"/>
  <c r="F36" i="51"/>
  <c r="R37" i="49"/>
  <c r="T37" i="49" s="1"/>
  <c r="F16" i="51"/>
  <c r="T16" i="51" s="1"/>
  <c r="R17" i="49"/>
  <c r="T17" i="49" s="1"/>
  <c r="F14" i="27"/>
  <c r="Q14" i="27" s="1"/>
  <c r="F37" i="27"/>
  <c r="Q37" i="27" s="1"/>
  <c r="F35" i="51"/>
  <c r="R36" i="49"/>
  <c r="T36" i="49" s="1"/>
  <c r="F15" i="51"/>
  <c r="T15" i="51" s="1"/>
  <c r="R16" i="49"/>
  <c r="T16" i="49" s="1"/>
  <c r="F15" i="27"/>
  <c r="Z15" i="27" s="1"/>
  <c r="F38" i="27"/>
  <c r="Q38" i="27" s="1"/>
  <c r="E35" i="51"/>
  <c r="M35" i="51" s="1"/>
  <c r="N35" i="51" s="1"/>
  <c r="N36" i="49"/>
  <c r="P36" i="49" s="1"/>
  <c r="E35" i="27"/>
  <c r="P35" i="27" s="1"/>
  <c r="S22" i="51"/>
  <c r="M22" i="51"/>
  <c r="N22" i="51" s="1"/>
  <c r="J44" i="23"/>
  <c r="J99" i="23"/>
  <c r="AK23" i="23"/>
  <c r="E23" i="51"/>
  <c r="N24" i="49"/>
  <c r="P24" i="49" s="1"/>
  <c r="E37" i="51"/>
  <c r="M37" i="51" s="1"/>
  <c r="N37" i="51" s="1"/>
  <c r="N38" i="49"/>
  <c r="P38" i="49" s="1"/>
  <c r="E37" i="27"/>
  <c r="P37" i="27" s="1"/>
  <c r="X44" i="23"/>
  <c r="X100" i="23"/>
  <c r="E12" i="51"/>
  <c r="N13" i="49"/>
  <c r="P13" i="49" s="1"/>
  <c r="N25" i="49"/>
  <c r="P25" i="49" s="1"/>
  <c r="E24" i="51"/>
  <c r="N14" i="49"/>
  <c r="P14" i="49" s="1"/>
  <c r="E13" i="51"/>
  <c r="S25" i="51"/>
  <c r="M25" i="51"/>
  <c r="N25" i="51" s="1"/>
  <c r="S14" i="51"/>
  <c r="M14" i="51"/>
  <c r="N14" i="51" s="1"/>
  <c r="N27" i="49"/>
  <c r="P27" i="49" s="1"/>
  <c r="E26" i="51"/>
  <c r="S15" i="51"/>
  <c r="M15" i="51"/>
  <c r="N15" i="51" s="1"/>
  <c r="M16" i="51"/>
  <c r="N16" i="51" s="1"/>
  <c r="S16" i="51"/>
  <c r="S28" i="51"/>
  <c r="M28" i="51"/>
  <c r="N28" i="51" s="1"/>
  <c r="S17" i="51"/>
  <c r="M17" i="51"/>
  <c r="N17" i="51" s="1"/>
  <c r="E30" i="27"/>
  <c r="P30" i="27" s="1"/>
  <c r="E30" i="51"/>
  <c r="N31" i="49"/>
  <c r="P31" i="49" s="1"/>
  <c r="E5" i="27"/>
  <c r="P5" i="27" s="1"/>
  <c r="E5" i="51"/>
  <c r="M5" i="51" s="1"/>
  <c r="N6" i="49"/>
  <c r="P6" i="49" s="1"/>
  <c r="S18" i="51"/>
  <c r="M18" i="51"/>
  <c r="N18" i="51" s="1"/>
  <c r="E31" i="27"/>
  <c r="P31" i="27" s="1"/>
  <c r="E31" i="51"/>
  <c r="M31" i="51" s="1"/>
  <c r="N31" i="51" s="1"/>
  <c r="N32" i="49"/>
  <c r="P32" i="49" s="1"/>
  <c r="N22" i="49"/>
  <c r="P22" i="49" s="1"/>
  <c r="E21" i="51"/>
  <c r="AK9" i="23"/>
  <c r="E9" i="51"/>
  <c r="N10" i="49"/>
  <c r="P10" i="49" s="1"/>
  <c r="E36" i="51"/>
  <c r="M36" i="51" s="1"/>
  <c r="N36" i="51" s="1"/>
  <c r="N37" i="49"/>
  <c r="P37" i="49" s="1"/>
  <c r="N12" i="49"/>
  <c r="P12" i="49" s="1"/>
  <c r="E11" i="51"/>
  <c r="E38" i="51"/>
  <c r="M38" i="51" s="1"/>
  <c r="N38" i="51" s="1"/>
  <c r="N39" i="49"/>
  <c r="P39" i="49" s="1"/>
  <c r="S27" i="51"/>
  <c r="M27" i="51"/>
  <c r="N27" i="51" s="1"/>
  <c r="N20" i="49"/>
  <c r="P20" i="49" s="1"/>
  <c r="E19" i="51"/>
  <c r="N21" i="49"/>
  <c r="P21" i="49" s="1"/>
  <c r="E20" i="51"/>
  <c r="E12" i="27"/>
  <c r="Y12" i="27" s="1"/>
  <c r="G36" i="51"/>
  <c r="V37" i="49"/>
  <c r="X37" i="49" s="1"/>
  <c r="G35" i="51"/>
  <c r="V36" i="49"/>
  <c r="X36" i="49" s="1"/>
  <c r="G38" i="51"/>
  <c r="V39" i="49"/>
  <c r="X39" i="49" s="1"/>
  <c r="G37" i="51"/>
  <c r="V38" i="49"/>
  <c r="X38" i="49" s="1"/>
  <c r="G37" i="27"/>
  <c r="R37" i="27" s="1"/>
  <c r="G5" i="51"/>
  <c r="V6" i="49"/>
  <c r="X6" i="49" s="1"/>
  <c r="G39" i="51"/>
  <c r="V40" i="49"/>
  <c r="X40" i="49" s="1"/>
  <c r="AG44" i="25"/>
  <c r="G17" i="27"/>
  <c r="AA17" i="27" s="1"/>
  <c r="G17" i="51"/>
  <c r="U17" i="51" s="1"/>
  <c r="V18" i="49"/>
  <c r="X18" i="49" s="1"/>
  <c r="G28" i="51"/>
  <c r="U28" i="51" s="1"/>
  <c r="V29" i="49"/>
  <c r="X29" i="49" s="1"/>
  <c r="V28" i="49"/>
  <c r="X28" i="49" s="1"/>
  <c r="G27" i="51"/>
  <c r="U27" i="51" s="1"/>
  <c r="G13" i="27"/>
  <c r="R13" i="27" s="1"/>
  <c r="G13" i="51"/>
  <c r="U13" i="51" s="1"/>
  <c r="V14" i="49"/>
  <c r="X14" i="49" s="1"/>
  <c r="AK24" i="25"/>
  <c r="G24" i="51"/>
  <c r="U24" i="51" s="1"/>
  <c r="V25" i="49"/>
  <c r="X25" i="49" s="1"/>
  <c r="G21" i="27"/>
  <c r="G21" i="51"/>
  <c r="U21" i="51" s="1"/>
  <c r="V22" i="49"/>
  <c r="X22" i="49" s="1"/>
  <c r="G20" i="27"/>
  <c r="AA20" i="27" s="1"/>
  <c r="G20" i="51"/>
  <c r="U20" i="51" s="1"/>
  <c r="V21" i="49"/>
  <c r="X21" i="49" s="1"/>
  <c r="G18" i="27"/>
  <c r="R18" i="27" s="1"/>
  <c r="G18" i="51"/>
  <c r="U18" i="51" s="1"/>
  <c r="V19" i="49"/>
  <c r="X19" i="49" s="1"/>
  <c r="G15" i="51"/>
  <c r="U15" i="51" s="1"/>
  <c r="V16" i="49"/>
  <c r="X16" i="49" s="1"/>
  <c r="G14" i="51"/>
  <c r="U14" i="51" s="1"/>
  <c r="V15" i="49"/>
  <c r="X15" i="49" s="1"/>
  <c r="G14" i="27"/>
  <c r="R14" i="27" s="1"/>
  <c r="G23" i="51"/>
  <c r="U23" i="51" s="1"/>
  <c r="V24" i="49"/>
  <c r="X24" i="49" s="1"/>
  <c r="AK23" i="25"/>
  <c r="G11" i="51"/>
  <c r="U11" i="51" s="1"/>
  <c r="V12" i="49"/>
  <c r="X12" i="49" s="1"/>
  <c r="G19" i="27"/>
  <c r="R19" i="27" s="1"/>
  <c r="G19" i="51"/>
  <c r="U19" i="51" s="1"/>
  <c r="V20" i="49"/>
  <c r="X20" i="49" s="1"/>
  <c r="V32" i="49"/>
  <c r="X32" i="49" s="1"/>
  <c r="G31" i="51"/>
  <c r="G30" i="51"/>
  <c r="U30" i="51" s="1"/>
  <c r="V31" i="49"/>
  <c r="X31" i="49" s="1"/>
  <c r="G30" i="27"/>
  <c r="G16" i="51"/>
  <c r="U16" i="51" s="1"/>
  <c r="V17" i="49"/>
  <c r="X17" i="49" s="1"/>
  <c r="AK26" i="25"/>
  <c r="G26" i="51"/>
  <c r="U26" i="51" s="1"/>
  <c r="V27" i="49"/>
  <c r="X27" i="49" s="1"/>
  <c r="G25" i="27"/>
  <c r="R25" i="27" s="1"/>
  <c r="G25" i="51"/>
  <c r="U25" i="51" s="1"/>
  <c r="V26" i="49"/>
  <c r="X26" i="49" s="1"/>
  <c r="AK25" i="25"/>
  <c r="G22" i="27"/>
  <c r="R22" i="27" s="1"/>
  <c r="G22" i="51"/>
  <c r="U22" i="51" s="1"/>
  <c r="V23" i="49"/>
  <c r="X23" i="49" s="1"/>
  <c r="G9" i="51"/>
  <c r="U9" i="51" s="1"/>
  <c r="V10" i="49"/>
  <c r="X10" i="49" s="1"/>
  <c r="AK9" i="25"/>
  <c r="G23" i="27"/>
  <c r="R23" i="27" s="1"/>
  <c r="Z32" i="49"/>
  <c r="AB32" i="49" s="1"/>
  <c r="H31" i="51"/>
  <c r="F26" i="51"/>
  <c r="T26" i="51" s="1"/>
  <c r="R27" i="49"/>
  <c r="T27" i="49" s="1"/>
  <c r="F25" i="51"/>
  <c r="T25" i="51" s="1"/>
  <c r="R26" i="49"/>
  <c r="T26" i="49" s="1"/>
  <c r="AK25" i="24"/>
  <c r="F24" i="51"/>
  <c r="T24" i="51" s="1"/>
  <c r="R25" i="49"/>
  <c r="T25" i="49" s="1"/>
  <c r="F25" i="27"/>
  <c r="Q25" i="27" s="1"/>
  <c r="F27" i="27"/>
  <c r="Q27" i="27" s="1"/>
  <c r="F27" i="51"/>
  <c r="T27" i="51" s="1"/>
  <c r="R28" i="49"/>
  <c r="T28" i="49" s="1"/>
  <c r="R32" i="49"/>
  <c r="T32" i="49" s="1"/>
  <c r="F31" i="51"/>
  <c r="F28" i="51"/>
  <c r="T28" i="51" s="1"/>
  <c r="R29" i="49"/>
  <c r="T29" i="49" s="1"/>
  <c r="F30" i="51"/>
  <c r="T30" i="51" s="1"/>
  <c r="R31" i="49"/>
  <c r="T31" i="49" s="1"/>
  <c r="F30" i="27"/>
  <c r="AB44" i="24"/>
  <c r="E11" i="27"/>
  <c r="Y11" i="27" s="1"/>
  <c r="Y44" i="23"/>
  <c r="Q44" i="23"/>
  <c r="M23" i="27"/>
  <c r="V23" i="27"/>
  <c r="R28" i="27"/>
  <c r="AA28" i="27"/>
  <c r="R17" i="27"/>
  <c r="S23" i="27"/>
  <c r="AB23" i="27"/>
  <c r="M12" i="27"/>
  <c r="V12" i="27"/>
  <c r="S27" i="27"/>
  <c r="AB27" i="27"/>
  <c r="M20" i="27"/>
  <c r="V20" i="27"/>
  <c r="S28" i="27"/>
  <c r="AB28" i="27"/>
  <c r="M19" i="27"/>
  <c r="V19" i="27"/>
  <c r="S22" i="27"/>
  <c r="AB22" i="27"/>
  <c r="M29" i="27"/>
  <c r="V29" i="27"/>
  <c r="M11" i="27"/>
  <c r="V11" i="27"/>
  <c r="M18" i="27"/>
  <c r="V18" i="27"/>
  <c r="S21" i="27"/>
  <c r="AB21" i="27"/>
  <c r="M30" i="27"/>
  <c r="V30" i="27"/>
  <c r="M27" i="27"/>
  <c r="V27" i="27"/>
  <c r="Q23" i="27"/>
  <c r="Z23" i="27"/>
  <c r="R11" i="27"/>
  <c r="AA11" i="27"/>
  <c r="M17" i="27"/>
  <c r="V17" i="27"/>
  <c r="S20" i="27"/>
  <c r="AB20" i="27"/>
  <c r="S11" i="27"/>
  <c r="AB11" i="27"/>
  <c r="M28" i="27"/>
  <c r="V28" i="27"/>
  <c r="Q17" i="27"/>
  <c r="Z17" i="27"/>
  <c r="M22" i="27"/>
  <c r="V22" i="27"/>
  <c r="S13" i="27"/>
  <c r="AB13" i="27"/>
  <c r="S14" i="27"/>
  <c r="AB14" i="27"/>
  <c r="S25" i="27"/>
  <c r="AB25" i="27"/>
  <c r="M15" i="27"/>
  <c r="V15" i="27"/>
  <c r="R21" i="27"/>
  <c r="AA21" i="27"/>
  <c r="M9" i="27"/>
  <c r="V9" i="27"/>
  <c r="R15" i="27"/>
  <c r="AA15" i="27"/>
  <c r="S18" i="27"/>
  <c r="AB18" i="27"/>
  <c r="Q18" i="27"/>
  <c r="Z18" i="27"/>
  <c r="M21" i="27"/>
  <c r="V21" i="27"/>
  <c r="Q20" i="27"/>
  <c r="Z20" i="27"/>
  <c r="R9" i="27"/>
  <c r="AA9" i="27"/>
  <c r="S19" i="27"/>
  <c r="AB19" i="27"/>
  <c r="M8" i="27"/>
  <c r="V8" i="27"/>
  <c r="Q28" i="27"/>
  <c r="Z28" i="27"/>
  <c r="M14" i="27"/>
  <c r="V14" i="27"/>
  <c r="R16" i="27"/>
  <c r="AA16" i="27"/>
  <c r="S9" i="27"/>
  <c r="AB9" i="27"/>
  <c r="S15" i="27"/>
  <c r="AB15" i="27"/>
  <c r="M25" i="27"/>
  <c r="V25" i="27"/>
  <c r="Q19" i="27"/>
  <c r="Z19" i="27"/>
  <c r="M16" i="27"/>
  <c r="V16" i="27"/>
  <c r="M24" i="27"/>
  <c r="V24" i="27"/>
  <c r="M13" i="27"/>
  <c r="V13" i="27"/>
  <c r="S16" i="27"/>
  <c r="AB16" i="27"/>
  <c r="Q16" i="27"/>
  <c r="Z16" i="27"/>
  <c r="S17" i="27"/>
  <c r="AB17" i="27"/>
  <c r="E15" i="27"/>
  <c r="P15" i="27" s="1"/>
  <c r="N16" i="49"/>
  <c r="P16" i="49" s="1"/>
  <c r="E16" i="27"/>
  <c r="P16" i="27" s="1"/>
  <c r="N17" i="49"/>
  <c r="P17" i="49" s="1"/>
  <c r="E18" i="27"/>
  <c r="P18" i="27" s="1"/>
  <c r="N19" i="49"/>
  <c r="P19" i="49" s="1"/>
  <c r="E17" i="27"/>
  <c r="Y17" i="27" s="1"/>
  <c r="N18" i="49"/>
  <c r="P18" i="49" s="1"/>
  <c r="E14" i="27"/>
  <c r="P14" i="27" s="1"/>
  <c r="N15" i="49"/>
  <c r="P15" i="49" s="1"/>
  <c r="E22" i="27"/>
  <c r="P22" i="27" s="1"/>
  <c r="N23" i="49"/>
  <c r="P23" i="49" s="1"/>
  <c r="E13" i="27"/>
  <c r="Y13" i="27" s="1"/>
  <c r="E19" i="27"/>
  <c r="P19" i="27" s="1"/>
  <c r="E20" i="27"/>
  <c r="Y20" i="27" s="1"/>
  <c r="E21" i="27"/>
  <c r="Y21" i="27" s="1"/>
  <c r="G27" i="27"/>
  <c r="E39" i="27"/>
  <c r="P39" i="27" s="1"/>
  <c r="N40" i="49"/>
  <c r="P40" i="49" s="1"/>
  <c r="E27" i="27"/>
  <c r="P27" i="27" s="1"/>
  <c r="N28" i="49"/>
  <c r="P28" i="49" s="1"/>
  <c r="H31" i="27"/>
  <c r="S31" i="27" s="1"/>
  <c r="F31" i="27"/>
  <c r="Q31" i="27" s="1"/>
  <c r="P12" i="27"/>
  <c r="D38" i="27"/>
  <c r="O38" i="27" s="1"/>
  <c r="D5" i="27"/>
  <c r="O5" i="27" s="1"/>
  <c r="J6" i="49"/>
  <c r="L6" i="49" s="1"/>
  <c r="Z31" i="49"/>
  <c r="AB31" i="49" s="1"/>
  <c r="H30" i="27"/>
  <c r="F178" i="1"/>
  <c r="F117" i="19" s="1"/>
  <c r="C178" i="1"/>
  <c r="E178" i="1"/>
  <c r="E179" i="1" s="1"/>
  <c r="D13" i="27"/>
  <c r="J14" i="49"/>
  <c r="L14" i="49" s="1"/>
  <c r="D39" i="27"/>
  <c r="O39" i="27" s="1"/>
  <c r="J40" i="49"/>
  <c r="L40" i="49" s="1"/>
  <c r="D35" i="27"/>
  <c r="O35" i="27" s="1"/>
  <c r="J36" i="49"/>
  <c r="L36" i="49" s="1"/>
  <c r="D30" i="27"/>
  <c r="J31" i="49"/>
  <c r="L31" i="49" s="1"/>
  <c r="D19" i="27"/>
  <c r="J20" i="49"/>
  <c r="L20" i="49" s="1"/>
  <c r="D18" i="27"/>
  <c r="J19" i="49"/>
  <c r="L19" i="49" s="1"/>
  <c r="D36" i="27"/>
  <c r="O36" i="27" s="1"/>
  <c r="J37" i="49"/>
  <c r="L37" i="49" s="1"/>
  <c r="D17" i="27"/>
  <c r="J18" i="49"/>
  <c r="L18" i="49" s="1"/>
  <c r="AK23" i="22"/>
  <c r="J24" i="49"/>
  <c r="L24" i="49" s="1"/>
  <c r="D16" i="27"/>
  <c r="J17" i="49"/>
  <c r="L17" i="49" s="1"/>
  <c r="AK9" i="22"/>
  <c r="J10" i="49"/>
  <c r="L10" i="49" s="1"/>
  <c r="D31" i="27"/>
  <c r="O31" i="27" s="1"/>
  <c r="J32" i="49"/>
  <c r="L32" i="49" s="1"/>
  <c r="D21" i="27"/>
  <c r="J22" i="49"/>
  <c r="L22" i="49" s="1"/>
  <c r="D11" i="27"/>
  <c r="J12" i="49"/>
  <c r="L12" i="49" s="1"/>
  <c r="D37" i="27"/>
  <c r="O37" i="27" s="1"/>
  <c r="J38" i="49"/>
  <c r="L38" i="49" s="1"/>
  <c r="D27" i="27"/>
  <c r="J28" i="49"/>
  <c r="L28" i="49" s="1"/>
  <c r="O23" i="27"/>
  <c r="X23" i="27"/>
  <c r="D20" i="27"/>
  <c r="J21" i="49"/>
  <c r="L21" i="49" s="1"/>
  <c r="D22" i="27"/>
  <c r="J23" i="49"/>
  <c r="L23" i="49" s="1"/>
  <c r="D14" i="27"/>
  <c r="J15" i="49"/>
  <c r="L15" i="49" s="1"/>
  <c r="AK8" i="22"/>
  <c r="J9" i="49"/>
  <c r="L9" i="49" s="1"/>
  <c r="D15" i="27"/>
  <c r="D28" i="27"/>
  <c r="J29" i="49"/>
  <c r="L29" i="49" s="1"/>
  <c r="E28" i="27"/>
  <c r="N29" i="49"/>
  <c r="P29" i="49" s="1"/>
  <c r="AK25" i="23"/>
  <c r="N26" i="49"/>
  <c r="P26" i="49" s="1"/>
  <c r="AK25" i="22"/>
  <c r="J26" i="49"/>
  <c r="L26" i="49" s="1"/>
  <c r="C38" i="27"/>
  <c r="N38" i="27" s="1"/>
  <c r="F39" i="49"/>
  <c r="H39" i="49" s="1"/>
  <c r="C39" i="27"/>
  <c r="N39" i="27" s="1"/>
  <c r="F40" i="49"/>
  <c r="H40" i="49" s="1"/>
  <c r="C35" i="27"/>
  <c r="N35" i="27" s="1"/>
  <c r="F36" i="49"/>
  <c r="H36" i="49" s="1"/>
  <c r="C37" i="27"/>
  <c r="N37" i="27" s="1"/>
  <c r="F38" i="49"/>
  <c r="H38" i="49" s="1"/>
  <c r="C36" i="27"/>
  <c r="N36" i="27" s="1"/>
  <c r="F37" i="49"/>
  <c r="H37" i="49" s="1"/>
  <c r="C5" i="27"/>
  <c r="N5" i="27" s="1"/>
  <c r="F6" i="49"/>
  <c r="H6" i="49" s="1"/>
  <c r="C18" i="27"/>
  <c r="F19" i="49"/>
  <c r="H19" i="49" s="1"/>
  <c r="C17" i="27"/>
  <c r="F18" i="49"/>
  <c r="H18" i="49" s="1"/>
  <c r="C16" i="27"/>
  <c r="F17" i="49"/>
  <c r="H17" i="49" s="1"/>
  <c r="C27" i="27"/>
  <c r="F28" i="49"/>
  <c r="H28" i="49" s="1"/>
  <c r="C15" i="27"/>
  <c r="F16" i="49"/>
  <c r="H16" i="49" s="1"/>
  <c r="C28" i="27"/>
  <c r="F29" i="49"/>
  <c r="H29" i="49" s="1"/>
  <c r="C11" i="27"/>
  <c r="F12" i="49"/>
  <c r="H12" i="49" s="1"/>
  <c r="AM23" i="21"/>
  <c r="F24" i="49"/>
  <c r="H24" i="49" s="1"/>
  <c r="C22" i="27"/>
  <c r="F23" i="49"/>
  <c r="H23" i="49" s="1"/>
  <c r="C14" i="27"/>
  <c r="F15" i="49"/>
  <c r="H15" i="49" s="1"/>
  <c r="AM9" i="21"/>
  <c r="F10" i="49"/>
  <c r="H10" i="49" s="1"/>
  <c r="C31" i="27"/>
  <c r="N31" i="27" s="1"/>
  <c r="F32" i="49"/>
  <c r="H32" i="49" s="1"/>
  <c r="C21" i="27"/>
  <c r="F22" i="49"/>
  <c r="H22" i="49" s="1"/>
  <c r="C20" i="27"/>
  <c r="F21" i="49"/>
  <c r="H21" i="49" s="1"/>
  <c r="C30" i="27"/>
  <c r="F31" i="49"/>
  <c r="H31" i="49" s="1"/>
  <c r="C19" i="27"/>
  <c r="F20" i="49"/>
  <c r="H20" i="49" s="1"/>
  <c r="H26" i="27"/>
  <c r="AK26" i="26"/>
  <c r="G26" i="27"/>
  <c r="F26" i="27"/>
  <c r="AK26" i="24"/>
  <c r="H24" i="27"/>
  <c r="AK24" i="26"/>
  <c r="G24" i="27"/>
  <c r="F24" i="27"/>
  <c r="AK24" i="24"/>
  <c r="AF44" i="23"/>
  <c r="D44" i="23"/>
  <c r="E26" i="27"/>
  <c r="AK26" i="23"/>
  <c r="E23" i="27"/>
  <c r="E25" i="27"/>
  <c r="R44" i="23"/>
  <c r="E24" i="27"/>
  <c r="AK24" i="23"/>
  <c r="K44" i="23"/>
  <c r="E9" i="27"/>
  <c r="Y44" i="22"/>
  <c r="D26" i="27"/>
  <c r="AK26" i="22"/>
  <c r="D25" i="27"/>
  <c r="X44" i="22"/>
  <c r="AE44" i="22"/>
  <c r="D8" i="27"/>
  <c r="AG44" i="22"/>
  <c r="J44" i="22"/>
  <c r="D24" i="27"/>
  <c r="AK24" i="22"/>
  <c r="R44" i="22"/>
  <c r="D9" i="27"/>
  <c r="K44" i="22"/>
  <c r="Q44" i="22"/>
  <c r="G178" i="1"/>
  <c r="G117" i="19" s="1"/>
  <c r="D117" i="19"/>
  <c r="H178" i="1"/>
  <c r="H93" i="28" s="1"/>
  <c r="F84" i="28"/>
  <c r="F107" i="19"/>
  <c r="D84" i="28"/>
  <c r="D181" i="1"/>
  <c r="D179" i="1"/>
  <c r="G84" i="28"/>
  <c r="G107" i="19"/>
  <c r="E84" i="28"/>
  <c r="E107" i="19"/>
  <c r="H84" i="28"/>
  <c r="H107" i="19"/>
  <c r="C10" i="27"/>
  <c r="AM10" i="21"/>
  <c r="C26" i="27"/>
  <c r="AM26" i="21"/>
  <c r="C9" i="27"/>
  <c r="C23" i="27"/>
  <c r="C25" i="27"/>
  <c r="AM25" i="21"/>
  <c r="C24" i="27"/>
  <c r="AM24" i="21"/>
  <c r="G44" i="20"/>
  <c r="B41" i="27"/>
  <c r="AK41" i="20"/>
  <c r="B5" i="27"/>
  <c r="M5" i="27" s="1"/>
  <c r="B10" i="27"/>
  <c r="AK10" i="20"/>
  <c r="O44" i="20"/>
  <c r="L44" i="20"/>
  <c r="D44" i="20"/>
  <c r="H44" i="20"/>
  <c r="AN47" i="20"/>
  <c r="B26" i="27"/>
  <c r="C13" i="27"/>
  <c r="AH12" i="21"/>
  <c r="AA44" i="21"/>
  <c r="N44" i="21"/>
  <c r="AH32" i="20"/>
  <c r="G44" i="21"/>
  <c r="S44" i="25"/>
  <c r="M44" i="25"/>
  <c r="B4" i="27"/>
  <c r="AE44" i="26"/>
  <c r="X44" i="26"/>
  <c r="S42" i="20"/>
  <c r="S44" i="20" s="1"/>
  <c r="AB42" i="20"/>
  <c r="AB44" i="20" s="1"/>
  <c r="L44" i="25"/>
  <c r="E44" i="25"/>
  <c r="AF44" i="22"/>
  <c r="T44" i="21"/>
  <c r="C52" i="23"/>
  <c r="D52" i="23" s="1"/>
  <c r="E52" i="23" s="1"/>
  <c r="F52" i="23" s="1"/>
  <c r="G52" i="23" s="1"/>
  <c r="H52" i="23" s="1"/>
  <c r="I52" i="23" s="1"/>
  <c r="J52" i="23" s="1"/>
  <c r="K52" i="23" s="1"/>
  <c r="L52" i="23" s="1"/>
  <c r="M52" i="23" s="1"/>
  <c r="N52" i="23" s="1"/>
  <c r="O52" i="23" s="1"/>
  <c r="P52" i="23" s="1"/>
  <c r="Q52" i="23" s="1"/>
  <c r="R52" i="23" s="1"/>
  <c r="S52" i="23" s="1"/>
  <c r="T52" i="23" s="1"/>
  <c r="U52" i="23" s="1"/>
  <c r="V52" i="23" s="1"/>
  <c r="W52" i="23" s="1"/>
  <c r="X52" i="23" s="1"/>
  <c r="Y52" i="23" s="1"/>
  <c r="Z52" i="23" s="1"/>
  <c r="AA52" i="23" s="1"/>
  <c r="AB52" i="23" s="1"/>
  <c r="AC52" i="23" s="1"/>
  <c r="AD52" i="23" s="1"/>
  <c r="AE52" i="23" s="1"/>
  <c r="AF52" i="23" s="1"/>
  <c r="AG52" i="23" s="1"/>
  <c r="AC42" i="20"/>
  <c r="AC44" i="20" s="1"/>
  <c r="AB44" i="21"/>
  <c r="U44" i="21"/>
  <c r="T42" i="20"/>
  <c r="T44" i="20" s="1"/>
  <c r="AF42" i="20"/>
  <c r="AF44" i="20" s="1"/>
  <c r="U42" i="20"/>
  <c r="U44" i="20" s="1"/>
  <c r="AG42" i="20"/>
  <c r="AG44" i="20" s="1"/>
  <c r="V42" i="20"/>
  <c r="V44" i="20" s="1"/>
  <c r="Y42" i="20"/>
  <c r="Y44" i="20" s="1"/>
  <c r="Z42" i="20"/>
  <c r="Z44" i="20" s="1"/>
  <c r="AA42" i="20"/>
  <c r="AA44" i="20" s="1"/>
  <c r="C32" i="20"/>
  <c r="C44" i="20" s="1"/>
  <c r="C50" i="20" s="1"/>
  <c r="D4" i="20" s="1"/>
  <c r="D6" i="20" s="1"/>
  <c r="D50" i="20" s="1"/>
  <c r="B12" i="20"/>
  <c r="B32" i="20" s="1"/>
  <c r="M44" i="21"/>
  <c r="AH12" i="22"/>
  <c r="B12" i="22"/>
  <c r="C44" i="22"/>
  <c r="D44" i="22"/>
  <c r="C32" i="23"/>
  <c r="AE44" i="23"/>
  <c r="AH12" i="24"/>
  <c r="T44" i="25"/>
  <c r="AH12" i="25"/>
  <c r="AH12" i="26"/>
  <c r="H12" i="27" s="1"/>
  <c r="W15" i="51" l="1"/>
  <c r="Q15" i="27"/>
  <c r="Z9" i="27"/>
  <c r="P11" i="27"/>
  <c r="R20" i="27"/>
  <c r="Z13" i="27"/>
  <c r="Z22" i="27"/>
  <c r="Z21" i="27"/>
  <c r="Z14" i="27"/>
  <c r="Z11" i="27"/>
  <c r="F12" i="51"/>
  <c r="T12" i="51" s="1"/>
  <c r="R13" i="49"/>
  <c r="T13" i="49" s="1"/>
  <c r="F12" i="27"/>
  <c r="W16" i="51"/>
  <c r="W22" i="51"/>
  <c r="W17" i="51"/>
  <c r="S23" i="51"/>
  <c r="M23" i="51"/>
  <c r="N23" i="51" s="1"/>
  <c r="W14" i="51"/>
  <c r="S11" i="51"/>
  <c r="W11" i="51" s="1"/>
  <c r="M11" i="51"/>
  <c r="N11" i="51" s="1"/>
  <c r="Y30" i="27"/>
  <c r="W19" i="51"/>
  <c r="W18" i="51"/>
  <c r="W13" i="51"/>
  <c r="S20" i="51"/>
  <c r="W20" i="51" s="1"/>
  <c r="M20" i="51"/>
  <c r="N20" i="51" s="1"/>
  <c r="S12" i="51"/>
  <c r="M12" i="51"/>
  <c r="N12" i="51" s="1"/>
  <c r="W27" i="51"/>
  <c r="S9" i="51"/>
  <c r="M9" i="51"/>
  <c r="N9" i="51" s="1"/>
  <c r="S26" i="51"/>
  <c r="M26" i="51"/>
  <c r="N26" i="51" s="1"/>
  <c r="W9" i="51"/>
  <c r="W23" i="51"/>
  <c r="M13" i="51"/>
  <c r="N13" i="51" s="1"/>
  <c r="S13" i="51"/>
  <c r="S24" i="51"/>
  <c r="M24" i="51"/>
  <c r="N24" i="51" s="1"/>
  <c r="S19" i="51"/>
  <c r="M19" i="51"/>
  <c r="N19" i="51" s="1"/>
  <c r="C44" i="23"/>
  <c r="C99" i="23"/>
  <c r="S21" i="51"/>
  <c r="W21" i="51" s="1"/>
  <c r="M21" i="51"/>
  <c r="N21" i="51" s="1"/>
  <c r="S30" i="51"/>
  <c r="W30" i="51" s="1"/>
  <c r="M30" i="51"/>
  <c r="N30" i="51" s="1"/>
  <c r="Y18" i="27"/>
  <c r="AA14" i="27"/>
  <c r="AA22" i="27"/>
  <c r="Y14" i="27"/>
  <c r="AA18" i="27"/>
  <c r="AA13" i="27"/>
  <c r="W28" i="51"/>
  <c r="AA23" i="27"/>
  <c r="W26" i="51"/>
  <c r="G12" i="51"/>
  <c r="U12" i="51" s="1"/>
  <c r="V13" i="49"/>
  <c r="X13" i="49" s="1"/>
  <c r="G12" i="27"/>
  <c r="AA25" i="27"/>
  <c r="AA19" i="27"/>
  <c r="R30" i="27"/>
  <c r="AA30" i="27"/>
  <c r="W24" i="51"/>
  <c r="W25" i="51"/>
  <c r="Z25" i="27"/>
  <c r="Z27" i="27"/>
  <c r="Q30" i="27"/>
  <c r="Z30" i="27"/>
  <c r="P13" i="27"/>
  <c r="Y27" i="27"/>
  <c r="P17" i="27"/>
  <c r="R24" i="27"/>
  <c r="AA24" i="27"/>
  <c r="N9" i="27"/>
  <c r="W9" i="27"/>
  <c r="S12" i="27"/>
  <c r="AB12" i="27"/>
  <c r="S24" i="27"/>
  <c r="AB24" i="27"/>
  <c r="Y15" i="27"/>
  <c r="AE15" i="27" s="1"/>
  <c r="P20" i="27"/>
  <c r="M10" i="27"/>
  <c r="V10" i="27"/>
  <c r="Y19" i="27"/>
  <c r="Q24" i="27"/>
  <c r="Z24" i="27"/>
  <c r="Q26" i="27"/>
  <c r="Z26" i="27"/>
  <c r="S26" i="27"/>
  <c r="AB26" i="27"/>
  <c r="Y16" i="27"/>
  <c r="M4" i="27"/>
  <c r="V4" i="27"/>
  <c r="P21" i="27"/>
  <c r="T35" i="27"/>
  <c r="R26" i="27"/>
  <c r="AA26" i="27"/>
  <c r="M41" i="27"/>
  <c r="V41" i="27"/>
  <c r="M26" i="27"/>
  <c r="V26" i="27"/>
  <c r="Y22" i="27"/>
  <c r="R27" i="27"/>
  <c r="AA27" i="27"/>
  <c r="E117" i="19"/>
  <c r="P26" i="27"/>
  <c r="Y26" i="27"/>
  <c r="P25" i="27"/>
  <c r="Y25" i="27"/>
  <c r="P23" i="27"/>
  <c r="Y23" i="27"/>
  <c r="P9" i="27"/>
  <c r="Y9" i="27"/>
  <c r="E181" i="1"/>
  <c r="P24" i="27"/>
  <c r="Y24" i="27"/>
  <c r="T38" i="27"/>
  <c r="T39" i="27"/>
  <c r="S30" i="27"/>
  <c r="AB30" i="27"/>
  <c r="E93" i="28"/>
  <c r="F179" i="1"/>
  <c r="F181" i="1"/>
  <c r="F93" i="28"/>
  <c r="O13" i="27"/>
  <c r="X13" i="27"/>
  <c r="O26" i="27"/>
  <c r="X26" i="27"/>
  <c r="O14" i="27"/>
  <c r="X14" i="27"/>
  <c r="AE14" i="27" s="1"/>
  <c r="O27" i="27"/>
  <c r="X27" i="27"/>
  <c r="O17" i="27"/>
  <c r="X17" i="27"/>
  <c r="O30" i="27"/>
  <c r="X30" i="27"/>
  <c r="T31" i="27"/>
  <c r="O21" i="27"/>
  <c r="X21" i="27"/>
  <c r="O8" i="27"/>
  <c r="X8" i="27"/>
  <c r="T36" i="27"/>
  <c r="O19" i="27"/>
  <c r="X19" i="27"/>
  <c r="O24" i="27"/>
  <c r="X24" i="27"/>
  <c r="O22" i="27"/>
  <c r="X22" i="27"/>
  <c r="O15" i="27"/>
  <c r="X15" i="27"/>
  <c r="O20" i="27"/>
  <c r="X20" i="27"/>
  <c r="O11" i="27"/>
  <c r="X11" i="27"/>
  <c r="O16" i="27"/>
  <c r="X16" i="27"/>
  <c r="O18" i="27"/>
  <c r="X18" i="27"/>
  <c r="O25" i="27"/>
  <c r="X25" i="27"/>
  <c r="D12" i="27"/>
  <c r="J13" i="49"/>
  <c r="L13" i="49" s="1"/>
  <c r="O9" i="27"/>
  <c r="X9" i="27"/>
  <c r="T37" i="27"/>
  <c r="N24" i="27"/>
  <c r="W24" i="27"/>
  <c r="N11" i="27"/>
  <c r="W11" i="27"/>
  <c r="N13" i="27"/>
  <c r="W13" i="27"/>
  <c r="N14" i="27"/>
  <c r="W14" i="27"/>
  <c r="N17" i="27"/>
  <c r="W17" i="27"/>
  <c r="N23" i="27"/>
  <c r="W23" i="27"/>
  <c r="AE23" i="27" s="1"/>
  <c r="N30" i="27"/>
  <c r="W30" i="27"/>
  <c r="N25" i="27"/>
  <c r="W25" i="27"/>
  <c r="N21" i="27"/>
  <c r="W21" i="27"/>
  <c r="N15" i="27"/>
  <c r="W15" i="27"/>
  <c r="N18" i="27"/>
  <c r="W18" i="27"/>
  <c r="N10" i="27"/>
  <c r="W10" i="27"/>
  <c r="N16" i="27"/>
  <c r="W16" i="27"/>
  <c r="N20" i="27"/>
  <c r="W20" i="27"/>
  <c r="N22" i="27"/>
  <c r="W22" i="27"/>
  <c r="N19" i="27"/>
  <c r="W19" i="27"/>
  <c r="AE19" i="27" s="1"/>
  <c r="N27" i="27"/>
  <c r="W27" i="27"/>
  <c r="O28" i="27"/>
  <c r="X28" i="27"/>
  <c r="P28" i="27"/>
  <c r="Y28" i="27"/>
  <c r="N28" i="27"/>
  <c r="W28" i="27"/>
  <c r="N26" i="27"/>
  <c r="W26" i="27"/>
  <c r="C12" i="27"/>
  <c r="F13" i="49"/>
  <c r="H13" i="49" s="1"/>
  <c r="G93" i="28"/>
  <c r="G179" i="1"/>
  <c r="G181" i="1"/>
  <c r="H181" i="1"/>
  <c r="H179" i="1"/>
  <c r="H117" i="19"/>
  <c r="B32" i="27"/>
  <c r="M32" i="27" s="1"/>
  <c r="AK32" i="20"/>
  <c r="AH40" i="20"/>
  <c r="D51" i="20"/>
  <c r="E4" i="20"/>
  <c r="E6" i="20" s="1"/>
  <c r="E50" i="20" s="1"/>
  <c r="B40" i="20"/>
  <c r="B42" i="20" s="1"/>
  <c r="R42" i="20"/>
  <c r="AH42" i="20" s="1"/>
  <c r="B42" i="27" s="1"/>
  <c r="M42" i="27" s="1"/>
  <c r="C52" i="24"/>
  <c r="D52" i="24" s="1"/>
  <c r="E52" i="24" s="1"/>
  <c r="F52" i="24" s="1"/>
  <c r="G52" i="24" s="1"/>
  <c r="H52" i="24" s="1"/>
  <c r="I52" i="24" s="1"/>
  <c r="J52" i="24" s="1"/>
  <c r="K52" i="24" s="1"/>
  <c r="L52" i="24" s="1"/>
  <c r="M52" i="24" s="1"/>
  <c r="N52" i="24" s="1"/>
  <c r="O52" i="24" s="1"/>
  <c r="P52" i="24" s="1"/>
  <c r="Q52" i="24" s="1"/>
  <c r="R52" i="24" s="1"/>
  <c r="S52" i="24" s="1"/>
  <c r="T52" i="24" s="1"/>
  <c r="U52" i="24" s="1"/>
  <c r="V52" i="24" s="1"/>
  <c r="W52" i="24" s="1"/>
  <c r="X52" i="24" s="1"/>
  <c r="Y52" i="24" s="1"/>
  <c r="Z52" i="24" s="1"/>
  <c r="AA52" i="24" s="1"/>
  <c r="AB52" i="24" s="1"/>
  <c r="AC52" i="24" s="1"/>
  <c r="AD52" i="24" s="1"/>
  <c r="AE52" i="24" s="1"/>
  <c r="AF52" i="24" s="1"/>
  <c r="AH52" i="23"/>
  <c r="AE18" i="27" l="1"/>
  <c r="AE21" i="27"/>
  <c r="AE13" i="27"/>
  <c r="AE9" i="27"/>
  <c r="AE17" i="27"/>
  <c r="AE28" i="27"/>
  <c r="AE20" i="27"/>
  <c r="AE25" i="27"/>
  <c r="AE22" i="27"/>
  <c r="AE11" i="27"/>
  <c r="AE27" i="27"/>
  <c r="AE16" i="27"/>
  <c r="AE30" i="27"/>
  <c r="AE24" i="27"/>
  <c r="AE26" i="27"/>
  <c r="T9" i="27"/>
  <c r="Q12" i="27"/>
  <c r="Z12" i="27"/>
  <c r="W12" i="51"/>
  <c r="T23" i="27"/>
  <c r="R12" i="27"/>
  <c r="AA12" i="27"/>
  <c r="V32" i="27"/>
  <c r="T24" i="27"/>
  <c r="T26" i="27"/>
  <c r="T30" i="27"/>
  <c r="T28" i="27"/>
  <c r="T25" i="27"/>
  <c r="T14" i="27"/>
  <c r="T19" i="27"/>
  <c r="T20" i="27"/>
  <c r="T13" i="27"/>
  <c r="T15" i="27"/>
  <c r="T18" i="27"/>
  <c r="T17" i="27"/>
  <c r="T22" i="27"/>
  <c r="O12" i="27"/>
  <c r="X12" i="27"/>
  <c r="T11" i="27"/>
  <c r="T27" i="27"/>
  <c r="T16" i="27"/>
  <c r="T21" i="27"/>
  <c r="N12" i="27"/>
  <c r="W12" i="27"/>
  <c r="B40" i="27"/>
  <c r="AK40" i="20"/>
  <c r="C52" i="25"/>
  <c r="D52" i="25" s="1"/>
  <c r="E52" i="25" s="1"/>
  <c r="F52" i="25" s="1"/>
  <c r="G52" i="25" s="1"/>
  <c r="H52" i="25" s="1"/>
  <c r="I52" i="25" s="1"/>
  <c r="J52" i="25" s="1"/>
  <c r="K52" i="25" s="1"/>
  <c r="L52" i="25" s="1"/>
  <c r="M52" i="25" s="1"/>
  <c r="N52" i="25" s="1"/>
  <c r="O52" i="25" s="1"/>
  <c r="P52" i="25" s="1"/>
  <c r="Q52" i="25" s="1"/>
  <c r="R52" i="25" s="1"/>
  <c r="S52" i="25" s="1"/>
  <c r="T52" i="25" s="1"/>
  <c r="U52" i="25" s="1"/>
  <c r="V52" i="25" s="1"/>
  <c r="W52" i="25" s="1"/>
  <c r="X52" i="25" s="1"/>
  <c r="Y52" i="25" s="1"/>
  <c r="Z52" i="25" s="1"/>
  <c r="AA52" i="25" s="1"/>
  <c r="AB52" i="25" s="1"/>
  <c r="AC52" i="25" s="1"/>
  <c r="AD52" i="25" s="1"/>
  <c r="AE52" i="25" s="1"/>
  <c r="AF52" i="25" s="1"/>
  <c r="AG52" i="25" s="1"/>
  <c r="AG52" i="24"/>
  <c r="AH52" i="24" s="1"/>
  <c r="R44" i="20"/>
  <c r="E51" i="20"/>
  <c r="F4" i="20"/>
  <c r="F6" i="20" s="1"/>
  <c r="F50" i="20" s="1"/>
  <c r="AE12" i="27" l="1"/>
  <c r="C52" i="52"/>
  <c r="D52" i="52" s="1"/>
  <c r="E52" i="52" s="1"/>
  <c r="F52" i="52" s="1"/>
  <c r="G52" i="52" s="1"/>
  <c r="H52" i="52" s="1"/>
  <c r="I52" i="52" s="1"/>
  <c r="J52" i="52" s="1"/>
  <c r="K52" i="52" s="1"/>
  <c r="L52" i="52" s="1"/>
  <c r="M52" i="52" s="1"/>
  <c r="N52" i="52" s="1"/>
  <c r="O52" i="52" s="1"/>
  <c r="P52" i="52" s="1"/>
  <c r="Q52" i="52" s="1"/>
  <c r="R52" i="52" s="1"/>
  <c r="S52" i="52" s="1"/>
  <c r="T52" i="52" s="1"/>
  <c r="U52" i="52" s="1"/>
  <c r="V52" i="52" s="1"/>
  <c r="W52" i="52" s="1"/>
  <c r="X52" i="52" s="1"/>
  <c r="Y52" i="52" s="1"/>
  <c r="Z52" i="52" s="1"/>
  <c r="AA52" i="52" s="1"/>
  <c r="AB52" i="52" s="1"/>
  <c r="AC52" i="52" s="1"/>
  <c r="AD52" i="52" s="1"/>
  <c r="AE52" i="52" s="1"/>
  <c r="AF52" i="52" s="1"/>
  <c r="AG52" i="52" s="1"/>
  <c r="AH52" i="52" s="1"/>
  <c r="C52" i="53"/>
  <c r="D52" i="53" s="1"/>
  <c r="E52" i="53" s="1"/>
  <c r="F52" i="53" s="1"/>
  <c r="G52" i="53" s="1"/>
  <c r="H52" i="53" s="1"/>
  <c r="I52" i="53" s="1"/>
  <c r="J52" i="53" s="1"/>
  <c r="K52" i="53" s="1"/>
  <c r="L52" i="53" s="1"/>
  <c r="M52" i="53" s="1"/>
  <c r="N52" i="53" s="1"/>
  <c r="O52" i="53" s="1"/>
  <c r="P52" i="53" s="1"/>
  <c r="Q52" i="53" s="1"/>
  <c r="R52" i="53" s="1"/>
  <c r="S52" i="53" s="1"/>
  <c r="T52" i="53" s="1"/>
  <c r="U52" i="53" s="1"/>
  <c r="V52" i="53" s="1"/>
  <c r="W52" i="53" s="1"/>
  <c r="X52" i="53" s="1"/>
  <c r="Y52" i="53" s="1"/>
  <c r="Z52" i="53" s="1"/>
  <c r="AA52" i="53" s="1"/>
  <c r="AB52" i="53" s="1"/>
  <c r="AC52" i="53" s="1"/>
  <c r="AD52" i="53" s="1"/>
  <c r="AE52" i="53" s="1"/>
  <c r="AF52" i="53" s="1"/>
  <c r="AG52" i="53" s="1"/>
  <c r="AH52" i="53" s="1"/>
  <c r="C52" i="54"/>
  <c r="D52" i="54" s="1"/>
  <c r="E52" i="54" s="1"/>
  <c r="F52" i="54" s="1"/>
  <c r="G52" i="54" s="1"/>
  <c r="H52" i="54" s="1"/>
  <c r="I52" i="54" s="1"/>
  <c r="J52" i="54" s="1"/>
  <c r="K52" i="54" s="1"/>
  <c r="L52" i="54" s="1"/>
  <c r="M52" i="54" s="1"/>
  <c r="N52" i="54" s="1"/>
  <c r="O52" i="54" s="1"/>
  <c r="P52" i="54" s="1"/>
  <c r="Q52" i="54" s="1"/>
  <c r="R52" i="54" s="1"/>
  <c r="S52" i="54" s="1"/>
  <c r="T52" i="54" s="1"/>
  <c r="U52" i="54" s="1"/>
  <c r="V52" i="54" s="1"/>
  <c r="W52" i="54" s="1"/>
  <c r="X52" i="54" s="1"/>
  <c r="Y52" i="54" s="1"/>
  <c r="Z52" i="54" s="1"/>
  <c r="AA52" i="54" s="1"/>
  <c r="AB52" i="54" s="1"/>
  <c r="AC52" i="54" s="1"/>
  <c r="AD52" i="54" s="1"/>
  <c r="AE52" i="54" s="1"/>
  <c r="AF52" i="54" s="1"/>
  <c r="AG52" i="54" s="1"/>
  <c r="AH52" i="54" s="1"/>
  <c r="M40" i="27"/>
  <c r="V40" i="27"/>
  <c r="T12" i="27"/>
  <c r="R50" i="20"/>
  <c r="S4" i="20" s="1"/>
  <c r="S6" i="20" s="1"/>
  <c r="S50" i="20" s="1"/>
  <c r="AH44" i="20"/>
  <c r="G4" i="20"/>
  <c r="G6" i="20" s="1"/>
  <c r="G50" i="20" s="1"/>
  <c r="F51" i="20"/>
  <c r="C52" i="26"/>
  <c r="D52" i="26" s="1"/>
  <c r="E52" i="26" s="1"/>
  <c r="F52" i="26" s="1"/>
  <c r="G52" i="26" s="1"/>
  <c r="H52" i="26" s="1"/>
  <c r="I52" i="26" s="1"/>
  <c r="J52" i="26" s="1"/>
  <c r="K52" i="26" s="1"/>
  <c r="L52" i="26" s="1"/>
  <c r="M52" i="26" s="1"/>
  <c r="N52" i="26" s="1"/>
  <c r="O52" i="26" s="1"/>
  <c r="P52" i="26" s="1"/>
  <c r="Q52" i="26" s="1"/>
  <c r="R52" i="26" s="1"/>
  <c r="S52" i="26" s="1"/>
  <c r="T52" i="26" s="1"/>
  <c r="U52" i="26" s="1"/>
  <c r="V52" i="26" s="1"/>
  <c r="W52" i="26" s="1"/>
  <c r="X52" i="26" s="1"/>
  <c r="Y52" i="26" s="1"/>
  <c r="Z52" i="26" s="1"/>
  <c r="AA52" i="26" s="1"/>
  <c r="AB52" i="26" s="1"/>
  <c r="AC52" i="26" s="1"/>
  <c r="AD52" i="26" s="1"/>
  <c r="AE52" i="26" s="1"/>
  <c r="AF52" i="26" s="1"/>
  <c r="AG52" i="26" s="1"/>
  <c r="AH52" i="26" s="1"/>
  <c r="AH52" i="25"/>
  <c r="V42" i="27" l="1"/>
  <c r="R51" i="20"/>
  <c r="B44" i="27"/>
  <c r="AH50" i="20"/>
  <c r="AH51" i="20" s="1"/>
  <c r="H4" i="20"/>
  <c r="H6" i="20" s="1"/>
  <c r="H50" i="20" s="1"/>
  <c r="G51" i="20"/>
  <c r="T4" i="20"/>
  <c r="T6" i="20" s="1"/>
  <c r="T50" i="20" s="1"/>
  <c r="S51" i="20"/>
  <c r="M44" i="27" l="1"/>
  <c r="V44" i="27"/>
  <c r="I4" i="20"/>
  <c r="I6" i="20" s="1"/>
  <c r="I50" i="20" s="1"/>
  <c r="H51" i="20"/>
  <c r="T51" i="20"/>
  <c r="U4" i="20"/>
  <c r="U6" i="20" s="1"/>
  <c r="U50" i="20" s="1"/>
  <c r="U51" i="20" l="1"/>
  <c r="V4" i="20"/>
  <c r="V6" i="20" s="1"/>
  <c r="V50" i="20" s="1"/>
  <c r="J4" i="20"/>
  <c r="J6" i="20" s="1"/>
  <c r="J50" i="20" s="1"/>
  <c r="I51" i="20"/>
  <c r="K4" i="20" l="1"/>
  <c r="K6" i="20" s="1"/>
  <c r="K50" i="20" s="1"/>
  <c r="J51" i="20"/>
  <c r="W4" i="20"/>
  <c r="W6" i="20" s="1"/>
  <c r="W50" i="20" s="1"/>
  <c r="V51" i="20"/>
  <c r="X4" i="20" l="1"/>
  <c r="X6" i="20" s="1"/>
  <c r="X50" i="20" s="1"/>
  <c r="W51" i="20"/>
  <c r="L4" i="20"/>
  <c r="L6" i="20" s="1"/>
  <c r="L50" i="20" s="1"/>
  <c r="K51" i="20"/>
  <c r="M4" i="20" l="1"/>
  <c r="M6" i="20" s="1"/>
  <c r="M50" i="20" s="1"/>
  <c r="L51" i="20"/>
  <c r="Y4" i="20"/>
  <c r="Y6" i="20" s="1"/>
  <c r="Y50" i="20" s="1"/>
  <c r="X51" i="20"/>
  <c r="Z4" i="20" l="1"/>
  <c r="Z6" i="20" s="1"/>
  <c r="Z50" i="20" s="1"/>
  <c r="Y51" i="20"/>
  <c r="M51" i="20"/>
  <c r="N4" i="20"/>
  <c r="N6" i="20" s="1"/>
  <c r="N50" i="20" s="1"/>
  <c r="O4" i="20" l="1"/>
  <c r="O6" i="20" s="1"/>
  <c r="O50" i="20" s="1"/>
  <c r="N51" i="20"/>
  <c r="AA4" i="20"/>
  <c r="AA6" i="20" s="1"/>
  <c r="AA50" i="20" s="1"/>
  <c r="Z51" i="20"/>
  <c r="AB4" i="20" l="1"/>
  <c r="AB6" i="20" s="1"/>
  <c r="AB50" i="20" s="1"/>
  <c r="AA51" i="20"/>
  <c r="P4" i="20"/>
  <c r="P6" i="20" s="1"/>
  <c r="P50" i="20" s="1"/>
  <c r="O51" i="20"/>
  <c r="Q4" i="20" l="1"/>
  <c r="Q6" i="20" s="1"/>
  <c r="Q50" i="20" s="1"/>
  <c r="Q51" i="20" s="1"/>
  <c r="P51" i="20"/>
  <c r="AB51" i="20"/>
  <c r="AC4" i="20"/>
  <c r="AC6" i="20" s="1"/>
  <c r="AC50" i="20" s="1"/>
  <c r="AC51" i="20" l="1"/>
  <c r="AD4" i="20"/>
  <c r="AD6" i="20" s="1"/>
  <c r="AD50" i="20" s="1"/>
  <c r="AE4" i="20" l="1"/>
  <c r="AE6" i="20" s="1"/>
  <c r="AE50" i="20" s="1"/>
  <c r="AD51" i="20"/>
  <c r="AF4" i="20" l="1"/>
  <c r="AF6" i="20" s="1"/>
  <c r="AF50" i="20" s="1"/>
  <c r="AE51" i="20"/>
  <c r="AG4" i="20" l="1"/>
  <c r="AG6" i="20" s="1"/>
  <c r="AG50" i="20" s="1"/>
  <c r="C83" i="28" s="1"/>
  <c r="C74" i="28" s="1"/>
  <c r="D74" i="28" s="1"/>
  <c r="E74" i="28" s="1"/>
  <c r="F74" i="28" s="1"/>
  <c r="G74" i="28" s="1"/>
  <c r="H74" i="28" s="1"/>
  <c r="I74" i="28" s="1"/>
  <c r="J74" i="28" s="1"/>
  <c r="K74" i="28" s="1"/>
  <c r="L74" i="28" s="1"/>
  <c r="M74" i="28" s="1"/>
  <c r="N74" i="28" s="1"/>
  <c r="O74" i="28" s="1"/>
  <c r="AF51" i="20"/>
  <c r="C105" i="19" l="1"/>
  <c r="C96" i="19" s="1"/>
  <c r="B50" i="27"/>
  <c r="V50" i="27" s="1"/>
  <c r="B4" i="21"/>
  <c r="AG51" i="20"/>
  <c r="C4" i="27" l="1"/>
  <c r="F5" i="49"/>
  <c r="H5" i="49" s="1"/>
  <c r="M50" i="27"/>
  <c r="B52" i="27"/>
  <c r="AH4" i="21"/>
  <c r="AH6" i="21" s="1"/>
  <c r="C4" i="21"/>
  <c r="C6" i="21" s="1"/>
  <c r="B6" i="21"/>
  <c r="B50" i="21" s="1"/>
  <c r="N4" i="27" l="1"/>
  <c r="W4" i="27"/>
  <c r="C6" i="27"/>
  <c r="N6" i="27" s="1"/>
  <c r="F7" i="49"/>
  <c r="H7" i="49" s="1"/>
  <c r="O88" i="19"/>
  <c r="N88" i="19"/>
  <c r="M88" i="19"/>
  <c r="L88" i="19"/>
  <c r="L90" i="19" s="1"/>
  <c r="L94" i="19" s="1"/>
  <c r="K88" i="19"/>
  <c r="K90" i="19" s="1"/>
  <c r="K94" i="19" s="1"/>
  <c r="J88" i="19"/>
  <c r="I88" i="19"/>
  <c r="I94" i="19" s="1"/>
  <c r="H88" i="19"/>
  <c r="G88" i="19"/>
  <c r="G94" i="19" s="1"/>
  <c r="F88" i="19"/>
  <c r="E88" i="19"/>
  <c r="D88" i="19"/>
  <c r="O87" i="19"/>
  <c r="O89" i="19" s="1"/>
  <c r="N87" i="19"/>
  <c r="N89" i="19" s="1"/>
  <c r="M87" i="19"/>
  <c r="M89" i="19" s="1"/>
  <c r="L87" i="19"/>
  <c r="L89" i="19" s="1"/>
  <c r="K87" i="19"/>
  <c r="J87" i="19"/>
  <c r="I87" i="19"/>
  <c r="H87" i="19"/>
  <c r="G87" i="19"/>
  <c r="F87" i="19"/>
  <c r="E87" i="19"/>
  <c r="D86" i="19"/>
  <c r="C87" i="19"/>
  <c r="Q70" i="19"/>
  <c r="P70" i="19"/>
  <c r="Q69" i="19"/>
  <c r="P69" i="19"/>
  <c r="Q68" i="19"/>
  <c r="P68" i="19"/>
  <c r="Q67" i="19"/>
  <c r="P67" i="19"/>
  <c r="Q65" i="19"/>
  <c r="P65" i="19"/>
  <c r="Q63" i="19"/>
  <c r="P63" i="19"/>
  <c r="Q62" i="19"/>
  <c r="P62" i="19"/>
  <c r="Q61" i="19"/>
  <c r="Q60" i="19"/>
  <c r="P60" i="19"/>
  <c r="Q58" i="19"/>
  <c r="P58" i="19"/>
  <c r="Q57" i="19"/>
  <c r="P57" i="19"/>
  <c r="P54" i="19"/>
  <c r="O66" i="19"/>
  <c r="N66" i="19"/>
  <c r="M66" i="19"/>
  <c r="L66" i="19"/>
  <c r="K66" i="19"/>
  <c r="J66" i="19"/>
  <c r="I66" i="19"/>
  <c r="P66" i="19" s="1"/>
  <c r="I61" i="19"/>
  <c r="H61" i="19"/>
  <c r="G61" i="19"/>
  <c r="F61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O54" i="19"/>
  <c r="N54" i="19"/>
  <c r="C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E34" i="19"/>
  <c r="E32" i="19"/>
  <c r="E75" i="19"/>
  <c r="D75" i="19"/>
  <c r="D113" i="19" s="1"/>
  <c r="E113" i="19" s="1"/>
  <c r="F113" i="19" s="1"/>
  <c r="G113" i="19" s="1"/>
  <c r="H113" i="19" s="1"/>
  <c r="I113" i="19" s="1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O46" i="19"/>
  <c r="O47" i="19" s="1"/>
  <c r="N46" i="19"/>
  <c r="N47" i="19" s="1"/>
  <c r="M46" i="19"/>
  <c r="M47" i="19" s="1"/>
  <c r="L46" i="19"/>
  <c r="L47" i="19" s="1"/>
  <c r="K46" i="19"/>
  <c r="K47" i="19" s="1"/>
  <c r="J46" i="19"/>
  <c r="J47" i="19" s="1"/>
  <c r="I46" i="19"/>
  <c r="I47" i="19" s="1"/>
  <c r="H46" i="19"/>
  <c r="H47" i="19" s="1"/>
  <c r="G46" i="19"/>
  <c r="G47" i="19" s="1"/>
  <c r="F46" i="19"/>
  <c r="F47" i="19" s="1"/>
  <c r="E46" i="19"/>
  <c r="E47" i="19" s="1"/>
  <c r="D46" i="19"/>
  <c r="D47" i="19" s="1"/>
  <c r="C46" i="19"/>
  <c r="O44" i="19"/>
  <c r="O45" i="19" s="1"/>
  <c r="N44" i="19"/>
  <c r="N45" i="19" s="1"/>
  <c r="M44" i="19"/>
  <c r="M45" i="19" s="1"/>
  <c r="L44" i="19"/>
  <c r="K44" i="19"/>
  <c r="J44" i="19"/>
  <c r="I44" i="19"/>
  <c r="H44" i="19"/>
  <c r="G44" i="19"/>
  <c r="G45" i="19" s="1"/>
  <c r="F44" i="19"/>
  <c r="F45" i="19" s="1"/>
  <c r="E44" i="19"/>
  <c r="E45" i="19" s="1"/>
  <c r="D44" i="19"/>
  <c r="D45" i="19" s="1"/>
  <c r="C44" i="19"/>
  <c r="O42" i="19"/>
  <c r="O43" i="19" s="1"/>
  <c r="N42" i="19"/>
  <c r="N43" i="19" s="1"/>
  <c r="M42" i="19"/>
  <c r="M43" i="19" s="1"/>
  <c r="L42" i="19"/>
  <c r="L43" i="19" s="1"/>
  <c r="K42" i="19"/>
  <c r="K43" i="19" s="1"/>
  <c r="J42" i="19"/>
  <c r="J43" i="19" s="1"/>
  <c r="I42" i="19"/>
  <c r="I43" i="19" s="1"/>
  <c r="H42" i="19"/>
  <c r="H43" i="19" s="1"/>
  <c r="G42" i="19"/>
  <c r="G43" i="19" s="1"/>
  <c r="F42" i="19"/>
  <c r="F43" i="19" s="1"/>
  <c r="E42" i="19"/>
  <c r="E43" i="19" s="1"/>
  <c r="D42" i="19"/>
  <c r="D43" i="19" s="1"/>
  <c r="C42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O33" i="19"/>
  <c r="O34" i="19" s="1"/>
  <c r="N33" i="19"/>
  <c r="N34" i="19" s="1"/>
  <c r="M33" i="19"/>
  <c r="M34" i="19" s="1"/>
  <c r="L33" i="19"/>
  <c r="K33" i="19"/>
  <c r="J33" i="19"/>
  <c r="I33" i="19"/>
  <c r="I34" i="19" s="1"/>
  <c r="H33" i="19"/>
  <c r="H34" i="19" s="1"/>
  <c r="G33" i="19"/>
  <c r="G34" i="19" s="1"/>
  <c r="F33" i="19"/>
  <c r="F34" i="19" s="1"/>
  <c r="E33" i="19"/>
  <c r="D33" i="19"/>
  <c r="C33" i="19"/>
  <c r="O31" i="19"/>
  <c r="O32" i="19" s="1"/>
  <c r="N31" i="19"/>
  <c r="N32" i="19" s="1"/>
  <c r="M31" i="19"/>
  <c r="M32" i="19" s="1"/>
  <c r="E31" i="19"/>
  <c r="D31" i="19"/>
  <c r="C31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O29" i="19"/>
  <c r="O30" i="19" s="1"/>
  <c r="N29" i="19"/>
  <c r="N30" i="19" s="1"/>
  <c r="M29" i="19"/>
  <c r="M30" i="19" s="1"/>
  <c r="L29" i="19"/>
  <c r="L30" i="19" s="1"/>
  <c r="K29" i="19"/>
  <c r="K30" i="19" s="1"/>
  <c r="J29" i="19"/>
  <c r="J30" i="19" s="1"/>
  <c r="I29" i="19"/>
  <c r="I30" i="19" s="1"/>
  <c r="H29" i="19"/>
  <c r="H30" i="19" s="1"/>
  <c r="G29" i="19"/>
  <c r="G30" i="19" s="1"/>
  <c r="F29" i="19"/>
  <c r="F30" i="19" s="1"/>
  <c r="E29" i="19"/>
  <c r="D29" i="19"/>
  <c r="C29" i="19"/>
  <c r="O27" i="19"/>
  <c r="N27" i="19"/>
  <c r="M27" i="19"/>
  <c r="L27" i="19"/>
  <c r="K27" i="19"/>
  <c r="J27" i="19"/>
  <c r="I27" i="19"/>
  <c r="H27" i="19"/>
  <c r="G27" i="19"/>
  <c r="O24" i="19"/>
  <c r="O51" i="19" s="1"/>
  <c r="N24" i="19"/>
  <c r="N51" i="19" s="1"/>
  <c r="M24" i="19"/>
  <c r="M51" i="19" s="1"/>
  <c r="L24" i="19"/>
  <c r="L51" i="19" s="1"/>
  <c r="K24" i="19"/>
  <c r="K51" i="19" s="1"/>
  <c r="J24" i="19"/>
  <c r="J51" i="19" s="1"/>
  <c r="I24" i="19"/>
  <c r="I51" i="19" s="1"/>
  <c r="H24" i="19"/>
  <c r="H51" i="19" s="1"/>
  <c r="G24" i="19"/>
  <c r="G51" i="19" s="1"/>
  <c r="F24" i="19"/>
  <c r="F51" i="19" s="1"/>
  <c r="E24" i="19"/>
  <c r="E51" i="19" s="1"/>
  <c r="D24" i="19"/>
  <c r="D51" i="19" s="1"/>
  <c r="C24" i="19"/>
  <c r="C51" i="19" s="1"/>
  <c r="O23" i="19"/>
  <c r="O26" i="19" s="1"/>
  <c r="N23" i="19"/>
  <c r="N26" i="19" s="1"/>
  <c r="M23" i="19"/>
  <c r="M26" i="19" s="1"/>
  <c r="L23" i="19"/>
  <c r="L26" i="19" s="1"/>
  <c r="K23" i="19"/>
  <c r="K26" i="19" s="1"/>
  <c r="J23" i="19"/>
  <c r="J26" i="19" s="1"/>
  <c r="I23" i="19"/>
  <c r="I26" i="19" s="1"/>
  <c r="H23" i="19"/>
  <c r="H26" i="19" s="1"/>
  <c r="G23" i="19"/>
  <c r="G26" i="19" s="1"/>
  <c r="F23" i="19"/>
  <c r="E23" i="19"/>
  <c r="D23" i="19"/>
  <c r="D49" i="19" s="1"/>
  <c r="C23" i="19"/>
  <c r="C26" i="19" s="1"/>
  <c r="Q22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O35" i="3"/>
  <c r="N35" i="3"/>
  <c r="M35" i="3"/>
  <c r="L35" i="3"/>
  <c r="K35" i="3"/>
  <c r="J35" i="3"/>
  <c r="I35" i="3"/>
  <c r="H35" i="3"/>
  <c r="G35" i="3"/>
  <c r="F35" i="3"/>
  <c r="E35" i="3"/>
  <c r="D35" i="3"/>
  <c r="P35" i="3" s="1"/>
  <c r="C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O5" i="3"/>
  <c r="N5" i="3"/>
  <c r="M5" i="3"/>
  <c r="L5" i="3"/>
  <c r="K5" i="3"/>
  <c r="J5" i="3"/>
  <c r="I5" i="3"/>
  <c r="H5" i="3"/>
  <c r="G5" i="3"/>
  <c r="F5" i="3"/>
  <c r="E5" i="3"/>
  <c r="D5" i="3"/>
  <c r="C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O4" i="3"/>
  <c r="N4" i="3"/>
  <c r="M4" i="3"/>
  <c r="L4" i="3"/>
  <c r="K4" i="3"/>
  <c r="J4" i="3"/>
  <c r="I4" i="3"/>
  <c r="H4" i="3"/>
  <c r="G4" i="3"/>
  <c r="F4" i="3"/>
  <c r="E4" i="3"/>
  <c r="D4" i="3"/>
  <c r="C4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Q22" i="3"/>
  <c r="P22" i="3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89" i="1"/>
  <c r="P89" i="1"/>
  <c r="Q87" i="1"/>
  <c r="P87" i="1"/>
  <c r="Q84" i="1"/>
  <c r="P84" i="1"/>
  <c r="Q83" i="1"/>
  <c r="P83" i="1"/>
  <c r="Q82" i="1"/>
  <c r="P82" i="1"/>
  <c r="Q79" i="1"/>
  <c r="P79" i="1"/>
  <c r="Q78" i="1"/>
  <c r="P78" i="1"/>
  <c r="Q77" i="1"/>
  <c r="P77" i="1"/>
  <c r="Q74" i="1"/>
  <c r="P74" i="1"/>
  <c r="Q73" i="1"/>
  <c r="P73" i="1"/>
  <c r="Q72" i="1"/>
  <c r="P72" i="1"/>
  <c r="Q71" i="1"/>
  <c r="P71" i="1"/>
  <c r="Q68" i="1"/>
  <c r="P68" i="1"/>
  <c r="Q67" i="1"/>
  <c r="P67" i="1"/>
  <c r="Q66" i="1"/>
  <c r="P66" i="1"/>
  <c r="Q63" i="1"/>
  <c r="P63" i="1"/>
  <c r="Q60" i="1"/>
  <c r="P60" i="1"/>
  <c r="Q57" i="1"/>
  <c r="P57" i="1"/>
  <c r="Q56" i="1"/>
  <c r="P56" i="1"/>
  <c r="Q55" i="1"/>
  <c r="P55" i="1"/>
  <c r="Q54" i="1"/>
  <c r="P54" i="1"/>
  <c r="Q53" i="1"/>
  <c r="P53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7" i="1"/>
  <c r="P37" i="1"/>
  <c r="Q36" i="1"/>
  <c r="P36" i="1"/>
  <c r="Q35" i="1"/>
  <c r="P35" i="1"/>
  <c r="Q34" i="1"/>
  <c r="P34" i="1"/>
  <c r="Q27" i="1"/>
  <c r="R27" i="1" s="1"/>
  <c r="P27" i="1"/>
  <c r="Q31" i="1"/>
  <c r="P31" i="1"/>
  <c r="R31" i="1" s="1"/>
  <c r="Q30" i="1"/>
  <c r="P30" i="1"/>
  <c r="R30" i="1" s="1"/>
  <c r="Q29" i="1"/>
  <c r="P29" i="1"/>
  <c r="R29" i="1" s="1"/>
  <c r="Q28" i="1"/>
  <c r="R28" i="1" s="1"/>
  <c r="P28" i="1"/>
  <c r="R21" i="1"/>
  <c r="R13" i="1"/>
  <c r="Q23" i="1"/>
  <c r="P23" i="1"/>
  <c r="R23" i="1" s="1"/>
  <c r="Q22" i="1"/>
  <c r="P22" i="1"/>
  <c r="R22" i="1" s="1"/>
  <c r="Q21" i="1"/>
  <c r="P21" i="1"/>
  <c r="Q20" i="1"/>
  <c r="P20" i="1"/>
  <c r="R20" i="1" s="1"/>
  <c r="Q19" i="1"/>
  <c r="R19" i="1" s="1"/>
  <c r="P19" i="1"/>
  <c r="Q18" i="1"/>
  <c r="P18" i="1"/>
  <c r="R18" i="1" s="1"/>
  <c r="Q17" i="1"/>
  <c r="P17" i="1"/>
  <c r="R17" i="1" s="1"/>
  <c r="Q16" i="1"/>
  <c r="P16" i="1"/>
  <c r="R16" i="1" s="1"/>
  <c r="Q15" i="1"/>
  <c r="P15" i="1"/>
  <c r="R15" i="1" s="1"/>
  <c r="Q14" i="1"/>
  <c r="P14" i="1"/>
  <c r="R14" i="1" s="1"/>
  <c r="Q13" i="1"/>
  <c r="P13" i="1"/>
  <c r="Q12" i="1"/>
  <c r="P12" i="1"/>
  <c r="R12" i="1" s="1"/>
  <c r="R11" i="1"/>
  <c r="Q11" i="1"/>
  <c r="P11" i="1"/>
  <c r="J90" i="19" l="1"/>
  <c r="Q88" i="19"/>
  <c r="P88" i="19"/>
  <c r="Q89" i="19"/>
  <c r="Q87" i="19"/>
  <c r="E86" i="19"/>
  <c r="P87" i="19"/>
  <c r="P32" i="3"/>
  <c r="M102" i="19"/>
  <c r="N102" i="19"/>
  <c r="O102" i="19"/>
  <c r="M90" i="19"/>
  <c r="M94" i="19" s="1"/>
  <c r="N90" i="19"/>
  <c r="N94" i="19" s="1"/>
  <c r="N98" i="19"/>
  <c r="O90" i="19"/>
  <c r="O94" i="19" s="1"/>
  <c r="O98" i="19"/>
  <c r="H86" i="19"/>
  <c r="K91" i="19"/>
  <c r="K86" i="19"/>
  <c r="O91" i="19"/>
  <c r="O86" i="19"/>
  <c r="N93" i="19"/>
  <c r="N86" i="19"/>
  <c r="F93" i="19"/>
  <c r="F86" i="19"/>
  <c r="I93" i="19"/>
  <c r="I86" i="19"/>
  <c r="J98" i="19"/>
  <c r="AM41" i="52" s="1"/>
  <c r="J86" i="19"/>
  <c r="L86" i="19"/>
  <c r="M93" i="19"/>
  <c r="M91" i="19"/>
  <c r="M86" i="19"/>
  <c r="G98" i="19"/>
  <c r="G86" i="19"/>
  <c r="G49" i="19"/>
  <c r="F26" i="19"/>
  <c r="F49" i="19"/>
  <c r="P37" i="3"/>
  <c r="P36" i="3"/>
  <c r="Q37" i="3"/>
  <c r="R37" i="3" s="1"/>
  <c r="P33" i="3"/>
  <c r="Q32" i="3"/>
  <c r="H49" i="19"/>
  <c r="I49" i="19"/>
  <c r="J49" i="19"/>
  <c r="K49" i="19"/>
  <c r="L49" i="19"/>
  <c r="O49" i="19"/>
  <c r="M49" i="19"/>
  <c r="N49" i="19"/>
  <c r="D26" i="19"/>
  <c r="E26" i="19"/>
  <c r="Q24" i="3"/>
  <c r="P24" i="3"/>
  <c r="Q38" i="3"/>
  <c r="P38" i="3"/>
  <c r="Q36" i="3"/>
  <c r="Q35" i="3"/>
  <c r="R35" i="3" s="1"/>
  <c r="P34" i="3"/>
  <c r="Q34" i="3"/>
  <c r="Q33" i="3"/>
  <c r="R32" i="3"/>
  <c r="P31" i="3"/>
  <c r="Q31" i="3"/>
  <c r="P30" i="3"/>
  <c r="Q30" i="3"/>
  <c r="Q28" i="3"/>
  <c r="P29" i="3"/>
  <c r="Q27" i="3"/>
  <c r="P27" i="3"/>
  <c r="R27" i="3" s="1"/>
  <c r="Q26" i="3"/>
  <c r="P26" i="3"/>
  <c r="E91" i="19"/>
  <c r="E92" i="19" s="1"/>
  <c r="D91" i="19"/>
  <c r="F94" i="19"/>
  <c r="H102" i="19"/>
  <c r="H120" i="19" s="1"/>
  <c r="D94" i="19"/>
  <c r="E94" i="19"/>
  <c r="Q5" i="3"/>
  <c r="Q23" i="3"/>
  <c r="P28" i="3"/>
  <c r="Q29" i="3"/>
  <c r="C27" i="19"/>
  <c r="P5" i="3"/>
  <c r="P23" i="3"/>
  <c r="Q4" i="3"/>
  <c r="P4" i="3"/>
  <c r="Q54" i="19"/>
  <c r="I102" i="19"/>
  <c r="K102" i="19"/>
  <c r="D102" i="19"/>
  <c r="F102" i="19"/>
  <c r="G102" i="19"/>
  <c r="G110" i="19"/>
  <c r="G112" i="19" s="1"/>
  <c r="G115" i="19" s="1"/>
  <c r="E30" i="19"/>
  <c r="E102" i="19" s="1"/>
  <c r="E120" i="19" s="1"/>
  <c r="L102" i="19"/>
  <c r="H110" i="19"/>
  <c r="H112" i="19" s="1"/>
  <c r="H115" i="19" s="1"/>
  <c r="I110" i="19"/>
  <c r="I112" i="19" s="1"/>
  <c r="I115" i="19" s="1"/>
  <c r="D110" i="19"/>
  <c r="D112" i="19" s="1"/>
  <c r="D115" i="19" s="1"/>
  <c r="E110" i="19"/>
  <c r="E112" i="19" s="1"/>
  <c r="E115" i="19" s="1"/>
  <c r="J102" i="19"/>
  <c r="F110" i="19"/>
  <c r="F112" i="19" s="1"/>
  <c r="F115" i="19" s="1"/>
  <c r="L93" i="19"/>
  <c r="O93" i="19"/>
  <c r="K93" i="19"/>
  <c r="D71" i="19"/>
  <c r="Q51" i="19"/>
  <c r="P51" i="19"/>
  <c r="Q56" i="19"/>
  <c r="Q64" i="19"/>
  <c r="E71" i="19"/>
  <c r="M71" i="19"/>
  <c r="F71" i="19"/>
  <c r="N71" i="19"/>
  <c r="Q52" i="19"/>
  <c r="Q66" i="19"/>
  <c r="H71" i="19"/>
  <c r="I71" i="19"/>
  <c r="P52" i="19"/>
  <c r="Q53" i="19"/>
  <c r="P56" i="19"/>
  <c r="Q55" i="19"/>
  <c r="G71" i="19"/>
  <c r="P59" i="19"/>
  <c r="O71" i="19"/>
  <c r="K71" i="19"/>
  <c r="P61" i="19"/>
  <c r="P64" i="19"/>
  <c r="J71" i="19"/>
  <c r="L71" i="19"/>
  <c r="P55" i="19"/>
  <c r="P53" i="19"/>
  <c r="Q59" i="19"/>
  <c r="Q26" i="19"/>
  <c r="P47" i="19"/>
  <c r="Q47" i="19"/>
  <c r="Q45" i="19"/>
  <c r="P45" i="19"/>
  <c r="Q32" i="19"/>
  <c r="Q43" i="19"/>
  <c r="P43" i="19"/>
  <c r="Q33" i="19"/>
  <c r="Q34" i="19"/>
  <c r="P34" i="19"/>
  <c r="P75" i="19"/>
  <c r="P32" i="19"/>
  <c r="P28" i="19"/>
  <c r="Q30" i="19"/>
  <c r="Q28" i="19"/>
  <c r="P37" i="19"/>
  <c r="P44" i="19"/>
  <c r="Q41" i="19"/>
  <c r="P4" i="19"/>
  <c r="Q4" i="19"/>
  <c r="P27" i="19"/>
  <c r="Q38" i="19"/>
  <c r="P35" i="19"/>
  <c r="Q23" i="19"/>
  <c r="Q24" i="19"/>
  <c r="P38" i="19"/>
  <c r="Q37" i="19"/>
  <c r="Q44" i="19"/>
  <c r="Q40" i="19"/>
  <c r="P24" i="19"/>
  <c r="P40" i="19"/>
  <c r="Q29" i="19"/>
  <c r="P33" i="19"/>
  <c r="Q42" i="19"/>
  <c r="P41" i="19"/>
  <c r="R41" i="19" s="1"/>
  <c r="P23" i="19"/>
  <c r="P29" i="19"/>
  <c r="R29" i="19" s="1"/>
  <c r="Q39" i="19"/>
  <c r="P42" i="19"/>
  <c r="P5" i="19"/>
  <c r="Q31" i="19"/>
  <c r="P39" i="19"/>
  <c r="Q46" i="19"/>
  <c r="Q5" i="19"/>
  <c r="Q27" i="19"/>
  <c r="P31" i="19"/>
  <c r="Q35" i="19"/>
  <c r="P46" i="19"/>
  <c r="H94" i="19" l="1"/>
  <c r="P94" i="19" s="1"/>
  <c r="P90" i="19"/>
  <c r="J94" i="19"/>
  <c r="Q90" i="19"/>
  <c r="H98" i="19"/>
  <c r="P89" i="19"/>
  <c r="D92" i="19"/>
  <c r="J73" i="19"/>
  <c r="R37" i="19"/>
  <c r="Q94" i="19"/>
  <c r="H93" i="19"/>
  <c r="M98" i="19"/>
  <c r="AM45" i="54"/>
  <c r="AM42" i="52"/>
  <c r="AN42" i="52" s="1"/>
  <c r="AM44" i="53"/>
  <c r="AN41" i="52"/>
  <c r="AM43" i="52"/>
  <c r="K98" i="19"/>
  <c r="AM41" i="53" s="1"/>
  <c r="J93" i="19"/>
  <c r="Q93" i="19" s="1"/>
  <c r="P26" i="19"/>
  <c r="N91" i="19"/>
  <c r="J91" i="19"/>
  <c r="L91" i="19"/>
  <c r="E49" i="19"/>
  <c r="C49" i="19" s="1"/>
  <c r="R38" i="19"/>
  <c r="R36" i="3"/>
  <c r="R46" i="19"/>
  <c r="R42" i="19"/>
  <c r="R33" i="3"/>
  <c r="R33" i="19"/>
  <c r="R28" i="3"/>
  <c r="R31" i="19"/>
  <c r="E93" i="19"/>
  <c r="E95" i="19" s="1"/>
  <c r="R38" i="3"/>
  <c r="R34" i="3"/>
  <c r="R31" i="3"/>
  <c r="R30" i="3"/>
  <c r="R29" i="3"/>
  <c r="R26" i="3"/>
  <c r="I91" i="19"/>
  <c r="I92" i="19" s="1"/>
  <c r="G91" i="19"/>
  <c r="G92" i="19" s="1"/>
  <c r="H91" i="19"/>
  <c r="H92" i="19" s="1"/>
  <c r="F91" i="19"/>
  <c r="D98" i="19"/>
  <c r="D118" i="19" s="1"/>
  <c r="P30" i="19"/>
  <c r="G93" i="19"/>
  <c r="D93" i="19"/>
  <c r="D95" i="19" s="1"/>
  <c r="G120" i="19"/>
  <c r="E32" i="24"/>
  <c r="E99" i="24" s="1"/>
  <c r="F120" i="19"/>
  <c r="E32" i="23"/>
  <c r="E99" i="23" s="1"/>
  <c r="D120" i="19"/>
  <c r="B8" i="21"/>
  <c r="I120" i="19"/>
  <c r="E32" i="26"/>
  <c r="F98" i="19"/>
  <c r="I98" i="19"/>
  <c r="AM41" i="24"/>
  <c r="AM42" i="24" s="1"/>
  <c r="G118" i="19"/>
  <c r="E76" i="19"/>
  <c r="P76" i="19" s="1"/>
  <c r="E98" i="19"/>
  <c r="L98" i="19"/>
  <c r="AM41" i="54" s="1"/>
  <c r="Q71" i="19"/>
  <c r="P71" i="19"/>
  <c r="F95" i="19"/>
  <c r="L73" i="19"/>
  <c r="I73" i="19"/>
  <c r="O73" i="19"/>
  <c r="O99" i="19" s="1"/>
  <c r="O100" i="19" s="1"/>
  <c r="O103" i="19" s="1"/>
  <c r="O104" i="19" s="1"/>
  <c r="F73" i="19"/>
  <c r="K73" i="19"/>
  <c r="H73" i="19"/>
  <c r="M73" i="19"/>
  <c r="M99" i="19" s="1"/>
  <c r="G73" i="19"/>
  <c r="N73" i="19"/>
  <c r="N99" i="19" s="1"/>
  <c r="N100" i="19" s="1"/>
  <c r="N103" i="19" s="1"/>
  <c r="N104" i="19" s="1"/>
  <c r="D73" i="19"/>
  <c r="C71" i="19"/>
  <c r="Q49" i="19"/>
  <c r="R27" i="19"/>
  <c r="Q40" i="52" l="1"/>
  <c r="E40" i="52"/>
  <c r="C40" i="52"/>
  <c r="P91" i="19"/>
  <c r="M100" i="19"/>
  <c r="M103" i="19" s="1"/>
  <c r="M104" i="19" s="1"/>
  <c r="Q91" i="19"/>
  <c r="AM43" i="54"/>
  <c r="AN43" i="54" s="1"/>
  <c r="AN41" i="54"/>
  <c r="AM42" i="54"/>
  <c r="AN42" i="54" s="1"/>
  <c r="AM42" i="53"/>
  <c r="AN42" i="53" s="1"/>
  <c r="AM44" i="54"/>
  <c r="AN44" i="54" s="1"/>
  <c r="AM43" i="53"/>
  <c r="AN43" i="53" s="1"/>
  <c r="AN41" i="53"/>
  <c r="AN44" i="53"/>
  <c r="M40" i="52"/>
  <c r="W40" i="52"/>
  <c r="T40" i="52"/>
  <c r="S40" i="52"/>
  <c r="R40" i="52"/>
  <c r="AG40" i="52"/>
  <c r="AF40" i="52"/>
  <c r="P40" i="52"/>
  <c r="AE40" i="52"/>
  <c r="L40" i="52"/>
  <c r="AD40" i="52"/>
  <c r="J40" i="52"/>
  <c r="AA40" i="52"/>
  <c r="Z40" i="52"/>
  <c r="I40" i="52"/>
  <c r="Y40" i="52"/>
  <c r="X40" i="52"/>
  <c r="D40" i="52"/>
  <c r="F40" i="52"/>
  <c r="K40" i="52"/>
  <c r="AN43" i="52"/>
  <c r="AN45" i="54"/>
  <c r="P49" i="19"/>
  <c r="P73" i="19" s="1"/>
  <c r="AP41" i="21"/>
  <c r="AP42" i="21" s="1"/>
  <c r="AQ42" i="21" s="1"/>
  <c r="F92" i="19"/>
  <c r="E32" i="21"/>
  <c r="AH8" i="21"/>
  <c r="F9" i="49" s="1"/>
  <c r="H9" i="49" s="1"/>
  <c r="P93" i="19"/>
  <c r="AH8" i="26"/>
  <c r="F118" i="19"/>
  <c r="AN41" i="23"/>
  <c r="AN43" i="23" s="1"/>
  <c r="AO43" i="23" s="1"/>
  <c r="AH8" i="25"/>
  <c r="AH8" i="23"/>
  <c r="H118" i="19"/>
  <c r="AM41" i="25"/>
  <c r="AH8" i="24"/>
  <c r="AN42" i="24"/>
  <c r="AM44" i="25"/>
  <c r="AN44" i="25" s="1"/>
  <c r="AN41" i="24"/>
  <c r="I118" i="19"/>
  <c r="AN41" i="22"/>
  <c r="E118" i="19"/>
  <c r="E73" i="19"/>
  <c r="E78" i="19" s="1"/>
  <c r="C73" i="19"/>
  <c r="AM43" i="24"/>
  <c r="AN43" i="24" s="1"/>
  <c r="F78" i="19"/>
  <c r="F99" i="19"/>
  <c r="F100" i="19" s="1"/>
  <c r="J78" i="19"/>
  <c r="J99" i="19"/>
  <c r="J100" i="19" s="1"/>
  <c r="J103" i="19" s="1"/>
  <c r="N78" i="19"/>
  <c r="M78" i="19"/>
  <c r="L78" i="19"/>
  <c r="L99" i="19"/>
  <c r="L100" i="19" s="1"/>
  <c r="L103" i="19" s="1"/>
  <c r="K78" i="19"/>
  <c r="K99" i="19"/>
  <c r="K100" i="19" s="1"/>
  <c r="K103" i="19" s="1"/>
  <c r="O78" i="19"/>
  <c r="G78" i="19"/>
  <c r="G99" i="19"/>
  <c r="G100" i="19" s="1"/>
  <c r="G103" i="19" s="1"/>
  <c r="I78" i="19"/>
  <c r="I99" i="19"/>
  <c r="I100" i="19" s="1"/>
  <c r="I103" i="19" s="1"/>
  <c r="AL10" i="26" s="1"/>
  <c r="H78" i="19"/>
  <c r="H99" i="19"/>
  <c r="H100" i="19" s="1"/>
  <c r="H103" i="19" s="1"/>
  <c r="AL10" i="25" s="1"/>
  <c r="D78" i="19"/>
  <c r="D99" i="19"/>
  <c r="D100" i="19" s="1"/>
  <c r="D103" i="19" s="1"/>
  <c r="G95" i="19"/>
  <c r="Q73" i="19"/>
  <c r="AM45" i="53" l="1"/>
  <c r="AN45" i="53" s="1"/>
  <c r="AC41" i="53" s="1"/>
  <c r="AM44" i="52"/>
  <c r="AN41" i="25"/>
  <c r="AM45" i="52"/>
  <c r="AN45" i="52" s="1"/>
  <c r="F40" i="24"/>
  <c r="E40" i="24"/>
  <c r="AN44" i="22"/>
  <c r="AO44" i="22" s="1"/>
  <c r="AA40" i="24"/>
  <c r="AF40" i="24"/>
  <c r="AE40" i="24"/>
  <c r="AD40" i="24"/>
  <c r="X40" i="24"/>
  <c r="N9" i="49"/>
  <c r="P9" i="49" s="1"/>
  <c r="E8" i="51"/>
  <c r="Z9" i="49"/>
  <c r="AB9" i="49" s="1"/>
  <c r="H8" i="51"/>
  <c r="V8" i="51" s="1"/>
  <c r="AM46" i="54"/>
  <c r="U40" i="54"/>
  <c r="O40" i="54"/>
  <c r="N40" i="54"/>
  <c r="H40" i="54"/>
  <c r="V40" i="54"/>
  <c r="K40" i="54"/>
  <c r="Y40" i="54"/>
  <c r="G40" i="54"/>
  <c r="T40" i="54"/>
  <c r="S40" i="54"/>
  <c r="R40" i="54"/>
  <c r="F40" i="54"/>
  <c r="AC40" i="54"/>
  <c r="E40" i="54"/>
  <c r="M40" i="54"/>
  <c r="AF40" i="54"/>
  <c r="AB40" i="54"/>
  <c r="D40" i="54"/>
  <c r="L40" i="54"/>
  <c r="Z40" i="54"/>
  <c r="AA40" i="54"/>
  <c r="L104" i="19"/>
  <c r="AL10" i="54"/>
  <c r="AM10" i="54" s="1"/>
  <c r="K104" i="19"/>
  <c r="AL10" i="53"/>
  <c r="AM10" i="53" s="1"/>
  <c r="AA40" i="53"/>
  <c r="J40" i="53"/>
  <c r="AB40" i="53"/>
  <c r="AC40" i="53"/>
  <c r="N40" i="53"/>
  <c r="AE40" i="53"/>
  <c r="X40" i="53"/>
  <c r="W40" i="53"/>
  <c r="C40" i="53"/>
  <c r="I40" i="53"/>
  <c r="T40" i="53"/>
  <c r="H40" i="53"/>
  <c r="P40" i="53"/>
  <c r="U40" i="53"/>
  <c r="M40" i="53"/>
  <c r="V40" i="53"/>
  <c r="O40" i="53"/>
  <c r="AD40" i="53"/>
  <c r="F40" i="53"/>
  <c r="Q40" i="53"/>
  <c r="G40" i="53"/>
  <c r="AB41" i="54"/>
  <c r="S41" i="54"/>
  <c r="L41" i="54"/>
  <c r="R41" i="54"/>
  <c r="AA41" i="54"/>
  <c r="AF41" i="54"/>
  <c r="K41" i="54"/>
  <c r="Z41" i="54"/>
  <c r="AC41" i="54"/>
  <c r="M41" i="54"/>
  <c r="Y41" i="54"/>
  <c r="E41" i="54"/>
  <c r="G41" i="54"/>
  <c r="D41" i="54"/>
  <c r="N41" i="54"/>
  <c r="O41" i="54"/>
  <c r="H41" i="54"/>
  <c r="F41" i="54"/>
  <c r="V41" i="54"/>
  <c r="U41" i="54"/>
  <c r="T41" i="54"/>
  <c r="AA41" i="53"/>
  <c r="I41" i="53"/>
  <c r="W41" i="53"/>
  <c r="P41" i="53"/>
  <c r="U41" i="53"/>
  <c r="AD41" i="53"/>
  <c r="M41" i="53"/>
  <c r="O41" i="53"/>
  <c r="X41" i="53"/>
  <c r="F41" i="53"/>
  <c r="N41" i="53"/>
  <c r="H41" i="53"/>
  <c r="G41" i="53"/>
  <c r="J104" i="19"/>
  <c r="AL10" i="52"/>
  <c r="AM10" i="52" s="1"/>
  <c r="K10" i="52" s="1"/>
  <c r="K32" i="52" s="1"/>
  <c r="AH40" i="52"/>
  <c r="I40" i="27" s="1"/>
  <c r="AC40" i="27" s="1"/>
  <c r="B40" i="52"/>
  <c r="V9" i="49"/>
  <c r="X9" i="49" s="1"/>
  <c r="G8" i="51"/>
  <c r="U8" i="51" s="1"/>
  <c r="I40" i="24"/>
  <c r="C40" i="24"/>
  <c r="R9" i="49"/>
  <c r="T9" i="49" s="1"/>
  <c r="F8" i="51"/>
  <c r="T8" i="51" s="1"/>
  <c r="AP43" i="21"/>
  <c r="AQ43" i="21" s="1"/>
  <c r="AQ41" i="21"/>
  <c r="AN45" i="23"/>
  <c r="AO45" i="23" s="1"/>
  <c r="L40" i="24"/>
  <c r="E8" i="27"/>
  <c r="AK8" i="23"/>
  <c r="H8" i="27"/>
  <c r="AK8" i="26"/>
  <c r="F8" i="27"/>
  <c r="AK8" i="24"/>
  <c r="G8" i="27"/>
  <c r="AK8" i="25"/>
  <c r="C8" i="27"/>
  <c r="AM8" i="21"/>
  <c r="AO41" i="23"/>
  <c r="AM44" i="24"/>
  <c r="AN44" i="24" s="1"/>
  <c r="AM45" i="25"/>
  <c r="AN45" i="25" s="1"/>
  <c r="AN42" i="23"/>
  <c r="AO42" i="23" s="1"/>
  <c r="E99" i="19"/>
  <c r="E100" i="19" s="1"/>
  <c r="E103" i="19" s="1"/>
  <c r="R40" i="24"/>
  <c r="D40" i="24"/>
  <c r="E42" i="21"/>
  <c r="E44" i="21" s="1"/>
  <c r="AM43" i="25"/>
  <c r="AN43" i="25" s="1"/>
  <c r="AM42" i="25"/>
  <c r="AN42" i="25" s="1"/>
  <c r="J40" i="24"/>
  <c r="Q40" i="24"/>
  <c r="M40" i="24"/>
  <c r="AM48" i="24"/>
  <c r="K40" i="24"/>
  <c r="W40" i="24"/>
  <c r="P40" i="24"/>
  <c r="S40" i="24"/>
  <c r="T40" i="24"/>
  <c r="AN44" i="23"/>
  <c r="AO44" i="23" s="1"/>
  <c r="AN42" i="22"/>
  <c r="AM45" i="24"/>
  <c r="AN43" i="22"/>
  <c r="AO41" i="22"/>
  <c r="AL10" i="24"/>
  <c r="AE32" i="24" s="1"/>
  <c r="AE99" i="24" s="1"/>
  <c r="G119" i="19"/>
  <c r="G121" i="19" s="1"/>
  <c r="G116" i="19"/>
  <c r="D119" i="19"/>
  <c r="D121" i="19" s="1"/>
  <c r="D116" i="19"/>
  <c r="AM10" i="25"/>
  <c r="H119" i="19"/>
  <c r="H121" i="19" s="1"/>
  <c r="H116" i="19"/>
  <c r="I119" i="19"/>
  <c r="I121" i="19" s="1"/>
  <c r="I116" i="19"/>
  <c r="H104" i="19"/>
  <c r="D104" i="19"/>
  <c r="G104" i="19"/>
  <c r="AM10" i="26"/>
  <c r="I104" i="19"/>
  <c r="F103" i="19"/>
  <c r="P78" i="19"/>
  <c r="P96" i="19" s="1"/>
  <c r="Q78" i="19"/>
  <c r="Q96" i="19" s="1"/>
  <c r="D79" i="19"/>
  <c r="E79" i="19" s="1"/>
  <c r="H95" i="19"/>
  <c r="P42" i="53" l="1"/>
  <c r="P44" i="53" s="1"/>
  <c r="AM46" i="53"/>
  <c r="J41" i="53"/>
  <c r="J42" i="53" s="1"/>
  <c r="J44" i="53" s="1"/>
  <c r="Q41" i="53"/>
  <c r="Q42" i="53" s="1"/>
  <c r="Q44" i="53" s="1"/>
  <c r="T41" i="53"/>
  <c r="T42" i="53" s="1"/>
  <c r="T44" i="53" s="1"/>
  <c r="AE41" i="53"/>
  <c r="AE42" i="53" s="1"/>
  <c r="AE44" i="53" s="1"/>
  <c r="AB41" i="53"/>
  <c r="AB42" i="53" s="1"/>
  <c r="C41" i="53"/>
  <c r="C42" i="53" s="1"/>
  <c r="U10" i="26"/>
  <c r="AB10" i="26"/>
  <c r="D10" i="26"/>
  <c r="D32" i="26" s="1"/>
  <c r="AF42" i="54"/>
  <c r="AF44" i="54" s="1"/>
  <c r="H42" i="53"/>
  <c r="H44" i="53" s="1"/>
  <c r="AE32" i="25"/>
  <c r="AE99" i="25" s="1"/>
  <c r="R10" i="25"/>
  <c r="R32" i="25" s="1"/>
  <c r="R99" i="25" s="1"/>
  <c r="U42" i="53"/>
  <c r="V41" i="53"/>
  <c r="V42" i="53" s="1"/>
  <c r="V44" i="53" s="1"/>
  <c r="V42" i="54"/>
  <c r="V44" i="54" s="1"/>
  <c r="O42" i="54"/>
  <c r="O44" i="54" s="1"/>
  <c r="E42" i="54"/>
  <c r="E44" i="54" s="1"/>
  <c r="G40" i="25"/>
  <c r="AC42" i="54"/>
  <c r="AC44" i="54" s="1"/>
  <c r="AN44" i="52"/>
  <c r="AM46" i="52"/>
  <c r="U42" i="54"/>
  <c r="N42" i="53"/>
  <c r="S8" i="51"/>
  <c r="M8" i="51"/>
  <c r="N8" i="51" s="1"/>
  <c r="T42" i="54"/>
  <c r="T44" i="54" s="1"/>
  <c r="Z42" i="54"/>
  <c r="Z44" i="54" s="1"/>
  <c r="N42" i="54"/>
  <c r="K42" i="54"/>
  <c r="K44" i="54" s="1"/>
  <c r="H42" i="54"/>
  <c r="H44" i="54" s="1"/>
  <c r="AD42" i="53"/>
  <c r="AD44" i="53" s="1"/>
  <c r="F42" i="54"/>
  <c r="F44" i="54" s="1"/>
  <c r="R42" i="54"/>
  <c r="R44" i="54" s="1"/>
  <c r="S42" i="54"/>
  <c r="S44" i="54" s="1"/>
  <c r="AA10" i="54"/>
  <c r="AA32" i="54" s="1"/>
  <c r="N10" i="54"/>
  <c r="N32" i="54" s="1"/>
  <c r="U10" i="54"/>
  <c r="U32" i="54" s="1"/>
  <c r="G10" i="54"/>
  <c r="AA42" i="54"/>
  <c r="L42" i="54"/>
  <c r="L44" i="54" s="1"/>
  <c r="B40" i="54"/>
  <c r="AH40" i="54"/>
  <c r="K40" i="27" s="1"/>
  <c r="G42" i="54"/>
  <c r="AB42" i="54"/>
  <c r="AB44" i="54" s="1"/>
  <c r="Y42" i="54"/>
  <c r="Y44" i="54" s="1"/>
  <c r="M42" i="54"/>
  <c r="M44" i="54" s="1"/>
  <c r="F42" i="53"/>
  <c r="F44" i="53" s="1"/>
  <c r="X42" i="53"/>
  <c r="X44" i="53" s="1"/>
  <c r="AA42" i="53"/>
  <c r="AA44" i="53" s="1"/>
  <c r="AH40" i="53"/>
  <c r="J40" i="27" s="1"/>
  <c r="AD40" i="27" s="1"/>
  <c r="B40" i="53"/>
  <c r="G42" i="53"/>
  <c r="W42" i="53"/>
  <c r="W44" i="53" s="1"/>
  <c r="AC42" i="53"/>
  <c r="AC44" i="53" s="1"/>
  <c r="U10" i="53"/>
  <c r="U32" i="53" s="1"/>
  <c r="AB10" i="53"/>
  <c r="AB32" i="53" s="1"/>
  <c r="N10" i="53"/>
  <c r="N32" i="53" s="1"/>
  <c r="G10" i="53"/>
  <c r="I42" i="53"/>
  <c r="I44" i="53" s="1"/>
  <c r="O42" i="53"/>
  <c r="O44" i="53" s="1"/>
  <c r="M42" i="53"/>
  <c r="M44" i="53" s="1"/>
  <c r="Z10" i="52"/>
  <c r="Z32" i="52" s="1"/>
  <c r="M32" i="52"/>
  <c r="T10" i="52"/>
  <c r="T32" i="52" s="1"/>
  <c r="D42" i="54"/>
  <c r="AH41" i="54"/>
  <c r="K41" i="27" s="1"/>
  <c r="B41" i="54"/>
  <c r="F32" i="25"/>
  <c r="F44" i="25" s="1"/>
  <c r="G10" i="25"/>
  <c r="G32" i="25" s="1"/>
  <c r="G99" i="25" s="1"/>
  <c r="G102" i="25" s="1"/>
  <c r="H102" i="25" s="1"/>
  <c r="I102" i="25" s="1"/>
  <c r="J102" i="25" s="1"/>
  <c r="K102" i="25" s="1"/>
  <c r="L102" i="25" s="1"/>
  <c r="M102" i="25" s="1"/>
  <c r="N102" i="25" s="1"/>
  <c r="O102" i="25" s="1"/>
  <c r="P102" i="25" s="1"/>
  <c r="Q102" i="25" s="1"/>
  <c r="N32" i="25"/>
  <c r="W8" i="51"/>
  <c r="M32" i="24"/>
  <c r="M99" i="24" s="1"/>
  <c r="AA10" i="24"/>
  <c r="AA32" i="24" s="1"/>
  <c r="AA99" i="24" s="1"/>
  <c r="AA102" i="24" s="1"/>
  <c r="AB102" i="24" s="1"/>
  <c r="AC102" i="24" s="1"/>
  <c r="AD102" i="24" s="1"/>
  <c r="AE102" i="24" s="1"/>
  <c r="AF102" i="24" s="1"/>
  <c r="AP47" i="21"/>
  <c r="V41" i="23"/>
  <c r="AB41" i="23"/>
  <c r="T41" i="23"/>
  <c r="N8" i="27"/>
  <c r="W8" i="27"/>
  <c r="AG40" i="23"/>
  <c r="V40" i="23"/>
  <c r="E41" i="23"/>
  <c r="K32" i="25"/>
  <c r="AM10" i="24"/>
  <c r="S32" i="24"/>
  <c r="S99" i="24" s="1"/>
  <c r="AD40" i="23"/>
  <c r="R8" i="27"/>
  <c r="AA8" i="27"/>
  <c r="AB32" i="26"/>
  <c r="Q8" i="27"/>
  <c r="Z8" i="27"/>
  <c r="S8" i="27"/>
  <c r="AB8" i="27"/>
  <c r="P8" i="27"/>
  <c r="Y8" i="27"/>
  <c r="AE44" i="21"/>
  <c r="W41" i="25"/>
  <c r="AH41" i="21"/>
  <c r="O42" i="21"/>
  <c r="O44" i="21" s="1"/>
  <c r="AH40" i="21"/>
  <c r="S42" i="21"/>
  <c r="S44" i="21" s="1"/>
  <c r="P42" i="21"/>
  <c r="P44" i="21" s="1"/>
  <c r="AF44" i="21"/>
  <c r="E119" i="19"/>
  <c r="AH29" i="22" s="1"/>
  <c r="J30" i="49" s="1"/>
  <c r="L30" i="49" s="1"/>
  <c r="AG44" i="21"/>
  <c r="E104" i="19"/>
  <c r="AC42" i="21"/>
  <c r="AC44" i="21" s="1"/>
  <c r="E116" i="19"/>
  <c r="AN47" i="23"/>
  <c r="AM10" i="22"/>
  <c r="AN10" i="22" s="1"/>
  <c r="R42" i="21"/>
  <c r="R44" i="21" s="1"/>
  <c r="C42" i="21"/>
  <c r="C44" i="21" s="1"/>
  <c r="C50" i="21" s="1"/>
  <c r="D4" i="21" s="1"/>
  <c r="D6" i="21" s="1"/>
  <c r="L40" i="23"/>
  <c r="P40" i="23"/>
  <c r="Y42" i="21"/>
  <c r="Y44" i="21" s="1"/>
  <c r="AC40" i="23"/>
  <c r="J42" i="21"/>
  <c r="J44" i="21" s="1"/>
  <c r="N41" i="25"/>
  <c r="AH29" i="25"/>
  <c r="Q32" i="25"/>
  <c r="O32" i="26"/>
  <c r="T40" i="23"/>
  <c r="S40" i="23"/>
  <c r="B29" i="21"/>
  <c r="B32" i="21" s="1"/>
  <c r="AH29" i="21"/>
  <c r="L32" i="21"/>
  <c r="X41" i="25"/>
  <c r="H42" i="21"/>
  <c r="H44" i="21" s="1"/>
  <c r="E40" i="23"/>
  <c r="D42" i="21"/>
  <c r="D44" i="21" s="1"/>
  <c r="AH29" i="24"/>
  <c r="Q32" i="24"/>
  <c r="Q99" i="24" s="1"/>
  <c r="N40" i="23"/>
  <c r="U40" i="23"/>
  <c r="Q42" i="21"/>
  <c r="Q44" i="21" s="1"/>
  <c r="M40" i="23"/>
  <c r="Z42" i="21"/>
  <c r="Z44" i="21" s="1"/>
  <c r="Z53" i="21" s="1"/>
  <c r="B41" i="21"/>
  <c r="O40" i="23"/>
  <c r="AH40" i="24"/>
  <c r="AD44" i="21"/>
  <c r="K42" i="21"/>
  <c r="K44" i="21" s="1"/>
  <c r="I40" i="23"/>
  <c r="Z40" i="23"/>
  <c r="F40" i="23"/>
  <c r="I42" i="21"/>
  <c r="I44" i="21" s="1"/>
  <c r="AA40" i="23"/>
  <c r="W40" i="23"/>
  <c r="W42" i="21"/>
  <c r="W44" i="21" s="1"/>
  <c r="O41" i="25"/>
  <c r="H41" i="25"/>
  <c r="AE41" i="25"/>
  <c r="Q41" i="25"/>
  <c r="K41" i="25"/>
  <c r="V41" i="25"/>
  <c r="AM46" i="25"/>
  <c r="P41" i="25"/>
  <c r="X42" i="21"/>
  <c r="X44" i="21" s="1"/>
  <c r="G41" i="25"/>
  <c r="L42" i="21"/>
  <c r="Y41" i="25"/>
  <c r="AB41" i="25"/>
  <c r="I41" i="25"/>
  <c r="V42" i="21"/>
  <c r="V44" i="21" s="1"/>
  <c r="U41" i="25"/>
  <c r="R41" i="25"/>
  <c r="AF41" i="25"/>
  <c r="D41" i="25"/>
  <c r="C41" i="25"/>
  <c r="J41" i="25"/>
  <c r="AD41" i="25"/>
  <c r="AC41" i="25"/>
  <c r="P40" i="25"/>
  <c r="AC40" i="25"/>
  <c r="D40" i="25"/>
  <c r="Y40" i="25"/>
  <c r="K40" i="25"/>
  <c r="C40" i="25"/>
  <c r="R40" i="25"/>
  <c r="AD40" i="25"/>
  <c r="I40" i="25"/>
  <c r="AB40" i="25"/>
  <c r="AF40" i="25"/>
  <c r="Q40" i="25"/>
  <c r="U40" i="25"/>
  <c r="W40" i="25"/>
  <c r="N40" i="25"/>
  <c r="J40" i="25"/>
  <c r="X40" i="25"/>
  <c r="B40" i="21"/>
  <c r="H40" i="23"/>
  <c r="AO42" i="22"/>
  <c r="AD40" i="22" s="1"/>
  <c r="AN48" i="22"/>
  <c r="G40" i="23"/>
  <c r="AO43" i="22"/>
  <c r="AD41" i="22" s="1"/>
  <c r="AN46" i="22"/>
  <c r="AN45" i="24"/>
  <c r="C41" i="24" s="1"/>
  <c r="AM46" i="24"/>
  <c r="I41" i="23"/>
  <c r="W41" i="23"/>
  <c r="P41" i="23"/>
  <c r="AG41" i="23"/>
  <c r="AD41" i="23"/>
  <c r="N41" i="23"/>
  <c r="O41" i="23"/>
  <c r="U41" i="23"/>
  <c r="AA41" i="23"/>
  <c r="H41" i="23"/>
  <c r="Z41" i="23"/>
  <c r="L41" i="23"/>
  <c r="G41" i="23"/>
  <c r="AC41" i="23"/>
  <c r="F41" i="23"/>
  <c r="S41" i="23"/>
  <c r="M41" i="23"/>
  <c r="H40" i="26"/>
  <c r="AC40" i="26"/>
  <c r="Z40" i="26"/>
  <c r="E40" i="26"/>
  <c r="K40" i="26"/>
  <c r="F40" i="26"/>
  <c r="Y40" i="26"/>
  <c r="G40" i="26"/>
  <c r="T40" i="26"/>
  <c r="U40" i="26"/>
  <c r="L40" i="26"/>
  <c r="AA40" i="26"/>
  <c r="V40" i="26"/>
  <c r="O40" i="26"/>
  <c r="D40" i="26"/>
  <c r="M40" i="26"/>
  <c r="F119" i="19"/>
  <c r="F121" i="19" s="1"/>
  <c r="AM10" i="23"/>
  <c r="AN10" i="23" s="1"/>
  <c r="AD10" i="23" s="1"/>
  <c r="F116" i="19"/>
  <c r="Y10" i="25"/>
  <c r="Y32" i="25" s="1"/>
  <c r="Y99" i="25" s="1"/>
  <c r="F104" i="19"/>
  <c r="N32" i="26"/>
  <c r="U32" i="26"/>
  <c r="F32" i="24"/>
  <c r="F99" i="24" s="1"/>
  <c r="L32" i="24"/>
  <c r="L99" i="24" s="1"/>
  <c r="Z32" i="24"/>
  <c r="Z99" i="24" s="1"/>
  <c r="F79" i="19"/>
  <c r="AE8" i="27" l="1"/>
  <c r="U44" i="53"/>
  <c r="AH41" i="53"/>
  <c r="J41" i="27" s="1"/>
  <c r="AD41" i="27" s="1"/>
  <c r="AD42" i="27" s="1"/>
  <c r="R102" i="25"/>
  <c r="S102" i="25" s="1"/>
  <c r="T102" i="25" s="1"/>
  <c r="U102" i="25" s="1"/>
  <c r="V102" i="25" s="1"/>
  <c r="W102" i="25" s="1"/>
  <c r="X102" i="25" s="1"/>
  <c r="Y102" i="25" s="1"/>
  <c r="Z102" i="25" s="1"/>
  <c r="AA102" i="25" s="1"/>
  <c r="AB102" i="25" s="1"/>
  <c r="AC102" i="25" s="1"/>
  <c r="AD102" i="25" s="1"/>
  <c r="AE102" i="25" s="1"/>
  <c r="AF102" i="25" s="1"/>
  <c r="B41" i="53"/>
  <c r="B42" i="53" s="1"/>
  <c r="B44" i="53" s="1"/>
  <c r="AH99" i="25"/>
  <c r="N44" i="53"/>
  <c r="AE41" i="52"/>
  <c r="AE42" i="52" s="1"/>
  <c r="AE44" i="52" s="1"/>
  <c r="M41" i="52"/>
  <c r="M42" i="52" s="1"/>
  <c r="M44" i="52" s="1"/>
  <c r="X41" i="52"/>
  <c r="X42" i="52" s="1"/>
  <c r="X44" i="52" s="1"/>
  <c r="F41" i="52"/>
  <c r="F42" i="52" s="1"/>
  <c r="E41" i="52"/>
  <c r="E42" i="52" s="1"/>
  <c r="E44" i="52" s="1"/>
  <c r="D41" i="52"/>
  <c r="D42" i="52" s="1"/>
  <c r="D44" i="52" s="1"/>
  <c r="I41" i="52"/>
  <c r="I42" i="52" s="1"/>
  <c r="I44" i="52" s="1"/>
  <c r="Q41" i="52"/>
  <c r="Q42" i="52" s="1"/>
  <c r="Q44" i="52" s="1"/>
  <c r="AG41" i="52"/>
  <c r="AG42" i="52" s="1"/>
  <c r="AG44" i="52" s="1"/>
  <c r="L41" i="52"/>
  <c r="L42" i="52" s="1"/>
  <c r="L44" i="52" s="1"/>
  <c r="W41" i="52"/>
  <c r="W42" i="52" s="1"/>
  <c r="W44" i="52" s="1"/>
  <c r="T41" i="52"/>
  <c r="T42" i="52" s="1"/>
  <c r="T44" i="52" s="1"/>
  <c r="AA41" i="52"/>
  <c r="AA42" i="52" s="1"/>
  <c r="AA44" i="52" s="1"/>
  <c r="J41" i="52"/>
  <c r="J42" i="52" s="1"/>
  <c r="J44" i="52" s="1"/>
  <c r="Y41" i="52"/>
  <c r="Y42" i="52" s="1"/>
  <c r="Y44" i="52" s="1"/>
  <c r="AD41" i="52"/>
  <c r="AD42" i="52" s="1"/>
  <c r="AD44" i="52" s="1"/>
  <c r="K41" i="52"/>
  <c r="K42" i="52" s="1"/>
  <c r="K44" i="52" s="1"/>
  <c r="Z41" i="52"/>
  <c r="Z42" i="52" s="1"/>
  <c r="Z44" i="52" s="1"/>
  <c r="R41" i="52"/>
  <c r="R42" i="52" s="1"/>
  <c r="R44" i="52" s="1"/>
  <c r="C41" i="52"/>
  <c r="P41" i="52"/>
  <c r="P42" i="52" s="1"/>
  <c r="P44" i="52" s="1"/>
  <c r="AF41" i="52"/>
  <c r="AF42" i="52" s="1"/>
  <c r="AF44" i="52" s="1"/>
  <c r="S41" i="52"/>
  <c r="S42" i="52" s="1"/>
  <c r="S44" i="52" s="1"/>
  <c r="U44" i="54"/>
  <c r="AH99" i="24"/>
  <c r="N44" i="54"/>
  <c r="AA44" i="54"/>
  <c r="AB44" i="53"/>
  <c r="AH10" i="54"/>
  <c r="G32" i="54"/>
  <c r="G44" i="54" s="1"/>
  <c r="B42" i="54"/>
  <c r="B44" i="54" s="1"/>
  <c r="G32" i="53"/>
  <c r="G44" i="53" s="1"/>
  <c r="AH10" i="53"/>
  <c r="F32" i="52"/>
  <c r="AH10" i="52"/>
  <c r="D44" i="54"/>
  <c r="AH42" i="54"/>
  <c r="C44" i="53"/>
  <c r="AH42" i="53"/>
  <c r="G29" i="51"/>
  <c r="U29" i="51" s="1"/>
  <c r="V30" i="49"/>
  <c r="X30" i="49" s="1"/>
  <c r="F29" i="51"/>
  <c r="T29" i="51" s="1"/>
  <c r="R30" i="49"/>
  <c r="T30" i="49" s="1"/>
  <c r="R41" i="49"/>
  <c r="T41" i="49" s="1"/>
  <c r="F40" i="51"/>
  <c r="T40" i="51" s="1"/>
  <c r="AB32" i="23"/>
  <c r="AB99" i="23" s="1"/>
  <c r="AD32" i="23"/>
  <c r="AD99" i="23" s="1"/>
  <c r="O32" i="23"/>
  <c r="O99" i="23" s="1"/>
  <c r="I10" i="23"/>
  <c r="I32" i="23" s="1"/>
  <c r="I99" i="23" s="1"/>
  <c r="I102" i="23" s="1"/>
  <c r="J102" i="23" s="1"/>
  <c r="K102" i="23" s="1"/>
  <c r="L102" i="23" s="1"/>
  <c r="M102" i="23" s="1"/>
  <c r="N102" i="23" s="1"/>
  <c r="O102" i="23" s="1"/>
  <c r="P102" i="23" s="1"/>
  <c r="Q102" i="23" s="1"/>
  <c r="R102" i="23" s="1"/>
  <c r="S102" i="23" s="1"/>
  <c r="T102" i="23" s="1"/>
  <c r="U102" i="23" s="1"/>
  <c r="V102" i="23" s="1"/>
  <c r="W102" i="23" s="1"/>
  <c r="X102" i="23" s="1"/>
  <c r="Y102" i="23" s="1"/>
  <c r="Z102" i="23" s="1"/>
  <c r="AA102" i="23" s="1"/>
  <c r="AB102" i="23" s="1"/>
  <c r="AC102" i="23" s="1"/>
  <c r="AC40" i="22"/>
  <c r="AA40" i="22"/>
  <c r="AD42" i="23"/>
  <c r="AD100" i="23" s="1"/>
  <c r="AC32" i="23"/>
  <c r="AC99" i="23" s="1"/>
  <c r="V32" i="23"/>
  <c r="V99" i="23" s="1"/>
  <c r="T8" i="27"/>
  <c r="AM29" i="21"/>
  <c r="F30" i="49"/>
  <c r="H30" i="49" s="1"/>
  <c r="AM40" i="21"/>
  <c r="F41" i="49"/>
  <c r="H41" i="49" s="1"/>
  <c r="AM41" i="21"/>
  <c r="F42" i="49"/>
  <c r="H42" i="49" s="1"/>
  <c r="H29" i="27"/>
  <c r="AK29" i="26"/>
  <c r="G29" i="27"/>
  <c r="AK29" i="25"/>
  <c r="F29" i="27"/>
  <c r="AK29" i="24"/>
  <c r="N42" i="23"/>
  <c r="D29" i="27"/>
  <c r="AK29" i="22"/>
  <c r="C41" i="27"/>
  <c r="C40" i="27"/>
  <c r="W42" i="25"/>
  <c r="F40" i="27"/>
  <c r="AK40" i="24"/>
  <c r="W42" i="23"/>
  <c r="P32" i="22"/>
  <c r="E121" i="19"/>
  <c r="B42" i="21"/>
  <c r="S42" i="23"/>
  <c r="O32" i="22"/>
  <c r="X42" i="25"/>
  <c r="AC32" i="22"/>
  <c r="AC42" i="23"/>
  <c r="AC100" i="23" s="1"/>
  <c r="L42" i="23"/>
  <c r="P42" i="23"/>
  <c r="P100" i="23" s="1"/>
  <c r="T42" i="23"/>
  <c r="M42" i="23"/>
  <c r="O42" i="23"/>
  <c r="O100" i="23" s="1"/>
  <c r="D42" i="25"/>
  <c r="D100" i="25" s="1"/>
  <c r="U42" i="23"/>
  <c r="AF42" i="25"/>
  <c r="N42" i="25"/>
  <c r="D50" i="21"/>
  <c r="E4" i="21" s="1"/>
  <c r="E6" i="21" s="1"/>
  <c r="E50" i="21" s="1"/>
  <c r="F4" i="21" s="1"/>
  <c r="F6" i="21" s="1"/>
  <c r="F50" i="21" s="1"/>
  <c r="G4" i="21" s="1"/>
  <c r="G6" i="21" s="1"/>
  <c r="G50" i="21" s="1"/>
  <c r="H4" i="21" s="1"/>
  <c r="H6" i="21" s="1"/>
  <c r="H50" i="21" s="1"/>
  <c r="I4" i="21" s="1"/>
  <c r="I6" i="21" s="1"/>
  <c r="I50" i="21" s="1"/>
  <c r="J4" i="21" s="1"/>
  <c r="J6" i="21" s="1"/>
  <c r="J50" i="21" s="1"/>
  <c r="K4" i="21" s="1"/>
  <c r="K6" i="21" s="1"/>
  <c r="K50" i="21" s="1"/>
  <c r="L4" i="21" s="1"/>
  <c r="L6" i="21" s="1"/>
  <c r="V42" i="25"/>
  <c r="Q42" i="25"/>
  <c r="AG42" i="23"/>
  <c r="AB42" i="23"/>
  <c r="AB100" i="23" s="1"/>
  <c r="I42" i="25"/>
  <c r="C29" i="27"/>
  <c r="AH32" i="21"/>
  <c r="F33" i="49" s="1"/>
  <c r="H33" i="49" s="1"/>
  <c r="AA42" i="23"/>
  <c r="L44" i="21"/>
  <c r="AH29" i="23"/>
  <c r="P32" i="23"/>
  <c r="P99" i="23" s="1"/>
  <c r="G42" i="23"/>
  <c r="AD42" i="25"/>
  <c r="AH40" i="23"/>
  <c r="F42" i="23"/>
  <c r="Z42" i="23"/>
  <c r="C42" i="25"/>
  <c r="H42" i="23"/>
  <c r="I42" i="23"/>
  <c r="I100" i="23" s="1"/>
  <c r="J42" i="25"/>
  <c r="P42" i="25"/>
  <c r="R42" i="25"/>
  <c r="B41" i="25"/>
  <c r="H42" i="25"/>
  <c r="Y42" i="25"/>
  <c r="AH42" i="21"/>
  <c r="AH40" i="25"/>
  <c r="B40" i="25"/>
  <c r="K42" i="25"/>
  <c r="U42" i="25"/>
  <c r="AH41" i="25"/>
  <c r="AB42" i="25"/>
  <c r="AE42" i="25"/>
  <c r="AC42" i="25"/>
  <c r="O42" i="25"/>
  <c r="G42" i="25"/>
  <c r="AB40" i="22"/>
  <c r="V42" i="23"/>
  <c r="V100" i="23" s="1"/>
  <c r="E42" i="23"/>
  <c r="E100" i="23" s="1"/>
  <c r="E103" i="23" s="1"/>
  <c r="AH41" i="23"/>
  <c r="AH40" i="26"/>
  <c r="B40" i="26"/>
  <c r="K41" i="24"/>
  <c r="K42" i="24" s="1"/>
  <c r="AE41" i="24"/>
  <c r="AE42" i="24" s="1"/>
  <c r="W41" i="24"/>
  <c r="W42" i="24" s="1"/>
  <c r="AA41" i="24"/>
  <c r="AA42" i="24" s="1"/>
  <c r="AF41" i="24"/>
  <c r="AF42" i="24" s="1"/>
  <c r="Z41" i="24"/>
  <c r="Z42" i="24" s="1"/>
  <c r="T41" i="24"/>
  <c r="T42" i="24" s="1"/>
  <c r="E41" i="24"/>
  <c r="E42" i="24" s="1"/>
  <c r="F41" i="24"/>
  <c r="F42" i="24" s="1"/>
  <c r="X41" i="24"/>
  <c r="X42" i="24" s="1"/>
  <c r="J41" i="24"/>
  <c r="J42" i="24" s="1"/>
  <c r="S41" i="24"/>
  <c r="S42" i="24" s="1"/>
  <c r="Y41" i="24"/>
  <c r="Y42" i="24" s="1"/>
  <c r="Q41" i="24"/>
  <c r="Q42" i="24" s="1"/>
  <c r="I41" i="24"/>
  <c r="I42" i="24" s="1"/>
  <c r="R41" i="24"/>
  <c r="R42" i="24" s="1"/>
  <c r="D41" i="24"/>
  <c r="D42" i="24" s="1"/>
  <c r="P41" i="24"/>
  <c r="P42" i="24" s="1"/>
  <c r="L41" i="24"/>
  <c r="L42" i="24" s="1"/>
  <c r="AD41" i="24"/>
  <c r="AD42" i="24" s="1"/>
  <c r="M41" i="24"/>
  <c r="M42" i="24" s="1"/>
  <c r="L41" i="26"/>
  <c r="L42" i="26" s="1"/>
  <c r="L44" i="26" s="1"/>
  <c r="AA41" i="26"/>
  <c r="AA42" i="26" s="1"/>
  <c r="AA44" i="26" s="1"/>
  <c r="N41" i="26"/>
  <c r="N42" i="26" s="1"/>
  <c r="N44" i="26" s="1"/>
  <c r="U41" i="26"/>
  <c r="U42" i="26" s="1"/>
  <c r="U44" i="26" s="1"/>
  <c r="AB41" i="26"/>
  <c r="AB42" i="26" s="1"/>
  <c r="AB44" i="26" s="1"/>
  <c r="T41" i="26"/>
  <c r="T42" i="26" s="1"/>
  <c r="T44" i="26" s="1"/>
  <c r="AC41" i="26"/>
  <c r="AC42" i="26" s="1"/>
  <c r="AC44" i="26" s="1"/>
  <c r="S41" i="26"/>
  <c r="S42" i="26" s="1"/>
  <c r="S44" i="26" s="1"/>
  <c r="G41" i="26"/>
  <c r="G42" i="26" s="1"/>
  <c r="AF41" i="26"/>
  <c r="AF42" i="26" s="1"/>
  <c r="AF44" i="26" s="1"/>
  <c r="O41" i="26"/>
  <c r="O42" i="26" s="1"/>
  <c r="O44" i="26" s="1"/>
  <c r="M41" i="26"/>
  <c r="M42" i="26" s="1"/>
  <c r="M44" i="26" s="1"/>
  <c r="K41" i="26"/>
  <c r="K42" i="26" s="1"/>
  <c r="K44" i="26" s="1"/>
  <c r="F41" i="26"/>
  <c r="F42" i="26" s="1"/>
  <c r="F44" i="26" s="1"/>
  <c r="V41" i="26"/>
  <c r="V42" i="26" s="1"/>
  <c r="V44" i="26" s="1"/>
  <c r="Z41" i="26"/>
  <c r="Z42" i="26" s="1"/>
  <c r="Z44" i="26" s="1"/>
  <c r="D41" i="26"/>
  <c r="H41" i="26"/>
  <c r="H42" i="26" s="1"/>
  <c r="H44" i="26" s="1"/>
  <c r="E41" i="26"/>
  <c r="E42" i="26" s="1"/>
  <c r="E44" i="26" s="1"/>
  <c r="R41" i="26"/>
  <c r="R42" i="26" s="1"/>
  <c r="R44" i="26" s="1"/>
  <c r="Y41" i="26"/>
  <c r="Y42" i="26" s="1"/>
  <c r="Y44" i="26" s="1"/>
  <c r="AA41" i="22"/>
  <c r="AB41" i="22"/>
  <c r="AC41" i="22"/>
  <c r="AH10" i="25"/>
  <c r="D32" i="25"/>
  <c r="AH10" i="26"/>
  <c r="AH10" i="24"/>
  <c r="G32" i="26"/>
  <c r="I95" i="19"/>
  <c r="G79" i="19"/>
  <c r="AC42" i="22" l="1"/>
  <c r="U44" i="25"/>
  <c r="U100" i="25"/>
  <c r="C44" i="25"/>
  <c r="C100" i="25"/>
  <c r="V44" i="25"/>
  <c r="V100" i="25"/>
  <c r="G44" i="25"/>
  <c r="G100" i="25"/>
  <c r="H44" i="25"/>
  <c r="H100" i="25"/>
  <c r="X44" i="25"/>
  <c r="X100" i="25"/>
  <c r="W44" i="25"/>
  <c r="W100" i="25"/>
  <c r="Y44" i="25"/>
  <c r="Y100" i="25"/>
  <c r="O44" i="25"/>
  <c r="O100" i="25"/>
  <c r="N44" i="25"/>
  <c r="N100" i="25"/>
  <c r="AC44" i="25"/>
  <c r="AC100" i="25"/>
  <c r="R44" i="25"/>
  <c r="R100" i="25"/>
  <c r="AF44" i="25"/>
  <c r="AF100" i="25"/>
  <c r="I44" i="25"/>
  <c r="I100" i="25"/>
  <c r="Q44" i="25"/>
  <c r="Q100" i="25"/>
  <c r="AD44" i="25"/>
  <c r="AD100" i="25"/>
  <c r="K44" i="25"/>
  <c r="K100" i="25"/>
  <c r="AE44" i="25"/>
  <c r="AE100" i="25"/>
  <c r="P44" i="25"/>
  <c r="P100" i="25"/>
  <c r="AB44" i="25"/>
  <c r="AB100" i="25"/>
  <c r="J44" i="25"/>
  <c r="J100" i="25"/>
  <c r="AD102" i="23"/>
  <c r="AE102" i="23" s="1"/>
  <c r="AF102" i="23" s="1"/>
  <c r="AG102" i="23" s="1"/>
  <c r="C42" i="52"/>
  <c r="B41" i="52"/>
  <c r="B42" i="52" s="1"/>
  <c r="B44" i="52" s="1"/>
  <c r="AH41" i="52"/>
  <c r="I41" i="27" s="1"/>
  <c r="AC41" i="27" s="1"/>
  <c r="AC42" i="27" s="1"/>
  <c r="F44" i="52"/>
  <c r="R44" i="24"/>
  <c r="R100" i="24"/>
  <c r="I44" i="24"/>
  <c r="I100" i="24"/>
  <c r="W44" i="24"/>
  <c r="W100" i="24"/>
  <c r="Q44" i="24"/>
  <c r="Q100" i="24"/>
  <c r="Y44" i="24"/>
  <c r="Y100" i="24"/>
  <c r="K44" i="24"/>
  <c r="K100" i="24"/>
  <c r="S44" i="24"/>
  <c r="S100" i="24"/>
  <c r="J44" i="24"/>
  <c r="J100" i="24"/>
  <c r="X44" i="24"/>
  <c r="X100" i="24"/>
  <c r="M44" i="24"/>
  <c r="M100" i="24"/>
  <c r="F44" i="24"/>
  <c r="F100" i="24"/>
  <c r="AD44" i="24"/>
  <c r="AD100" i="24"/>
  <c r="E44" i="24"/>
  <c r="E100" i="24"/>
  <c r="L44" i="24"/>
  <c r="L100" i="24"/>
  <c r="T44" i="24"/>
  <c r="T100" i="24"/>
  <c r="P44" i="24"/>
  <c r="P100" i="24"/>
  <c r="Z44" i="24"/>
  <c r="Z100" i="24"/>
  <c r="D44" i="24"/>
  <c r="D100" i="24"/>
  <c r="AA44" i="24"/>
  <c r="AA100" i="24"/>
  <c r="AF44" i="24"/>
  <c r="AF100" i="24"/>
  <c r="AE44" i="24"/>
  <c r="AE100" i="24"/>
  <c r="E29" i="51"/>
  <c r="N30" i="49"/>
  <c r="P30" i="49" s="1"/>
  <c r="S44" i="23"/>
  <c r="S100" i="23"/>
  <c r="U44" i="23"/>
  <c r="U100" i="23"/>
  <c r="M44" i="23"/>
  <c r="M100" i="23"/>
  <c r="T44" i="23"/>
  <c r="T100" i="23"/>
  <c r="Z44" i="23"/>
  <c r="Z100" i="23"/>
  <c r="AG44" i="23"/>
  <c r="AG100" i="23"/>
  <c r="N44" i="23"/>
  <c r="N100" i="23"/>
  <c r="AA44" i="23"/>
  <c r="AA100" i="23"/>
  <c r="H44" i="23"/>
  <c r="H100" i="23"/>
  <c r="W44" i="23"/>
  <c r="W100" i="23"/>
  <c r="F44" i="23"/>
  <c r="F100" i="23"/>
  <c r="F103" i="23" s="1"/>
  <c r="L44" i="23"/>
  <c r="L100" i="23"/>
  <c r="AH99" i="23"/>
  <c r="G44" i="23"/>
  <c r="G100" i="23"/>
  <c r="K10" i="27"/>
  <c r="AH32" i="54"/>
  <c r="K32" i="27" s="1"/>
  <c r="J10" i="27"/>
  <c r="AD10" i="27" s="1"/>
  <c r="AD32" i="27" s="1"/>
  <c r="AH32" i="53"/>
  <c r="J32" i="27" s="1"/>
  <c r="J42" i="27"/>
  <c r="K42" i="27"/>
  <c r="AH32" i="52"/>
  <c r="I32" i="27" s="1"/>
  <c r="I10" i="27"/>
  <c r="AC10" i="27" s="1"/>
  <c r="AC32" i="27" s="1"/>
  <c r="N41" i="49"/>
  <c r="P41" i="49" s="1"/>
  <c r="E40" i="51"/>
  <c r="Z11" i="49"/>
  <c r="AB11" i="49" s="1"/>
  <c r="H10" i="51"/>
  <c r="V10" i="51" s="1"/>
  <c r="V32" i="51" s="1"/>
  <c r="N42" i="49"/>
  <c r="P42" i="49" s="1"/>
  <c r="E41" i="51"/>
  <c r="V41" i="49"/>
  <c r="X41" i="49" s="1"/>
  <c r="G40" i="51"/>
  <c r="U40" i="51" s="1"/>
  <c r="Z41" i="49"/>
  <c r="AB41" i="49" s="1"/>
  <c r="H40" i="51"/>
  <c r="V40" i="51" s="1"/>
  <c r="V11" i="49"/>
  <c r="X11" i="49" s="1"/>
  <c r="G10" i="51"/>
  <c r="U10" i="51" s="1"/>
  <c r="U32" i="51" s="1"/>
  <c r="AD44" i="23"/>
  <c r="R11" i="49"/>
  <c r="T11" i="49" s="1"/>
  <c r="F10" i="51"/>
  <c r="T10" i="51" s="1"/>
  <c r="V42" i="49"/>
  <c r="X42" i="49" s="1"/>
  <c r="G41" i="51"/>
  <c r="U41" i="51" s="1"/>
  <c r="AB44" i="23"/>
  <c r="Q29" i="27"/>
  <c r="Z29" i="27"/>
  <c r="R29" i="27"/>
  <c r="AA29" i="27"/>
  <c r="S29" i="27"/>
  <c r="AB29" i="27"/>
  <c r="AC44" i="23"/>
  <c r="V32" i="22"/>
  <c r="Z32" i="22"/>
  <c r="Q40" i="27"/>
  <c r="Z40" i="27"/>
  <c r="O29" i="27"/>
  <c r="X29" i="27"/>
  <c r="N41" i="27"/>
  <c r="W41" i="27"/>
  <c r="N29" i="27"/>
  <c r="W29" i="27"/>
  <c r="N40" i="27"/>
  <c r="W40" i="27"/>
  <c r="AM42" i="21"/>
  <c r="F43" i="49"/>
  <c r="H43" i="49" s="1"/>
  <c r="D44" i="25"/>
  <c r="E29" i="27"/>
  <c r="AK29" i="23"/>
  <c r="G41" i="27"/>
  <c r="AK41" i="25"/>
  <c r="G40" i="27"/>
  <c r="AK40" i="25"/>
  <c r="H40" i="27"/>
  <c r="AK40" i="26"/>
  <c r="E41" i="27"/>
  <c r="AK41" i="23"/>
  <c r="E40" i="27"/>
  <c r="AK40" i="23"/>
  <c r="AH32" i="24"/>
  <c r="F32" i="51" s="1"/>
  <c r="AK10" i="24"/>
  <c r="AH32" i="26"/>
  <c r="H32" i="51" s="1"/>
  <c r="AK10" i="26"/>
  <c r="AH32" i="25"/>
  <c r="G32" i="51" s="1"/>
  <c r="AK10" i="25"/>
  <c r="C32" i="27"/>
  <c r="N32" i="27" s="1"/>
  <c r="AM32" i="21"/>
  <c r="AC44" i="22"/>
  <c r="AH10" i="22"/>
  <c r="B10" i="22"/>
  <c r="B32" i="22" s="1"/>
  <c r="P44" i="23"/>
  <c r="U42" i="22"/>
  <c r="U44" i="22" s="1"/>
  <c r="O44" i="23"/>
  <c r="AH44" i="21"/>
  <c r="F45" i="49" s="1"/>
  <c r="H45" i="49" s="1"/>
  <c r="T42" i="22"/>
  <c r="T44" i="22" s="1"/>
  <c r="F44" i="22"/>
  <c r="L44" i="22"/>
  <c r="L50" i="21"/>
  <c r="Z42" i="22"/>
  <c r="I44" i="23"/>
  <c r="G44" i="22"/>
  <c r="N44" i="22"/>
  <c r="O42" i="22"/>
  <c r="O44" i="22" s="1"/>
  <c r="AA42" i="22"/>
  <c r="AA44" i="22" s="1"/>
  <c r="AD42" i="22"/>
  <c r="AD44" i="22" s="1"/>
  <c r="B42" i="25"/>
  <c r="B44" i="25" s="1"/>
  <c r="G10" i="27"/>
  <c r="V44" i="23"/>
  <c r="B40" i="22"/>
  <c r="W42" i="22"/>
  <c r="W44" i="22" s="1"/>
  <c r="H44" i="22"/>
  <c r="C42" i="27"/>
  <c r="N42" i="27" s="1"/>
  <c r="S42" i="22"/>
  <c r="S44" i="22" s="1"/>
  <c r="I44" i="22"/>
  <c r="P42" i="22"/>
  <c r="P44" i="22" s="1"/>
  <c r="V42" i="22"/>
  <c r="AH42" i="25"/>
  <c r="AH40" i="22"/>
  <c r="AB42" i="22"/>
  <c r="AB44" i="22" s="1"/>
  <c r="G44" i="26"/>
  <c r="M44" i="22"/>
  <c r="AH41" i="22"/>
  <c r="B41" i="22"/>
  <c r="D42" i="26"/>
  <c r="AH41" i="26"/>
  <c r="B41" i="26"/>
  <c r="B42" i="26" s="1"/>
  <c r="B44" i="26" s="1"/>
  <c r="C42" i="24"/>
  <c r="C100" i="24" s="1"/>
  <c r="C103" i="24" s="1"/>
  <c r="AH41" i="24"/>
  <c r="E44" i="23"/>
  <c r="AH42" i="23"/>
  <c r="H10" i="27"/>
  <c r="F10" i="27"/>
  <c r="AH32" i="23"/>
  <c r="AH10" i="23"/>
  <c r="J95" i="19"/>
  <c r="H79" i="19"/>
  <c r="AH100" i="25" l="1"/>
  <c r="AI100" i="25" s="1"/>
  <c r="C103" i="25"/>
  <c r="D103" i="25" s="1"/>
  <c r="E103" i="25" s="1"/>
  <c r="F103" i="25" s="1"/>
  <c r="G103" i="25" s="1"/>
  <c r="H103" i="25" s="1"/>
  <c r="I103" i="25" s="1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G103" i="23"/>
  <c r="H103" i="23" s="1"/>
  <c r="I103" i="23" s="1"/>
  <c r="J103" i="23" s="1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AG103" i="23" s="1"/>
  <c r="AJ103" i="23" s="1"/>
  <c r="AH100" i="23"/>
  <c r="AI100" i="23" s="1"/>
  <c r="AJ100" i="23" s="1"/>
  <c r="C44" i="52"/>
  <c r="AH42" i="52"/>
  <c r="AH100" i="24"/>
  <c r="AI100" i="24" s="1"/>
  <c r="D103" i="24"/>
  <c r="E103" i="24" s="1"/>
  <c r="F103" i="24" s="1"/>
  <c r="G103" i="24" s="1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S29" i="51"/>
  <c r="W29" i="51" s="1"/>
  <c r="M29" i="51"/>
  <c r="N29" i="51" s="1"/>
  <c r="AH44" i="54"/>
  <c r="K44" i="27" s="1"/>
  <c r="AH44" i="53"/>
  <c r="J44" i="27" s="1"/>
  <c r="AD44" i="27" s="1"/>
  <c r="N43" i="49"/>
  <c r="P43" i="49" s="1"/>
  <c r="E42" i="51"/>
  <c r="M42" i="51" s="1"/>
  <c r="U42" i="51"/>
  <c r="J41" i="49"/>
  <c r="L41" i="49" s="1"/>
  <c r="D40" i="51"/>
  <c r="M41" i="51"/>
  <c r="S41" i="51"/>
  <c r="S40" i="51"/>
  <c r="M40" i="51"/>
  <c r="J42" i="49"/>
  <c r="L42" i="49" s="1"/>
  <c r="D41" i="51"/>
  <c r="R42" i="49"/>
  <c r="T42" i="49" s="1"/>
  <c r="F41" i="51"/>
  <c r="T41" i="51" s="1"/>
  <c r="T42" i="51" s="1"/>
  <c r="N11" i="49"/>
  <c r="P11" i="49" s="1"/>
  <c r="E10" i="51"/>
  <c r="N33" i="49"/>
  <c r="P33" i="49" s="1"/>
  <c r="E32" i="51"/>
  <c r="M32" i="51" s="1"/>
  <c r="N32" i="51" s="1"/>
  <c r="T32" i="51"/>
  <c r="Z42" i="49"/>
  <c r="AB42" i="49" s="1"/>
  <c r="H41" i="51"/>
  <c r="V41" i="51" s="1"/>
  <c r="V43" i="49"/>
  <c r="X43" i="49" s="1"/>
  <c r="G42" i="51"/>
  <c r="P29" i="27"/>
  <c r="T29" i="27" s="1"/>
  <c r="Y29" i="27"/>
  <c r="AE29" i="27" s="1"/>
  <c r="Z44" i="22"/>
  <c r="V44" i="22"/>
  <c r="P40" i="27"/>
  <c r="Y40" i="27"/>
  <c r="P41" i="27"/>
  <c r="Y41" i="27"/>
  <c r="R41" i="27"/>
  <c r="AA41" i="27"/>
  <c r="S40" i="27"/>
  <c r="AB40" i="27"/>
  <c r="R40" i="27"/>
  <c r="AA40" i="27"/>
  <c r="AK32" i="25"/>
  <c r="V33" i="49"/>
  <c r="X33" i="49" s="1"/>
  <c r="R10" i="27"/>
  <c r="AA10" i="27"/>
  <c r="AA32" i="27" s="1"/>
  <c r="AK32" i="24"/>
  <c r="R33" i="49"/>
  <c r="T33" i="49" s="1"/>
  <c r="Q10" i="27"/>
  <c r="Z10" i="27"/>
  <c r="Z32" i="27" s="1"/>
  <c r="S10" i="27"/>
  <c r="AB10" i="27"/>
  <c r="W32" i="27"/>
  <c r="W42" i="27"/>
  <c r="AK32" i="26"/>
  <c r="Z33" i="49"/>
  <c r="AB33" i="49" s="1"/>
  <c r="AH32" i="22"/>
  <c r="J33" i="49" s="1"/>
  <c r="L33" i="49" s="1"/>
  <c r="J11" i="49"/>
  <c r="L11" i="49" s="1"/>
  <c r="M4" i="21"/>
  <c r="M6" i="21" s="1"/>
  <c r="M50" i="21" s="1"/>
  <c r="N4" i="21" s="1"/>
  <c r="N6" i="21" s="1"/>
  <c r="N50" i="21" s="1"/>
  <c r="L51" i="21"/>
  <c r="F32" i="27"/>
  <c r="Q32" i="27" s="1"/>
  <c r="H41" i="27"/>
  <c r="AK41" i="26"/>
  <c r="G42" i="27"/>
  <c r="R42" i="27" s="1"/>
  <c r="AK42" i="25"/>
  <c r="E42" i="27"/>
  <c r="P42" i="27" s="1"/>
  <c r="AK42" i="23"/>
  <c r="F41" i="27"/>
  <c r="AK41" i="24"/>
  <c r="D41" i="27"/>
  <c r="AK41" i="22"/>
  <c r="D40" i="27"/>
  <c r="AK40" i="22"/>
  <c r="AH50" i="21"/>
  <c r="F51" i="49" s="1"/>
  <c r="AM44" i="21"/>
  <c r="H32" i="27"/>
  <c r="S32" i="27" s="1"/>
  <c r="D10" i="27"/>
  <c r="AK10" i="22"/>
  <c r="E10" i="27"/>
  <c r="AK10" i="23"/>
  <c r="E32" i="27"/>
  <c r="P32" i="27" s="1"/>
  <c r="AK32" i="23"/>
  <c r="G32" i="27"/>
  <c r="R32" i="27" s="1"/>
  <c r="C44" i="27"/>
  <c r="AH44" i="25"/>
  <c r="AH44" i="23"/>
  <c r="B42" i="22"/>
  <c r="E44" i="22"/>
  <c r="AH42" i="22"/>
  <c r="C44" i="24"/>
  <c r="AH42" i="24"/>
  <c r="F42" i="51" s="1"/>
  <c r="D44" i="26"/>
  <c r="AH42" i="26"/>
  <c r="H42" i="51" s="1"/>
  <c r="K95" i="19"/>
  <c r="I79" i="19"/>
  <c r="L95" i="19"/>
  <c r="S42" i="51" l="1"/>
  <c r="AB32" i="27"/>
  <c r="AI103" i="25"/>
  <c r="AI103" i="24"/>
  <c r="AJ100" i="24"/>
  <c r="I42" i="27"/>
  <c r="AH44" i="52"/>
  <c r="I44" i="27" s="1"/>
  <c r="AC44" i="27" s="1"/>
  <c r="R41" i="51"/>
  <c r="W41" i="51" s="1"/>
  <c r="L41" i="51"/>
  <c r="N41" i="51" s="1"/>
  <c r="J43" i="49"/>
  <c r="L43" i="49" s="1"/>
  <c r="D42" i="51"/>
  <c r="L42" i="51" s="1"/>
  <c r="N42" i="51" s="1"/>
  <c r="R40" i="51"/>
  <c r="L40" i="51"/>
  <c r="N40" i="51" s="1"/>
  <c r="N45" i="49"/>
  <c r="P45" i="49" s="1"/>
  <c r="E44" i="51"/>
  <c r="M10" i="51"/>
  <c r="N10" i="51" s="1"/>
  <c r="S10" i="51"/>
  <c r="V42" i="51"/>
  <c r="V45" i="49"/>
  <c r="X45" i="49" s="1"/>
  <c r="G44" i="51"/>
  <c r="U44" i="51" s="1"/>
  <c r="Q41" i="27"/>
  <c r="Z41" i="27"/>
  <c r="Z42" i="27" s="1"/>
  <c r="AK42" i="24"/>
  <c r="R43" i="49"/>
  <c r="T43" i="49" s="1"/>
  <c r="AK42" i="26"/>
  <c r="Z43" i="49"/>
  <c r="AB43" i="49" s="1"/>
  <c r="AA42" i="27"/>
  <c r="Y42" i="27"/>
  <c r="S41" i="27"/>
  <c r="AB41" i="27"/>
  <c r="AB42" i="27" s="1"/>
  <c r="D32" i="27"/>
  <c r="O32" i="27" s="1"/>
  <c r="T32" i="27" s="1"/>
  <c r="P10" i="27"/>
  <c r="Y10" i="27"/>
  <c r="Y32" i="27" s="1"/>
  <c r="O10" i="27"/>
  <c r="X10" i="27"/>
  <c r="O40" i="27"/>
  <c r="T40" i="27" s="1"/>
  <c r="X40" i="27"/>
  <c r="AE40" i="27" s="1"/>
  <c r="O41" i="27"/>
  <c r="X41" i="27"/>
  <c r="AK32" i="22"/>
  <c r="N44" i="27"/>
  <c r="W44" i="27"/>
  <c r="O4" i="21"/>
  <c r="O6" i="21" s="1"/>
  <c r="O50" i="21" s="1"/>
  <c r="P4" i="21" s="1"/>
  <c r="P6" i="21" s="1"/>
  <c r="P50" i="21" s="1"/>
  <c r="Q4" i="21" s="1"/>
  <c r="Q6" i="21" s="1"/>
  <c r="Q50" i="21" s="1"/>
  <c r="R4" i="21" s="1"/>
  <c r="R6" i="21" s="1"/>
  <c r="R50" i="21" s="1"/>
  <c r="S4" i="21" s="1"/>
  <c r="S6" i="21" s="1"/>
  <c r="S50" i="21" s="1"/>
  <c r="T4" i="21" s="1"/>
  <c r="T6" i="21" s="1"/>
  <c r="T50" i="21" s="1"/>
  <c r="U4" i="21" s="1"/>
  <c r="U6" i="21" s="1"/>
  <c r="U50" i="21" s="1"/>
  <c r="V4" i="21" s="1"/>
  <c r="V6" i="21" s="1"/>
  <c r="V50" i="21" s="1"/>
  <c r="W4" i="21" s="1"/>
  <c r="W6" i="21" s="1"/>
  <c r="W50" i="21" s="1"/>
  <c r="X4" i="21" s="1"/>
  <c r="X6" i="21" s="1"/>
  <c r="X50" i="21" s="1"/>
  <c r="Y4" i="21" s="1"/>
  <c r="Y6" i="21" s="1"/>
  <c r="Y50" i="21" s="1"/>
  <c r="Z4" i="21" s="1"/>
  <c r="Z6" i="21" s="1"/>
  <c r="Z50" i="21" s="1"/>
  <c r="AA4" i="21" s="1"/>
  <c r="AA6" i="21" s="1"/>
  <c r="AA50" i="21" s="1"/>
  <c r="AB4" i="21" s="1"/>
  <c r="AB6" i="21" s="1"/>
  <c r="AB50" i="21" s="1"/>
  <c r="AC4" i="21" s="1"/>
  <c r="AC6" i="21" s="1"/>
  <c r="AC50" i="21" s="1"/>
  <c r="H51" i="49"/>
  <c r="F53" i="49"/>
  <c r="D83" i="28"/>
  <c r="AM50" i="21"/>
  <c r="C50" i="27"/>
  <c r="W50" i="27" s="1"/>
  <c r="D42" i="27"/>
  <c r="O42" i="27" s="1"/>
  <c r="AK42" i="22"/>
  <c r="D105" i="19"/>
  <c r="G44" i="27"/>
  <c r="AK44" i="25"/>
  <c r="E44" i="27"/>
  <c r="AK44" i="23"/>
  <c r="AH44" i="22"/>
  <c r="H42" i="27"/>
  <c r="S42" i="27" s="1"/>
  <c r="AH44" i="26"/>
  <c r="F42" i="27"/>
  <c r="Q42" i="27" s="1"/>
  <c r="AH44" i="24"/>
  <c r="J79" i="19"/>
  <c r="K79" i="19" s="1"/>
  <c r="L79" i="19" s="1"/>
  <c r="M79" i="19" s="1"/>
  <c r="N79" i="19" s="1"/>
  <c r="O79" i="19" s="1"/>
  <c r="M95" i="19"/>
  <c r="AE41" i="27" l="1"/>
  <c r="AE42" i="27" s="1"/>
  <c r="AE10" i="27"/>
  <c r="R42" i="51"/>
  <c r="W40" i="51"/>
  <c r="W42" i="51" s="1"/>
  <c r="J45" i="49"/>
  <c r="L45" i="49" s="1"/>
  <c r="D44" i="51"/>
  <c r="S32" i="51"/>
  <c r="W32" i="51" s="1"/>
  <c r="W10" i="51"/>
  <c r="M44" i="51"/>
  <c r="S44" i="51"/>
  <c r="R45" i="49"/>
  <c r="T45" i="49" s="1"/>
  <c r="F44" i="51"/>
  <c r="T44" i="51" s="1"/>
  <c r="Z45" i="49"/>
  <c r="AB45" i="49" s="1"/>
  <c r="H44" i="51"/>
  <c r="V44" i="51" s="1"/>
  <c r="T41" i="27"/>
  <c r="T10" i="27"/>
  <c r="R44" i="27"/>
  <c r="AA44" i="27"/>
  <c r="X42" i="27"/>
  <c r="X32" i="27"/>
  <c r="AE32" i="27" s="1"/>
  <c r="P44" i="27"/>
  <c r="Y44" i="27"/>
  <c r="AD4" i="21"/>
  <c r="AD6" i="21" s="1"/>
  <c r="AD50" i="21" s="1"/>
  <c r="AE4" i="21" s="1"/>
  <c r="AE6" i="21" s="1"/>
  <c r="AE50" i="21" s="1"/>
  <c r="AF4" i="21" s="1"/>
  <c r="AF6" i="21" s="1"/>
  <c r="AF50" i="21" s="1"/>
  <c r="AG4" i="21" s="1"/>
  <c r="AG6" i="21" s="1"/>
  <c r="AG50" i="21" s="1"/>
  <c r="B4" i="22" s="1"/>
  <c r="D4" i="27" s="1"/>
  <c r="N50" i="27"/>
  <c r="C52" i="27"/>
  <c r="T42" i="27"/>
  <c r="D44" i="27"/>
  <c r="AK44" i="22"/>
  <c r="F44" i="27"/>
  <c r="AK44" i="24"/>
  <c r="H44" i="27"/>
  <c r="AK44" i="26"/>
  <c r="N95" i="19"/>
  <c r="L44" i="51" l="1"/>
  <c r="N44" i="51" s="1"/>
  <c r="R44" i="51"/>
  <c r="W44" i="51" s="1"/>
  <c r="O4" i="27"/>
  <c r="X4" i="27"/>
  <c r="S44" i="27"/>
  <c r="AB44" i="27"/>
  <c r="Q44" i="27"/>
  <c r="Z44" i="27"/>
  <c r="O44" i="27"/>
  <c r="X44" i="27"/>
  <c r="C4" i="22"/>
  <c r="C6" i="22" s="1"/>
  <c r="C50" i="22" s="1"/>
  <c r="D4" i="22" s="1"/>
  <c r="D6" i="22" s="1"/>
  <c r="D50" i="22" s="1"/>
  <c r="B6" i="22"/>
  <c r="B50" i="22" s="1"/>
  <c r="AH4" i="22"/>
  <c r="AH6" i="22" s="1"/>
  <c r="D6" i="27" s="1"/>
  <c r="O6" i="27" s="1"/>
  <c r="J5" i="49"/>
  <c r="L5" i="49" s="1"/>
  <c r="O95" i="19"/>
  <c r="AE44" i="27" l="1"/>
  <c r="T44" i="27"/>
  <c r="E4" i="22"/>
  <c r="E6" i="22" s="1"/>
  <c r="E50" i="22" s="1"/>
  <c r="F4" i="22" s="1"/>
  <c r="F6" i="22" s="1"/>
  <c r="F50" i="22" s="1"/>
  <c r="G4" i="22" s="1"/>
  <c r="G6" i="22" s="1"/>
  <c r="G50" i="22" s="1"/>
  <c r="H4" i="22" s="1"/>
  <c r="H6" i="22" s="1"/>
  <c r="H50" i="22" s="1"/>
  <c r="J7" i="49"/>
  <c r="L7" i="49" s="1"/>
  <c r="AH50" i="22"/>
  <c r="D50" i="51" s="1"/>
  <c r="R50" i="51" l="1"/>
  <c r="L50" i="51"/>
  <c r="D52" i="51"/>
  <c r="D50" i="27"/>
  <c r="X50" i="27" s="1"/>
  <c r="E96" i="19"/>
  <c r="E105" i="19"/>
  <c r="I4" i="22"/>
  <c r="I6" i="22" s="1"/>
  <c r="I50" i="22" s="1"/>
  <c r="J4" i="22" s="1"/>
  <c r="J6" i="22" s="1"/>
  <c r="J50" i="22" s="1"/>
  <c r="E83" i="28"/>
  <c r="AK50" i="22"/>
  <c r="J51" i="49"/>
  <c r="L51" i="49" s="1"/>
  <c r="O50" i="27" l="1"/>
  <c r="D52" i="27"/>
  <c r="J53" i="49"/>
  <c r="K4" i="22"/>
  <c r="K6" i="22" s="1"/>
  <c r="K50" i="22" s="1"/>
  <c r="L4" i="22" l="1"/>
  <c r="L6" i="22" s="1"/>
  <c r="L50" i="22" s="1"/>
  <c r="M4" i="22" l="1"/>
  <c r="M6" i="22" s="1"/>
  <c r="M50" i="22" s="1"/>
  <c r="N4" i="22" l="1"/>
  <c r="N6" i="22" s="1"/>
  <c r="N50" i="22" s="1"/>
  <c r="O4" i="22" l="1"/>
  <c r="O6" i="22" s="1"/>
  <c r="O50" i="22" s="1"/>
  <c r="P4" i="22" l="1"/>
  <c r="P6" i="22" s="1"/>
  <c r="P50" i="22" s="1"/>
  <c r="Q4" i="22" l="1"/>
  <c r="Q6" i="22" s="1"/>
  <c r="Q50" i="22" s="1"/>
  <c r="R4" i="22" l="1"/>
  <c r="R6" i="22" s="1"/>
  <c r="R50" i="22" s="1"/>
  <c r="S4" i="22" l="1"/>
  <c r="S6" i="22" s="1"/>
  <c r="S50" i="22" s="1"/>
  <c r="T4" i="22" l="1"/>
  <c r="T6" i="22" s="1"/>
  <c r="T50" i="22" s="1"/>
  <c r="U4" i="22" l="1"/>
  <c r="U6" i="22" s="1"/>
  <c r="U50" i="22" s="1"/>
  <c r="V4" i="22" l="1"/>
  <c r="V6" i="22" s="1"/>
  <c r="V50" i="22" s="1"/>
  <c r="W4" i="22" l="1"/>
  <c r="W6" i="22" s="1"/>
  <c r="W50" i="22" s="1"/>
  <c r="X4" i="22" l="1"/>
  <c r="X6" i="22" s="1"/>
  <c r="X50" i="22" s="1"/>
  <c r="Y4" i="22" l="1"/>
  <c r="Y6" i="22" s="1"/>
  <c r="Y50" i="22" s="1"/>
  <c r="Z4" i="22" l="1"/>
  <c r="Z6" i="22" s="1"/>
  <c r="Z50" i="22" s="1"/>
  <c r="AA4" i="22" l="1"/>
  <c r="AA6" i="22" s="1"/>
  <c r="AA50" i="22" s="1"/>
  <c r="AB4" i="22" l="1"/>
  <c r="AB6" i="22" s="1"/>
  <c r="AB50" i="22" s="1"/>
  <c r="AC4" i="22" l="1"/>
  <c r="AC6" i="22" s="1"/>
  <c r="AC50" i="22" s="1"/>
  <c r="AD4" i="22" l="1"/>
  <c r="AD6" i="22" s="1"/>
  <c r="AD50" i="22" s="1"/>
  <c r="AE4" i="22" l="1"/>
  <c r="AE6" i="22" s="1"/>
  <c r="AE50" i="22" s="1"/>
  <c r="AF4" i="22" l="1"/>
  <c r="AF6" i="22" s="1"/>
  <c r="AF50" i="22" s="1"/>
  <c r="B4" i="23"/>
  <c r="C4" i="23" l="1"/>
  <c r="C6" i="23" s="1"/>
  <c r="C50" i="23" s="1"/>
  <c r="B6" i="23"/>
  <c r="AH4" i="23"/>
  <c r="AH6" i="23" s="1"/>
  <c r="AG4" i="22"/>
  <c r="AG6" i="22" s="1"/>
  <c r="AG50" i="22" s="1"/>
  <c r="N7" i="49" l="1"/>
  <c r="P7" i="49" s="1"/>
  <c r="E6" i="51"/>
  <c r="M6" i="51" s="1"/>
  <c r="N5" i="49"/>
  <c r="P5" i="49" s="1"/>
  <c r="E4" i="51"/>
  <c r="E6" i="27"/>
  <c r="P6" i="27" s="1"/>
  <c r="AH50" i="23"/>
  <c r="B50" i="23"/>
  <c r="B52" i="23" s="1"/>
  <c r="E4" i="27"/>
  <c r="D4" i="23"/>
  <c r="D6" i="23" s="1"/>
  <c r="D50" i="23" s="1"/>
  <c r="C51" i="23"/>
  <c r="AK50" i="23" l="1"/>
  <c r="F96" i="19"/>
  <c r="M4" i="51"/>
  <c r="S4" i="51"/>
  <c r="P4" i="27"/>
  <c r="Y4" i="27"/>
  <c r="AH51" i="23"/>
  <c r="F83" i="28"/>
  <c r="F105" i="19"/>
  <c r="E4" i="23"/>
  <c r="E6" i="23" s="1"/>
  <c r="E50" i="23" s="1"/>
  <c r="D51" i="23"/>
  <c r="F4" i="23" l="1"/>
  <c r="F6" i="23" s="1"/>
  <c r="F50" i="23" s="1"/>
  <c r="E51" i="23"/>
  <c r="G4" i="23" l="1"/>
  <c r="G6" i="23" s="1"/>
  <c r="G50" i="23" s="1"/>
  <c r="F51" i="23"/>
  <c r="H4" i="23" l="1"/>
  <c r="H6" i="23" s="1"/>
  <c r="H50" i="23" s="1"/>
  <c r="G51" i="23"/>
  <c r="I4" i="23" l="1"/>
  <c r="I6" i="23" s="1"/>
  <c r="I50" i="23" s="1"/>
  <c r="H51" i="23"/>
  <c r="J4" i="23" l="1"/>
  <c r="J6" i="23" s="1"/>
  <c r="J50" i="23" s="1"/>
  <c r="I51" i="23"/>
  <c r="K4" i="23" l="1"/>
  <c r="K6" i="23" s="1"/>
  <c r="K50" i="23" s="1"/>
  <c r="J51" i="23"/>
  <c r="L4" i="23" l="1"/>
  <c r="L6" i="23" s="1"/>
  <c r="L50" i="23" s="1"/>
  <c r="K51" i="23"/>
  <c r="M4" i="23" l="1"/>
  <c r="M6" i="23" s="1"/>
  <c r="M50" i="23" s="1"/>
  <c r="L51" i="23"/>
  <c r="N4" i="23" l="1"/>
  <c r="N6" i="23" s="1"/>
  <c r="N50" i="23" s="1"/>
  <c r="M51" i="23"/>
  <c r="O4" i="23" l="1"/>
  <c r="O6" i="23" s="1"/>
  <c r="O50" i="23" s="1"/>
  <c r="N51" i="23"/>
  <c r="N77" i="23" s="1"/>
  <c r="P4" i="23" l="1"/>
  <c r="P6" i="23" s="1"/>
  <c r="P50" i="23" s="1"/>
  <c r="O51" i="23"/>
  <c r="Q4" i="23" l="1"/>
  <c r="Q6" i="23" s="1"/>
  <c r="Q50" i="23" s="1"/>
  <c r="P51" i="23"/>
  <c r="Q51" i="23" l="1"/>
  <c r="R4" i="23"/>
  <c r="R6" i="23" s="1"/>
  <c r="R50" i="23" s="1"/>
  <c r="S4" i="23" l="1"/>
  <c r="S6" i="23" s="1"/>
  <c r="S50" i="23" s="1"/>
  <c r="R51" i="23"/>
  <c r="T4" i="23" l="1"/>
  <c r="T6" i="23" s="1"/>
  <c r="T50" i="23" s="1"/>
  <c r="S51" i="23"/>
  <c r="U4" i="23" l="1"/>
  <c r="U6" i="23" s="1"/>
  <c r="U50" i="23" s="1"/>
  <c r="T51" i="23"/>
  <c r="V4" i="23" l="1"/>
  <c r="V6" i="23" s="1"/>
  <c r="V50" i="23" s="1"/>
  <c r="U51" i="23"/>
  <c r="V51" i="23" l="1"/>
  <c r="W4" i="23"/>
  <c r="W6" i="23" s="1"/>
  <c r="W50" i="23" s="1"/>
  <c r="X4" i="23" l="1"/>
  <c r="X6" i="23" s="1"/>
  <c r="X50" i="23" s="1"/>
  <c r="W51" i="23"/>
  <c r="Y4" i="23" l="1"/>
  <c r="Y6" i="23" s="1"/>
  <c r="Y50" i="23" s="1"/>
  <c r="X51" i="23"/>
  <c r="Y51" i="23" l="1"/>
  <c r="Z4" i="23"/>
  <c r="Z6" i="23" s="1"/>
  <c r="Z50" i="23" s="1"/>
  <c r="AA4" i="23" l="1"/>
  <c r="AA6" i="23" s="1"/>
  <c r="AA50" i="23" s="1"/>
  <c r="Z51" i="23"/>
  <c r="AB4" i="23" l="1"/>
  <c r="AB6" i="23" s="1"/>
  <c r="AB50" i="23" s="1"/>
  <c r="AA51" i="23"/>
  <c r="AC4" i="23" l="1"/>
  <c r="AC6" i="23" s="1"/>
  <c r="AC50" i="23" s="1"/>
  <c r="AB51" i="23"/>
  <c r="AC51" i="23" l="1"/>
  <c r="AD4" i="23"/>
  <c r="AD6" i="23" s="1"/>
  <c r="AD50" i="23" s="1"/>
  <c r="AE4" i="23" l="1"/>
  <c r="AE6" i="23" s="1"/>
  <c r="AE50" i="23" s="1"/>
  <c r="AD51" i="23"/>
  <c r="AF4" i="23" l="1"/>
  <c r="AF6" i="23" s="1"/>
  <c r="AF50" i="23" s="1"/>
  <c r="AE51" i="23"/>
  <c r="AG4" i="23" l="1"/>
  <c r="AG6" i="23" s="1"/>
  <c r="AG50" i="23" s="1"/>
  <c r="E50" i="51" s="1"/>
  <c r="AF51" i="23"/>
  <c r="S50" i="51" l="1"/>
  <c r="E52" i="51"/>
  <c r="M50" i="51"/>
  <c r="N50" i="51" s="1"/>
  <c r="E50" i="27"/>
  <c r="N51" i="49"/>
  <c r="B4" i="24"/>
  <c r="F4" i="51" s="1"/>
  <c r="T4" i="51" s="1"/>
  <c r="AG51" i="23"/>
  <c r="P50" i="27" l="1"/>
  <c r="Y50" i="27"/>
  <c r="E52" i="27"/>
  <c r="P51" i="49"/>
  <c r="N53" i="49"/>
  <c r="F4" i="27"/>
  <c r="R5" i="49"/>
  <c r="T5" i="49" s="1"/>
  <c r="C4" i="24"/>
  <c r="C6" i="24" s="1"/>
  <c r="C50" i="24" s="1"/>
  <c r="B6" i="24"/>
  <c r="B50" i="24" s="1"/>
  <c r="B52" i="24" s="1"/>
  <c r="AH4" i="24"/>
  <c r="AH6" i="24" s="1"/>
  <c r="R7" i="49" l="1"/>
  <c r="T7" i="49" s="1"/>
  <c r="F6" i="51"/>
  <c r="Q4" i="27"/>
  <c r="Z4" i="27"/>
  <c r="AH50" i="24"/>
  <c r="F6" i="27"/>
  <c r="Q6" i="27" s="1"/>
  <c r="C51" i="24"/>
  <c r="D4" i="24"/>
  <c r="D6" i="24" s="1"/>
  <c r="D50" i="24" s="1"/>
  <c r="F50" i="51" l="1"/>
  <c r="F52" i="51" s="1"/>
  <c r="G96" i="19"/>
  <c r="AK50" i="24"/>
  <c r="R51" i="49"/>
  <c r="F50" i="27"/>
  <c r="Z50" i="27" s="1"/>
  <c r="G83" i="28"/>
  <c r="G105" i="19"/>
  <c r="AH51" i="24"/>
  <c r="E4" i="24"/>
  <c r="E6" i="24" s="1"/>
  <c r="E50" i="24" s="1"/>
  <c r="D51" i="24"/>
  <c r="T50" i="51" l="1"/>
  <c r="T51" i="49"/>
  <c r="R53" i="49"/>
  <c r="Q50" i="27"/>
  <c r="F52" i="27"/>
  <c r="E51" i="24"/>
  <c r="F4" i="24"/>
  <c r="F6" i="24" s="1"/>
  <c r="F50" i="24" s="1"/>
  <c r="F51" i="24" l="1"/>
  <c r="G4" i="24"/>
  <c r="G6" i="24" s="1"/>
  <c r="G50" i="24" s="1"/>
  <c r="H4" i="24" l="1"/>
  <c r="H6" i="24" s="1"/>
  <c r="H50" i="24" s="1"/>
  <c r="G51" i="24"/>
  <c r="I4" i="24" l="1"/>
  <c r="I6" i="24" s="1"/>
  <c r="I50" i="24" s="1"/>
  <c r="H51" i="24"/>
  <c r="J4" i="24" l="1"/>
  <c r="J6" i="24" s="1"/>
  <c r="J50" i="24" s="1"/>
  <c r="U72" i="24" s="1"/>
  <c r="I51" i="24"/>
  <c r="J51" i="24" l="1"/>
  <c r="K4" i="24"/>
  <c r="K6" i="24" s="1"/>
  <c r="K50" i="24" s="1"/>
  <c r="L4" i="24" l="1"/>
  <c r="L6" i="24" s="1"/>
  <c r="L50" i="24" s="1"/>
  <c r="K51" i="24"/>
  <c r="M4" i="24" l="1"/>
  <c r="M6" i="24" s="1"/>
  <c r="M50" i="24" s="1"/>
  <c r="L51" i="24"/>
  <c r="M51" i="24" l="1"/>
  <c r="N4" i="24"/>
  <c r="N6" i="24" s="1"/>
  <c r="N50" i="24" s="1"/>
  <c r="O4" i="24" l="1"/>
  <c r="O6" i="24" s="1"/>
  <c r="O50" i="24" s="1"/>
  <c r="N51" i="24"/>
  <c r="O51" i="24" l="1"/>
  <c r="P4" i="24"/>
  <c r="P6" i="24" s="1"/>
  <c r="P50" i="24" s="1"/>
  <c r="P51" i="24" l="1"/>
  <c r="Q4" i="24"/>
  <c r="Q6" i="24" s="1"/>
  <c r="Q50" i="24" s="1"/>
  <c r="Q51" i="24" l="1"/>
  <c r="R4" i="24"/>
  <c r="R6" i="24" s="1"/>
  <c r="R50" i="24" s="1"/>
  <c r="S4" i="24" l="1"/>
  <c r="S6" i="24" s="1"/>
  <c r="S50" i="24" s="1"/>
  <c r="R51" i="24"/>
  <c r="T4" i="24" l="1"/>
  <c r="T6" i="24" s="1"/>
  <c r="T50" i="24" s="1"/>
  <c r="S51" i="24"/>
  <c r="U4" i="24" l="1"/>
  <c r="U6" i="24" s="1"/>
  <c r="U50" i="24" s="1"/>
  <c r="T51" i="24"/>
  <c r="U51" i="24" l="1"/>
  <c r="V4" i="24"/>
  <c r="V6" i="24" s="1"/>
  <c r="V50" i="24" s="1"/>
  <c r="V51" i="24" l="1"/>
  <c r="W4" i="24"/>
  <c r="W6" i="24" s="1"/>
  <c r="W50" i="24" s="1"/>
  <c r="X4" i="24" l="1"/>
  <c r="X6" i="24" s="1"/>
  <c r="X50" i="24" s="1"/>
  <c r="W51" i="24"/>
  <c r="Y4" i="24" l="1"/>
  <c r="Y6" i="24" s="1"/>
  <c r="Y50" i="24" s="1"/>
  <c r="AL72" i="24" s="1"/>
  <c r="X51" i="24"/>
  <c r="Z4" i="24" l="1"/>
  <c r="Z6" i="24" s="1"/>
  <c r="Z50" i="24" s="1"/>
  <c r="AO54" i="24" s="1"/>
  <c r="Y51" i="24"/>
  <c r="AA4" i="24" l="1"/>
  <c r="AA6" i="24" s="1"/>
  <c r="AA50" i="24" s="1"/>
  <c r="Z51" i="24"/>
  <c r="AB4" i="24" l="1"/>
  <c r="AB6" i="24" s="1"/>
  <c r="AB50" i="24" s="1"/>
  <c r="AA51" i="24"/>
  <c r="AB51" i="24" l="1"/>
  <c r="AC4" i="24"/>
  <c r="AC6" i="24" s="1"/>
  <c r="AC50" i="24" s="1"/>
  <c r="AC51" i="24" l="1"/>
  <c r="AD4" i="24"/>
  <c r="AD6" i="24" s="1"/>
  <c r="AD50" i="24" s="1"/>
  <c r="AE4" i="24" l="1"/>
  <c r="AE6" i="24" s="1"/>
  <c r="AE50" i="24" s="1"/>
  <c r="AD51" i="24"/>
  <c r="AE51" i="24" l="1"/>
  <c r="AF4" i="24"/>
  <c r="AF6" i="24" s="1"/>
  <c r="AF50" i="24" s="1"/>
  <c r="AF51" i="24" l="1"/>
  <c r="B4" i="25"/>
  <c r="G4" i="51" s="1"/>
  <c r="U4" i="51" s="1"/>
  <c r="AG4" i="24"/>
  <c r="AG6" i="24" s="1"/>
  <c r="AG50" i="24" s="1"/>
  <c r="AG51" i="24" s="1"/>
  <c r="G4" i="27" l="1"/>
  <c r="V5" i="49"/>
  <c r="X5" i="49" s="1"/>
  <c r="AH4" i="25"/>
  <c r="AH6" i="25" s="1"/>
  <c r="B6" i="25"/>
  <c r="B50" i="25" s="1"/>
  <c r="B52" i="25" s="1"/>
  <c r="C4" i="25"/>
  <c r="C6" i="25" s="1"/>
  <c r="C50" i="25" s="1"/>
  <c r="V7" i="49" l="1"/>
  <c r="X7" i="49" s="1"/>
  <c r="G6" i="51"/>
  <c r="R4" i="27"/>
  <c r="AA4" i="27"/>
  <c r="AH50" i="25"/>
  <c r="G6" i="27"/>
  <c r="R6" i="27" s="1"/>
  <c r="C51" i="25"/>
  <c r="D4" i="25"/>
  <c r="D6" i="25" s="1"/>
  <c r="D50" i="25" s="1"/>
  <c r="G50" i="51" l="1"/>
  <c r="G52" i="51" s="1"/>
  <c r="H96" i="19"/>
  <c r="AK50" i="25"/>
  <c r="V51" i="49"/>
  <c r="G50" i="27"/>
  <c r="AA50" i="27" s="1"/>
  <c r="H83" i="28"/>
  <c r="H105" i="19"/>
  <c r="AH51" i="25"/>
  <c r="E4" i="25"/>
  <c r="E6" i="25" s="1"/>
  <c r="E50" i="25" s="1"/>
  <c r="D51" i="25"/>
  <c r="U50" i="51" l="1"/>
  <c r="V53" i="49"/>
  <c r="X51" i="49"/>
  <c r="R50" i="27"/>
  <c r="G52" i="27"/>
  <c r="F4" i="25"/>
  <c r="F6" i="25" s="1"/>
  <c r="F50" i="25" s="1"/>
  <c r="E51" i="25"/>
  <c r="G4" i="25" l="1"/>
  <c r="G6" i="25" s="1"/>
  <c r="G50" i="25" s="1"/>
  <c r="F51" i="25"/>
  <c r="H4" i="25" l="1"/>
  <c r="H6" i="25" s="1"/>
  <c r="H50" i="25" s="1"/>
  <c r="K73" i="25" s="1"/>
  <c r="G51" i="25"/>
  <c r="I4" i="25" l="1"/>
  <c r="I6" i="25" s="1"/>
  <c r="I50" i="25" s="1"/>
  <c r="H51" i="25"/>
  <c r="I51" i="25" l="1"/>
  <c r="J4" i="25"/>
  <c r="J6" i="25" s="1"/>
  <c r="J50" i="25" s="1"/>
  <c r="J51" i="25" l="1"/>
  <c r="K4" i="25"/>
  <c r="K6" i="25" s="1"/>
  <c r="K50" i="25" s="1"/>
  <c r="K51" i="25" l="1"/>
  <c r="L4" i="25"/>
  <c r="L6" i="25" s="1"/>
  <c r="L50" i="25" s="1"/>
  <c r="L51" i="25" l="1"/>
  <c r="M4" i="25"/>
  <c r="M6" i="25" s="1"/>
  <c r="M50" i="25" s="1"/>
  <c r="N4" i="25" l="1"/>
  <c r="N6" i="25" s="1"/>
  <c r="N50" i="25" s="1"/>
  <c r="M51" i="25"/>
  <c r="O4" i="25" l="1"/>
  <c r="O6" i="25" s="1"/>
  <c r="O50" i="25" s="1"/>
  <c r="N51" i="25"/>
  <c r="O51" i="25" l="1"/>
  <c r="P4" i="25"/>
  <c r="P6" i="25" s="1"/>
  <c r="P50" i="25" s="1"/>
  <c r="P51" i="25" l="1"/>
  <c r="Q4" i="25"/>
  <c r="Q6" i="25" s="1"/>
  <c r="Q50" i="25" s="1"/>
  <c r="Q51" i="25" l="1"/>
  <c r="R4" i="25"/>
  <c r="R6" i="25" s="1"/>
  <c r="R50" i="25" s="1"/>
  <c r="R51" i="25" l="1"/>
  <c r="S4" i="25"/>
  <c r="S6" i="25" s="1"/>
  <c r="S50" i="25" s="1"/>
  <c r="S51" i="25" l="1"/>
  <c r="T4" i="25"/>
  <c r="T6" i="25" s="1"/>
  <c r="T50" i="25" s="1"/>
  <c r="T51" i="25" l="1"/>
  <c r="U4" i="25"/>
  <c r="U6" i="25" s="1"/>
  <c r="U50" i="25" s="1"/>
  <c r="V4" i="25" l="1"/>
  <c r="V6" i="25" s="1"/>
  <c r="V50" i="25" s="1"/>
  <c r="U51" i="25"/>
  <c r="V51" i="25" l="1"/>
  <c r="W4" i="25"/>
  <c r="W6" i="25" s="1"/>
  <c r="W50" i="25" s="1"/>
  <c r="W53" i="25" s="1"/>
  <c r="W51" i="25" l="1"/>
  <c r="X4" i="25"/>
  <c r="X6" i="25" s="1"/>
  <c r="X50" i="25" s="1"/>
  <c r="X51" i="25" l="1"/>
  <c r="Y4" i="25"/>
  <c r="Y6" i="25" s="1"/>
  <c r="Y50" i="25" s="1"/>
  <c r="Y51" i="25" l="1"/>
  <c r="Z4" i="25"/>
  <c r="Z6" i="25" s="1"/>
  <c r="Z50" i="25" s="1"/>
  <c r="Z51" i="25" l="1"/>
  <c r="AA4" i="25"/>
  <c r="AA6" i="25" s="1"/>
  <c r="AA50" i="25" s="1"/>
  <c r="AA51" i="25" l="1"/>
  <c r="AB4" i="25"/>
  <c r="AB6" i="25" s="1"/>
  <c r="AB50" i="25" s="1"/>
  <c r="AB51" i="25" l="1"/>
  <c r="AC4" i="25"/>
  <c r="AC6" i="25" s="1"/>
  <c r="AC50" i="25" s="1"/>
  <c r="AD4" i="25" l="1"/>
  <c r="AD6" i="25" s="1"/>
  <c r="AD50" i="25" s="1"/>
  <c r="AC51" i="25"/>
  <c r="AE4" i="25" l="1"/>
  <c r="AE6" i="25" s="1"/>
  <c r="AE50" i="25" s="1"/>
  <c r="AD51" i="25"/>
  <c r="AE51" i="25" l="1"/>
  <c r="AF4" i="25"/>
  <c r="AF6" i="25" s="1"/>
  <c r="AF50" i="25" s="1"/>
  <c r="AG4" i="25" l="1"/>
  <c r="AG6" i="25" s="1"/>
  <c r="AG50" i="25" s="1"/>
  <c r="AF51" i="25"/>
  <c r="AE55" i="25" s="1"/>
  <c r="AG51" i="25" l="1"/>
  <c r="B4" i="26"/>
  <c r="H4" i="51" s="1"/>
  <c r="V4" i="51" s="1"/>
  <c r="H4" i="27" l="1"/>
  <c r="Z5" i="49"/>
  <c r="AB5" i="49" s="1"/>
  <c r="B6" i="26"/>
  <c r="B50" i="26" s="1"/>
  <c r="B52" i="26" s="1"/>
  <c r="AH4" i="26"/>
  <c r="AH6" i="26" s="1"/>
  <c r="C4" i="26"/>
  <c r="C6" i="26" s="1"/>
  <c r="C50" i="26" s="1"/>
  <c r="Z7" i="49" l="1"/>
  <c r="AB7" i="49" s="1"/>
  <c r="H6" i="51"/>
  <c r="S4" i="27"/>
  <c r="AB4" i="27"/>
  <c r="AH50" i="26"/>
  <c r="H6" i="27"/>
  <c r="S6" i="27" s="1"/>
  <c r="C51" i="26"/>
  <c r="D4" i="26"/>
  <c r="D6" i="26" s="1"/>
  <c r="D50" i="26" s="1"/>
  <c r="H50" i="51" l="1"/>
  <c r="H52" i="51" s="1"/>
  <c r="I96" i="19"/>
  <c r="J96" i="19" s="1"/>
  <c r="K96" i="19" s="1"/>
  <c r="L96" i="19" s="1"/>
  <c r="M96" i="19" s="1"/>
  <c r="N96" i="19" s="1"/>
  <c r="O96" i="19" s="1"/>
  <c r="AK50" i="26"/>
  <c r="Z51" i="49"/>
  <c r="H50" i="27"/>
  <c r="AB50" i="27" s="1"/>
  <c r="I83" i="28"/>
  <c r="I105" i="19"/>
  <c r="AH51" i="26"/>
  <c r="AH54" i="26" s="1"/>
  <c r="E4" i="26"/>
  <c r="E6" i="26" s="1"/>
  <c r="E50" i="26" s="1"/>
  <c r="D51" i="26"/>
  <c r="V50" i="51" l="1"/>
  <c r="W50" i="51" s="1"/>
  <c r="D55" i="26"/>
  <c r="E55" i="26" s="1"/>
  <c r="Z53" i="49"/>
  <c r="AB51" i="49"/>
  <c r="S50" i="27"/>
  <c r="T50" i="27" s="1"/>
  <c r="H52" i="27"/>
  <c r="P83" i="28"/>
  <c r="J83" i="28"/>
  <c r="K83" i="28" s="1"/>
  <c r="L83" i="28" s="1"/>
  <c r="M83" i="28" s="1"/>
  <c r="N83" i="28" s="1"/>
  <c r="O83" i="28" s="1"/>
  <c r="Q83" i="28" s="1"/>
  <c r="E51" i="26"/>
  <c r="F4" i="26"/>
  <c r="F6" i="26" s="1"/>
  <c r="F50" i="26" s="1"/>
  <c r="F51" i="26" l="1"/>
  <c r="G4" i="26"/>
  <c r="G6" i="26" s="1"/>
  <c r="G50" i="26" s="1"/>
  <c r="G51" i="26" l="1"/>
  <c r="H4" i="26"/>
  <c r="H6" i="26" s="1"/>
  <c r="H50" i="26" s="1"/>
  <c r="K55" i="26" s="1"/>
  <c r="I4" i="26" l="1"/>
  <c r="I6" i="26" s="1"/>
  <c r="I50" i="26" s="1"/>
  <c r="H51" i="26"/>
  <c r="J4" i="26" l="1"/>
  <c r="J6" i="26" s="1"/>
  <c r="J50" i="26" s="1"/>
  <c r="I51" i="26"/>
  <c r="J51" i="26" l="1"/>
  <c r="K4" i="26"/>
  <c r="K6" i="26" s="1"/>
  <c r="K50" i="26" s="1"/>
  <c r="L4" i="26" l="1"/>
  <c r="L6" i="26" s="1"/>
  <c r="L50" i="26" s="1"/>
  <c r="K51" i="26"/>
  <c r="M4" i="26" l="1"/>
  <c r="M6" i="26" s="1"/>
  <c r="M50" i="26" s="1"/>
  <c r="L51" i="26"/>
  <c r="M51" i="26" l="1"/>
  <c r="N4" i="26"/>
  <c r="N6" i="26" s="1"/>
  <c r="N50" i="26" s="1"/>
  <c r="N51" i="26" l="1"/>
  <c r="O4" i="26"/>
  <c r="O6" i="26" s="1"/>
  <c r="O50" i="26" s="1"/>
  <c r="P4" i="26" l="1"/>
  <c r="P6" i="26" s="1"/>
  <c r="P50" i="26" s="1"/>
  <c r="O51" i="26"/>
  <c r="Q4" i="26" l="1"/>
  <c r="Q6" i="26" s="1"/>
  <c r="Q50" i="26" s="1"/>
  <c r="P51" i="26"/>
  <c r="R4" i="26" l="1"/>
  <c r="R6" i="26" s="1"/>
  <c r="R50" i="26" s="1"/>
  <c r="Q51" i="26"/>
  <c r="S4" i="26" l="1"/>
  <c r="S6" i="26" s="1"/>
  <c r="S50" i="26" s="1"/>
  <c r="R51" i="26"/>
  <c r="T4" i="26" l="1"/>
  <c r="T6" i="26" s="1"/>
  <c r="T50" i="26" s="1"/>
  <c r="P55" i="26" s="1"/>
  <c r="S51" i="26"/>
  <c r="T51" i="26" l="1"/>
  <c r="U4" i="26"/>
  <c r="U6" i="26" s="1"/>
  <c r="U50" i="26" s="1"/>
  <c r="U51" i="26" l="1"/>
  <c r="V4" i="26"/>
  <c r="V6" i="26" s="1"/>
  <c r="V50" i="26" s="1"/>
  <c r="W4" i="26" l="1"/>
  <c r="W6" i="26" s="1"/>
  <c r="W50" i="26" s="1"/>
  <c r="V51" i="26"/>
  <c r="W51" i="26" l="1"/>
  <c r="X4" i="26"/>
  <c r="X6" i="26" s="1"/>
  <c r="X50" i="26" s="1"/>
  <c r="Y4" i="26" l="1"/>
  <c r="Y6" i="26" s="1"/>
  <c r="Y50" i="26" s="1"/>
  <c r="X51" i="26"/>
  <c r="Z4" i="26" l="1"/>
  <c r="Z6" i="26" s="1"/>
  <c r="Z50" i="26" s="1"/>
  <c r="Y51" i="26"/>
  <c r="AA4" i="26" l="1"/>
  <c r="AA6" i="26" s="1"/>
  <c r="AA50" i="26" s="1"/>
  <c r="Z51" i="26"/>
  <c r="AB4" i="26" l="1"/>
  <c r="AB6" i="26" s="1"/>
  <c r="AB50" i="26" s="1"/>
  <c r="AA51" i="26"/>
  <c r="AB51" i="26" l="1"/>
  <c r="AC4" i="26"/>
  <c r="AC6" i="26" s="1"/>
  <c r="AC50" i="26" s="1"/>
  <c r="AC51" i="26" l="1"/>
  <c r="AD4" i="26"/>
  <c r="AD6" i="26" s="1"/>
  <c r="AD50" i="26" s="1"/>
  <c r="AE4" i="26" l="1"/>
  <c r="AE6" i="26" s="1"/>
  <c r="AE50" i="26" s="1"/>
  <c r="AD51" i="26"/>
  <c r="AE51" i="26" l="1"/>
  <c r="AF4" i="26"/>
  <c r="AF6" i="26" s="1"/>
  <c r="AF50" i="26" s="1"/>
  <c r="AF51" i="26" l="1"/>
  <c r="AG4" i="26"/>
  <c r="AG6" i="26" s="1"/>
  <c r="AG50" i="26" s="1"/>
  <c r="AG51" i="26" l="1"/>
  <c r="B4" i="52"/>
  <c r="I4" i="27" s="1"/>
  <c r="AC4" i="27" s="1"/>
  <c r="AH4" i="52" l="1"/>
  <c r="AH6" i="52" s="1"/>
  <c r="C4" i="52"/>
  <c r="C6" i="52" s="1"/>
  <c r="C50" i="52" s="1"/>
  <c r="B6" i="52"/>
  <c r="B50" i="52" s="1"/>
  <c r="B52" i="52" s="1"/>
  <c r="AH50" i="52" l="1"/>
  <c r="J105" i="19" s="1"/>
  <c r="I6" i="27"/>
  <c r="C51" i="52"/>
  <c r="C53" i="52" s="1"/>
  <c r="D4" i="52"/>
  <c r="D6" i="52" s="1"/>
  <c r="D50" i="52" s="1"/>
  <c r="AH51" i="52" l="1"/>
  <c r="I50" i="27"/>
  <c r="B4" i="53"/>
  <c r="J4" i="27" s="1"/>
  <c r="AD4" i="27" s="1"/>
  <c r="E4" i="52"/>
  <c r="E6" i="52" s="1"/>
  <c r="E50" i="52" s="1"/>
  <c r="D51" i="52"/>
  <c r="D53" i="52" s="1"/>
  <c r="I52" i="27" l="1"/>
  <c r="AC50" i="27"/>
  <c r="F4" i="52"/>
  <c r="F6" i="52" s="1"/>
  <c r="F50" i="52" s="1"/>
  <c r="E51" i="52"/>
  <c r="E53" i="52" s="1"/>
  <c r="F51" i="52" l="1"/>
  <c r="G4" i="52"/>
  <c r="G6" i="52" s="1"/>
  <c r="G50" i="52" s="1"/>
  <c r="G51" i="52" l="1"/>
  <c r="H4" i="52"/>
  <c r="H6" i="52" s="1"/>
  <c r="H50" i="52" s="1"/>
  <c r="I4" i="52" l="1"/>
  <c r="I6" i="52" s="1"/>
  <c r="I50" i="52" s="1"/>
  <c r="H51" i="52"/>
  <c r="I51" i="52" l="1"/>
  <c r="J4" i="52"/>
  <c r="J6" i="52" s="1"/>
  <c r="J50" i="52" s="1"/>
  <c r="J51" i="52" l="1"/>
  <c r="K4" i="52"/>
  <c r="K6" i="52" s="1"/>
  <c r="K50" i="52" s="1"/>
  <c r="K51" i="52" l="1"/>
  <c r="L4" i="52"/>
  <c r="L6" i="52" s="1"/>
  <c r="L50" i="52" s="1"/>
  <c r="L51" i="52" l="1"/>
  <c r="M4" i="52"/>
  <c r="M6" i="52" s="1"/>
  <c r="M50" i="52" s="1"/>
  <c r="M51" i="52" l="1"/>
  <c r="N4" i="52"/>
  <c r="N6" i="52" s="1"/>
  <c r="N50" i="52" s="1"/>
  <c r="N51" i="52" l="1"/>
  <c r="O4" i="52"/>
  <c r="O6" i="52" s="1"/>
  <c r="O50" i="52" s="1"/>
  <c r="P4" i="52" l="1"/>
  <c r="P6" i="52" s="1"/>
  <c r="P50" i="52" s="1"/>
  <c r="P53" i="52" s="1"/>
  <c r="O51" i="52"/>
  <c r="Q4" i="52" l="1"/>
  <c r="Q6" i="52" s="1"/>
  <c r="Q50" i="52" s="1"/>
  <c r="P51" i="52"/>
  <c r="R4" i="52" l="1"/>
  <c r="R6" i="52" s="1"/>
  <c r="R50" i="52" s="1"/>
  <c r="Q51" i="52"/>
  <c r="R51" i="52" l="1"/>
  <c r="S4" i="52"/>
  <c r="S6" i="52" s="1"/>
  <c r="S50" i="52" s="1"/>
  <c r="S51" i="52" l="1"/>
  <c r="T4" i="52"/>
  <c r="T6" i="52" s="1"/>
  <c r="T50" i="52" s="1"/>
  <c r="U4" i="52" l="1"/>
  <c r="U6" i="52" s="1"/>
  <c r="U50" i="52" s="1"/>
  <c r="T51" i="52"/>
  <c r="V4" i="52" l="1"/>
  <c r="V6" i="52" s="1"/>
  <c r="V50" i="52" s="1"/>
  <c r="V53" i="52" s="1"/>
  <c r="U51" i="52"/>
  <c r="V51" i="52" l="1"/>
  <c r="W4" i="52"/>
  <c r="W6" i="52" s="1"/>
  <c r="W50" i="52" s="1"/>
  <c r="W51" i="52" l="1"/>
  <c r="X4" i="52"/>
  <c r="X6" i="52" s="1"/>
  <c r="X50" i="52" s="1"/>
  <c r="X51" i="52" l="1"/>
  <c r="Y4" i="52"/>
  <c r="Y6" i="52" s="1"/>
  <c r="Y50" i="52" s="1"/>
  <c r="Y51" i="52" l="1"/>
  <c r="Z4" i="52"/>
  <c r="Z6" i="52" s="1"/>
  <c r="Z50" i="52" s="1"/>
  <c r="Z51" i="52" l="1"/>
  <c r="AA4" i="52"/>
  <c r="AA6" i="52" s="1"/>
  <c r="AA50" i="52" s="1"/>
  <c r="AA51" i="52" l="1"/>
  <c r="AB4" i="52"/>
  <c r="AB6" i="52" s="1"/>
  <c r="AB50" i="52" s="1"/>
  <c r="AC4" i="52" l="1"/>
  <c r="AC6" i="52" s="1"/>
  <c r="AC50" i="52" s="1"/>
  <c r="AB51" i="52"/>
  <c r="AD4" i="52" l="1"/>
  <c r="AD6" i="52" s="1"/>
  <c r="AD50" i="52" s="1"/>
  <c r="AC51" i="52"/>
  <c r="AD51" i="52" l="1"/>
  <c r="AE4" i="52"/>
  <c r="AE6" i="52" s="1"/>
  <c r="AE50" i="52" s="1"/>
  <c r="AF4" i="52" l="1"/>
  <c r="AF6" i="52" s="1"/>
  <c r="AF50" i="52" s="1"/>
  <c r="AE51" i="52"/>
  <c r="AG4" i="52" l="1"/>
  <c r="AG6" i="52" s="1"/>
  <c r="AG50" i="52" s="1"/>
  <c r="AF51" i="52"/>
  <c r="AG51" i="52" l="1"/>
  <c r="B6" i="53" l="1"/>
  <c r="B50" i="53" s="1"/>
  <c r="B52" i="53" s="1"/>
  <c r="C4" i="53"/>
  <c r="C6" i="53" s="1"/>
  <c r="C50" i="53" s="1"/>
  <c r="AH4" i="53"/>
  <c r="AH6" i="53" s="1"/>
  <c r="AH50" i="53" l="1"/>
  <c r="K105" i="19" s="1"/>
  <c r="J6" i="27"/>
  <c r="C51" i="53"/>
  <c r="D4" i="53"/>
  <c r="D6" i="53" s="1"/>
  <c r="D50" i="53" s="1"/>
  <c r="AH51" i="53" l="1"/>
  <c r="B4" i="54"/>
  <c r="K4" i="27" s="1"/>
  <c r="J50" i="27"/>
  <c r="E4" i="53"/>
  <c r="E6" i="53" s="1"/>
  <c r="E50" i="53" s="1"/>
  <c r="D51" i="53"/>
  <c r="J52" i="27" l="1"/>
  <c r="AD50" i="27"/>
  <c r="AE50" i="27" s="1"/>
  <c r="E51" i="53"/>
  <c r="F4" i="53"/>
  <c r="F6" i="53" s="1"/>
  <c r="F50" i="53" s="1"/>
  <c r="G4" i="53" l="1"/>
  <c r="G6" i="53" s="1"/>
  <c r="G50" i="53" s="1"/>
  <c r="F51" i="53"/>
  <c r="G51" i="53" l="1"/>
  <c r="H4" i="53"/>
  <c r="H6" i="53" s="1"/>
  <c r="H50" i="53" s="1"/>
  <c r="I4" i="53" l="1"/>
  <c r="I6" i="53" s="1"/>
  <c r="I50" i="53" s="1"/>
  <c r="H51" i="53"/>
  <c r="J4" i="53" l="1"/>
  <c r="J6" i="53" s="1"/>
  <c r="J50" i="53" s="1"/>
  <c r="I51" i="53"/>
  <c r="J51" i="53" l="1"/>
  <c r="K4" i="53"/>
  <c r="K6" i="53" s="1"/>
  <c r="K50" i="53" s="1"/>
  <c r="K51" i="53" l="1"/>
  <c r="L4" i="53"/>
  <c r="L6" i="53" s="1"/>
  <c r="L50" i="53" s="1"/>
  <c r="L51" i="53" l="1"/>
  <c r="M4" i="53"/>
  <c r="M6" i="53" s="1"/>
  <c r="M50" i="53" s="1"/>
  <c r="M51" i="53" l="1"/>
  <c r="N4" i="53"/>
  <c r="N6" i="53" s="1"/>
  <c r="N50" i="53" s="1"/>
  <c r="N51" i="53" l="1"/>
  <c r="O4" i="53"/>
  <c r="O6" i="53" s="1"/>
  <c r="O50" i="53" s="1"/>
  <c r="O51" i="53" l="1"/>
  <c r="P4" i="53"/>
  <c r="P6" i="53" s="1"/>
  <c r="P50" i="53" s="1"/>
  <c r="Q4" i="53" l="1"/>
  <c r="Q6" i="53" s="1"/>
  <c r="Q50" i="53" s="1"/>
  <c r="P51" i="53"/>
  <c r="Q51" i="53" l="1"/>
  <c r="R4" i="53"/>
  <c r="R6" i="53" s="1"/>
  <c r="R50" i="53" s="1"/>
  <c r="R51" i="53" l="1"/>
  <c r="S4" i="53"/>
  <c r="S6" i="53" s="1"/>
  <c r="S50" i="53" s="1"/>
  <c r="S51" i="53" l="1"/>
  <c r="T4" i="53"/>
  <c r="T6" i="53" s="1"/>
  <c r="T50" i="53" s="1"/>
  <c r="U4" i="53" l="1"/>
  <c r="U6" i="53" s="1"/>
  <c r="U50" i="53" s="1"/>
  <c r="T51" i="53"/>
  <c r="V4" i="53" l="1"/>
  <c r="V6" i="53" s="1"/>
  <c r="V50" i="53" s="1"/>
  <c r="U51" i="53"/>
  <c r="W4" i="53" l="1"/>
  <c r="W6" i="53" s="1"/>
  <c r="W50" i="53" s="1"/>
  <c r="V51" i="53"/>
  <c r="X4" i="53" l="1"/>
  <c r="X6" i="53" s="1"/>
  <c r="X50" i="53" s="1"/>
  <c r="W51" i="53"/>
  <c r="Y4" i="53" l="1"/>
  <c r="Y6" i="53" s="1"/>
  <c r="Y50" i="53" s="1"/>
  <c r="X51" i="53"/>
  <c r="Y51" i="53" l="1"/>
  <c r="Z4" i="53"/>
  <c r="Z6" i="53" s="1"/>
  <c r="Z50" i="53" s="1"/>
  <c r="Z51" i="53" l="1"/>
  <c r="AA4" i="53"/>
  <c r="AA6" i="53" s="1"/>
  <c r="AA50" i="53" s="1"/>
  <c r="AB4" i="53" l="1"/>
  <c r="AB6" i="53" s="1"/>
  <c r="AB50" i="53" s="1"/>
  <c r="AA51" i="53"/>
  <c r="AC4" i="53" l="1"/>
  <c r="AC6" i="53" s="1"/>
  <c r="AC50" i="53" s="1"/>
  <c r="AB51" i="53"/>
  <c r="AD4" i="53" l="1"/>
  <c r="AD6" i="53" s="1"/>
  <c r="AD50" i="53" s="1"/>
  <c r="AC51" i="53"/>
  <c r="AD51" i="53" l="1"/>
  <c r="AE4" i="53"/>
  <c r="AE6" i="53" s="1"/>
  <c r="AE50" i="53" s="1"/>
  <c r="AF4" i="53" l="1"/>
  <c r="AF6" i="53" s="1"/>
  <c r="AF50" i="53" s="1"/>
  <c r="AE51" i="53"/>
  <c r="AG4" i="53" l="1"/>
  <c r="AG6" i="53" s="1"/>
  <c r="AG50" i="53" s="1"/>
  <c r="AF51" i="53"/>
  <c r="AG51" i="53" l="1"/>
  <c r="C4" i="54" l="1"/>
  <c r="C6" i="54" s="1"/>
  <c r="C50" i="54" s="1"/>
  <c r="B6" i="54"/>
  <c r="B50" i="54" s="1"/>
  <c r="B52" i="54" s="1"/>
  <c r="AH4" i="54"/>
  <c r="AH6" i="54" s="1"/>
  <c r="AH50" i="54" l="1"/>
  <c r="L105" i="19" s="1"/>
  <c r="K6" i="27"/>
  <c r="D4" i="54"/>
  <c r="D6" i="54" s="1"/>
  <c r="D50" i="54" s="1"/>
  <c r="C51" i="54"/>
  <c r="AH51" i="54" l="1"/>
  <c r="K50" i="27"/>
  <c r="K52" i="27" s="1"/>
  <c r="E4" i="54"/>
  <c r="D51" i="54"/>
  <c r="E6" i="54" l="1"/>
  <c r="E50" i="54" s="1"/>
  <c r="F4" i="54" s="1"/>
  <c r="F6" i="54" s="1"/>
  <c r="F50" i="54" s="1"/>
  <c r="E51" i="54" l="1"/>
  <c r="G4" i="54"/>
  <c r="G6" i="54" s="1"/>
  <c r="G50" i="54" s="1"/>
  <c r="F51" i="54"/>
  <c r="G51" i="54" l="1"/>
  <c r="H4" i="54"/>
  <c r="H6" i="54" s="1"/>
  <c r="H50" i="54" s="1"/>
  <c r="H51" i="54" l="1"/>
  <c r="I4" i="54"/>
  <c r="I6" i="54" s="1"/>
  <c r="I50" i="54" s="1"/>
  <c r="I51" i="54" l="1"/>
  <c r="J4" i="54"/>
  <c r="J6" i="54" s="1"/>
  <c r="J50" i="54" s="1"/>
  <c r="J51" i="54" l="1"/>
  <c r="K4" i="54"/>
  <c r="K6" i="54" s="1"/>
  <c r="K50" i="54" s="1"/>
  <c r="K51" i="54" l="1"/>
  <c r="L4" i="54"/>
  <c r="L6" i="54" s="1"/>
  <c r="L50" i="54" s="1"/>
  <c r="L51" i="54" l="1"/>
  <c r="M4" i="54"/>
  <c r="M6" i="54" s="1"/>
  <c r="M50" i="54" s="1"/>
  <c r="M51" i="54" l="1"/>
  <c r="N4" i="54"/>
  <c r="N6" i="54" s="1"/>
  <c r="N50" i="54" s="1"/>
  <c r="N51" i="54" l="1"/>
  <c r="O4" i="54"/>
  <c r="O6" i="54" s="1"/>
  <c r="O50" i="54" s="1"/>
  <c r="O51" i="54" l="1"/>
  <c r="P4" i="54"/>
  <c r="P6" i="54" s="1"/>
  <c r="P50" i="54" s="1"/>
  <c r="Q4" i="54" l="1"/>
  <c r="Q6" i="54" s="1"/>
  <c r="Q50" i="54" s="1"/>
  <c r="P51" i="54"/>
  <c r="R4" i="54" l="1"/>
  <c r="R6" i="54" s="1"/>
  <c r="R50" i="54" s="1"/>
  <c r="Q51" i="54"/>
  <c r="S4" i="54" l="1"/>
  <c r="S6" i="54" s="1"/>
  <c r="S50" i="54" s="1"/>
  <c r="R51" i="54"/>
  <c r="T4" i="54" l="1"/>
  <c r="T6" i="54" s="1"/>
  <c r="T50" i="54" s="1"/>
  <c r="S51" i="54"/>
  <c r="U4" i="54" l="1"/>
  <c r="U6" i="54" s="1"/>
  <c r="U50" i="54" s="1"/>
  <c r="T51" i="54"/>
  <c r="V4" i="54" l="1"/>
  <c r="V6" i="54" s="1"/>
  <c r="V50" i="54" s="1"/>
  <c r="U51" i="54"/>
  <c r="V51" i="54" l="1"/>
  <c r="W4" i="54"/>
  <c r="W6" i="54" s="1"/>
  <c r="W50" i="54" s="1"/>
  <c r="W51" i="54" l="1"/>
  <c r="X4" i="54"/>
  <c r="X6" i="54" s="1"/>
  <c r="X50" i="54" s="1"/>
  <c r="X51" i="54" l="1"/>
  <c r="Y4" i="54"/>
  <c r="Y6" i="54" s="1"/>
  <c r="Y50" i="54" s="1"/>
  <c r="Y51" i="54" l="1"/>
  <c r="Z4" i="54"/>
  <c r="Z6" i="54" s="1"/>
  <c r="Z50" i="54" s="1"/>
  <c r="Z51" i="54" l="1"/>
  <c r="AA4" i="54"/>
  <c r="AA6" i="54" s="1"/>
  <c r="AA50" i="54" s="1"/>
  <c r="AA51" i="54" l="1"/>
  <c r="AB4" i="54"/>
  <c r="AB6" i="54" s="1"/>
  <c r="AB50" i="54" s="1"/>
  <c r="AB51" i="54" l="1"/>
  <c r="AC4" i="54"/>
  <c r="AC6" i="54" s="1"/>
  <c r="AC50" i="54" s="1"/>
  <c r="AD4" i="54" l="1"/>
  <c r="AD6" i="54" s="1"/>
  <c r="AD50" i="54" s="1"/>
  <c r="AC51" i="54"/>
  <c r="AE4" i="54" l="1"/>
  <c r="AE6" i="54" s="1"/>
  <c r="AE50" i="54" s="1"/>
  <c r="AD51" i="54"/>
  <c r="AF4" i="54" l="1"/>
  <c r="AF6" i="54" s="1"/>
  <c r="AF50" i="54" s="1"/>
  <c r="AE51" i="54"/>
  <c r="AG4" i="54" l="1"/>
  <c r="AG6" i="54" s="1"/>
  <c r="AG50" i="54" s="1"/>
  <c r="AG51" i="54" s="1"/>
  <c r="AF51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Sadler, Sophie</author>
  </authors>
  <commentList>
    <comment ref="A30" authorId="0" shapeId="0" xr:uid="{9423E5DD-C2E9-48B1-BD5A-B92A2F9B21E9}">
      <text>
        <r>
          <rPr>
            <sz val="10"/>
            <rFont val="Arial"/>
            <family val="2"/>
          </rPr>
          <t xml:space="preserve">Sadler, Sophie:
Nicht eingestellt weil es müsste eine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Sadler, Sophie</author>
  </authors>
  <commentList>
    <comment ref="A29" authorId="0" shapeId="0" xr:uid="{8B2A9884-CB5F-4007-B32F-CA061E47AA05}">
      <text>
        <r>
          <rPr>
            <sz val="10"/>
            <rFont val="Arial"/>
            <family val="2"/>
          </rPr>
          <t xml:space="preserve">Sadler, Sophie:
Nicht eingestellt weil es müsste eine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Sadler, Sophie</author>
    <author>tc={87FD4185-654C-4C0B-8610-67B982CE4C3A}</author>
    <author>tc={54F93A24-2DE1-4E13-BC7C-A646498DCFA0}</author>
    <author>tc={8B49AE5C-31FD-4480-B66A-D4476F8BC258}</author>
    <author>tc={0986ECA2-46BF-416D-B269-12A729CFD4EA}</author>
    <author>tc={C95DA60A-1258-4A4C-B0E1-472E4435A6A4}</author>
    <author>tc={0F7F9CDD-F8D8-4C75-ACB8-57867E7BCC4E}</author>
    <author>tc={7E9402DD-90E6-41D5-BE58-8F818839D658}</author>
    <author>tc={303B9FAB-11B4-496E-9689-D49AD3C6A1C8}</author>
    <author>tc={82B86FEF-AE90-4E74-B267-6219536B6C65}</author>
    <author>tc={4326A270-7D5A-458C-9CAE-39CC047A7B9E}</author>
    <author>tc={9D3ADB53-AF1E-4598-B56D-7856E399EDB9}</author>
  </authors>
  <commentList>
    <comment ref="C6" authorId="0" shapeId="0" xr:uid="{D434B24E-8808-4EAD-9F84-56DDC10DC20C}">
      <text>
        <r>
          <rPr>
            <b/>
            <sz val="9"/>
            <color indexed="81"/>
            <rFont val="Tahoma"/>
            <family val="2"/>
          </rPr>
          <t>For first half of the year - thereafter 10%</t>
        </r>
      </text>
    </comment>
    <comment ref="J16" authorId="1" shapeId="0" xr:uid="{87FD4185-654C-4C0B-8610-67B982CE4C3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 Juli 50%Pacht - alternativ schliessen</t>
      </text>
    </comment>
    <comment ref="B23" authorId="2" shapeId="0" xr:uid="{54F93A24-2DE1-4E13-BC7C-A646498DCFA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Pachtreduzierung angenommen da aktuelle Verzinsung nachverhandelt werden müsste
Antwort:
    Letzte Indexierung nicht in Budget enthalten (300k p.a.)</t>
      </text>
    </comment>
    <comment ref="B26" authorId="3" shapeId="0" xr:uid="{8B49AE5C-31FD-4480-B66A-D4476F8BC25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Invest &amp; hold</t>
      </text>
    </comment>
    <comment ref="B27" authorId="4" shapeId="0" xr:uid="{0986ECA2-46BF-416D-B269-12A729CFD4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Invest &amp; hold</t>
      </text>
    </comment>
    <comment ref="B39" authorId="5" shapeId="0" xr:uid="{C95DA60A-1258-4A4C-B0E1-472E4435A6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Due to 3 property closures</t>
      </text>
    </comment>
    <comment ref="F41" authorId="6" shapeId="0" xr:uid="{0F7F9CDD-F8D8-4C75-ACB8-57867E7BCC4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Auto Leasing Verträge
Antwort:
    Reisekosten</t>
      </text>
    </comment>
    <comment ref="D42" authorId="0" shapeId="0" xr:uid="{34196F9B-080D-485E-A0A2-4EA1B7BFC297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MR 50%</t>
        </r>
      </text>
    </comment>
    <comment ref="E42" authorId="0" shapeId="0" xr:uid="{56824C82-B52B-4CD6-AA07-1B708E2967B4}">
      <text>
        <r>
          <rPr>
            <b/>
            <sz val="9"/>
            <color indexed="81"/>
            <rFont val="Tahoma"/>
            <family val="2"/>
          </rPr>
          <t>MR 1 Tag/Woche</t>
        </r>
      </text>
    </comment>
    <comment ref="F42" authorId="0" shapeId="0" xr:uid="{375B73D5-CEB7-4FC6-B6F5-4EA58D24284B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G42" authorId="0" shapeId="0" xr:uid="{95301BEA-9F0B-47AC-A6AD-FF533284E013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H42" authorId="0" shapeId="0" xr:uid="{C7B14B02-61A7-4303-BBD5-E93633B59771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I42" authorId="0" shapeId="0" xr:uid="{1096B58B-C23F-4698-8897-BA70589A5799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J42" authorId="0" shapeId="0" xr:uid="{288675B9-16BE-480C-B3C7-E6686FEAF86C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K42" authorId="0" shapeId="0" xr:uid="{68F22AEB-2F60-4CCA-AE32-1D98B4AE1C8F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L42" authorId="0" shapeId="0" xr:uid="{5E44DCC8-2D84-42A5-9359-C8CDB60D6148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M42" authorId="0" shapeId="0" xr:uid="{176AB56E-9397-4E23-A599-56A4352C18A0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N42" authorId="0" shapeId="0" xr:uid="{73A13F45-258E-45EA-8F72-9C35B0F50A95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O42" authorId="0" shapeId="0" xr:uid="{7B532BCE-3DFC-4957-910C-4F4F7DBC2492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4 Tage/Woche</t>
        </r>
      </text>
    </comment>
    <comment ref="D43" authorId="7" shapeId="0" xr:uid="{7E9402DD-90E6-41D5-BE58-8F818839D65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Wilmesmeyer</t>
      </text>
    </comment>
    <comment ref="F43" authorId="8" shapeId="0" xr:uid="{303B9FAB-11B4-496E-9689-D49AD3C6A1C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Barter Hockey Deal</t>
      </text>
    </comment>
    <comment ref="O43" authorId="9" shapeId="0" xr:uid="{82B86FEF-AE90-4E74-B267-6219536B6C6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Gutscheine Duftstars 7500</t>
      </text>
    </comment>
    <comment ref="I45" authorId="0" shapeId="0" xr:uid="{AB7A44C1-C487-4A3C-9225-3F30A39408FE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Provision Krökel
</t>
        </r>
      </text>
    </comment>
    <comment ref="O45" authorId="0" shapeId="0" xr:uid="{A8EFF3E6-F3D2-4BE9-9AB5-66B53D7A58A5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Provision Krökel</t>
        </r>
      </text>
    </comment>
    <comment ref="F46" authorId="0" shapeId="0" xr:uid="{503D7E11-36DD-49FD-A5EB-21F1CE1C60B8}">
      <text>
        <r>
          <rPr>
            <sz val="9"/>
            <color indexed="81"/>
            <rFont val="Tahoma"/>
            <family val="2"/>
          </rPr>
          <t>CF</t>
        </r>
      </text>
    </comment>
    <comment ref="F48" authorId="0" shapeId="0" xr:uid="{C119DA39-650B-4A69-912D-3395D3ACCA98}">
      <text>
        <r>
          <rPr>
            <b/>
            <sz val="9"/>
            <color indexed="81"/>
            <rFont val="Tahoma"/>
            <family val="2"/>
          </rPr>
          <t>GvH</t>
        </r>
      </text>
    </comment>
    <comment ref="F51" authorId="0" shapeId="0" xr:uid="{483B7086-2DDD-449F-9CBC-ABB3CBFB4D84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G51" authorId="0" shapeId="0" xr:uid="{48DF500C-66E5-4BEC-87AF-982D37A06A62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H51" authorId="0" shapeId="0" xr:uid="{7A556DBF-00C4-4A51-B50B-D99C4594E1F6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I51" authorId="0" shapeId="0" xr:uid="{8D28840D-6809-4431-936B-D65D789C292C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J51" authorId="0" shapeId="0" xr:uid="{7E700A93-1CCD-478A-A8CB-71024E3B52A7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K51" authorId="0" shapeId="0" xr:uid="{AB619589-B8DC-4A62-91E2-9CEEC73C2BBA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L51" authorId="0" shapeId="0" xr:uid="{34C79081-A792-4AB2-B8C5-A4A30479F270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M51" authorId="0" shapeId="0" xr:uid="{C2ACA45C-BD96-43C8-863D-F6FAE5C98394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N51" authorId="0" shapeId="0" xr:uid="{D8345BD6-AA62-45BA-ADBF-E289765A0F16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O51" authorId="0" shapeId="0" xr:uid="{D0F679F2-6D2D-42B5-8E79-0CB9E164244E}">
      <text>
        <r>
          <rPr>
            <b/>
            <sz val="9"/>
            <color indexed="81"/>
            <rFont val="Tahoma"/>
            <family val="2"/>
          </rPr>
          <t xml:space="preserve">MA + reduction Fees
</t>
        </r>
      </text>
    </comment>
    <comment ref="B69" authorId="0" shapeId="0" xr:uid="{ADC4A274-05C4-4EF9-A9B9-EECBEEF6D589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Liquidity effects not yet calculated
</t>
        </r>
      </text>
    </comment>
    <comment ref="B72" authorId="10" shapeId="0" xr:uid="{4326A270-7D5A-458C-9CAE-39CC047A7B9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adjusted by the LH AG Hotels!</t>
      </text>
    </comment>
    <comment ref="D76" authorId="11" shapeId="0" xr:uid="{9D3ADB53-AF1E-4598-B56D-7856E399EDB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70% von Umsatz 7% und 30% 19%
50% per CC und 50% Deb (50%30 Tage 25% 60T und 25% 90T)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tc={9D7E4E3B-3057-4E99-B19F-98A53F96697E}</author>
    <author>tc={E2571DEF-F652-463B-87E3-59835FCC00BA}</author>
    <author>tc={B4006EEF-1282-4ED8-A51D-3FFCA34240FE}</author>
    <author>tc={4A1DDAC1-C776-45DF-A28C-A51FCA38AB9F}</author>
    <author>tc={FABC48B1-C592-41D8-AF7D-9FEA39CAFE6C}</author>
    <author>tc={2B3C8498-1BBE-45A7-A4A3-2427F9D5F999}</author>
    <author>Sadler, Sophie</author>
    <author>tc={A3623D05-4391-46E1-AE0E-BE54626DD7BE}</author>
    <author>tc={06B46357-4899-4646-9070-E9CBE6475EEA}</author>
    <author>tc={A1C74858-FD7E-4F6E-8218-D2DAD79FD4AB}</author>
    <author>tc={8C09CB01-210C-43F3-A317-9D1EF0D974D9}</author>
    <author>tc={7BC88CA7-0E91-4718-9575-BE0E50482CE9}</author>
  </authors>
  <commentList>
    <comment ref="M30" authorId="0" shapeId="0" xr:uid="{9D7E4E3B-3057-4E99-B19F-98A53F96697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Ergebnispachtanteil Juli bis September (nur der ist positiv)</t>
      </text>
    </comment>
    <comment ref="B35" authorId="1" shapeId="0" xr:uid="{E2571DEF-F652-463B-87E3-59835FCC00B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Pachtreduzierung angenommen da aktuelle Verzinsung nachverhandelt werden müsste
Antwort:
    Letzte Indexierung nicht in Budget enthalten (300k p.a.)</t>
      </text>
    </comment>
    <comment ref="B39" authorId="2" shapeId="0" xr:uid="{B4006EEF-1282-4ED8-A51D-3FFCA34240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Invest &amp; hold</t>
      </text>
    </comment>
    <comment ref="B40" authorId="3" shapeId="0" xr:uid="{4A1DDAC1-C776-45DF-A28C-A51FCA38AB9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Invest &amp; hold</t>
      </text>
    </comment>
    <comment ref="B52" authorId="4" shapeId="0" xr:uid="{FABC48B1-C592-41D8-AF7D-9FEA39CAFE6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Due to 3 property closures</t>
      </text>
    </comment>
    <comment ref="F54" authorId="5" shapeId="0" xr:uid="{2B3C8498-1BBE-45A7-A4A3-2427F9D5F99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Auto Leasing Verträge
Antwort:
    Reisekosten</t>
      </text>
    </comment>
    <comment ref="D55" authorId="6" shapeId="0" xr:uid="{D0532320-58CE-4755-AE69-701CAE387F9B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MR 50%</t>
        </r>
      </text>
    </comment>
    <comment ref="E55" authorId="6" shapeId="0" xr:uid="{5D200517-CC9A-4251-8755-2F44BE686C27}">
      <text>
        <r>
          <rPr>
            <b/>
            <sz val="9"/>
            <color indexed="81"/>
            <rFont val="Tahoma"/>
            <family val="2"/>
          </rPr>
          <t>MR 1 Tag/Woche</t>
        </r>
      </text>
    </comment>
    <comment ref="F55" authorId="6" shapeId="0" xr:uid="{6DB8E5A0-82F7-4BF2-9FCE-3F50AAA2B1B8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CS reduziert
</t>
        </r>
      </text>
    </comment>
    <comment ref="G55" authorId="6" shapeId="0" xr:uid="{2F5D3FCF-E69E-45E4-ADDC-3F130FC9FD3E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H55" authorId="6" shapeId="0" xr:uid="{CB51FD03-F824-41A6-A176-59DDBA91E1FE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I55" authorId="6" shapeId="0" xr:uid="{705ADC1C-A44A-4992-8F59-12C8412DCF6B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J55" authorId="6" shapeId="0" xr:uid="{BBA58BEF-31A1-4382-831B-55E0ED05EEFB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K55" authorId="6" shapeId="0" xr:uid="{45181EBB-53AB-4548-9CF3-202A0F6B695F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L55" authorId="6" shapeId="0" xr:uid="{B55A2173-A16B-4B98-A1F7-DE1530482889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M55" authorId="6" shapeId="0" xr:uid="{5A1D9F12-11C8-4F56-B1D0-03827D8D160B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N55" authorId="6" shapeId="0" xr:uid="{179E73C1-903A-41D6-82EB-6F5F9B02BD52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O55" authorId="6" shapeId="0" xr:uid="{4604A9E1-6FDC-40CA-BD32-F82A52E4E27D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Replacement SD or Ayla
MR 5 Tage/Woche
</t>
        </r>
      </text>
    </comment>
    <comment ref="D56" authorId="7" shapeId="0" xr:uid="{A3623D05-4391-46E1-AE0E-BE54626DD7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Wilmesmeyer</t>
      </text>
    </comment>
    <comment ref="F56" authorId="8" shapeId="0" xr:uid="{06B46357-4899-4646-9070-E9CBE6475E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Barter Hockey Deal</t>
      </text>
    </comment>
    <comment ref="O56" authorId="9" shapeId="0" xr:uid="{A1C74858-FD7E-4F6E-8218-D2DAD79FD4A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Gutscheine Duftstars 7500</t>
      </text>
    </comment>
    <comment ref="I58" authorId="6" shapeId="0" xr:uid="{DC869F60-7E45-4BB4-86F8-EDCDE565EAFF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Provision Krökel
</t>
        </r>
      </text>
    </comment>
    <comment ref="O58" authorId="6" shapeId="0" xr:uid="{5DD82D5C-7C36-47C2-824F-6019F414E073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Provision Krökel</t>
        </r>
      </text>
    </comment>
    <comment ref="F61" authorId="6" shapeId="0" xr:uid="{3E0E92D8-9B97-452F-B1D0-F7EC937961AC}">
      <text>
        <r>
          <rPr>
            <b/>
            <sz val="9"/>
            <color indexed="81"/>
            <rFont val="Tahoma"/>
            <family val="2"/>
          </rPr>
          <t>GvH</t>
        </r>
      </text>
    </comment>
    <comment ref="G64" authorId="6" shapeId="0" xr:uid="{9DF04283-A27E-453C-8A1A-8108C7F4270A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H64" authorId="6" shapeId="0" xr:uid="{BB85082D-AF75-48BD-84E3-BC2855BC91CF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I64" authorId="6" shapeId="0" xr:uid="{9319330D-6CEB-415B-8EFE-905DD275A049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J64" authorId="6" shapeId="0" xr:uid="{2D41AABE-A7A3-474F-82CA-9500FF3BFB33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K64" authorId="6" shapeId="0" xr:uid="{7B5C9FB0-DDF1-4EC4-B57B-460769814D41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L64" authorId="6" shapeId="0" xr:uid="{89EF6E53-A78E-44DE-B239-68C9E00B67A4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M64" authorId="6" shapeId="0" xr:uid="{56AB42C4-32CA-4FC7-94D8-9EBD240D51EC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N64" authorId="6" shapeId="0" xr:uid="{840187DD-CC95-40EE-B59B-447485BA9C18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O64" authorId="6" shapeId="0" xr:uid="{A43B51B4-0FA5-41B3-8D87-A79F75E38481}">
      <text>
        <r>
          <rPr>
            <b/>
            <sz val="9"/>
            <color indexed="81"/>
            <rFont val="Tahoma"/>
            <family val="2"/>
          </rPr>
          <t>MA + reduction Fees
Rschaeffler, keine Redukton Fees</t>
        </r>
      </text>
    </comment>
    <comment ref="B79" authorId="6" shapeId="0" xr:uid="{78F22157-B984-4669-B1E3-7390C62CF475}">
      <text>
        <r>
          <rPr>
            <b/>
            <sz val="9"/>
            <color indexed="81"/>
            <rFont val="Tahoma"/>
            <family val="2"/>
          </rPr>
          <t>Sadler, Sophie:</t>
        </r>
        <r>
          <rPr>
            <sz val="9"/>
            <color indexed="81"/>
            <rFont val="Tahoma"/>
            <family val="2"/>
          </rPr>
          <t xml:space="preserve">
Liquidity effects not yet calculated
</t>
        </r>
      </text>
    </comment>
    <comment ref="B88" authorId="10" shapeId="0" xr:uid="{8C09CB01-210C-43F3-A317-9D1EF0D974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adjusted by the LH AG Hotels!</t>
      </text>
    </comment>
    <comment ref="C89" authorId="6" shapeId="0" xr:uid="{421B7383-5876-48A3-AC31-408C06284E6F}">
      <text>
        <r>
          <rPr>
            <b/>
            <sz val="9"/>
            <color indexed="81"/>
            <rFont val="Tahoma"/>
            <family val="2"/>
          </rPr>
          <t>For first half of the year - thereafter 10%</t>
        </r>
      </text>
    </comment>
    <comment ref="D98" authorId="11" shapeId="0" xr:uid="{7BC88CA7-0E91-4718-9575-BE0E50482CE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70% von Umsatz 7% und 30% 19%
50% per CC und 50% Deb (50%30 Tage 25% 60T und 25% 90T)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tc={A098DFE4-2890-4F2F-9DC1-A4E99DAA5B68}</author>
    <author>Rodewald, Silke</author>
    <author>tc={E18E5B89-3F46-40EF-9E45-2A1511CE47E1}</author>
    <author>Sadler, Sophie</author>
    <author>tc={989F226F-E67D-41E1-90E7-899DB2F5D466}</author>
    <author>tc={54798E26-0113-4996-8CDA-3B13D790B755}</author>
    <author>tc={57305731-6430-42E9-9489-8FF6B32CB3F2}</author>
    <author>tc={BB75838B-C5DC-4AD4-8F31-59085FA491EE}</author>
    <author>tc={ACA4C4BF-4207-4436-A752-64AF0B8434F1}</author>
  </authors>
  <commentList>
    <comment ref="E8" authorId="0" shapeId="0" xr:uid="{A098DFE4-2890-4F2F-9DC1-A4E99DAA5B6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Höchst nur 1 Monat
Antwort:
    Pacht inkl. MWSt.</t>
      </text>
    </comment>
    <comment ref="Q25" authorId="1" shapeId="0" xr:uid="{4B813F39-3334-4A93-9695-F28AFC63CA11}">
      <text>
        <r>
          <rPr>
            <sz val="9"/>
            <color indexed="81"/>
            <rFont val="Segoe UI"/>
            <family val="2"/>
          </rPr>
          <t xml:space="preserve">Hamburg
</t>
        </r>
      </text>
    </comment>
    <comment ref="AF26" authorId="2" shapeId="0" xr:uid="{E18E5B89-3F46-40EF-9E45-2A1511CE47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CS</t>
      </text>
    </comment>
    <comment ref="A29" authorId="3" shapeId="0" xr:uid="{271407EC-AB85-4016-9A69-1D6B3F362962}">
      <text>
        <r>
          <rPr>
            <sz val="10"/>
            <rFont val="Arial"/>
            <family val="2"/>
          </rPr>
          <t xml:space="preserve">Sadler, Sophie:
Nicht eingestellt weil es müsste eine </t>
        </r>
      </text>
    </comment>
    <comment ref="AM40" authorId="4" shapeId="0" xr:uid="{989F226F-E67D-41E1-90E7-899DB2F5D46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AF41" authorId="5" shapeId="0" xr:uid="{54798E26-0113-4996-8CDA-3B13D790B75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50k Bargeld Einzahlung CGN CP</t>
      </text>
    </comment>
    <comment ref="AP42" authorId="6" shapeId="0" xr:uid="{57305731-6430-42E9-9489-8FF6B32CB3F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Abzug 350k erste Woche
Antwort:
    Reduzierung 250k wegen Einbehalt Nexi</t>
      </text>
    </comment>
    <comment ref="AP44" authorId="7" shapeId="0" xr:uid="{BB75838B-C5DC-4AD4-8F31-59085FA491E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Ganzer Monat Dezember</t>
      </text>
    </comment>
    <comment ref="AP45" authorId="8" shapeId="0" xr:uid="{ACA4C4BF-4207-4436-A752-64AF0B8434F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Ganzer Monat November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Rodewald, Silke</author>
    <author>tc={67E6CD9C-693A-401C-864A-E53BA85EADD3}</author>
    <author>tc={B0B6507C-69E1-4CD3-8CDD-F4A97CEF4729}</author>
    <author>tc={BD8196D5-81D6-4A87-9E58-5D4635B5A41A}</author>
  </authors>
  <commentList>
    <comment ref="A28" authorId="0" shapeId="0" xr:uid="{A1B82608-2BBC-4996-948B-6370B4006FBB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A29" authorId="0" shapeId="0" xr:uid="{0EB791E5-A0BC-49B9-A5CD-985B24389586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P29" authorId="1" shapeId="0" xr:uid="{67E6CD9C-693A-401C-864A-E53BA85EADD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Zahlung Pachten</t>
      </text>
    </comment>
    <comment ref="AK40" authorId="2" shapeId="0" xr:uid="{B0B6507C-69E1-4CD3-8CDD-F4A97CEF472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AN45" authorId="3" shapeId="0" xr:uid="{BD8196D5-81D6-4A87-9E58-5D4635B5A4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Ganzer Monat Dezember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tc={89AB39C8-687F-4907-856F-80C42DC27B17}</author>
    <author>tc={F869C5E7-D45D-476A-BFFF-F1819EE90DA0}</author>
    <author>tc={BC68C8EE-B3A6-4995-A787-CD544C8BFC95}</author>
    <author>tc={D0633902-21F9-421B-A3F9-F1490B86A4E9}</author>
    <author>tc={FDBE8311-9554-4D2C-AB9A-88B6B1C5AAC0}</author>
    <author>tc={D4E7DDA9-6838-41B3-BE6E-8BA624F1A3D6}</author>
    <author>tc={ECEBC3F0-0B34-4419-A800-931F429076D0}</author>
    <author>tc={FCC5040C-0555-4BBF-B152-4DDD3DCFCC00}</author>
    <author>tc={D2D6023B-D92D-42B5-AC64-AFEE55A15DA4}</author>
    <author>Ein geschätzter Microsoft Office Anwender</author>
  </authors>
  <commentList>
    <comment ref="E8" authorId="0" shapeId="0" xr:uid="{89AB39C8-687F-4907-856F-80C42DC27B1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Höchst nur 1 Monat</t>
      </text>
    </comment>
    <comment ref="I8" authorId="1" shapeId="0" xr:uid="{F869C5E7-D45D-476A-BFFF-F1819EE90DA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Grüne Hotels</t>
      </text>
    </comment>
    <comment ref="M8" authorId="2" shapeId="0" xr:uid="{BC68C8EE-B3A6-4995-A787-CD544C8BFC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Höchst</t>
      </text>
    </comment>
    <comment ref="P8" authorId="3" shapeId="0" xr:uid="{D0633902-21F9-421B-A3F9-F1490B86A4E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Airport</t>
      </text>
    </comment>
    <comment ref="W10" authorId="4" shapeId="0" xr:uid="{FDBE8311-9554-4D2C-AB9A-88B6B1C5AAC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Büchner Barella HV</t>
      </text>
    </comment>
    <comment ref="AD10" authorId="5" shapeId="0" xr:uid="{D4E7DDA9-6838-41B3-BE6E-8BA624F1A3D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Zahllauf von Vorwoche</t>
      </text>
    </comment>
    <comment ref="T39" authorId="6" shapeId="0" xr:uid="{ECEBC3F0-0B34-4419-A800-931F429076D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750k sind eingegangen, werden Ende Mai eliminiert</t>
      </text>
    </comment>
    <comment ref="AK40" authorId="7" shapeId="0" xr:uid="{FCC5040C-0555-4BBF-B152-4DDD3DCFCC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V41" authorId="8" shapeId="0" xr:uid="{D2D6023B-D92D-42B5-AC64-AFEE55A15D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Auskehrung Guthaben SSK nach Anfechtung durch Andres, EUR 140.000 werden vorab ausgekehrt (31.01.)</t>
      </text>
    </comment>
    <comment ref="A50" authorId="9" shapeId="0" xr:uid="{22AC944F-9F77-42F2-A360-B909E2D6C97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C50" authorId="9" shapeId="0" xr:uid="{07D2268E-B923-4484-8E38-378C978AF6F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D50" authorId="9" shapeId="0" xr:uid="{875723CB-736D-40F3-A007-1ABD3653D4E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E50" authorId="9" shapeId="0" xr:uid="{02803E02-BBE9-4BD6-8118-A4D6C51AD5D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F50" authorId="9" shapeId="0" xr:uid="{E31D769E-C27F-4CD4-9723-B7A405A7855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G50" authorId="9" shapeId="0" xr:uid="{69F9AD3B-4DF5-4327-A9CC-87E71422624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H50" authorId="9" shapeId="0" xr:uid="{077609F8-115C-4EEE-8E7A-F9F76EC64DC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I50" authorId="9" shapeId="0" xr:uid="{8AC912D1-691D-40A7-A224-9DCFA38DCFF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J50" authorId="9" shapeId="0" xr:uid="{D9141F52-CE43-4E51-866E-FA332C5B387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K50" authorId="9" shapeId="0" xr:uid="{4B50EA21-94EA-4E5D-B4A3-F0D7D79C23F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L50" authorId="9" shapeId="0" xr:uid="{ED24C342-E009-45DB-A7BF-55C76DFE338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M50" authorId="9" shapeId="0" xr:uid="{D23173FF-2177-4A7E-90A2-096ECBEAD9D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N50" authorId="9" shapeId="0" xr:uid="{96A10A0B-9B3A-4A08-A6E6-940CC67D2F6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O50" authorId="9" shapeId="0" xr:uid="{23F9422B-CBD9-4436-9E31-40568D58036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P50" authorId="9" shapeId="0" xr:uid="{C0601BF6-8A31-4CD0-838D-23A68C3EA1A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Q50" authorId="9" shapeId="0" xr:uid="{97EF9DF0-FB5F-41C3-8069-958A784EBFA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R50" authorId="9" shapeId="0" xr:uid="{7C9BCB66-E014-43B9-AD8C-5E8268D3C1C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S50" authorId="9" shapeId="0" xr:uid="{54BDA93A-6E2F-4252-A00A-25EB862A127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T50" authorId="9" shapeId="0" xr:uid="{26FD148A-9796-44FF-8C46-08A026A736E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U50" authorId="9" shapeId="0" xr:uid="{AED959DF-9DAF-4D55-A3D0-FBC819D9E009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V50" authorId="9" shapeId="0" xr:uid="{660DC356-F4AF-4320-97D6-7F98552DB84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W50" authorId="9" shapeId="0" xr:uid="{5F6DE55F-C0F2-46A7-AE39-E474372D2B0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X50" authorId="9" shapeId="0" xr:uid="{89193D35-36AE-4321-B324-78C59579A7E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Y50" authorId="9" shapeId="0" xr:uid="{B19D0406-1733-4E72-81DC-2C3C9705FAF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Z50" authorId="9" shapeId="0" xr:uid="{7D065519-5003-4BA3-965A-8DDC854CE7D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A50" authorId="9" shapeId="0" xr:uid="{C1201F13-F246-4F2B-BF5D-8A878195DEC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B50" authorId="9" shapeId="0" xr:uid="{7C80D4BD-1BE8-4425-BEC4-BBEAE52B237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C50" authorId="9" shapeId="0" xr:uid="{FA2EE93D-CEE3-4463-A381-932C7270C01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D50" authorId="9" shapeId="0" xr:uid="{0C9E6318-40CB-4A01-BE9D-3B90030B4EB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E50" authorId="9" shapeId="0" xr:uid="{11BF9357-2D01-4506-B28F-54ABCA799E3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F50" authorId="9" shapeId="0" xr:uid="{ACE769C5-BB28-4BB9-BE86-E010DA435DB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tc={FF0FC990-6B26-4B36-8BFC-E6DE01057A97}</author>
    <author>tc={66BE4B14-EA99-4F67-B046-CE4D6299DAF4}</author>
    <author>tc={B03ADADD-EC70-4A3C-A3E0-52E904BF8F21}</author>
    <author>tc={AA985A64-666D-4232-A6EA-780BCD76FE02}</author>
    <author>tc={55762D76-2D80-4D4C-A622-6D43EFB28F34}</author>
    <author>Rodewald, Silke</author>
    <author>tc={A21E04BC-EE60-48C0-AC1F-81BAB4EB8F67}</author>
    <author>tc={8427597D-D45B-4B70-ACC9-06309345E174}</author>
    <author>tc={61C9E54A-E57B-4C96-926B-633936389BA2}</author>
    <author>tc={D42FB556-CA86-430F-9093-11204C8F43D1}</author>
    <author>Ein geschätzter Microsoft Office Anwender</author>
  </authors>
  <commentList>
    <comment ref="C8" authorId="0" shapeId="0" xr:uid="{FF0FC990-6B26-4B36-8BFC-E6DE01057A9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Höchst nur 1 Monat
Antwort:
    Immermannstr. eliminiert, da von MAA eingezahlt
Antwort:
    Angepasst auf verhandelt neue Zahllast lt. Tabelle Klaus Peters</t>
      </text>
    </comment>
    <comment ref="M8" authorId="1" shapeId="0" xr:uid="{66BE4B14-EA99-4F67-B046-CE4D6299DAF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LUG nachzahlung</t>
      </text>
    </comment>
    <comment ref="M10" authorId="2" shapeId="0" xr:uid="{B03ADADD-EC70-4A3C-A3E0-52E904BF8F2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DE2 Betrag</t>
      </text>
    </comment>
    <comment ref="Q10" authorId="3" shapeId="0" xr:uid="{AA985A64-666D-4232-A6EA-780BCD76FE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Hyatt</t>
      </text>
    </comment>
    <comment ref="AB10" authorId="4" shapeId="0" xr:uid="{55762D76-2D80-4D4C-A622-6D43EFB28F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Einstweilige Verfügungen 12.18</t>
      </text>
    </comment>
    <comment ref="A28" authorId="5" shapeId="0" xr:uid="{24D801D4-4317-4055-8F39-807E3641AE99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A29" authorId="5" shapeId="0" xr:uid="{446FF048-8347-47A7-BBEB-368C20BBF790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L29" authorId="6" shapeId="0" xr:uid="{A21E04BC-EE60-48C0-AC1F-81BAB4EB8F6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Ust März lt. Meldung</t>
      </text>
    </comment>
    <comment ref="AD31" authorId="7" shapeId="0" xr:uid="{8427597D-D45B-4B70-ACC9-06309345E17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Ausgleich FF&amp;E Konto DUS Airport (Instandhaltung Feuermelder)</t>
      </text>
    </comment>
    <comment ref="AK40" authorId="8" shapeId="0" xr:uid="{61C9E54A-E57B-4C96-926B-633936389BA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AM42" authorId="9" shapeId="0" xr:uid="{D42FB556-CA86-430F-9093-11204C8F43D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100k aus Januar</t>
      </text>
    </comment>
    <comment ref="A50" authorId="10" shapeId="0" xr:uid="{FBA490F1-33E9-4B19-82CE-102A5C8CB1C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C50" authorId="10" shapeId="0" xr:uid="{511ED96F-1722-4471-AC74-486623390AD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D50" authorId="10" shapeId="0" xr:uid="{A41BE2AD-4F5E-4C06-AB2B-1812D162EFD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E50" authorId="10" shapeId="0" xr:uid="{9B3F0F36-5AFE-47D7-8DA8-DB5C1CA6445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F50" authorId="10" shapeId="0" xr:uid="{730462A8-FA93-4501-AF01-992BBEE6CF9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G50" authorId="10" shapeId="0" xr:uid="{1464A431-AD4E-4C7A-8B97-E860312A237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H50" authorId="10" shapeId="0" xr:uid="{6DC4AE08-B526-41D1-8357-F147F41D516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I50" authorId="10" shapeId="0" xr:uid="{019EADBC-2086-48A7-B520-815409B3443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J50" authorId="10" shapeId="0" xr:uid="{97799A29-1059-43B8-BB6A-2691A4F72DE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K50" authorId="10" shapeId="0" xr:uid="{AB081865-16AE-40FC-9F93-1A40BABD687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L50" authorId="10" shapeId="0" xr:uid="{95967301-B039-416B-A093-86949D0215A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M50" authorId="10" shapeId="0" xr:uid="{0FAB51C0-1100-4861-84C9-3B96CB1E4A3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N50" authorId="10" shapeId="0" xr:uid="{CD428E0E-B0C2-4DEE-9A96-610E0D9FB74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O50" authorId="10" shapeId="0" xr:uid="{898415B6-6381-463A-916E-59351A94309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P50" authorId="10" shapeId="0" xr:uid="{A9872FD0-C8A5-4E90-BA03-5B3BB041F67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Q50" authorId="10" shapeId="0" xr:uid="{BBD7CD78-FB1E-4718-879D-D31538C82A3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R50" authorId="10" shapeId="0" xr:uid="{A1886175-2536-41A6-9DC7-C5F87EFEB6E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S50" authorId="10" shapeId="0" xr:uid="{FD041478-D965-42D9-BF6A-37C7F61232D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T50" authorId="10" shapeId="0" xr:uid="{2AF0A8C7-06F1-480A-A980-F7D58981AE4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U50" authorId="10" shapeId="0" xr:uid="{37C2E8E2-631E-4C5F-BBC4-445D5A4B160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V50" authorId="10" shapeId="0" xr:uid="{CE0F2E43-22F7-48B9-93A6-C62F7262A329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W50" authorId="10" shapeId="0" xr:uid="{D9F55322-97DB-4874-92D2-9B088EE80A79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X50" authorId="10" shapeId="0" xr:uid="{CAF44AAF-2FE4-49BF-AD9F-5D33364D381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Y50" authorId="10" shapeId="0" xr:uid="{A57815FB-669F-41F7-AC87-F5AB0A29734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Z50" authorId="10" shapeId="0" xr:uid="{D8087563-1E38-4B9B-8D22-9D028FA2F0A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A50" authorId="10" shapeId="0" xr:uid="{16A09A21-0039-40F2-BA25-1016CA4F1C7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B50" authorId="10" shapeId="0" xr:uid="{E62E30D9-B920-4078-8387-3610FD372E0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C50" authorId="10" shapeId="0" xr:uid="{324F98B6-D265-4126-93BA-9D32741995D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D50" authorId="10" shapeId="0" xr:uid="{B00838A3-1112-47EC-9871-B7EE62BF3169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E50" authorId="10" shapeId="0" xr:uid="{A25D3387-176D-4468-8321-85F80A383AA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F50" authorId="10" shapeId="0" xr:uid="{71FF2350-62D3-46BA-B89D-B7A97BA4543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tc={4DE6D655-2B6D-4E86-8BCD-E791F045612C}</author>
    <author>tc={6ED63F78-D0F6-4350-B114-45201B7D58F0}</author>
    <author>tc={50F88DBB-2B62-4B96-8FB5-5FE50B19E8A0}</author>
    <author>Rodewald, Silke</author>
    <author>tc={8D610B67-A7B4-4861-873C-213623A3A9C5}</author>
    <author>tc={69124CFE-B085-434A-8691-9A8D2D3520EF}</author>
    <author>Ein geschätzter Microsoft Office Anwender</author>
    <author>tc={33996427-B320-4EC2-8F48-2ABD340FEAE4}</author>
  </authors>
  <commentList>
    <comment ref="D8" authorId="0" shapeId="0" xr:uid="{4DE6D655-2B6D-4E86-8BCD-E791F045612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Höchst nur 1 Monat</t>
      </text>
    </comment>
    <comment ref="G10" authorId="1" shapeId="0" xr:uid="{6ED63F78-D0F6-4350-B114-45201B7D58F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April Zahllauf</t>
      </text>
    </comment>
    <comment ref="J10" authorId="2" shapeId="0" xr:uid="{50F88DBB-2B62-4B96-8FB5-5FE50B19E8A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DE2 Zahllauf</t>
      </text>
    </comment>
    <comment ref="A28" authorId="3" shapeId="0" xr:uid="{00F39D73-9066-4ACB-81CC-A65810EE0DA8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A29" authorId="3" shapeId="0" xr:uid="{8C954E31-99B1-4C6B-AE2E-1B6E93DC8A0D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AF31" authorId="4" shapeId="0" xr:uid="{8D610B67-A7B4-4861-873C-213623A3A9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Rückzahlung OL LV</t>
      </text>
    </comment>
    <comment ref="AK40" authorId="5" shapeId="0" xr:uid="{69124CFE-B085-434A-8691-9A8D2D3520E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A50" authorId="6" shapeId="0" xr:uid="{713BD81B-EA7A-466E-8795-C22ACE28479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C50" authorId="6" shapeId="0" xr:uid="{D3130FB3-C4CD-46B5-A946-A467B9B7446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D50" authorId="6" shapeId="0" xr:uid="{4A6941AA-A8ED-41C5-AD60-A3563DB7A5D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E50" authorId="6" shapeId="0" xr:uid="{E498F372-E9BD-40DA-8116-49B1380FD85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F50" authorId="6" shapeId="0" xr:uid="{7860C41D-596A-4A0F-A46F-14548640632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G50" authorId="6" shapeId="0" xr:uid="{5B5071C3-E8A4-40C2-A6F3-F9438769A8C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H50" authorId="6" shapeId="0" xr:uid="{89F1456E-BCA1-45EA-A10C-4E4AB1DC6AF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I50" authorId="6" shapeId="0" xr:uid="{916A1A6F-4060-46E5-9E2F-EBA24EDB726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J50" authorId="6" shapeId="0" xr:uid="{F8519F48-31D5-4E38-9561-DEB08D2C571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K50" authorId="6" shapeId="0" xr:uid="{E2D94B81-FCBB-4309-9542-E7E83C78104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L50" authorId="6" shapeId="0" xr:uid="{69F530AB-D60F-4345-BBD0-7163E51371A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M50" authorId="6" shapeId="0" xr:uid="{C1A87B20-E644-45B7-B94A-A3F4F1E77D8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N50" authorId="6" shapeId="0" xr:uid="{9193AB07-0F76-40E3-8E9C-F669FACD829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O50" authorId="6" shapeId="0" xr:uid="{4DE55B2B-9267-4901-BFA9-32A60A76211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P50" authorId="6" shapeId="0" xr:uid="{44AC21D3-64E7-4F29-B42E-83DF290B27B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Q50" authorId="6" shapeId="0" xr:uid="{937D1D83-179C-4746-B242-8186D3CA777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R50" authorId="6" shapeId="0" xr:uid="{B50A5979-79CE-45B1-92C2-3E542882860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S50" authorId="6" shapeId="0" xr:uid="{58AA98DF-E5EC-4D9F-8E93-BBD3C4B61A8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T50" authorId="6" shapeId="0" xr:uid="{F50D58CF-254F-4362-ABC3-5ED21C8D820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U50" authorId="6" shapeId="0" xr:uid="{9439093C-B282-4E3D-9E18-170144E806E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V50" authorId="6" shapeId="0" xr:uid="{7C13288F-72C8-4163-AE96-8CAC45D2025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W50" authorId="6" shapeId="0" xr:uid="{944380BE-EFC6-4E23-8BFF-DC95055AA44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X50" authorId="6" shapeId="0" xr:uid="{9E335BB8-E54D-4F78-8ADE-5751B5676AF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Y50" authorId="6" shapeId="0" xr:uid="{BFE48086-DF0B-4376-9C52-D413C79E7C9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Z50" authorId="6" shapeId="0" xr:uid="{19914F47-1FED-4499-A89A-B55685812CD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A50" authorId="6" shapeId="0" xr:uid="{E779C622-010F-4AFD-B036-D2DDD37FFE9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B50" authorId="6" shapeId="0" xr:uid="{E72A6BBD-8EB7-405F-8113-386BC9FFE18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C50" authorId="6" shapeId="0" xr:uid="{ED7EB860-6EA3-4DF2-8260-10ED3F3BDA39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D50" authorId="6" shapeId="0" xr:uid="{F209B987-74EE-4091-BF44-2A95566C5A4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E50" authorId="6" shapeId="0" xr:uid="{D4906172-73D3-4B34-A6AB-F71C1B2503E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F50" authorId="6" shapeId="0" xr:uid="{127BB941-66D7-4762-9E78-20765F2649E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U97" authorId="7" shapeId="0" xr:uid="{33996427-B320-4EC2-8F48-2ABD340FEAE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 Carlos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tc={6AC3641A-D862-4EA7-8E43-E3ACCB38E90F}</author>
    <author>Rodewald, Silke</author>
    <author>tc={E8D44C60-E18F-43A6-82EC-4ED3A1CD800A}</author>
    <author>tc={2A9DEC00-2A1F-4DB7-BF57-17DC42E47090}</author>
    <author>tc={D7523D2C-4873-40D0-B49E-2EF73735CD77}</author>
    <author>tc={33B99A62-8171-4147-A963-11BFBAB225E7}</author>
    <author>Ein geschätzter Microsoft Office Anwender</author>
  </authors>
  <commentList>
    <comment ref="E8" authorId="0" shapeId="0" xr:uid="{6AC3641A-D862-4EA7-8E43-E3ACCB38E90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Höchst nur 1 Monat
Antwort:
    Bezahlt am 30.05.</t>
      </text>
    </comment>
    <comment ref="A28" authorId="1" shapeId="0" xr:uid="{E86D1DF1-B84C-47A1-A736-67D610E45B34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A29" authorId="1" shapeId="0" xr:uid="{0D564365-BA76-4EAB-88A3-112B5BE1BA86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K29" authorId="2" shapeId="0" xr:uid="{E8D44C60-E18F-43A6-82EC-4ED3A1CD800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Analog Zahllast April für März</t>
      </text>
    </comment>
    <comment ref="AA31" authorId="3" shapeId="0" xr:uid="{2A9DEC00-2A1F-4DB7-BF57-17DC42E470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Rückzahlung OL LV
Antwort:
    Nicht zur Rückzahlung fällig</t>
      </text>
    </comment>
    <comment ref="AB31" authorId="4" shapeId="0" xr:uid="{D7523D2C-4873-40D0-B49E-2EF73735CD7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Ausgleich FF&amp;E Konto Mainz</t>
      </text>
    </comment>
    <comment ref="AK40" authorId="5" shapeId="0" xr:uid="{33B99A62-8171-4147-A963-11BFBAB225E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A50" authorId="6" shapeId="0" xr:uid="{2D7ABC0A-AF2A-4872-8A4D-C38D4318FB7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C50" authorId="6" shapeId="0" xr:uid="{E8B04686-E579-455A-83D8-AA9AC9E4197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D50" authorId="6" shapeId="0" xr:uid="{CA717A8C-AC45-4567-B056-035DC50FB65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E50" authorId="6" shapeId="0" xr:uid="{9239E43E-CDC7-4F9C-B6AB-3D6BDC4E67D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F50" authorId="6" shapeId="0" xr:uid="{57DA8485-2361-4C14-A821-9CDFE3607F0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G50" authorId="6" shapeId="0" xr:uid="{F573B4CC-B8C8-43BD-AF24-A8CADC7514C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H50" authorId="6" shapeId="0" xr:uid="{0D27429B-06BE-4F78-A1AC-8BC0F860EC2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I50" authorId="6" shapeId="0" xr:uid="{46669375-8547-495A-B860-2C10407466D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J50" authorId="6" shapeId="0" xr:uid="{82E9ED55-D054-4C50-9DB0-74A83DDED0C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K50" authorId="6" shapeId="0" xr:uid="{1C6EF01E-C130-453A-A558-05B7B44191E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L50" authorId="6" shapeId="0" xr:uid="{F53FBA15-CE94-4E06-BE55-DFD6E79FA60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M50" authorId="6" shapeId="0" xr:uid="{3E5D40C0-61F6-4FAF-8B94-65911B769F1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N50" authorId="6" shapeId="0" xr:uid="{F7B3CAF2-B1F5-48C3-AE23-0BE8C4C2BC3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O50" authorId="6" shapeId="0" xr:uid="{8EE7862F-EC0D-4846-89E3-5168B8ED8BB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P50" authorId="6" shapeId="0" xr:uid="{1267C0E6-8913-4E95-B2BD-59DFBA81FA2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Q50" authorId="6" shapeId="0" xr:uid="{01241685-80D5-4A69-A88A-5A31FB3F944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R50" authorId="6" shapeId="0" xr:uid="{7668CC7F-81B4-4E43-BF09-06CFC96B82A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S50" authorId="6" shapeId="0" xr:uid="{2D4CD14E-50E0-4BD8-A733-F721B38940E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T50" authorId="6" shapeId="0" xr:uid="{A6DCD72F-147D-46D0-93DA-8E3358DC537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U50" authorId="6" shapeId="0" xr:uid="{EA8DFE3B-1ACB-4247-B4B3-040A3639FE8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V50" authorId="6" shapeId="0" xr:uid="{7A912588-C42F-4800-8F34-A6A09D474CF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W50" authorId="6" shapeId="0" xr:uid="{978F5876-7FF5-472F-A177-5669E4DA897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X50" authorId="6" shapeId="0" xr:uid="{64E03AE6-4BBD-4614-AAFF-225435B6D69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Y50" authorId="6" shapeId="0" xr:uid="{67F3A4FE-408A-478B-9587-9DA30F79A94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Z50" authorId="6" shapeId="0" xr:uid="{4710DBD4-3639-4344-BAED-D0DBC562518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A50" authorId="6" shapeId="0" xr:uid="{E2254046-C8DB-4D6E-9171-C35CD21CF52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B50" authorId="6" shapeId="0" xr:uid="{FA60F7B0-5BAF-4210-8BFE-2FFF8F1338D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C50" authorId="6" shapeId="0" xr:uid="{F6A9785C-123D-4991-999F-C6D6EBCA283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D50" authorId="6" shapeId="0" xr:uid="{E43B3AFD-1710-4FB2-B38D-8E3D71693A6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E50" authorId="6" shapeId="0" xr:uid="{BBB2437E-F4C9-4700-B4C2-67C7A90A900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F50" authorId="6" shapeId="0" xr:uid="{A1F944E0-83B4-41D5-BA9B-0AAC046BBD6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tc={E64FA9DE-E7F9-43F4-85B2-F61C3EA84586}</author>
    <author>Rodewald, Silke</author>
    <author>tc={941BA003-1426-430A-B5D5-F551BD3D41A6}</author>
    <author>tc={738A9B5E-2498-4CD8-880E-B383A4EB4709}</author>
    <author>Ein geschätzter Microsoft Office Anwender</author>
  </authors>
  <commentList>
    <comment ref="C8" authorId="0" shapeId="0" xr:uid="{E64FA9DE-E7F9-43F4-85B2-F61C3EA8458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Höchst nur 1 Monat
Antwort:
    Ohne Oberstaufen und Wiesensee</t>
      </text>
    </comment>
    <comment ref="A28" authorId="1" shapeId="0" xr:uid="{D4725E0E-6A69-4729-9A2C-BBC749DCCE2A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A29" authorId="1" shapeId="0" xr:uid="{6D45A5E1-D769-4190-8A3D-7161821542B2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K29" authorId="2" shapeId="0" xr:uid="{941BA003-1426-430A-B5D5-F551BD3D41A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Analog Zahllast April für März</t>
      </text>
    </comment>
    <comment ref="AK40" authorId="3" shapeId="0" xr:uid="{738A9B5E-2498-4CD8-880E-B383A4EB470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A50" authorId="4" shapeId="0" xr:uid="{2D67DF6D-C593-441B-BC6D-B7469A2A7FE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C50" authorId="4" shapeId="0" xr:uid="{ACE70C52-15BC-4ED9-935A-7289497D341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D50" authorId="4" shapeId="0" xr:uid="{7A401C2A-BC8C-4162-B080-9B6439C2531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E50" authorId="4" shapeId="0" xr:uid="{9C5548AA-CEC9-4E2A-8C62-272ADB20949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F50" authorId="4" shapeId="0" xr:uid="{1D32F9DB-CC54-4BA9-8649-7FD875F7CBB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G50" authorId="4" shapeId="0" xr:uid="{4719F460-FF13-4B85-97EA-B85B7CFC808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H50" authorId="4" shapeId="0" xr:uid="{40703485-D710-4A4F-BB80-A19C3671AA1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I50" authorId="4" shapeId="0" xr:uid="{C1058618-0413-45B5-ADE7-A8129B7CA88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J50" authorId="4" shapeId="0" xr:uid="{F5492AB2-8FAC-439B-87AE-10C648700B0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K50" authorId="4" shapeId="0" xr:uid="{B7DF75E6-4AD9-4D3B-A65A-DA41308D1CF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L50" authorId="4" shapeId="0" xr:uid="{A360BC23-7924-4188-8ED6-275122E3291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M50" authorId="4" shapeId="0" xr:uid="{495F38BD-14C9-4100-99EC-9985314C259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N50" authorId="4" shapeId="0" xr:uid="{AFA592A1-DEDE-41F1-9B29-ADA1F24B203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O50" authorId="4" shapeId="0" xr:uid="{A24AB457-F3AC-49DE-9B68-4627BEEF6CF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P50" authorId="4" shapeId="0" xr:uid="{132100B2-903D-43FC-8B41-782A90B21BB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Q50" authorId="4" shapeId="0" xr:uid="{B9F4B816-277F-4B75-8C83-A5162E2BFE6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R50" authorId="4" shapeId="0" xr:uid="{DB1DA799-B4EA-4352-AE93-D902318A538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S50" authorId="4" shapeId="0" xr:uid="{7EF01A4B-D948-4905-9FA7-4EB63683F1C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T50" authorId="4" shapeId="0" xr:uid="{9772A2C7-46E8-4D0D-B9DC-C10B06ACBE2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U50" authorId="4" shapeId="0" xr:uid="{57335255-F86C-4F64-B569-53FB7CC9FA6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V50" authorId="4" shapeId="0" xr:uid="{2C37646D-C15A-44A7-8119-369E22F6EB5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W50" authorId="4" shapeId="0" xr:uid="{F4EF3A06-EB1C-4A0F-9267-740D10C7122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X50" authorId="4" shapeId="0" xr:uid="{201BBFF8-B93E-4202-84DF-D1AED6B8711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Y50" authorId="4" shapeId="0" xr:uid="{FFA97ABE-DE74-43BC-AE07-68EF1FBD4DB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Z50" authorId="4" shapeId="0" xr:uid="{60A930D2-5347-4249-A3D8-69705BC5AAB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A50" authorId="4" shapeId="0" xr:uid="{05AECDD6-4897-46DF-AA27-74F1F8F500B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B50" authorId="4" shapeId="0" xr:uid="{224EA34B-42B6-4A46-94B3-65C2BB5EC1A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C50" authorId="4" shapeId="0" xr:uid="{3510CEB8-1E72-47B8-A3F2-AA992669B68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D50" authorId="4" shapeId="0" xr:uid="{137DA151-4DA4-43CF-8A75-6DA27D7E4C9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E50" authorId="4" shapeId="0" xr:uid="{39C26684-EBE3-4CC7-BB57-6254F94F9ED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F50" authorId="4" shapeId="0" xr:uid="{CF18D87F-C548-465E-B09C-1164CA0FB29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tc={7C7D6EA9-1BBC-4999-A324-A76AADCAE42F}</author>
    <author>Rodewald, Silke</author>
    <author>tc={BC19AE37-C572-4844-B740-F5DCE19158EB}</author>
    <author>tc={173E3F1A-0CB4-4CA6-BFE0-ADBF513B00BC}</author>
    <author>tc={ACF5D81D-009A-470D-A661-E455F638E8AD}</author>
    <author>Ein geschätzter Microsoft Office Anwender</author>
  </authors>
  <commentList>
    <comment ref="F8" authorId="0" shapeId="0" xr:uid="{7C7D6EA9-1BBC-4999-A324-A76AADCAE42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Höchst nur 1 Monat
Antwort:
    Ohne Oberstaufen und Wiesensee</t>
      </text>
    </comment>
    <comment ref="A28" authorId="1" shapeId="0" xr:uid="{5746B684-81E6-4A1A-919F-E64E01207479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A29" authorId="1" shapeId="0" xr:uid="{29664AF0-88A9-4612-848F-D34B78084A89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J29" authorId="2" shapeId="0" xr:uid="{BC19AE37-C572-4844-B740-F5DCE19158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Analog Zahllast April für März</t>
      </text>
    </comment>
    <comment ref="AB31" authorId="3" shapeId="0" xr:uid="{173E3F1A-0CB4-4CA6-BFE0-ADBF513B00B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Ausgleich FF&amp;E Konto Mainz</t>
      </text>
    </comment>
    <comment ref="AK40" authorId="4" shapeId="0" xr:uid="{ACF5D81D-009A-470D-A661-E455F638E8A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A50" authorId="5" shapeId="0" xr:uid="{129F1EED-27F0-42FD-8965-66C42570ABA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C50" authorId="5" shapeId="0" xr:uid="{49BEE78E-78D0-4E1D-9443-A7E5C295473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D50" authorId="5" shapeId="0" xr:uid="{10AC6AA6-486F-4224-B3B7-76E181F30FF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E50" authorId="5" shapeId="0" xr:uid="{E9AFD284-D0D0-4E2E-B345-35DC879D2E3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F50" authorId="5" shapeId="0" xr:uid="{F84B3290-EEC5-4493-BA55-3ABD7FB57CF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G50" authorId="5" shapeId="0" xr:uid="{2941990B-F849-4AF1-A4AF-0F1BBDF9455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H50" authorId="5" shapeId="0" xr:uid="{CC74B138-07CD-43C1-845E-3461072ADE2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I50" authorId="5" shapeId="0" xr:uid="{FE1D21E9-6954-45A8-8D95-76D7E029E48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J50" authorId="5" shapeId="0" xr:uid="{F1DCDC5B-A0AD-44C3-A41E-278C0950D62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K50" authorId="5" shapeId="0" xr:uid="{2727F4A4-A6EC-4299-9064-4C9BB6FDA6E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L50" authorId="5" shapeId="0" xr:uid="{CF6CEAA5-3303-450C-8E64-C4697D18007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M50" authorId="5" shapeId="0" xr:uid="{CF9CE249-C259-4C22-AF98-782DC128A509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N50" authorId="5" shapeId="0" xr:uid="{D3092908-4F9E-4A4B-A045-368E23C2281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O50" authorId="5" shapeId="0" xr:uid="{255E8AC3-F1B2-4050-AB55-04395FC9406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P50" authorId="5" shapeId="0" xr:uid="{82761AEB-FEE2-4E7F-99C3-EBF354BDF53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Q50" authorId="5" shapeId="0" xr:uid="{CF083A36-7D0C-4602-8754-76DBBCCB717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R50" authorId="5" shapeId="0" xr:uid="{438FA007-C414-4460-97AA-591D7924498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S50" authorId="5" shapeId="0" xr:uid="{1E355E57-8EDF-4DA3-A613-DFA8ABB7D3F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T50" authorId="5" shapeId="0" xr:uid="{9823EAC7-78CA-44AF-AA55-5847551D2DA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U50" authorId="5" shapeId="0" xr:uid="{02929E96-FEE7-4505-91EB-F7C4C88E2B1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V50" authorId="5" shapeId="0" xr:uid="{345FEAB2-51E1-4037-9CC5-18DEBCF9123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W50" authorId="5" shapeId="0" xr:uid="{543FAED8-E05D-4C9D-8E94-47C18ED9B78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X50" authorId="5" shapeId="0" xr:uid="{9611720E-9831-4BE9-9A39-B0364B7931A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Y50" authorId="5" shapeId="0" xr:uid="{469981FB-347A-4CB9-B33C-C1E5E67771E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Z50" authorId="5" shapeId="0" xr:uid="{17A92E98-D780-4D6E-B587-2E67BF63F4C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A50" authorId="5" shapeId="0" xr:uid="{8E2797B6-11D0-4E44-8703-C3977878A51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B50" authorId="5" shapeId="0" xr:uid="{97C3E3A8-9B1C-4231-9889-25547206C84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C50" authorId="5" shapeId="0" xr:uid="{40959792-4457-492D-A2B2-E35D8402D20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D50" authorId="5" shapeId="0" xr:uid="{D5218B50-9408-4AA6-B56F-4D0F3AE27DA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E50" authorId="5" shapeId="0" xr:uid="{AAFFDFCC-2C95-41FB-93D4-B5A037B5C79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F50" authorId="5" shapeId="0" xr:uid="{D221E966-291E-4BB6-8B2A-14704CEF2DF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tc={22594D7B-65B5-4EA3-B0F6-E8FE52FD8F27}</author>
    <author>Rodewald, Silke</author>
    <author>tc={A2A18AC3-0B9A-4046-8668-8961AFA136E2}</author>
    <author>tc={E6E6CC98-1282-462D-A094-79F88F1B7021}</author>
    <author>tc={1D2BDF19-43CA-4D60-8ACC-65C286751790}</author>
    <author>Ein geschätzter Microsoft Office Anwender</author>
  </authors>
  <commentList>
    <comment ref="E8" authorId="0" shapeId="0" xr:uid="{22594D7B-65B5-4EA3-B0F6-E8FE52FD8F2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Pacht Höchst nur 1 Monat</t>
      </text>
    </comment>
    <comment ref="A28" authorId="1" shapeId="0" xr:uid="{CBB27C3D-9141-4713-8A73-42638494AA62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A29" authorId="1" shapeId="0" xr:uid="{59936ADF-DDAD-4DC8-85E5-D627338B25ED}">
      <text>
        <r>
          <rPr>
            <b/>
            <sz val="8"/>
            <color indexed="81"/>
            <rFont val="Tahoma"/>
            <family val="2"/>
          </rPr>
          <t>Rodewald, Silke:</t>
        </r>
        <r>
          <rPr>
            <sz val="8"/>
            <color indexed="81"/>
            <rFont val="Tahoma"/>
            <family val="2"/>
          </rPr>
          <t xml:space="preserve">
alle Betriebe ausser Hotelbetriebe LHAG Deutschland, Eintrag bei 1016,1018,1030-1045 in interne Zahlungen</t>
        </r>
      </text>
    </comment>
    <comment ref="K29" authorId="2" shapeId="0" xr:uid="{A2A18AC3-0B9A-4046-8668-8961AFA136E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Analog Zahllast April für März</t>
      </text>
    </comment>
    <comment ref="AB31" authorId="3" shapeId="0" xr:uid="{E6E6CC98-1282-462D-A094-79F88F1B702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Ausgleich FF&amp;E Konto Mainz</t>
      </text>
    </comment>
    <comment ref="AK40" authorId="4" shapeId="0" xr:uid="{1D2BDF19-43CA-4D60-8ACC-65C2867517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Umsätze wurden im FC um -1 Mio.EUR reduziert</t>
      </text>
    </comment>
    <comment ref="A50" authorId="5" shapeId="0" xr:uid="{2A04B014-9DA0-47AF-977E-3DA7B7B5F89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C50" authorId="5" shapeId="0" xr:uid="{BFEB0D05-9549-45B0-874B-9072B41B744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D50" authorId="5" shapeId="0" xr:uid="{47DA6087-EC61-41F5-9CB5-5EFCF5A5FC4B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E50" authorId="5" shapeId="0" xr:uid="{CA0B6427-CE1B-40CA-BE37-C23640C3D83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F50" authorId="5" shapeId="0" xr:uid="{087A39B4-4C6A-4811-931B-DC9311369EA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G50" authorId="5" shapeId="0" xr:uid="{2E8A33E1-0A2C-4F72-B27E-BF3FC72BA2E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H50" authorId="5" shapeId="0" xr:uid="{26DABE8A-7E25-4B22-9F84-2BCE6F737B22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I50" authorId="5" shapeId="0" xr:uid="{A20EACFE-BF75-47C5-BFD8-5EBB97B1537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J50" authorId="5" shapeId="0" xr:uid="{F09A7774-0E4D-44F0-906E-D7937946B09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K50" authorId="5" shapeId="0" xr:uid="{223D6E7D-5F3E-4D70-8004-B9F96253A17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L50" authorId="5" shapeId="0" xr:uid="{0B94C407-10D1-4676-8533-7DD7C321ACA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M50" authorId="5" shapeId="0" xr:uid="{36AD2B63-0A10-40EF-A9F1-DF5D75E5588C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N50" authorId="5" shapeId="0" xr:uid="{86B43EBE-C1EF-4CA4-83C9-F288FD8762C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O50" authorId="5" shapeId="0" xr:uid="{FA880A72-0551-4DBC-BB6F-BD86836E78AA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P50" authorId="5" shapeId="0" xr:uid="{A1BCBE36-D2F2-4708-A7ED-4B4C06360AA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Q50" authorId="5" shapeId="0" xr:uid="{7E9A07F2-414F-4710-ADA2-3228AFF32DB4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R50" authorId="5" shapeId="0" xr:uid="{67E639EC-40DE-49D2-8C96-23C4488D312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S50" authorId="5" shapeId="0" xr:uid="{789960F4-A02C-4FF0-BD59-9B40A9B32AE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T50" authorId="5" shapeId="0" xr:uid="{0D271E37-7F7B-4D5D-967D-E34289FED366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U50" authorId="5" shapeId="0" xr:uid="{65BDFE5B-DF14-49B1-A463-D84B42B7C7C0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V50" authorId="5" shapeId="0" xr:uid="{8CEE29BE-1C68-41D2-A3C7-7B9D429D3A3F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W50" authorId="5" shapeId="0" xr:uid="{B41C5AE5-40CB-48EC-84A7-632585B6DA8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X50" authorId="5" shapeId="0" xr:uid="{4BB4B946-D05C-44BA-BF87-CBF94638A10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Y50" authorId="5" shapeId="0" xr:uid="{67E0D4EB-1884-4D7A-968B-D5886F092BC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Z50" authorId="5" shapeId="0" xr:uid="{8BC59E91-DAF4-4065-818E-CF543F8238C3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A50" authorId="5" shapeId="0" xr:uid="{0FEF605D-6F7E-41A1-A220-A432F5BA1137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B50" authorId="5" shapeId="0" xr:uid="{59A97F18-7B69-4286-99F2-0BB43125ABBD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C50" authorId="5" shapeId="0" xr:uid="{F56DF42C-3B38-4418-9890-F98B5F42244E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D50" authorId="5" shapeId="0" xr:uid="{BE6C42A5-CF8C-4FC9-9DF7-64DBC810CE98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E50" authorId="5" shapeId="0" xr:uid="{B139117A-AB9D-478A-94D4-9FC793171DC5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  <comment ref="AF50" authorId="5" shapeId="0" xr:uid="{DC0EBD0D-975D-4E72-B8BB-6F768BD34BE1}">
      <text>
        <r>
          <rPr>
            <sz val="8"/>
            <color indexed="81"/>
            <rFont val="Tahoma"/>
            <family val="2"/>
          </rPr>
          <t>Verfügungen bitte NICHT mit vorangestelltem "-" Zeichen eingeben, da auf der ersten Seite die Formel entsprechend rechnet.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Sadler, Sophie</author>
  </authors>
  <commentList>
    <comment ref="A29" authorId="0" shapeId="0" xr:uid="{315A8C20-2727-40CC-B368-65347D5DAE39}">
      <text>
        <r>
          <rPr>
            <sz val="10"/>
            <rFont val="Arial"/>
            <family val="2"/>
          </rPr>
          <t xml:space="preserve">Sadler, Sophie:
Nicht eingestellt weil es müsste eine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Sadler, Sophie</author>
  </authors>
  <commentList>
    <comment ref="A29" authorId="0" shapeId="0" xr:uid="{EB05DF4F-A133-4FF3-ABF9-B45E8C0EBB5C}">
      <text>
        <r>
          <rPr>
            <sz val="10"/>
            <rFont val="Arial"/>
            <family val="2"/>
          </rPr>
          <t xml:space="preserve">Sadler, Sophie:
Nicht eingestellt weil es müsste eine </t>
        </r>
      </text>
    </comment>
  </commentList>
</comments>
</file>

<file path=xl/sharedStrings.xml><?xml version="1.0" encoding="utf-8"?>
<sst xmlns="http://schemas.openxmlformats.org/spreadsheetml/2006/main" count="7157" uniqueCount="619">
  <si>
    <t>Phased P&amp;L Summary Report (Budget)</t>
  </si>
  <si>
    <t>Hotel Set: LH AG 2024</t>
  </si>
  <si>
    <t>Year: 2025</t>
  </si>
  <si>
    <t>With allocation</t>
  </si>
  <si>
    <t>P&amp;L: Hotel Totals</t>
  </si>
  <si>
    <t>Currency: Euro</t>
  </si>
  <si>
    <t>Amounts: Full</t>
  </si>
  <si>
    <t>Budget</t>
  </si>
  <si>
    <t>Total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</si>
  <si>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</si>
  <si>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</si>
  <si>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</si>
  <si>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</si>
  <si>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</si>
  <si>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</si>
  <si>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</si>
  <si>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</si>
  <si>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</si>
  <si>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</si>
  <si>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</si>
  <si>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</si>
  <si>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Hotel Revenue</t>
  </si>
  <si>
    <t>P/R &amp; Related Expenses</t>
  </si>
  <si>
    <t>Gross Operating Profit</t>
  </si>
  <si>
    <t>Available Rooms</t>
  </si>
  <si>
    <t>Rooms Sold</t>
  </si>
  <si>
    <t>Occupancy %</t>
  </si>
  <si>
    <t>Average Daily Rate</t>
  </si>
  <si>
    <t>Revenue Per Available Room</t>
  </si>
  <si>
    <t>Total Revenue Per Available Room</t>
  </si>
  <si>
    <t>Number of Guests</t>
  </si>
  <si>
    <t>Room Density</t>
  </si>
  <si>
    <t>Covers</t>
  </si>
  <si>
    <t>FTE</t>
  </si>
  <si>
    <t>Hotel Totals</t>
  </si>
  <si>
    <t>Rooms Revenue</t>
  </si>
  <si>
    <t>F&amp;B Revenue</t>
  </si>
  <si>
    <t>OOD Revenue</t>
  </si>
  <si>
    <t>Other Income</t>
  </si>
  <si>
    <t>Rooms</t>
  </si>
  <si>
    <t>Other Expenses</t>
  </si>
  <si>
    <t>Dept Profit/(Loss)</t>
  </si>
  <si>
    <t xml:space="preserve">Food &amp; Beverage </t>
  </si>
  <si>
    <t>Food Revenue</t>
  </si>
  <si>
    <t>Beverage Revenue</t>
  </si>
  <si>
    <t>Other Revenue</t>
  </si>
  <si>
    <t>Cost of Sales Food</t>
  </si>
  <si>
    <t>Cost of Sales Beverage</t>
  </si>
  <si>
    <t>Other Cost</t>
  </si>
  <si>
    <t>Cost of Sales</t>
  </si>
  <si>
    <t>Other Departments</t>
  </si>
  <si>
    <t>Gross Operating Income</t>
  </si>
  <si>
    <t>GOI</t>
  </si>
  <si>
    <t>Admin &amp; General</t>
  </si>
  <si>
    <t>IT Systems</t>
  </si>
  <si>
    <t>Cost of Services</t>
  </si>
  <si>
    <t>System Expenses</t>
  </si>
  <si>
    <t>Sales &amp; Marketing</t>
  </si>
  <si>
    <t>Repair &amp; Maintenance</t>
  </si>
  <si>
    <t>Energy</t>
  </si>
  <si>
    <t>Non Operating Income below GOP</t>
  </si>
  <si>
    <t>Rent Income Third Parties below GOP</t>
  </si>
  <si>
    <t>Other Income Third Parties below GOP</t>
  </si>
  <si>
    <t>Interest Income</t>
  </si>
  <si>
    <t>Other Income Pre-Opening</t>
  </si>
  <si>
    <t>Non Operating Expenses below GOP</t>
  </si>
  <si>
    <t>Rent Expenses Third Parties below GOP</t>
  </si>
  <si>
    <t>Other Expenses Third Parties below GOP</t>
  </si>
  <si>
    <t>Non Operating Profit/Loss of Dept. below GOP</t>
  </si>
  <si>
    <t>Profit/Loss before NOP Expenses</t>
  </si>
  <si>
    <t>NOP Expenses</t>
  </si>
  <si>
    <t>Property Insurance</t>
  </si>
  <si>
    <t>Insurances</t>
  </si>
  <si>
    <t>Amortisation / Depreciation</t>
  </si>
  <si>
    <t>Leasing of Vehicles/Equipment</t>
  </si>
  <si>
    <t>Property Tax</t>
  </si>
  <si>
    <t>External Interest Expenses</t>
  </si>
  <si>
    <t>Other Expenses Pre-Opening</t>
  </si>
  <si>
    <t>Printing/Office Supplies Pre-Opening</t>
  </si>
  <si>
    <t>IT Costs Pre-Opening</t>
  </si>
  <si>
    <t>Training Costs Pre-Opening</t>
  </si>
  <si>
    <t>Pre-Opening Profit/(Loss)</t>
  </si>
  <si>
    <t>Pre-Opening Income</t>
  </si>
  <si>
    <t>Pre-Opening Expenses</t>
  </si>
  <si>
    <t>Operational Profit/Loss before FF&amp;E</t>
  </si>
  <si>
    <t>FF&amp;E Reserve</t>
  </si>
  <si>
    <t>Profit/Loss before Other Income/Expenses</t>
  </si>
  <si>
    <t>One Time Expenses</t>
  </si>
  <si>
    <t>Profit/Loss before Management Fees</t>
  </si>
  <si>
    <t>Management Fees</t>
  </si>
  <si>
    <t>Management-Basis Fee</t>
  </si>
  <si>
    <t>Management Incentive Fee I</t>
  </si>
  <si>
    <t>Management Incentive Fee II</t>
  </si>
  <si>
    <t>Profit/Loss before Rent</t>
  </si>
  <si>
    <t>Rent</t>
  </si>
  <si>
    <t>Rent/Lease - Fixed</t>
  </si>
  <si>
    <t>Rent/Lease - Variable</t>
  </si>
  <si>
    <t>Rent/Lease - Variable (add.)</t>
  </si>
  <si>
    <t>Profit/Loss before Internal Interest Expenses</t>
  </si>
  <si>
    <t>Internal Interest Expenses</t>
  </si>
  <si>
    <t>Profit/Loss before Tax</t>
  </si>
  <si>
    <t>Tax</t>
  </si>
  <si>
    <t>NET PROFIT/LOSS before Profit/Loss Settlement</t>
  </si>
  <si>
    <t>EAV / Ergebnisverrechnungen</t>
  </si>
  <si>
    <t>NET PROFIT/LOSS</t>
  </si>
  <si>
    <t>Key Data</t>
  </si>
  <si>
    <t>EBITDA</t>
  </si>
  <si>
    <t>EBIT</t>
  </si>
  <si>
    <t>Fees Details intern</t>
  </si>
  <si>
    <t>CSC (KST 5)</t>
  </si>
  <si>
    <t>RDT (KST 1)</t>
  </si>
  <si>
    <t>SSC (KST 60)</t>
  </si>
  <si>
    <t>Commercial Cluster</t>
  </si>
  <si>
    <t>Management Fee (KST 90)</t>
  </si>
  <si>
    <t>Marketing Fee (KST 62)</t>
  </si>
  <si>
    <t>Fees Details extern</t>
  </si>
  <si>
    <t>Commercial System Fee (KST 1)</t>
  </si>
  <si>
    <t>Franchise Fees (KST 62)</t>
  </si>
  <si>
    <t>Digital Acquisition Fee (KST 62)</t>
  </si>
  <si>
    <t>Loyalty Fee (KST 62)</t>
  </si>
  <si>
    <t>Run Date: 2024-12-14 14:35:05</t>
  </si>
  <si>
    <t>Subtotals First Half</t>
  </si>
  <si>
    <t>Subtotals Second Half</t>
  </si>
  <si>
    <t>LH AG 2025</t>
  </si>
  <si>
    <t>Revenues</t>
  </si>
  <si>
    <t>Subtotals 
First Half</t>
  </si>
  <si>
    <t>Hotel Set: LH AG 2024 - ohne HV</t>
  </si>
  <si>
    <t>Run Date: 2024-12-14 15:16:30</t>
  </si>
  <si>
    <t>Hotels only</t>
  </si>
  <si>
    <t>EBITDA Hotels only</t>
  </si>
  <si>
    <t>HV</t>
  </si>
  <si>
    <t>Hotel Set: Hauptverwaltung FairPlanner Online</t>
  </si>
  <si>
    <t>Run Date: 2024-12-14 15:23:57</t>
  </si>
  <si>
    <t>EBITDA HQ</t>
  </si>
  <si>
    <t>Kudamm</t>
  </si>
  <si>
    <t>Hotel Set: Lindner Hotel Berlin Kudamm</t>
  </si>
  <si>
    <t>Run Date: 2024-12-14 15:35:43</t>
  </si>
  <si>
    <t>Hotel Set: Lindner Hotel Düsseldorf Airport</t>
  </si>
  <si>
    <t>Run Date: 2024-12-14 15:39:49</t>
  </si>
  <si>
    <t>Hotel Set: Lindner Hotel Düsseldorf Seestern</t>
  </si>
  <si>
    <t>Run Date: 2024-12-14 15:42:00</t>
  </si>
  <si>
    <t>Hotel Set: Lindner Hotel Frankfurt Höchst</t>
  </si>
  <si>
    <t>Run Date: 2024-12-14 15:45:54</t>
  </si>
  <si>
    <t>Hotel Set: Lindner Hotel Frankfurt Main Plaza</t>
  </si>
  <si>
    <t>Run Date: 2024-12-14 15:50:41</t>
  </si>
  <si>
    <t>Hotel Set: Lindner Hotel Hamburg Am Michel</t>
  </si>
  <si>
    <t>Run Date: 2024-12-14 15:53:08</t>
  </si>
  <si>
    <t>Hotel Set: Lindner Hotel Köln Am Dom</t>
  </si>
  <si>
    <t>Run Date: 2024-12-14 15:55:16</t>
  </si>
  <si>
    <t>Hotel Set: Lindner Hotel Köln City Plaza</t>
  </si>
  <si>
    <t>Run Date: 2024-12-14 15:59:48</t>
  </si>
  <si>
    <t>Hotel Set: Lindner Hotel Leverkusen BayArena</t>
  </si>
  <si>
    <t>Run Date: 2024-12-14 16:02:21</t>
  </si>
  <si>
    <t>Hotel Set: Lindner Hotel Oberstaufen Parkhotel</t>
  </si>
  <si>
    <t>Run Date: 2024-12-14 16:05:57</t>
  </si>
  <si>
    <t>Hotel Set: Lindner Hotel Sylt</t>
  </si>
  <si>
    <t>Run Date: 2024-12-14 16:07:47</t>
  </si>
  <si>
    <t>Hotel Set: Lindner Hotel Wiesensee</t>
  </si>
  <si>
    <t>Run Date: 2024-12-14 16:09:22</t>
  </si>
  <si>
    <t>Hotel Set: me and all Mainz</t>
  </si>
  <si>
    <t>Run Date: 2024-12-14 16:11:11</t>
  </si>
  <si>
    <t>DUS Airport</t>
  </si>
  <si>
    <t>Seestern</t>
  </si>
  <si>
    <t>Höchst</t>
  </si>
  <si>
    <t>Main Plaza</t>
  </si>
  <si>
    <t>Michel</t>
  </si>
  <si>
    <t>Köln Dom</t>
  </si>
  <si>
    <t>City Plaza</t>
  </si>
  <si>
    <t>Leverkusen</t>
  </si>
  <si>
    <t>Oberstaufen</t>
  </si>
  <si>
    <t>Sylt</t>
  </si>
  <si>
    <t>Wiesensee</t>
  </si>
  <si>
    <t>MAA Mainz</t>
  </si>
  <si>
    <t>S&amp;W</t>
  </si>
  <si>
    <t>Rent -25%</t>
  </si>
  <si>
    <t>Rent - 30%</t>
  </si>
  <si>
    <t>Rent -30%</t>
  </si>
  <si>
    <t>Rent -25%/50%</t>
  </si>
  <si>
    <t>Payroll</t>
  </si>
  <si>
    <t>Schliessung</t>
  </si>
  <si>
    <t>EBITDA
Budgeted 2025</t>
  </si>
  <si>
    <t xml:space="preserve">Revenue Adj. Mgt. Fee </t>
  </si>
  <si>
    <t>Interest Crowd</t>
  </si>
  <si>
    <t>Rent HQ Reduction</t>
  </si>
  <si>
    <t>OL</t>
  </si>
  <si>
    <t>Nebenkosten LUG</t>
  </si>
  <si>
    <t>EBITDA LH AG</t>
  </si>
  <si>
    <t>EBITDA Hotels</t>
  </si>
  <si>
    <t>EBITDA 25</t>
  </si>
  <si>
    <t xml:space="preserve">Hotels </t>
  </si>
  <si>
    <t>HQ</t>
  </si>
  <si>
    <t>Adjusted  EBITDA 25</t>
  </si>
  <si>
    <t>Adjusted EBITDA 25</t>
  </si>
  <si>
    <t>Portfolio Liquidity Adj.</t>
  </si>
  <si>
    <t>Adj. Liquidity</t>
  </si>
  <si>
    <t>Total 2025</t>
  </si>
  <si>
    <t>Net Cash From Operations</t>
  </si>
  <si>
    <t>Net Cash Bank account</t>
  </si>
  <si>
    <t>Subtotals 
Second Half</t>
  </si>
  <si>
    <t>Revenues Hotel</t>
  </si>
  <si>
    <t>Ratio</t>
  </si>
  <si>
    <t>Eher exit</t>
  </si>
  <si>
    <t>kündigen und nachverhandeln</t>
  </si>
  <si>
    <t>PIP</t>
  </si>
  <si>
    <t>Technik</t>
  </si>
  <si>
    <t>Verwaltung</t>
  </si>
  <si>
    <t>AK</t>
  </si>
  <si>
    <t>C. Fitz</t>
  </si>
  <si>
    <t>GvH</t>
  </si>
  <si>
    <t>Comercial</t>
  </si>
  <si>
    <t>1 Rv, 1 Sales, 1 Marketing</t>
  </si>
  <si>
    <t>1 Etage aufgeben</t>
  </si>
  <si>
    <t>Risk Adjustment Hotels</t>
  </si>
  <si>
    <t>Risk Adjustment HQ</t>
  </si>
  <si>
    <t>Flow through Hotels</t>
  </si>
  <si>
    <t>Flow through HQ</t>
  </si>
  <si>
    <t>Revenues HQ</t>
  </si>
  <si>
    <t>Risk Adjustement</t>
  </si>
  <si>
    <t>Risk Adjusted Cash</t>
  </si>
  <si>
    <t xml:space="preserve"> </t>
  </si>
  <si>
    <t>Anteil RL</t>
  </si>
  <si>
    <t>Valuta ohne RL</t>
  </si>
  <si>
    <t>Neuer Saldo</t>
  </si>
  <si>
    <t xml:space="preserve">Liquiditätshilfe </t>
  </si>
  <si>
    <t>Zwischensumme</t>
  </si>
  <si>
    <t>Anteil Debitoren</t>
  </si>
  <si>
    <t xml:space="preserve">Anteil CC </t>
  </si>
  <si>
    <t>Summe Einnahmen</t>
  </si>
  <si>
    <t xml:space="preserve">Umsätze brutto </t>
  </si>
  <si>
    <t>Debitoren</t>
  </si>
  <si>
    <t>Kreditkarten</t>
  </si>
  <si>
    <t>Besonderheiten</t>
  </si>
  <si>
    <t>interne Zahlungen</t>
  </si>
  <si>
    <t>Umbuchungen S-Zentral</t>
  </si>
  <si>
    <t>Bareinzahlungen</t>
  </si>
  <si>
    <t>Vorauszahlungen</t>
  </si>
  <si>
    <t>EINNAHMEN</t>
  </si>
  <si>
    <t>Summe Ausgaben</t>
  </si>
  <si>
    <t>div. Abbuchungen</t>
  </si>
  <si>
    <t>UST</t>
  </si>
  <si>
    <t>Lohnsteuer</t>
  </si>
  <si>
    <t>Krankenkasse</t>
  </si>
  <si>
    <t>L&amp;G</t>
  </si>
  <si>
    <t>City Taxes</t>
  </si>
  <si>
    <t>BGN/Schwerbeh.abgabe</t>
  </si>
  <si>
    <t>Airplus</t>
  </si>
  <si>
    <t>Sonepar/Haustechnik</t>
  </si>
  <si>
    <t>Gema/GEZ/Sky</t>
  </si>
  <si>
    <t>Leasing</t>
  </si>
  <si>
    <t>Jobtickets</t>
  </si>
  <si>
    <t>KFZ Leasing</t>
  </si>
  <si>
    <t>Provisonen( Booking, Expedia</t>
  </si>
  <si>
    <t>Gebühren CC</t>
  </si>
  <si>
    <t>Telekommunikation</t>
  </si>
  <si>
    <t>Energiedienstleister</t>
  </si>
  <si>
    <t>Lastschriften</t>
  </si>
  <si>
    <t>Aktivbank/Progros</t>
  </si>
  <si>
    <t>Kreditorenzahlungen</t>
  </si>
  <si>
    <t>Annuität ext.</t>
  </si>
  <si>
    <t>Pacht</t>
  </si>
  <si>
    <t>AUSGABEN</t>
  </si>
  <si>
    <t>Summe</t>
  </si>
  <si>
    <t>Tagesgeld</t>
  </si>
  <si>
    <t>Valuta</t>
  </si>
  <si>
    <t>gesamt</t>
  </si>
  <si>
    <t>31.</t>
  </si>
  <si>
    <t>30.</t>
  </si>
  <si>
    <t>29.</t>
  </si>
  <si>
    <t>28.</t>
  </si>
  <si>
    <t>27.</t>
  </si>
  <si>
    <t>26.</t>
  </si>
  <si>
    <t>25.</t>
  </si>
  <si>
    <t>24.</t>
  </si>
  <si>
    <t>23.</t>
  </si>
  <si>
    <t>22.</t>
  </si>
  <si>
    <t>21.</t>
  </si>
  <si>
    <t>20.</t>
  </si>
  <si>
    <t>19.</t>
  </si>
  <si>
    <t>18.</t>
  </si>
  <si>
    <t>17.</t>
  </si>
  <si>
    <t>16.</t>
  </si>
  <si>
    <t>15.</t>
  </si>
  <si>
    <t>14.</t>
  </si>
  <si>
    <t>13.</t>
  </si>
  <si>
    <t>12.</t>
  </si>
  <si>
    <t>11.</t>
  </si>
  <si>
    <t>10.</t>
  </si>
  <si>
    <t>9.</t>
  </si>
  <si>
    <t>8.</t>
  </si>
  <si>
    <t>7.</t>
  </si>
  <si>
    <t>6.</t>
  </si>
  <si>
    <t>5.</t>
  </si>
  <si>
    <t>4.</t>
  </si>
  <si>
    <t>3.</t>
  </si>
  <si>
    <t>2.</t>
  </si>
  <si>
    <t>1.</t>
  </si>
  <si>
    <t>geplant/IST</t>
  </si>
  <si>
    <t>Monatswerte</t>
  </si>
  <si>
    <t>Januar</t>
  </si>
  <si>
    <t>Neuer Saldo Valuta inkl RL</t>
  </si>
  <si>
    <t>UST/Quellensteuer</t>
  </si>
  <si>
    <t>Indexanpassungen</t>
  </si>
  <si>
    <t>Valuta inkl RL</t>
  </si>
  <si>
    <t>Februar</t>
  </si>
  <si>
    <t>Karfreitag</t>
  </si>
  <si>
    <t>März</t>
  </si>
  <si>
    <t>Ostermontag</t>
  </si>
  <si>
    <t>April</t>
  </si>
  <si>
    <t>Fronleichnam</t>
  </si>
  <si>
    <t>Pfingstmontag</t>
  </si>
  <si>
    <t>Christi Himmelfahrt</t>
  </si>
  <si>
    <t>Tag der Arbeit</t>
  </si>
  <si>
    <t>Mai</t>
  </si>
  <si>
    <t>j</t>
  </si>
  <si>
    <t>Juni</t>
  </si>
  <si>
    <t>Revenues adjusted</t>
  </si>
  <si>
    <t>EBITDA Adjusted</t>
  </si>
  <si>
    <t>Costs</t>
  </si>
  <si>
    <t>AP</t>
  </si>
  <si>
    <t>Anteil M-1</t>
  </si>
  <si>
    <t>Anteil M-2</t>
  </si>
  <si>
    <t>Effective Cash</t>
  </si>
  <si>
    <t>January</t>
  </si>
  <si>
    <t>February</t>
  </si>
  <si>
    <t>March</t>
  </si>
  <si>
    <t>June</t>
  </si>
  <si>
    <t>December</t>
  </si>
  <si>
    <t>Opening Balance</t>
  </si>
  <si>
    <t>Closing Balance</t>
  </si>
  <si>
    <t>Casflow Plan</t>
  </si>
  <si>
    <t>Check</t>
  </si>
  <si>
    <t>Revenue</t>
  </si>
  <si>
    <t>AP Wiesensee, Oberstaufen, Sylt</t>
  </si>
  <si>
    <t>AP ohne Wiesensee, Oberstaufen, Sylt</t>
  </si>
  <si>
    <t>MWST Umsatz</t>
  </si>
  <si>
    <t>MWST Kosten</t>
  </si>
  <si>
    <t>Checks</t>
  </si>
  <si>
    <t>Effekt Savings</t>
  </si>
  <si>
    <t>Verfahrens und Beraterkosten</t>
  </si>
  <si>
    <t>Finanzierung von Tochtergesellschaften</t>
  </si>
  <si>
    <t>MWST Pacht</t>
  </si>
  <si>
    <t>MWSt Erstattung</t>
  </si>
  <si>
    <t>Umsätze</t>
  </si>
  <si>
    <t>Revenues budget</t>
  </si>
  <si>
    <t>Hotels only budget</t>
  </si>
  <si>
    <t>HV budget</t>
  </si>
  <si>
    <t>EBITDA 25 budget</t>
  </si>
  <si>
    <t>Risk adjustment Umsätze</t>
  </si>
  <si>
    <t>Massnahmen</t>
  </si>
  <si>
    <t>- Im Rahmen des Insolvenzprozesses wurden folgende zusätzliche Annahmen getroffen:</t>
  </si>
  <si>
    <t xml:space="preserve">     Sollten diese Reduzierungen nicht umsetzbar sein würde eine Aufgabe der Betriebe die alternative Option sein.</t>
  </si>
  <si>
    <t xml:space="preserve">   * Schließung von Betrieben: Die Betriebe Oberstaufen, Wiesensee und ggf. Sylt (bereits gekündigt) werden nicht weiter betrieben und ab Januar 2025 geschlossen.</t>
  </si>
  <si>
    <t>- Die Liquiditätsplanung basiert auf den für 2025 detailliert erstellten Budgets auf Einzelbetriebsebene der Hotelbetriebe sowie der Hauptverwaltung.</t>
  </si>
  <si>
    <t>- Um nicht absehbare Konsequenzen aus dem Verfahren zu antizipieren wurden die ursprünglich budgetierten Umsätze um 15% reduziert, davon können bei den Hotelbetrieben 35% im laufenden Betrieb eingespart werden, in der Hauptverwaltung ist dies nicht möglich.</t>
  </si>
  <si>
    <t xml:space="preserve"> - Zur Finanzierung von Tochtergesellschaften wurden von Jan bis Jun TEUR 100 monatlich eingeplant.</t>
  </si>
  <si>
    <t xml:space="preserve">   * Budgetierte Zinszahlungen werden nicht anfallen.</t>
  </si>
  <si>
    <t xml:space="preserve">   * In der Hauptverwaltung wurden Aufwände sowohl auf Personalseite über bereits getroffene Maßnahmen hinaus (Vorstand, Development, Opertation, Marketing, Technik) und operative Kosten (Beratung, Sponsoring, Mietfläche) reduziert.</t>
  </si>
  <si>
    <t>- Im Budgetprozess werden Umsätze der betriebe tagesgenau nach verschiedenen Buchungssegmenten (u.a. Geschäftskunden, Tagungen, OTAs) genau geplant in Abhängigkeit von Messen, Grossveranstaltungen, Konjunkturerwartung etc.</t>
  </si>
  <si>
    <t>- Darauf aufbauend werden die Kosten erfasst, die sich daraus ergeben (Reinigungskosten Zimmer, Personal, Kosten für Essen und Geränke, Energie, Marketing, Buchungsprovisionen, Instandhaltung, etc.)</t>
  </si>
  <si>
    <t xml:space="preserve">    * Neuverhandlungen von Mieten: für die Häuser Berlin Ku'damm, Düsseldorf Airport, Frankfurt Höchst, Frankfurt Main Plaza und Leverkusen wurden teils deutliche Mietabschläge bis 30% unterstellt.</t>
  </si>
  <si>
    <t xml:space="preserve">   * Für das Haus in Wien ist die Miete ebenfalls zu verhandeln.</t>
  </si>
  <si>
    <t xml:space="preserve">   * Schließung von Betrieben: die Betriebe Oberstaufen, Wiesensee und ggf. Sylt (bereits gekündigt) werden nicht weiter betrieben und ab Januar 2025 geschlossen.</t>
  </si>
  <si>
    <t xml:space="preserve">   * Die Pachtverträge der Häuser Düsseldorf Seestern, Hamburg Michl, Köln Dom, Köln City Plaza, Me &amp; all Mainz sollen grundsätzlich bestehen bleiben.</t>
  </si>
  <si>
    <t xml:space="preserve"> - Die Lohnkosten in den Monaten Dezember bis Februar wurden nicht berücksichtigt, abgebildet sind Gehaltsanteilen von Mitarbeitern (inkl. Lohnsteuer), die oberhalb der Beitragsbemessungsgrenze verdienen.</t>
  </si>
  <si>
    <t>Für die Sanierung wurden die Maßnahmen, die im Rahmen der Liquiditätsplanung bereits beschrieben wurden, fortgeschrieben.</t>
  </si>
  <si>
    <t>Berater-/ Verfahrenskosten Insolvenzverfahren</t>
  </si>
  <si>
    <t>- Risiken aus Umsatzverlusten aufgrund des Verfahrens wurden mit einer Reduktion von 5% gegenüber dem Budget abgebildet, davon können bei den Hotelbetrieben 35% im laufenden Betrieb eingespart werden, in der Hauptverwaltung ist dies nicht möglich.</t>
  </si>
  <si>
    <t>Liquiditätsplanung</t>
  </si>
  <si>
    <t>Ausblick 2. HJ 2025 Sanierung</t>
  </si>
  <si>
    <t>Finance</t>
  </si>
  <si>
    <t>Kontrolle</t>
  </si>
  <si>
    <t>Phased P&amp;L Summary Report (Forecast)</t>
  </si>
  <si>
    <t>Forecast</t>
  </si>
  <si>
    <t>Var Rev. FC FY</t>
  </si>
  <si>
    <t>Var 1st half</t>
  </si>
  <si>
    <t>Planungswert</t>
  </si>
  <si>
    <t>Variance</t>
  </si>
  <si>
    <t>F.Plan</t>
  </si>
  <si>
    <t>Var.</t>
  </si>
  <si>
    <t>Kommentierung</t>
  </si>
  <si>
    <t>400k werden im Januar bezahlt</t>
  </si>
  <si>
    <t>plus 600k dez</t>
  </si>
  <si>
    <t>plus 920k Dez</t>
  </si>
  <si>
    <t>zusätzliche Pachten, Höchst, Airport, Kudamm etc</t>
  </si>
  <si>
    <t>Entnahme CC 250k Einbehalt</t>
  </si>
  <si>
    <t>Korrektur Fehler ursprüngliche Planung</t>
  </si>
  <si>
    <t>Notiz: 
Dec 2023 wurden zwischen dem 17 und dem 31, 1,8 Mio.EUR CC Einnahmen und 1,8 Mio. EUR Debitoren
Verifizieren der Nexi Einnahmen - kann nicht sein mit 1,3 Mio.EUR bis 07.01</t>
  </si>
  <si>
    <t>Kostenreduzierung vs. Umsatz</t>
  </si>
  <si>
    <t>Prev. Month</t>
  </si>
  <si>
    <t>Kommentar</t>
  </si>
  <si>
    <t xml:space="preserve"> Sum</t>
  </si>
  <si>
    <t>Net Impakt</t>
  </si>
  <si>
    <t>Positiver Impakt</t>
  </si>
  <si>
    <t>Betrag</t>
  </si>
  <si>
    <t>Negativer Impakt</t>
  </si>
  <si>
    <t>Rev BUD</t>
  </si>
  <si>
    <t>Net Risk Adj. Hotels</t>
  </si>
  <si>
    <t>Net Adj. Risk Rev</t>
  </si>
  <si>
    <t>Var. Plan ORG</t>
  </si>
  <si>
    <t>reduzierte Ausgaben plus Verschiebung Jan</t>
  </si>
  <si>
    <t>840k reduzierte Einnahmen FC var Nexi Einbehalt 250k</t>
  </si>
  <si>
    <t>Verschiebung Einzahlungen Debitoren</t>
  </si>
  <si>
    <t>Reduzierung Umsatzrisiko Mär</t>
  </si>
  <si>
    <t>1500k werden im Januar bezahlt</t>
  </si>
  <si>
    <t>Zahlungen konnten noch nicht durchgeführt werden</t>
  </si>
  <si>
    <t>Über Beitragsbemessungsgrenze nicht im Dez bezahlt sondern Jan</t>
  </si>
  <si>
    <t>Verschiebung der Monate</t>
  </si>
  <si>
    <t>Erläuterung der Veränderungen</t>
  </si>
  <si>
    <t>Abweichung zum originalen Finanzplan</t>
  </si>
  <si>
    <t>Ust Erstattung in Januar bis März nicht zu erwarten</t>
  </si>
  <si>
    <t xml:space="preserve">Actual </t>
  </si>
  <si>
    <t>Plan</t>
  </si>
  <si>
    <t>Diff</t>
  </si>
  <si>
    <t>Reporting zur Liquidität</t>
  </si>
  <si>
    <t>Reduktion der Pachtzahlungen</t>
  </si>
  <si>
    <t>Finanzierung von Tochtergesellschaften reduziert</t>
  </si>
  <si>
    <t>Anpassung an Umsatzerwartung</t>
  </si>
  <si>
    <t>Anpassung Umsatzerwartung</t>
  </si>
  <si>
    <t>Anpassung Kreditoren</t>
  </si>
  <si>
    <t>Verschiebung der Einzahlungen (SSK DUS, Auszahlungen Kreditkarten, Einbehalt Deposit 250 T€)</t>
  </si>
  <si>
    <t xml:space="preserve">Backlog Kreditoren </t>
  </si>
  <si>
    <t>Verschiebung auf Februar</t>
  </si>
  <si>
    <t>Verschiebung von Jan auf Feb</t>
  </si>
  <si>
    <t>Hyatt Fees</t>
  </si>
  <si>
    <t>Dec 2024</t>
  </si>
  <si>
    <t>Mar 25</t>
  </si>
  <si>
    <t>Hyatt Fees Payable M+1)</t>
  </si>
  <si>
    <t>ADJ. (15%)</t>
  </si>
  <si>
    <t>ISOverwalter</t>
  </si>
  <si>
    <t>Control</t>
  </si>
  <si>
    <t>iberia</t>
  </si>
  <si>
    <t>Entlastung gemäß Pachtverhandlungen</t>
  </si>
  <si>
    <t>Miete</t>
  </si>
  <si>
    <t>Managment Fee</t>
  </si>
  <si>
    <t>Ergebnis für Zwecke der Ergebnispachtberechnung</t>
  </si>
  <si>
    <t>Ergebnisteilung 60%/40% bzw. 80/20</t>
  </si>
  <si>
    <t>Anteil LH AG</t>
  </si>
  <si>
    <t>Pachtabrechnung am Ende (getrennte Perioden)</t>
  </si>
  <si>
    <t>Ergebnis Liquidität</t>
  </si>
  <si>
    <t>Ergebnis Liquidität (Konzern Eliminierung geringere Umlage)</t>
  </si>
  <si>
    <t>Festpacht entspricht Ursprungspacht</t>
  </si>
  <si>
    <t>Festpacht entspricht 20k</t>
  </si>
  <si>
    <t>Ergebnis</t>
  </si>
  <si>
    <t>Ergebnisteilung 50%/50%</t>
  </si>
  <si>
    <t>Pachtabrechnung am Ende</t>
  </si>
  <si>
    <t>Endet am 30.09 (statt 31.12.), 20k Pacht ab 07.25, Ergebnisteilung 60/40 bzw 80/20, Abrechnung am Ende Pachtvertrag getrennt nach Perioden</t>
  </si>
  <si>
    <t>Exit 30.09., bis dahin 150k Pacht, keine Ergebnispacht (ab 07.25)</t>
  </si>
  <si>
    <t>Endet am 30.09, 50k Pacht</t>
  </si>
  <si>
    <t>Rent 20k</t>
  </si>
  <si>
    <t>Rent 150k</t>
  </si>
  <si>
    <t>Rent 88k</t>
  </si>
  <si>
    <t>Airport</t>
  </si>
  <si>
    <t>28.02.</t>
  </si>
  <si>
    <t>Michl</t>
  </si>
  <si>
    <t>Lev</t>
  </si>
  <si>
    <t>CGN City</t>
  </si>
  <si>
    <t>CGN Dom</t>
  </si>
  <si>
    <t>Fra Main</t>
  </si>
  <si>
    <t>Mainz</t>
  </si>
  <si>
    <t>Adjustment revenue Fees</t>
  </si>
  <si>
    <t>Gehalt + SV</t>
  </si>
  <si>
    <t xml:space="preserve">FL, </t>
  </si>
  <si>
    <t xml:space="preserve">Schroers, </t>
  </si>
  <si>
    <t xml:space="preserve">AJ </t>
  </si>
  <si>
    <t>Tülay</t>
  </si>
  <si>
    <t>Simon</t>
  </si>
  <si>
    <t>Fabri</t>
  </si>
  <si>
    <t>Scheffler</t>
  </si>
  <si>
    <t>Mainka</t>
  </si>
  <si>
    <t>C. Fritz</t>
  </si>
  <si>
    <t>Achim</t>
  </si>
  <si>
    <t>Gabriele</t>
  </si>
  <si>
    <t>ersetzt Bardia</t>
  </si>
  <si>
    <t>Holger wird COO</t>
  </si>
  <si>
    <t>Evert</t>
  </si>
  <si>
    <t>Sophie</t>
  </si>
  <si>
    <t>Marketing</t>
  </si>
  <si>
    <t>wie geplant</t>
  </si>
  <si>
    <t>Sales</t>
  </si>
  <si>
    <t>anpassen</t>
  </si>
  <si>
    <t>Rev Mgmt</t>
  </si>
  <si>
    <t>bleibt</t>
  </si>
  <si>
    <t>reduziert</t>
  </si>
  <si>
    <t>CS</t>
  </si>
  <si>
    <t>S. Doerre</t>
  </si>
  <si>
    <t>Claudia</t>
  </si>
  <si>
    <t>Holger ab Juni</t>
  </si>
  <si>
    <t>Ralf</t>
  </si>
  <si>
    <t>1 Rv</t>
  </si>
  <si>
    <t>Schroers, AJ, Tülay, Simon</t>
  </si>
  <si>
    <t>12.03.</t>
  </si>
  <si>
    <t>Auskehrung</t>
  </si>
  <si>
    <t>Planwert</t>
  </si>
  <si>
    <t>tatsächlicher Wert</t>
  </si>
  <si>
    <t>FF&amp;E Reserven</t>
  </si>
  <si>
    <t>SSK + Lohnsteuer abzgl OL</t>
  </si>
  <si>
    <t>Fehlt Abzug OL</t>
  </si>
  <si>
    <t>Puffer, da Fees weiter gezahlt werden (bis 09.25)</t>
  </si>
  <si>
    <r>
      <t xml:space="preserve">Simon               </t>
    </r>
    <r>
      <rPr>
        <sz val="12"/>
        <color rgb="FFFF0000"/>
        <rFont val="Aptos"/>
        <family val="2"/>
      </rPr>
      <t>31.03.2025</t>
    </r>
  </si>
  <si>
    <r>
      <t xml:space="preserve">Tülay                  </t>
    </r>
    <r>
      <rPr>
        <sz val="12"/>
        <color rgb="FFFF0000"/>
        <rFont val="Aptos"/>
        <family val="2"/>
      </rPr>
      <t>31.03.2025</t>
    </r>
  </si>
  <si>
    <r>
      <t xml:space="preserve">Angelika Schroers     </t>
    </r>
    <r>
      <rPr>
        <sz val="12"/>
        <color rgb="FFFF0000"/>
        <rFont val="Aptos"/>
        <family val="2"/>
      </rPr>
      <t>31.03.2025</t>
    </r>
  </si>
  <si>
    <r>
      <t xml:space="preserve">Janutschek     </t>
    </r>
    <r>
      <rPr>
        <sz val="12"/>
        <color rgb="FFFF0000"/>
        <rFont val="Aptos"/>
        <family val="2"/>
      </rPr>
      <t>31.03.2025</t>
    </r>
  </si>
  <si>
    <r>
      <t xml:space="preserve">Sophie                               30.06. reduziertes Gehalt </t>
    </r>
    <r>
      <rPr>
        <sz val="12"/>
        <color rgb="FFFF0000"/>
        <rFont val="Aptos"/>
        <family val="2"/>
      </rPr>
      <t>– in progress</t>
    </r>
  </si>
  <si>
    <t>Holger                                31.05.</t>
  </si>
  <si>
    <r>
      <t xml:space="preserve">Evert                                                                                         </t>
    </r>
    <r>
      <rPr>
        <sz val="12"/>
        <color rgb="FFFF0000"/>
        <rFont val="Aptos"/>
        <family val="2"/>
      </rPr>
      <t>- in progress</t>
    </r>
  </si>
  <si>
    <t>NT10: Pacht 89,790 netto zzgl NK</t>
  </si>
  <si>
    <t>Pacht EUR 45k, EBITDA bis 30.06. an Verpächter, danach 75% an Verpächter, maximale Fees 5,5%, exit 30.09.</t>
  </si>
  <si>
    <t>Rent 45k, EBITDA Teilung</t>
  </si>
  <si>
    <t>Rent 89,8k</t>
  </si>
  <si>
    <t>nachverhandelt, Indexierung 2025 nicht geplant</t>
  </si>
  <si>
    <t>letztes Reporting</t>
  </si>
  <si>
    <t>27.02.</t>
  </si>
  <si>
    <t>03.03.</t>
  </si>
  <si>
    <t>OL, eingestellt 30.05.</t>
  </si>
  <si>
    <t>Abweichung zum Finanzplan 14.03.25</t>
  </si>
  <si>
    <t>21.03.</t>
  </si>
  <si>
    <t>Last Plan (14.03.)</t>
  </si>
  <si>
    <t>Rev HQ BUD</t>
  </si>
  <si>
    <t>Positiver Impakt März</t>
  </si>
  <si>
    <t>01.04.2025</t>
  </si>
  <si>
    <t>02.04.2025</t>
  </si>
  <si>
    <t>07.04.2025</t>
  </si>
  <si>
    <t>09.04.2025</t>
  </si>
  <si>
    <t>08.04.2025</t>
  </si>
  <si>
    <t>Kontoauszug</t>
  </si>
  <si>
    <t>10.04.2025</t>
  </si>
  <si>
    <t>14.04.2025</t>
  </si>
  <si>
    <t>17.04.2025</t>
  </si>
  <si>
    <t>20.04.2025</t>
  </si>
  <si>
    <t>24.04.2025</t>
  </si>
  <si>
    <t>Kontoauszug 23.04.</t>
  </si>
  <si>
    <t>02.05.25</t>
  </si>
  <si>
    <t>01.05.25</t>
  </si>
  <si>
    <t>06.05.2025</t>
  </si>
  <si>
    <t>Juli</t>
  </si>
  <si>
    <t>August</t>
  </si>
  <si>
    <t>September</t>
  </si>
  <si>
    <t>July</t>
  </si>
  <si>
    <t>03. Mrz</t>
  </si>
  <si>
    <t>04. Mrz</t>
  </si>
  <si>
    <t>05. Mrz</t>
  </si>
  <si>
    <t>06. Mrz</t>
  </si>
  <si>
    <t>07. Mrz</t>
  </si>
  <si>
    <t>10. Mrz</t>
  </si>
  <si>
    <t>11. Mrz</t>
  </si>
  <si>
    <t>12. Mrz</t>
  </si>
  <si>
    <t>13. Mrz</t>
  </si>
  <si>
    <t>14. Mrz</t>
  </si>
  <si>
    <t>17. Mrz</t>
  </si>
  <si>
    <t>18. Mrz</t>
  </si>
  <si>
    <t>19. Mrz</t>
  </si>
  <si>
    <t>20. Mrz</t>
  </si>
  <si>
    <t>21. Mrz</t>
  </si>
  <si>
    <t>24. Mrz</t>
  </si>
  <si>
    <t>25. Mrz</t>
  </si>
  <si>
    <t>26. Mrz</t>
  </si>
  <si>
    <t>27. Mrz</t>
  </si>
  <si>
    <t>28. Mrz</t>
  </si>
  <si>
    <t>31. Mrz</t>
  </si>
  <si>
    <t>01. Apr</t>
  </si>
  <si>
    <t>02. Apr</t>
  </si>
  <si>
    <t>03. Apr</t>
  </si>
  <si>
    <t>04. Apr</t>
  </si>
  <si>
    <t>07. Apr</t>
  </si>
  <si>
    <t>08. Apr</t>
  </si>
  <si>
    <t>09. Apr</t>
  </si>
  <si>
    <t>10. Apr</t>
  </si>
  <si>
    <t>11. Apr</t>
  </si>
  <si>
    <t>14. Apr</t>
  </si>
  <si>
    <t>15. Apr</t>
  </si>
  <si>
    <t>16. Apr</t>
  </si>
  <si>
    <t>17. Apr</t>
  </si>
  <si>
    <t>22. Apr</t>
  </si>
  <si>
    <t>23. Apr</t>
  </si>
  <si>
    <t>24. Apr</t>
  </si>
  <si>
    <t>25. Apr</t>
  </si>
  <si>
    <t>28. Apr</t>
  </si>
  <si>
    <t>29. Apr</t>
  </si>
  <si>
    <t>30. Apr</t>
  </si>
  <si>
    <t>Daten Nationalbank</t>
  </si>
  <si>
    <t>Überweisungen</t>
  </si>
  <si>
    <t>Einnahmen</t>
  </si>
  <si>
    <t>Positiver Impakt Juni</t>
  </si>
  <si>
    <t>12.05.2025</t>
  </si>
  <si>
    <t>14.05.2025</t>
  </si>
  <si>
    <t>21.05.2025</t>
  </si>
  <si>
    <t>26.05.2025</t>
  </si>
  <si>
    <t>29.05.2025</t>
  </si>
  <si>
    <t>30.05.2025</t>
  </si>
  <si>
    <t>nach  Pachtzahlung</t>
  </si>
  <si>
    <t>03.06.2025</t>
  </si>
  <si>
    <t>Planung Auszahlungen</t>
  </si>
  <si>
    <t>Planung Einzahlungen</t>
  </si>
  <si>
    <t>Delta Auszahlungen</t>
  </si>
  <si>
    <t>Delta Einzahlungen</t>
  </si>
  <si>
    <t>04.06.2025</t>
  </si>
  <si>
    <t>Run Date: 2025-06-04 18:35:56</t>
  </si>
  <si>
    <t>Run Date: 2025-06-04 18:39:22</t>
  </si>
  <si>
    <t>Run Date: 2025-06-04 18:42:42</t>
  </si>
  <si>
    <t>Run Date: 2025-06-04 18:44:43</t>
  </si>
  <si>
    <t>Run Date: 2025-06-04 18:58:10</t>
  </si>
  <si>
    <t>Run Date: 2025-06-04 18:59:23</t>
  </si>
  <si>
    <t>Run Date: 2025-06-04 19:01:38</t>
  </si>
  <si>
    <t>Run Date: 2025-06-04 19:02:50</t>
  </si>
  <si>
    <t>Run Date: 2025-06-04 19:03:35</t>
  </si>
  <si>
    <t>Run Date: 2025-06-04 19:04:53</t>
  </si>
  <si>
    <t>Run Date: 2025-06-04 19:07:15</t>
  </si>
  <si>
    <t>Pächter gleicht Verluste aus, exit 30.06.</t>
  </si>
  <si>
    <t>Run Date: 2025-06-04 19:10:55</t>
  </si>
  <si>
    <t>Run Date: 2025-06-04 19:11:57</t>
  </si>
  <si>
    <t>50k in FC enthalten</t>
  </si>
  <si>
    <t>06.06.2025</t>
  </si>
  <si>
    <t>14.06.2025</t>
  </si>
  <si>
    <t>18.06.2025</t>
  </si>
  <si>
    <t>Run Date: 2025-07-15 17:46:12</t>
  </si>
  <si>
    <t>Run Date: 2025-07-15 17:46:00</t>
  </si>
  <si>
    <t>Run Date: 2025-07-15 17:50:03</t>
  </si>
  <si>
    <t>Abweichung zum Finanzplan 04.07.25</t>
  </si>
  <si>
    <t>30.06.2025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</si>
</sst>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[Red]_(* \(#,##0.00\);_(* &quot;-&quot;??_);_(@_)"/>
    <numFmt numFmtId="165" formatCode="0.0%;[Red]_(* \(#,##0.0%\);_(* &quot;-&quot;??_)"/>
    <numFmt numFmtId="166" formatCode="_(* #,##0_);[Red]_(* \(#,##0\);_(* &quot;-&quot;??_);_(@_)"/>
    <numFmt numFmtId="167" formatCode="_(* #,##0.00_);[Red]_(* \(#,##0.00_)\);_(* &quot;-&quot;??_);_(@_)\ "/>
    <numFmt numFmtId="168" formatCode="_-* #,##0.00\ _€_-;\-* #,##0.00\ _€_-;_-* &quot;-&quot;??\ _€_-;_-@_-"/>
    <numFmt numFmtId="169" formatCode="_-* #,##0_-;\-* #,##0_-;_-* &quot;-&quot;??_-;_-@_-"/>
    <numFmt numFmtId="170" formatCode="0.0%"/>
    <numFmt numFmtId="171" formatCode="#,##0_ ;[Red]\-#,##0\ "/>
    <numFmt numFmtId="172" formatCode="ddd"/>
    <numFmt numFmtId="173" formatCode="#,##0_ ;\-#,##0\ "/>
    <numFmt numFmtId="174" formatCode="_-* #,##0\ _€_-;\-* #,##0\ _€_-;_-* &quot;-&quot;??\ _€_-;_-@_-"/>
    <numFmt numFmtId="175" formatCode="#,##0.00_ ;[Red]\-#,##0.00\ "/>
    <numFmt numFmtId="176" formatCode="#,##0.0_ ;[Red]\-#,##0.0\ "/>
    <numFmt numFmtId="177" formatCode="0.0"/>
  </numFmts>
  <fonts count="39" x14ac:knownFonts="1">
    <font>
      <sz val="10"/>
      <color rgb="FF000000"/>
      <name val="Arial"/>
    </font>
    <font>
      <b/>
      <sz val="24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4"/>
      <color rgb="FF000000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sz val="11"/>
      <color indexed="12"/>
      <name val="Arial"/>
      <family val="2"/>
    </font>
    <font>
      <sz val="9"/>
      <color indexed="81"/>
      <name val="Segoe U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1"/>
      <color theme="0"/>
      <name val="Arial"/>
      <family val="2"/>
    </font>
    <font>
      <b/>
      <u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24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0" tint="-0.249977111117893"/>
      <name val="Arial"/>
      <family val="2"/>
    </font>
    <font>
      <sz val="12"/>
      <color rgb="FF000000"/>
      <name val="Aptos"/>
      <family val="2"/>
    </font>
    <font>
      <sz val="12"/>
      <color rgb="FFFF0000"/>
      <name val="Aptos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8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333333"/>
        <bgColor rgb="FF000000"/>
      </patternFill>
    </fill>
    <fill>
      <patternFill patternType="solid">
        <fgColor rgb="FFD6D6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33333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8" fillId="0" borderId="0"/>
    <xf numFmtId="9" fontId="4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</cellStyleXfs>
  <cellXfs count="369">
    <xf numFmtId="0" fontId="0" fillId="2" borderId="0" xfId="0" applyFill="1" applyAlignment="1">
      <alignment wrapText="1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164" fontId="0" fillId="2" borderId="2" xfId="0" applyNumberFormat="1" applyFill="1" applyBorder="1" applyAlignment="1">
      <alignment wrapText="1"/>
    </xf>
    <xf numFmtId="165" fontId="0" fillId="2" borderId="2" xfId="0" applyNumberFormat="1" applyFill="1" applyBorder="1" applyAlignment="1">
      <alignment wrapText="1"/>
    </xf>
    <xf numFmtId="166" fontId="0" fillId="2" borderId="2" xfId="0" applyNumberFormat="1" applyFill="1" applyBorder="1" applyAlignment="1">
      <alignment wrapText="1"/>
    </xf>
    <xf numFmtId="167" fontId="0" fillId="2" borderId="2" xfId="0" applyNumberForma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66" fontId="2" fillId="2" borderId="2" xfId="0" applyNumberFormat="1" applyFont="1" applyFill="1" applyBorder="1" applyAlignment="1">
      <alignment wrapText="1"/>
    </xf>
    <xf numFmtId="165" fontId="2" fillId="2" borderId="2" xfId="0" applyNumberFormat="1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166" fontId="2" fillId="4" borderId="2" xfId="0" applyNumberFormat="1" applyFont="1" applyFill="1" applyBorder="1" applyAlignment="1">
      <alignment wrapText="1"/>
    </xf>
    <xf numFmtId="164" fontId="2" fillId="2" borderId="2" xfId="0" applyNumberFormat="1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164" fontId="0" fillId="5" borderId="2" xfId="0" applyNumberFormat="1" applyFill="1" applyBorder="1" applyAlignment="1">
      <alignment wrapText="1"/>
    </xf>
    <xf numFmtId="0" fontId="0" fillId="5" borderId="0" xfId="0" applyFill="1" applyAlignment="1">
      <alignment wrapText="1"/>
    </xf>
    <xf numFmtId="166" fontId="0" fillId="5" borderId="2" xfId="0" applyNumberFormat="1" applyFill="1" applyBorder="1" applyAlignment="1">
      <alignment wrapText="1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wrapText="1"/>
    </xf>
    <xf numFmtId="168" fontId="0" fillId="2" borderId="0" xfId="0" applyNumberFormat="1" applyFill="1" applyAlignment="1">
      <alignment wrapText="1"/>
    </xf>
    <xf numFmtId="164" fontId="0" fillId="5" borderId="0" xfId="0" applyNumberFormat="1" applyFill="1" applyAlignment="1">
      <alignment wrapText="1"/>
    </xf>
    <xf numFmtId="0" fontId="0" fillId="5" borderId="0" xfId="0" applyFill="1" applyAlignment="1">
      <alignment vertical="center" wrapText="1"/>
    </xf>
    <xf numFmtId="0" fontId="0" fillId="5" borderId="2" xfId="0" applyFill="1" applyBorder="1" applyAlignment="1">
      <alignment vertical="center" wrapText="1"/>
    </xf>
    <xf numFmtId="166" fontId="0" fillId="5" borderId="2" xfId="0" applyNumberForma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wrapText="1"/>
    </xf>
    <xf numFmtId="0" fontId="6" fillId="6" borderId="0" xfId="0" applyFont="1" applyFill="1" applyAlignment="1">
      <alignment vertical="center" wrapText="1"/>
    </xf>
    <xf numFmtId="169" fontId="5" fillId="0" borderId="0" xfId="1" applyNumberFormat="1" applyFont="1" applyFill="1" applyBorder="1" applyAlignment="1">
      <alignment horizontal="center" wrapText="1"/>
    </xf>
    <xf numFmtId="166" fontId="7" fillId="5" borderId="0" xfId="0" applyNumberFormat="1" applyFont="1" applyFill="1" applyAlignment="1">
      <alignment vertical="center" wrapText="1"/>
    </xf>
    <xf numFmtId="0" fontId="8" fillId="2" borderId="0" xfId="2" applyFill="1" applyAlignment="1">
      <alignment wrapText="1"/>
    </xf>
    <xf numFmtId="0" fontId="9" fillId="2" borderId="0" xfId="2" applyFont="1" applyFill="1"/>
    <xf numFmtId="0" fontId="7" fillId="2" borderId="0" xfId="2" applyFont="1" applyFill="1" applyAlignment="1">
      <alignment wrapText="1"/>
    </xf>
    <xf numFmtId="0" fontId="8" fillId="2" borderId="0" xfId="2" applyFill="1" applyAlignment="1">
      <alignment horizontal="left"/>
    </xf>
    <xf numFmtId="0" fontId="10" fillId="3" borderId="1" xfId="2" applyFont="1" applyFill="1" applyBorder="1" applyAlignment="1">
      <alignment horizontal="center" wrapText="1"/>
    </xf>
    <xf numFmtId="0" fontId="8" fillId="2" borderId="2" xfId="2" applyFill="1" applyBorder="1" applyAlignment="1">
      <alignment wrapText="1"/>
    </xf>
    <xf numFmtId="164" fontId="8" fillId="2" borderId="2" xfId="2" applyNumberFormat="1" applyFill="1" applyBorder="1" applyAlignment="1">
      <alignment wrapText="1"/>
    </xf>
    <xf numFmtId="166" fontId="8" fillId="2" borderId="2" xfId="2" applyNumberFormat="1" applyFill="1" applyBorder="1" applyAlignment="1">
      <alignment wrapText="1"/>
    </xf>
    <xf numFmtId="167" fontId="8" fillId="2" borderId="2" xfId="2" applyNumberFormat="1" applyFill="1" applyBorder="1" applyAlignment="1">
      <alignment wrapText="1"/>
    </xf>
    <xf numFmtId="0" fontId="7" fillId="2" borderId="2" xfId="2" applyFont="1" applyFill="1" applyBorder="1" applyAlignment="1">
      <alignment wrapText="1"/>
    </xf>
    <xf numFmtId="166" fontId="7" fillId="2" borderId="2" xfId="2" applyNumberFormat="1" applyFont="1" applyFill="1" applyBorder="1" applyAlignment="1">
      <alignment wrapText="1"/>
    </xf>
    <xf numFmtId="0" fontId="7" fillId="4" borderId="2" xfId="2" applyFont="1" applyFill="1" applyBorder="1" applyAlignment="1">
      <alignment wrapText="1"/>
    </xf>
    <xf numFmtId="166" fontId="7" fillId="4" borderId="2" xfId="2" applyNumberFormat="1" applyFont="1" applyFill="1" applyBorder="1" applyAlignment="1">
      <alignment wrapText="1"/>
    </xf>
    <xf numFmtId="164" fontId="7" fillId="2" borderId="2" xfId="2" applyNumberFormat="1" applyFont="1" applyFill="1" applyBorder="1" applyAlignment="1">
      <alignment wrapText="1"/>
    </xf>
    <xf numFmtId="0" fontId="8" fillId="2" borderId="0" xfId="0" applyFont="1" applyFill="1" applyAlignment="1">
      <alignment wrapText="1"/>
    </xf>
    <xf numFmtId="169" fontId="0" fillId="2" borderId="0" xfId="1" applyNumberFormat="1" applyFont="1" applyFill="1" applyAlignment="1">
      <alignment wrapText="1"/>
    </xf>
    <xf numFmtId="166" fontId="0" fillId="0" borderId="2" xfId="0" applyNumberFormat="1" applyBorder="1" applyAlignment="1">
      <alignment vertical="center" wrapText="1"/>
    </xf>
    <xf numFmtId="166" fontId="7" fillId="0" borderId="0" xfId="0" applyNumberFormat="1" applyFont="1" applyAlignment="1">
      <alignment vertical="center" wrapText="1"/>
    </xf>
    <xf numFmtId="166" fontId="0" fillId="2" borderId="0" xfId="0" applyNumberFormat="1" applyFill="1" applyAlignment="1">
      <alignment wrapText="1"/>
    </xf>
    <xf numFmtId="168" fontId="0" fillId="2" borderId="0" xfId="0" applyNumberFormat="1" applyFill="1" applyAlignment="1">
      <alignment horizontal="left"/>
    </xf>
    <xf numFmtId="0" fontId="11" fillId="2" borderId="0" xfId="0" applyFont="1" applyFill="1" applyAlignment="1">
      <alignment wrapText="1"/>
    </xf>
    <xf numFmtId="166" fontId="11" fillId="2" borderId="0" xfId="0" applyNumberFormat="1" applyFont="1" applyFill="1" applyAlignment="1">
      <alignment wrapText="1"/>
    </xf>
    <xf numFmtId="166" fontId="12" fillId="0" borderId="0" xfId="0" applyNumberFormat="1" applyFon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8" fillId="8" borderId="0" xfId="0" applyFont="1" applyFill="1" applyAlignment="1">
      <alignment vertical="center" wrapText="1"/>
    </xf>
    <xf numFmtId="166" fontId="0" fillId="8" borderId="0" xfId="0" applyNumberFormat="1" applyFill="1" applyAlignment="1">
      <alignment vertical="center" wrapText="1"/>
    </xf>
    <xf numFmtId="166" fontId="7" fillId="8" borderId="0" xfId="0" applyNumberFormat="1" applyFont="1" applyFill="1" applyAlignment="1">
      <alignment vertical="center" wrapText="1"/>
    </xf>
    <xf numFmtId="0" fontId="8" fillId="10" borderId="0" xfId="0" applyFont="1" applyFill="1" applyAlignment="1">
      <alignment wrapText="1"/>
    </xf>
    <xf numFmtId="166" fontId="0" fillId="10" borderId="0" xfId="0" applyNumberFormat="1" applyFill="1" applyAlignment="1">
      <alignment vertical="center" wrapText="1"/>
    </xf>
    <xf numFmtId="166" fontId="7" fillId="10" borderId="0" xfId="0" applyNumberFormat="1" applyFont="1" applyFill="1" applyAlignment="1">
      <alignment vertical="center" wrapText="1"/>
    </xf>
    <xf numFmtId="169" fontId="0" fillId="2" borderId="0" xfId="1" applyNumberFormat="1" applyFont="1" applyFill="1" applyBorder="1" applyAlignment="1">
      <alignment wrapText="1"/>
    </xf>
    <xf numFmtId="169" fontId="11" fillId="2" borderId="0" xfId="1" applyNumberFormat="1" applyFont="1" applyFill="1" applyBorder="1" applyAlignment="1">
      <alignment horizontal="center" wrapText="1"/>
    </xf>
    <xf numFmtId="169" fontId="11" fillId="2" borderId="0" xfId="1" applyNumberFormat="1" applyFont="1" applyFill="1" applyBorder="1" applyAlignment="1">
      <alignment wrapText="1"/>
    </xf>
    <xf numFmtId="169" fontId="11" fillId="7" borderId="0" xfId="1" applyNumberFormat="1" applyFont="1" applyFill="1" applyBorder="1" applyAlignment="1">
      <alignment wrapText="1"/>
    </xf>
    <xf numFmtId="0" fontId="8" fillId="0" borderId="0" xfId="0" applyFont="1" applyAlignment="1">
      <alignment wrapText="1"/>
    </xf>
    <xf numFmtId="169" fontId="0" fillId="11" borderId="0" xfId="1" applyNumberFormat="1" applyFont="1" applyFill="1" applyBorder="1" applyAlignment="1">
      <alignment wrapText="1"/>
    </xf>
    <xf numFmtId="0" fontId="8" fillId="9" borderId="0" xfId="0" applyFont="1" applyFill="1" applyAlignment="1">
      <alignment vertical="center" wrapText="1"/>
    </xf>
    <xf numFmtId="166" fontId="0" fillId="9" borderId="0" xfId="0" applyNumberFormat="1" applyFill="1" applyAlignment="1">
      <alignment wrapText="1"/>
    </xf>
    <xf numFmtId="0" fontId="8" fillId="12" borderId="0" xfId="0" applyFont="1" applyFill="1" applyAlignment="1">
      <alignment wrapText="1"/>
    </xf>
    <xf numFmtId="166" fontId="0" fillId="12" borderId="0" xfId="0" applyNumberFormat="1" applyFill="1" applyAlignment="1">
      <alignment wrapText="1"/>
    </xf>
    <xf numFmtId="0" fontId="8" fillId="2" borderId="0" xfId="0" applyFont="1" applyFill="1" applyAlignment="1">
      <alignment vertical="center" wrapText="1"/>
    </xf>
    <xf numFmtId="169" fontId="0" fillId="2" borderId="0" xfId="1" applyNumberFormat="1" applyFont="1" applyFill="1" applyBorder="1" applyAlignment="1">
      <alignment horizontal="right" wrapText="1"/>
    </xf>
    <xf numFmtId="0" fontId="8" fillId="15" borderId="0" xfId="0" applyFont="1" applyFill="1" applyAlignment="1">
      <alignment wrapText="1"/>
    </xf>
    <xf numFmtId="166" fontId="0" fillId="15" borderId="0" xfId="0" applyNumberFormat="1" applyFill="1" applyAlignment="1">
      <alignment wrapText="1"/>
    </xf>
    <xf numFmtId="166" fontId="0" fillId="0" borderId="0" xfId="0" applyNumberFormat="1" applyAlignment="1">
      <alignment wrapText="1"/>
    </xf>
    <xf numFmtId="169" fontId="0" fillId="2" borderId="0" xfId="0" applyNumberFormat="1" applyFill="1" applyAlignment="1">
      <alignment wrapText="1"/>
    </xf>
    <xf numFmtId="0" fontId="6" fillId="1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4" xfId="0" applyFill="1" applyBorder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8" fillId="16" borderId="0" xfId="0" applyFont="1" applyFill="1" applyAlignment="1">
      <alignment wrapText="1"/>
    </xf>
    <xf numFmtId="166" fontId="0" fillId="16" borderId="0" xfId="0" applyNumberFormat="1" applyFill="1" applyAlignment="1">
      <alignment wrapText="1"/>
    </xf>
    <xf numFmtId="0" fontId="3" fillId="6" borderId="1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vertical="center" wrapText="1"/>
    </xf>
    <xf numFmtId="166" fontId="14" fillId="6" borderId="0" xfId="0" applyNumberFormat="1" applyFont="1" applyFill="1" applyAlignment="1">
      <alignment vertical="center" wrapText="1"/>
    </xf>
    <xf numFmtId="166" fontId="14" fillId="17" borderId="0" xfId="0" applyNumberFormat="1" applyFont="1" applyFill="1" applyAlignment="1">
      <alignment vertical="center" wrapText="1"/>
    </xf>
    <xf numFmtId="0" fontId="8" fillId="18" borderId="0" xfId="0" applyFont="1" applyFill="1" applyAlignment="1">
      <alignment wrapText="1"/>
    </xf>
    <xf numFmtId="169" fontId="0" fillId="18" borderId="0" xfId="1" applyNumberFormat="1" applyFont="1" applyFill="1" applyBorder="1" applyAlignment="1">
      <alignment wrapText="1"/>
    </xf>
    <xf numFmtId="0" fontId="0" fillId="18" borderId="0" xfId="0" applyFill="1" applyAlignment="1">
      <alignment wrapText="1"/>
    </xf>
    <xf numFmtId="169" fontId="6" fillId="6" borderId="0" xfId="1" applyNumberFormat="1" applyFont="1" applyFill="1" applyAlignment="1">
      <alignment wrapText="1"/>
    </xf>
    <xf numFmtId="169" fontId="6" fillId="6" borderId="0" xfId="0" applyNumberFormat="1" applyFont="1" applyFill="1" applyAlignment="1">
      <alignment wrapText="1"/>
    </xf>
    <xf numFmtId="170" fontId="8" fillId="2" borderId="2" xfId="3" applyNumberFormat="1" applyFont="1" applyFill="1" applyBorder="1" applyAlignment="1">
      <alignment wrapText="1"/>
    </xf>
    <xf numFmtId="9" fontId="0" fillId="2" borderId="0" xfId="0" applyNumberFormat="1" applyFill="1" applyAlignment="1">
      <alignment wrapText="1"/>
    </xf>
    <xf numFmtId="0" fontId="6" fillId="1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9" fontId="8" fillId="2" borderId="2" xfId="3" applyFont="1" applyFill="1" applyBorder="1" applyAlignment="1">
      <alignment wrapText="1"/>
    </xf>
    <xf numFmtId="9" fontId="0" fillId="2" borderId="0" xfId="3" applyFont="1" applyFill="1" applyBorder="1" applyAlignment="1">
      <alignment horizontal="right" wrapText="1"/>
    </xf>
    <xf numFmtId="169" fontId="14" fillId="6" borderId="0" xfId="0" applyNumberFormat="1" applyFont="1" applyFill="1" applyAlignment="1">
      <alignment vertical="center" wrapText="1"/>
    </xf>
    <xf numFmtId="169" fontId="14" fillId="6" borderId="0" xfId="1" applyNumberFormat="1" applyFont="1" applyFill="1" applyBorder="1" applyAlignment="1">
      <alignment horizontal="right" vertical="center" wrapText="1"/>
    </xf>
    <xf numFmtId="3" fontId="16" fillId="0" borderId="0" xfId="4" applyNumberFormat="1" applyFont="1"/>
    <xf numFmtId="3" fontId="16" fillId="0" borderId="0" xfId="4" quotePrefix="1" applyNumberFormat="1" applyFont="1"/>
    <xf numFmtId="3" fontId="17" fillId="0" borderId="0" xfId="4" applyNumberFormat="1" applyFont="1"/>
    <xf numFmtId="0" fontId="16" fillId="0" borderId="0" xfId="4" applyFont="1" applyAlignment="1">
      <alignment horizontal="right"/>
    </xf>
    <xf numFmtId="0" fontId="16" fillId="0" borderId="0" xfId="4" applyFont="1" applyAlignment="1">
      <alignment horizontal="center"/>
    </xf>
    <xf numFmtId="0" fontId="17" fillId="0" borderId="0" xfId="4" applyFont="1" applyAlignment="1">
      <alignment horizontal="right"/>
    </xf>
    <xf numFmtId="171" fontId="17" fillId="0" borderId="0" xfId="4" applyNumberFormat="1" applyFont="1"/>
    <xf numFmtId="171" fontId="16" fillId="0" borderId="0" xfId="4" applyNumberFormat="1" applyFont="1"/>
    <xf numFmtId="171" fontId="18" fillId="0" borderId="0" xfId="4" applyNumberFormat="1" applyFont="1"/>
    <xf numFmtId="3" fontId="17" fillId="0" borderId="6" xfId="4" applyNumberFormat="1" applyFont="1" applyBorder="1"/>
    <xf numFmtId="171" fontId="17" fillId="0" borderId="7" xfId="4" applyNumberFormat="1" applyFont="1" applyBorder="1"/>
    <xf numFmtId="171" fontId="17" fillId="0" borderId="8" xfId="4" applyNumberFormat="1" applyFont="1" applyBorder="1" applyAlignment="1">
      <alignment vertical="top"/>
    </xf>
    <xf numFmtId="171" fontId="17" fillId="0" borderId="9" xfId="4" applyNumberFormat="1" applyFont="1" applyBorder="1" applyAlignment="1">
      <alignment vertical="top"/>
    </xf>
    <xf numFmtId="171" fontId="17" fillId="0" borderId="10" xfId="4" applyNumberFormat="1" applyFont="1" applyBorder="1" applyAlignment="1">
      <alignment vertical="top"/>
    </xf>
    <xf numFmtId="171" fontId="19" fillId="0" borderId="8" xfId="4" applyNumberFormat="1" applyFont="1" applyBorder="1" applyAlignment="1">
      <alignment vertical="top"/>
    </xf>
    <xf numFmtId="171" fontId="17" fillId="0" borderId="11" xfId="4" applyNumberFormat="1" applyFont="1" applyBorder="1"/>
    <xf numFmtId="171" fontId="16" fillId="0" borderId="12" xfId="4" applyNumberFormat="1" applyFont="1" applyBorder="1" applyProtection="1">
      <protection locked="0"/>
    </xf>
    <xf numFmtId="171" fontId="16" fillId="0" borderId="4" xfId="4" applyNumberFormat="1" applyFont="1" applyBorder="1" applyProtection="1">
      <protection locked="0"/>
    </xf>
    <xf numFmtId="171" fontId="16" fillId="0" borderId="13" xfId="4" applyNumberFormat="1" applyFont="1" applyBorder="1" applyProtection="1">
      <protection locked="0"/>
    </xf>
    <xf numFmtId="171" fontId="18" fillId="0" borderId="12" xfId="4" applyNumberFormat="1" applyFont="1" applyBorder="1" applyProtection="1">
      <protection locked="0"/>
    </xf>
    <xf numFmtId="0" fontId="16" fillId="0" borderId="0" xfId="4" applyFont="1"/>
    <xf numFmtId="171" fontId="17" fillId="0" borderId="13" xfId="4" applyNumberFormat="1" applyFont="1" applyBorder="1" applyProtection="1">
      <protection locked="0"/>
    </xf>
    <xf numFmtId="171" fontId="17" fillId="0" borderId="0" xfId="4" applyNumberFormat="1" applyFont="1" applyProtection="1">
      <protection locked="0"/>
    </xf>
    <xf numFmtId="3" fontId="16" fillId="0" borderId="0" xfId="4" applyNumberFormat="1" applyFont="1" applyProtection="1">
      <protection locked="0"/>
    </xf>
    <xf numFmtId="171" fontId="16" fillId="0" borderId="14" xfId="4" applyNumberFormat="1" applyFont="1" applyBorder="1" applyProtection="1">
      <protection locked="0"/>
    </xf>
    <xf numFmtId="3" fontId="17" fillId="0" borderId="15" xfId="4" applyNumberFormat="1" applyFont="1" applyBorder="1"/>
    <xf numFmtId="171" fontId="18" fillId="0" borderId="14" xfId="4" applyNumberFormat="1" applyFont="1" applyBorder="1" applyProtection="1">
      <protection locked="0"/>
    </xf>
    <xf numFmtId="171" fontId="17" fillId="0" borderId="7" xfId="4" applyNumberFormat="1" applyFont="1" applyBorder="1" applyProtection="1">
      <protection locked="0"/>
    </xf>
    <xf numFmtId="3" fontId="16" fillId="0" borderId="4" xfId="4" applyNumberFormat="1" applyFont="1" applyBorder="1"/>
    <xf numFmtId="3" fontId="16" fillId="0" borderId="4" xfId="4" applyNumberFormat="1" applyFont="1" applyBorder="1" applyProtection="1">
      <protection locked="0"/>
    </xf>
    <xf numFmtId="3" fontId="17" fillId="0" borderId="13" xfId="4" applyNumberFormat="1" applyFont="1" applyBorder="1"/>
    <xf numFmtId="171" fontId="16" fillId="0" borderId="16" xfId="4" applyNumberFormat="1" applyFont="1" applyBorder="1" applyProtection="1">
      <protection locked="0"/>
    </xf>
    <xf numFmtId="171" fontId="16" fillId="0" borderId="7" xfId="4" applyNumberFormat="1" applyFont="1" applyBorder="1" applyProtection="1">
      <protection locked="0"/>
    </xf>
    <xf numFmtId="171" fontId="17" fillId="0" borderId="13" xfId="4" applyNumberFormat="1" applyFont="1" applyBorder="1"/>
    <xf numFmtId="3" fontId="20" fillId="19" borderId="0" xfId="4" applyNumberFormat="1" applyFont="1" applyFill="1"/>
    <xf numFmtId="171" fontId="20" fillId="19" borderId="4" xfId="4" applyNumberFormat="1" applyFont="1" applyFill="1" applyBorder="1" applyProtection="1">
      <protection locked="0"/>
    </xf>
    <xf numFmtId="171" fontId="18" fillId="19" borderId="12" xfId="4" applyNumberFormat="1" applyFont="1" applyFill="1" applyBorder="1" applyProtection="1">
      <protection locked="0"/>
    </xf>
    <xf numFmtId="171" fontId="16" fillId="19" borderId="13" xfId="4" applyNumberFormat="1" applyFont="1" applyFill="1" applyBorder="1"/>
    <xf numFmtId="171" fontId="17" fillId="0" borderId="13" xfId="4" quotePrefix="1" applyNumberFormat="1" applyFont="1" applyBorder="1" applyAlignment="1">
      <alignment horizontal="left"/>
    </xf>
    <xf numFmtId="3" fontId="16" fillId="0" borderId="12" xfId="4" applyNumberFormat="1" applyFont="1" applyBorder="1" applyProtection="1">
      <protection locked="0"/>
    </xf>
    <xf numFmtId="3" fontId="17" fillId="0" borderId="4" xfId="4" applyNumberFormat="1" applyFont="1" applyBorder="1"/>
    <xf numFmtId="3" fontId="16" fillId="0" borderId="17" xfId="4" applyNumberFormat="1" applyFont="1" applyBorder="1" applyProtection="1">
      <protection locked="0"/>
    </xf>
    <xf numFmtId="3" fontId="17" fillId="0" borderId="7" xfId="4" applyNumberFormat="1" applyFont="1" applyBorder="1"/>
    <xf numFmtId="3" fontId="16" fillId="0" borderId="7" xfId="4" applyNumberFormat="1" applyFont="1" applyBorder="1"/>
    <xf numFmtId="3" fontId="21" fillId="0" borderId="14" xfId="4" applyNumberFormat="1" applyFont="1" applyBorder="1" applyProtection="1">
      <protection locked="0"/>
    </xf>
    <xf numFmtId="3" fontId="16" fillId="0" borderId="18" xfId="4" applyNumberFormat="1" applyFont="1" applyBorder="1" applyProtection="1">
      <protection locked="0"/>
    </xf>
    <xf numFmtId="3" fontId="16" fillId="0" borderId="6" xfId="4" applyNumberFormat="1" applyFont="1" applyBorder="1"/>
    <xf numFmtId="3" fontId="21" fillId="0" borderId="18" xfId="4" applyNumberFormat="1" applyFont="1" applyBorder="1" applyProtection="1">
      <protection locked="0"/>
    </xf>
    <xf numFmtId="3" fontId="17" fillId="0" borderId="17" xfId="4" applyNumberFormat="1" applyFont="1" applyBorder="1" applyAlignment="1">
      <alignment horizontal="centerContinuous"/>
    </xf>
    <xf numFmtId="3" fontId="17" fillId="0" borderId="13" xfId="4" applyNumberFormat="1" applyFont="1" applyBorder="1" applyAlignment="1">
      <alignment horizontal="centerContinuous"/>
    </xf>
    <xf numFmtId="3" fontId="17" fillId="0" borderId="19" xfId="4" applyNumberFormat="1" applyFont="1" applyBorder="1" applyAlignment="1">
      <alignment horizontal="centerContinuous"/>
    </xf>
    <xf numFmtId="172" fontId="17" fillId="20" borderId="20" xfId="4" applyNumberFormat="1" applyFont="1" applyFill="1" applyBorder="1" applyAlignment="1">
      <alignment horizontal="center"/>
    </xf>
    <xf numFmtId="172" fontId="17" fillId="0" borderId="20" xfId="4" applyNumberFormat="1" applyFont="1" applyBorder="1" applyAlignment="1">
      <alignment horizontal="center"/>
    </xf>
    <xf numFmtId="3" fontId="18" fillId="0" borderId="0" xfId="4" applyNumberFormat="1" applyFont="1"/>
    <xf numFmtId="3" fontId="17" fillId="0" borderId="8" xfId="4" applyNumberFormat="1" applyFont="1" applyBorder="1" applyAlignment="1">
      <alignment vertical="top"/>
    </xf>
    <xf numFmtId="3" fontId="19" fillId="0" borderId="8" xfId="4" applyNumberFormat="1" applyFont="1" applyBorder="1" applyAlignment="1">
      <alignment vertical="top"/>
    </xf>
    <xf numFmtId="3" fontId="17" fillId="0" borderId="11" xfId="4" applyNumberFormat="1" applyFont="1" applyBorder="1"/>
    <xf numFmtId="171" fontId="17" fillId="0" borderId="12" xfId="4" applyNumberFormat="1" applyFont="1" applyBorder="1" applyProtection="1">
      <protection locked="0"/>
    </xf>
    <xf numFmtId="173" fontId="18" fillId="0" borderId="14" xfId="4" applyNumberFormat="1" applyFont="1" applyBorder="1" applyProtection="1">
      <protection locked="0"/>
    </xf>
    <xf numFmtId="173" fontId="18" fillId="0" borderId="12" xfId="4" applyNumberFormat="1" applyFont="1" applyBorder="1" applyProtection="1">
      <protection locked="0"/>
    </xf>
    <xf numFmtId="3" fontId="16" fillId="19" borderId="0" xfId="4" applyNumberFormat="1" applyFont="1" applyFill="1"/>
    <xf numFmtId="171" fontId="16" fillId="19" borderId="12" xfId="4" applyNumberFormat="1" applyFont="1" applyFill="1" applyBorder="1" applyProtection="1">
      <protection locked="0"/>
    </xf>
    <xf numFmtId="171" fontId="16" fillId="19" borderId="4" xfId="4" applyNumberFormat="1" applyFont="1" applyFill="1" applyBorder="1" applyProtection="1">
      <protection locked="0"/>
    </xf>
    <xf numFmtId="3" fontId="18" fillId="0" borderId="12" xfId="4" applyNumberFormat="1" applyFont="1" applyBorder="1" applyProtection="1">
      <protection locked="0"/>
    </xf>
    <xf numFmtId="3" fontId="17" fillId="0" borderId="9" xfId="4" applyNumberFormat="1" applyFont="1" applyBorder="1" applyAlignment="1">
      <alignment vertical="top"/>
    </xf>
    <xf numFmtId="3" fontId="17" fillId="0" borderId="10" xfId="4" applyNumberFormat="1" applyFont="1" applyBorder="1" applyAlignment="1">
      <alignment vertical="top"/>
    </xf>
    <xf numFmtId="171" fontId="16" fillId="19" borderId="13" xfId="4" applyNumberFormat="1" applyFont="1" applyFill="1" applyBorder="1" applyProtection="1">
      <protection locked="0"/>
    </xf>
    <xf numFmtId="171" fontId="16" fillId="0" borderId="4" xfId="4" applyNumberFormat="1" applyFont="1" applyBorder="1"/>
    <xf numFmtId="3" fontId="17" fillId="0" borderId="19" xfId="4" applyNumberFormat="1" applyFont="1" applyBorder="1" applyAlignment="1">
      <alignment horizontal="center"/>
    </xf>
    <xf numFmtId="3" fontId="16" fillId="0" borderId="12" xfId="4" applyNumberFormat="1" applyFont="1" applyBorder="1"/>
    <xf numFmtId="4" fontId="5" fillId="0" borderId="0" xfId="4" applyNumberFormat="1"/>
    <xf numFmtId="9" fontId="16" fillId="0" borderId="0" xfId="3" applyFont="1"/>
    <xf numFmtId="170" fontId="16" fillId="0" borderId="0" xfId="3" applyNumberFormat="1" applyFont="1"/>
    <xf numFmtId="169" fontId="8" fillId="2" borderId="0" xfId="1" applyNumberFormat="1" applyFont="1" applyFill="1" applyBorder="1" applyAlignment="1">
      <alignment horizontal="right" wrapText="1"/>
    </xf>
    <xf numFmtId="3" fontId="0" fillId="2" borderId="0" xfId="0" applyNumberFormat="1" applyFill="1" applyAlignment="1">
      <alignment wrapText="1"/>
    </xf>
    <xf numFmtId="3" fontId="0" fillId="2" borderId="15" xfId="0" applyNumberFormat="1" applyFill="1" applyBorder="1" applyAlignment="1">
      <alignment wrapText="1"/>
    </xf>
    <xf numFmtId="3" fontId="16" fillId="0" borderId="13" xfId="4" applyNumberFormat="1" applyFont="1" applyBorder="1"/>
    <xf numFmtId="0" fontId="6" fillId="14" borderId="0" xfId="0" applyFont="1" applyFill="1" applyAlignment="1">
      <alignment wrapText="1"/>
    </xf>
    <xf numFmtId="3" fontId="6" fillId="14" borderId="21" xfId="0" applyNumberFormat="1" applyFont="1" applyFill="1" applyBorder="1" applyAlignment="1">
      <alignment wrapText="1"/>
    </xf>
    <xf numFmtId="3" fontId="14" fillId="14" borderId="22" xfId="0" applyNumberFormat="1" applyFont="1" applyFill="1" applyBorder="1" applyAlignment="1">
      <alignment wrapText="1"/>
    </xf>
    <xf numFmtId="0" fontId="14" fillId="13" borderId="23" xfId="0" applyFont="1" applyFill="1" applyBorder="1" applyAlignment="1">
      <alignment horizontal="center" vertical="center" wrapText="1"/>
    </xf>
    <xf numFmtId="0" fontId="14" fillId="13" borderId="24" xfId="0" applyFont="1" applyFill="1" applyBorder="1" applyAlignment="1">
      <alignment horizontal="center" vertical="center" wrapText="1"/>
    </xf>
    <xf numFmtId="3" fontId="17" fillId="0" borderId="25" xfId="4" applyNumberFormat="1" applyFont="1" applyBorder="1" applyAlignment="1">
      <alignment horizontal="centerContinuous"/>
    </xf>
    <xf numFmtId="0" fontId="0" fillId="2" borderId="26" xfId="0" applyFill="1" applyBorder="1" applyAlignment="1">
      <alignment wrapText="1"/>
    </xf>
    <xf numFmtId="3" fontId="17" fillId="8" borderId="27" xfId="4" applyNumberFormat="1" applyFont="1" applyFill="1" applyBorder="1"/>
    <xf numFmtId="3" fontId="0" fillId="2" borderId="26" xfId="0" applyNumberFormat="1" applyFill="1" applyBorder="1" applyAlignment="1">
      <alignment wrapText="1"/>
    </xf>
    <xf numFmtId="3" fontId="17" fillId="8" borderId="28" xfId="4" applyNumberFormat="1" applyFont="1" applyFill="1" applyBorder="1"/>
    <xf numFmtId="3" fontId="0" fillId="2" borderId="29" xfId="0" applyNumberFormat="1" applyFill="1" applyBorder="1" applyAlignment="1">
      <alignment wrapText="1"/>
    </xf>
    <xf numFmtId="3" fontId="17" fillId="8" borderId="30" xfId="4" applyNumberFormat="1" applyFont="1" applyFill="1" applyBorder="1"/>
    <xf numFmtId="3" fontId="19" fillId="13" borderId="30" xfId="4" applyNumberFormat="1" applyFont="1" applyFill="1" applyBorder="1"/>
    <xf numFmtId="3" fontId="0" fillId="14" borderId="0" xfId="0" applyNumberFormat="1" applyFill="1" applyAlignment="1">
      <alignment wrapText="1"/>
    </xf>
    <xf numFmtId="3" fontId="0" fillId="14" borderId="26" xfId="0" applyNumberFormat="1" applyFill="1" applyBorder="1" applyAlignment="1">
      <alignment wrapText="1"/>
    </xf>
    <xf numFmtId="171" fontId="25" fillId="13" borderId="30" xfId="4" applyNumberFormat="1" applyFont="1" applyFill="1" applyBorder="1"/>
    <xf numFmtId="171" fontId="25" fillId="13" borderId="30" xfId="4" quotePrefix="1" applyNumberFormat="1" applyFont="1" applyFill="1" applyBorder="1" applyAlignment="1">
      <alignment horizontal="left"/>
    </xf>
    <xf numFmtId="171" fontId="17" fillId="8" borderId="30" xfId="4" applyNumberFormat="1" applyFont="1" applyFill="1" applyBorder="1"/>
    <xf numFmtId="3" fontId="19" fillId="13" borderId="27" xfId="4" applyNumberFormat="1" applyFont="1" applyFill="1" applyBorder="1"/>
    <xf numFmtId="3" fontId="6" fillId="14" borderId="31" xfId="0" applyNumberFormat="1" applyFont="1" applyFill="1" applyBorder="1" applyAlignment="1">
      <alignment wrapText="1"/>
    </xf>
    <xf numFmtId="171" fontId="17" fillId="8" borderId="30" xfId="4" applyNumberFormat="1" applyFont="1" applyFill="1" applyBorder="1" applyProtection="1">
      <protection locked="0"/>
    </xf>
    <xf numFmtId="171" fontId="19" fillId="13" borderId="30" xfId="4" applyNumberFormat="1" applyFont="1" applyFill="1" applyBorder="1" applyProtection="1">
      <protection locked="0"/>
    </xf>
    <xf numFmtId="3" fontId="6" fillId="14" borderId="0" xfId="0" applyNumberFormat="1" applyFont="1" applyFill="1" applyAlignment="1">
      <alignment wrapText="1"/>
    </xf>
    <xf numFmtId="3" fontId="6" fillId="14" borderId="26" xfId="0" applyNumberFormat="1" applyFont="1" applyFill="1" applyBorder="1" applyAlignment="1">
      <alignment wrapText="1"/>
    </xf>
    <xf numFmtId="171" fontId="25" fillId="13" borderId="30" xfId="4" applyNumberFormat="1" applyFont="1" applyFill="1" applyBorder="1" applyProtection="1">
      <protection locked="0"/>
    </xf>
    <xf numFmtId="171" fontId="25" fillId="13" borderId="28" xfId="4" applyNumberFormat="1" applyFont="1" applyFill="1" applyBorder="1" applyProtection="1">
      <protection locked="0"/>
    </xf>
    <xf numFmtId="171" fontId="16" fillId="8" borderId="30" xfId="4" applyNumberFormat="1" applyFont="1" applyFill="1" applyBorder="1" applyProtection="1">
      <protection locked="0"/>
    </xf>
    <xf numFmtId="3" fontId="19" fillId="13" borderId="32" xfId="4" applyNumberFormat="1" applyFont="1" applyFill="1" applyBorder="1"/>
    <xf numFmtId="3" fontId="14" fillId="14" borderId="33" xfId="0" applyNumberFormat="1" applyFont="1" applyFill="1" applyBorder="1" applyAlignment="1">
      <alignment wrapText="1"/>
    </xf>
    <xf numFmtId="170" fontId="0" fillId="2" borderId="0" xfId="3" applyNumberFormat="1" applyFont="1" applyFill="1" applyBorder="1" applyAlignment="1">
      <alignment horizontal="right" wrapText="1"/>
    </xf>
    <xf numFmtId="170" fontId="0" fillId="2" borderId="0" xfId="3" applyNumberFormat="1" applyFont="1" applyFill="1" applyAlignment="1">
      <alignment wrapText="1"/>
    </xf>
    <xf numFmtId="174" fontId="0" fillId="2" borderId="0" xfId="0" applyNumberFormat="1" applyFill="1" applyAlignment="1">
      <alignment wrapText="1"/>
    </xf>
    <xf numFmtId="0" fontId="0" fillId="2" borderId="0" xfId="0" applyFill="1"/>
    <xf numFmtId="0" fontId="6" fillId="13" borderId="3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 wrapText="1"/>
    </xf>
    <xf numFmtId="0" fontId="6" fillId="14" borderId="4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vertical="center" wrapText="1"/>
    </xf>
    <xf numFmtId="0" fontId="6" fillId="14" borderId="0" xfId="0" applyFont="1" applyFill="1" applyAlignment="1">
      <alignment vertical="center" wrapText="1"/>
    </xf>
    <xf numFmtId="0" fontId="0" fillId="2" borderId="0" xfId="0" quotePrefix="1" applyFill="1"/>
    <xf numFmtId="0" fontId="26" fillId="2" borderId="0" xfId="0" applyFont="1" applyFill="1" applyAlignment="1">
      <alignment wrapText="1"/>
    </xf>
    <xf numFmtId="169" fontId="0" fillId="2" borderId="0" xfId="1" applyNumberFormat="1" applyFont="1" applyFill="1" applyBorder="1" applyAlignment="1">
      <alignment horizontal="right" vertical="center" wrapText="1"/>
    </xf>
    <xf numFmtId="0" fontId="27" fillId="2" borderId="0" xfId="0" applyFont="1" applyFill="1" applyAlignment="1">
      <alignment horizontal="center" vertical="center" wrapText="1"/>
    </xf>
    <xf numFmtId="169" fontId="14" fillId="6" borderId="0" xfId="0" applyNumberFormat="1" applyFont="1" applyFill="1" applyAlignment="1">
      <alignment horizontal="right" vertical="center" wrapText="1"/>
    </xf>
    <xf numFmtId="164" fontId="8" fillId="2" borderId="0" xfId="2" applyNumberFormat="1" applyFill="1" applyAlignment="1">
      <alignment wrapText="1"/>
    </xf>
    <xf numFmtId="168" fontId="8" fillId="2" borderId="0" xfId="2" applyNumberFormat="1" applyFill="1" applyAlignment="1">
      <alignment wrapText="1"/>
    </xf>
    <xf numFmtId="3" fontId="17" fillId="0" borderId="0" xfId="4" applyNumberFormat="1" applyFont="1" applyProtection="1">
      <protection locked="0"/>
    </xf>
    <xf numFmtId="3" fontId="17" fillId="0" borderId="34" xfId="4" applyNumberFormat="1" applyFont="1" applyBorder="1" applyProtection="1">
      <protection locked="0"/>
    </xf>
    <xf numFmtId="3" fontId="17" fillId="19" borderId="0" xfId="4" applyNumberFormat="1" applyFont="1" applyFill="1" applyProtection="1">
      <protection locked="0"/>
    </xf>
    <xf numFmtId="172" fontId="17" fillId="20" borderId="0" xfId="4" applyNumberFormat="1" applyFont="1" applyFill="1" applyAlignment="1">
      <alignment horizontal="center"/>
    </xf>
    <xf numFmtId="3" fontId="17" fillId="0" borderId="0" xfId="4" applyNumberFormat="1" applyFont="1" applyAlignment="1">
      <alignment horizontal="centerContinuous"/>
    </xf>
    <xf numFmtId="171" fontId="17" fillId="0" borderId="0" xfId="4" applyNumberFormat="1" applyFont="1" applyAlignment="1">
      <alignment vertical="top"/>
    </xf>
    <xf numFmtId="3" fontId="17" fillId="0" borderId="35" xfId="4" applyNumberFormat="1" applyFont="1" applyBorder="1"/>
    <xf numFmtId="3" fontId="17" fillId="0" borderId="21" xfId="4" applyNumberFormat="1" applyFont="1" applyBorder="1"/>
    <xf numFmtId="169" fontId="0" fillId="2" borderId="0" xfId="1" quotePrefix="1" applyNumberFormat="1" applyFont="1" applyFill="1"/>
    <xf numFmtId="0" fontId="27" fillId="2" borderId="0" xfId="2" applyFont="1" applyFill="1" applyAlignment="1">
      <alignment horizontal="center" vertical="center" wrapText="1"/>
    </xf>
    <xf numFmtId="0" fontId="14" fillId="13" borderId="23" xfId="2" applyFont="1" applyFill="1" applyBorder="1" applyAlignment="1">
      <alignment horizontal="center" vertical="center" wrapText="1"/>
    </xf>
    <xf numFmtId="0" fontId="14" fillId="13" borderId="24" xfId="2" applyFont="1" applyFill="1" applyBorder="1" applyAlignment="1">
      <alignment horizontal="center" vertical="center" wrapText="1"/>
    </xf>
    <xf numFmtId="0" fontId="8" fillId="2" borderId="26" xfId="2" applyFill="1" applyBorder="1" applyAlignment="1">
      <alignment wrapText="1"/>
    </xf>
    <xf numFmtId="3" fontId="8" fillId="2" borderId="0" xfId="2" applyNumberFormat="1" applyFill="1" applyAlignment="1">
      <alignment wrapText="1"/>
    </xf>
    <xf numFmtId="3" fontId="8" fillId="2" borderId="26" xfId="2" applyNumberFormat="1" applyFill="1" applyBorder="1" applyAlignment="1">
      <alignment wrapText="1"/>
    </xf>
    <xf numFmtId="3" fontId="8" fillId="2" borderId="15" xfId="2" applyNumberFormat="1" applyFill="1" applyBorder="1" applyAlignment="1">
      <alignment wrapText="1"/>
    </xf>
    <xf numFmtId="3" fontId="8" fillId="2" borderId="29" xfId="2" applyNumberFormat="1" applyFill="1" applyBorder="1" applyAlignment="1">
      <alignment wrapText="1"/>
    </xf>
    <xf numFmtId="3" fontId="8" fillId="14" borderId="0" xfId="2" applyNumberFormat="1" applyFill="1" applyAlignment="1">
      <alignment wrapText="1"/>
    </xf>
    <xf numFmtId="3" fontId="8" fillId="14" borderId="26" xfId="2" applyNumberFormat="1" applyFill="1" applyBorder="1" applyAlignment="1">
      <alignment wrapText="1"/>
    </xf>
    <xf numFmtId="0" fontId="8" fillId="2" borderId="0" xfId="2" applyFill="1"/>
    <xf numFmtId="3" fontId="6" fillId="14" borderId="21" xfId="2" applyNumberFormat="1" applyFont="1" applyFill="1" applyBorder="1" applyAlignment="1">
      <alignment wrapText="1"/>
    </xf>
    <xf numFmtId="3" fontId="6" fillId="14" borderId="31" xfId="2" applyNumberFormat="1" applyFont="1" applyFill="1" applyBorder="1" applyAlignment="1">
      <alignment wrapText="1"/>
    </xf>
    <xf numFmtId="3" fontId="6" fillId="14" borderId="0" xfId="2" applyNumberFormat="1" applyFont="1" applyFill="1" applyAlignment="1">
      <alignment wrapText="1"/>
    </xf>
    <xf numFmtId="3" fontId="6" fillId="14" borderId="26" xfId="2" applyNumberFormat="1" applyFont="1" applyFill="1" applyBorder="1" applyAlignment="1">
      <alignment wrapText="1"/>
    </xf>
    <xf numFmtId="3" fontId="14" fillId="14" borderId="22" xfId="2" applyNumberFormat="1" applyFont="1" applyFill="1" applyBorder="1" applyAlignment="1">
      <alignment wrapText="1"/>
    </xf>
    <xf numFmtId="3" fontId="14" fillId="14" borderId="33" xfId="2" applyNumberFormat="1" applyFont="1" applyFill="1" applyBorder="1" applyAlignment="1">
      <alignment wrapText="1"/>
    </xf>
    <xf numFmtId="0" fontId="26" fillId="2" borderId="0" xfId="2" applyFont="1" applyFill="1" applyAlignment="1">
      <alignment wrapText="1"/>
    </xf>
    <xf numFmtId="169" fontId="0" fillId="2" borderId="0" xfId="5" applyNumberFormat="1" applyFont="1" applyFill="1" applyBorder="1" applyAlignment="1">
      <alignment horizontal="right" wrapText="1"/>
    </xf>
    <xf numFmtId="169" fontId="8" fillId="2" borderId="0" xfId="5" applyNumberFormat="1" applyFont="1" applyFill="1" applyBorder="1" applyAlignment="1">
      <alignment horizontal="right" wrapText="1"/>
    </xf>
    <xf numFmtId="0" fontId="8" fillId="2" borderId="0" xfId="0" quotePrefix="1" applyFont="1" applyFill="1" applyAlignment="1">
      <alignment vertical="center" wrapText="1"/>
    </xf>
    <xf numFmtId="0" fontId="0" fillId="2" borderId="0" xfId="0" quotePrefix="1" applyFill="1" applyAlignment="1">
      <alignment vertical="center" wrapText="1"/>
    </xf>
    <xf numFmtId="169" fontId="0" fillId="2" borderId="0" xfId="1" quotePrefix="1" applyNumberFormat="1" applyFont="1" applyFill="1" applyAlignment="1">
      <alignment vertical="center" wrapText="1"/>
    </xf>
    <xf numFmtId="0" fontId="0" fillId="14" borderId="0" xfId="0" applyFill="1" applyAlignment="1">
      <alignment wrapText="1"/>
    </xf>
    <xf numFmtId="0" fontId="14" fillId="14" borderId="0" xfId="0" quotePrefix="1" applyFont="1" applyFill="1" applyAlignment="1">
      <alignment vertical="center" wrapText="1"/>
    </xf>
    <xf numFmtId="169" fontId="14" fillId="14" borderId="0" xfId="0" quotePrefix="1" applyNumberFormat="1" applyFont="1" applyFill="1" applyAlignment="1">
      <alignment vertical="center" wrapText="1"/>
    </xf>
    <xf numFmtId="171" fontId="16" fillId="21" borderId="14" xfId="4" applyNumberFormat="1" applyFont="1" applyFill="1" applyBorder="1" applyProtection="1">
      <protection locked="0"/>
    </xf>
    <xf numFmtId="0" fontId="4" fillId="2" borderId="0" xfId="0" quotePrefix="1" applyFont="1" applyFill="1" applyAlignment="1">
      <alignment vertical="center" wrapText="1"/>
    </xf>
    <xf numFmtId="0" fontId="0" fillId="2" borderId="0" xfId="0" quotePrefix="1" applyFill="1" applyAlignment="1">
      <alignment vertical="center"/>
    </xf>
    <xf numFmtId="3" fontId="16" fillId="23" borderId="0" xfId="4" applyNumberFormat="1" applyFont="1" applyFill="1"/>
    <xf numFmtId="0" fontId="0" fillId="2" borderId="0" xfId="0" quotePrefix="1" applyFill="1" applyAlignment="1">
      <alignment horizontal="center" vertical="center" wrapText="1"/>
    </xf>
    <xf numFmtId="0" fontId="0" fillId="2" borderId="0" xfId="0" quotePrefix="1" applyFill="1" applyAlignment="1">
      <alignment horizontal="left" vertical="center" wrapText="1"/>
    </xf>
    <xf numFmtId="0" fontId="14" fillId="13" borderId="0" xfId="0" applyFont="1" applyFill="1" applyAlignment="1">
      <alignment horizontal="center" vertical="center" wrapText="1"/>
    </xf>
    <xf numFmtId="0" fontId="14" fillId="13" borderId="0" xfId="2" applyFont="1" applyFill="1" applyAlignment="1">
      <alignment horizontal="center" vertical="center" wrapText="1"/>
    </xf>
    <xf numFmtId="3" fontId="17" fillId="0" borderId="25" xfId="4" applyNumberFormat="1" applyFont="1" applyBorder="1" applyAlignment="1">
      <alignment horizontal="center"/>
    </xf>
    <xf numFmtId="3" fontId="28" fillId="0" borderId="0" xfId="4" applyNumberFormat="1" applyFont="1" applyAlignment="1">
      <alignment vertical="top"/>
    </xf>
    <xf numFmtId="0" fontId="4" fillId="2" borderId="0" xfId="0" applyFont="1" applyFill="1"/>
    <xf numFmtId="0" fontId="4" fillId="2" borderId="0" xfId="0" quotePrefix="1" applyFont="1" applyFill="1" applyAlignment="1">
      <alignment vertical="center"/>
    </xf>
    <xf numFmtId="3" fontId="17" fillId="24" borderId="19" xfId="4" applyNumberFormat="1" applyFont="1" applyFill="1" applyBorder="1" applyAlignment="1">
      <alignment horizontal="centerContinuous"/>
    </xf>
    <xf numFmtId="4" fontId="16" fillId="0" borderId="0" xfId="4" applyNumberFormat="1" applyFont="1"/>
    <xf numFmtId="175" fontId="16" fillId="0" borderId="0" xfId="4" applyNumberFormat="1" applyFont="1"/>
    <xf numFmtId="171" fontId="16" fillId="0" borderId="0" xfId="4" applyNumberFormat="1" applyFont="1" applyProtection="1">
      <protection locked="0"/>
    </xf>
    <xf numFmtId="171" fontId="16" fillId="19" borderId="0" xfId="4" applyNumberFormat="1" applyFont="1" applyFill="1" applyProtection="1">
      <protection locked="0"/>
    </xf>
    <xf numFmtId="171" fontId="16" fillId="0" borderId="15" xfId="4" applyNumberFormat="1" applyFont="1" applyBorder="1" applyProtection="1">
      <protection locked="0"/>
    </xf>
    <xf numFmtId="14" fontId="17" fillId="0" borderId="0" xfId="4" applyNumberFormat="1" applyFont="1" applyAlignment="1">
      <alignment horizontal="centerContinuous"/>
    </xf>
    <xf numFmtId="14" fontId="17" fillId="0" borderId="13" xfId="4" applyNumberFormat="1" applyFont="1" applyBorder="1" applyAlignment="1">
      <alignment horizontal="centerContinuous"/>
    </xf>
    <xf numFmtId="14" fontId="16" fillId="0" borderId="0" xfId="4" applyNumberFormat="1" applyFont="1"/>
    <xf numFmtId="166" fontId="8" fillId="2" borderId="0" xfId="2" applyNumberFormat="1" applyFill="1" applyAlignment="1">
      <alignment wrapText="1"/>
    </xf>
    <xf numFmtId="164" fontId="4" fillId="11" borderId="2" xfId="2" applyNumberFormat="1" applyFont="1" applyFill="1" applyBorder="1" applyAlignment="1">
      <alignment horizontal="right" wrapText="1"/>
    </xf>
    <xf numFmtId="17" fontId="8" fillId="11" borderId="0" xfId="2" applyNumberFormat="1" applyFill="1" applyAlignment="1">
      <alignment wrapText="1"/>
    </xf>
    <xf numFmtId="0" fontId="4" fillId="11" borderId="0" xfId="2" applyFont="1" applyFill="1" applyAlignment="1">
      <alignment horizontal="right" wrapText="1"/>
    </xf>
    <xf numFmtId="0" fontId="4" fillId="11" borderId="0" xfId="2" applyFont="1" applyFill="1" applyAlignment="1">
      <alignment wrapText="1"/>
    </xf>
    <xf numFmtId="169" fontId="8" fillId="2" borderId="0" xfId="1" applyNumberFormat="1" applyFont="1" applyFill="1" applyAlignment="1">
      <alignment wrapText="1"/>
    </xf>
    <xf numFmtId="0" fontId="30" fillId="2" borderId="0" xfId="0" applyFont="1" applyFill="1"/>
    <xf numFmtId="0" fontId="31" fillId="2" borderId="0" xfId="0" applyFont="1" applyFill="1" applyAlignment="1">
      <alignment wrapText="1"/>
    </xf>
    <xf numFmtId="0" fontId="0" fillId="22" borderId="0" xfId="0" applyFill="1" applyAlignment="1">
      <alignment wrapText="1"/>
    </xf>
    <xf numFmtId="9" fontId="0" fillId="22" borderId="0" xfId="0" applyNumberFormat="1" applyFill="1" applyAlignment="1">
      <alignment wrapText="1"/>
    </xf>
    <xf numFmtId="169" fontId="0" fillId="22" borderId="0" xfId="1" applyNumberFormat="1" applyFont="1" applyFill="1" applyBorder="1" applyAlignment="1">
      <alignment horizontal="right" wrapText="1"/>
    </xf>
    <xf numFmtId="3" fontId="17" fillId="24" borderId="8" xfId="4" applyNumberFormat="1" applyFont="1" applyFill="1" applyBorder="1" applyAlignment="1">
      <alignment vertical="top"/>
    </xf>
    <xf numFmtId="176" fontId="16" fillId="0" borderId="0" xfId="4" applyNumberFormat="1" applyFont="1"/>
    <xf numFmtId="3" fontId="19" fillId="13" borderId="32" xfId="4" applyNumberFormat="1" applyFont="1" applyFill="1" applyBorder="1" applyAlignment="1">
      <alignment vertical="center"/>
    </xf>
    <xf numFmtId="3" fontId="14" fillId="14" borderId="22" xfId="0" applyNumberFormat="1" applyFont="1" applyFill="1" applyBorder="1" applyAlignment="1">
      <alignment vertical="center" wrapText="1"/>
    </xf>
    <xf numFmtId="3" fontId="14" fillId="14" borderId="33" xfId="0" applyNumberFormat="1" applyFont="1" applyFill="1" applyBorder="1" applyAlignment="1">
      <alignment vertical="center" wrapText="1"/>
    </xf>
    <xf numFmtId="3" fontId="6" fillId="14" borderId="0" xfId="0" applyNumberFormat="1" applyFont="1" applyFill="1" applyAlignment="1">
      <alignment vertical="center" wrapText="1"/>
    </xf>
    <xf numFmtId="3" fontId="29" fillId="25" borderId="0" xfId="0" applyNumberFormat="1" applyFont="1" applyFill="1" applyAlignment="1">
      <alignment vertical="center" wrapText="1"/>
    </xf>
    <xf numFmtId="0" fontId="4" fillId="2" borderId="0" xfId="2" applyFont="1" applyFill="1" applyAlignment="1">
      <alignment wrapText="1"/>
    </xf>
    <xf numFmtId="0" fontId="4" fillId="2" borderId="0" xfId="2" applyFont="1" applyFill="1"/>
    <xf numFmtId="168" fontId="8" fillId="25" borderId="0" xfId="2" applyNumberFormat="1" applyFill="1" applyAlignment="1">
      <alignment wrapText="1"/>
    </xf>
    <xf numFmtId="0" fontId="4" fillId="2" borderId="0" xfId="0" applyFont="1" applyFill="1" applyAlignment="1">
      <alignment wrapText="1"/>
    </xf>
    <xf numFmtId="166" fontId="2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169" fontId="0" fillId="26" borderId="0" xfId="1" applyNumberFormat="1" applyFont="1" applyFill="1" applyBorder="1" applyAlignment="1">
      <alignment wrapText="1"/>
    </xf>
    <xf numFmtId="169" fontId="32" fillId="26" borderId="0" xfId="1" applyNumberFormat="1" applyFont="1" applyFill="1" applyBorder="1" applyAlignment="1">
      <alignment wrapText="1"/>
    </xf>
    <xf numFmtId="0" fontId="11" fillId="25" borderId="0" xfId="0" applyFont="1" applyFill="1" applyAlignment="1">
      <alignment wrapText="1"/>
    </xf>
    <xf numFmtId="166" fontId="0" fillId="2" borderId="0" xfId="0" applyNumberFormat="1" applyFill="1"/>
    <xf numFmtId="169" fontId="0" fillId="27" borderId="0" xfId="1" applyNumberFormat="1" applyFont="1" applyFill="1" applyBorder="1" applyAlignment="1">
      <alignment wrapText="1"/>
    </xf>
    <xf numFmtId="169" fontId="11" fillId="25" borderId="0" xfId="1" applyNumberFormat="1" applyFont="1" applyFill="1" applyBorder="1" applyAlignment="1">
      <alignment wrapText="1"/>
    </xf>
    <xf numFmtId="169" fontId="11" fillId="27" borderId="0" xfId="1" applyNumberFormat="1" applyFont="1" applyFill="1" applyBorder="1" applyAlignment="1">
      <alignment wrapText="1"/>
    </xf>
    <xf numFmtId="0" fontId="4" fillId="25" borderId="0" xfId="0" applyFont="1" applyFill="1" applyAlignment="1">
      <alignment wrapText="1"/>
    </xf>
    <xf numFmtId="0" fontId="4" fillId="9" borderId="0" xfId="0" applyFont="1" applyFill="1" applyAlignment="1">
      <alignment vertical="center" wrapText="1"/>
    </xf>
    <xf numFmtId="0" fontId="0" fillId="0" borderId="0" xfId="0"/>
    <xf numFmtId="0" fontId="0" fillId="0" borderId="0" xfId="0" applyAlignment="1">
      <alignment vertical="center"/>
    </xf>
    <xf numFmtId="0" fontId="11" fillId="2" borderId="0" xfId="0" applyFont="1" applyFill="1"/>
    <xf numFmtId="0" fontId="0" fillId="5" borderId="0" xfId="0" applyFill="1"/>
    <xf numFmtId="0" fontId="0" fillId="25" borderId="0" xfId="0" applyFill="1" applyAlignment="1">
      <alignment wrapText="1"/>
    </xf>
    <xf numFmtId="177" fontId="0" fillId="2" borderId="0" xfId="0" applyNumberFormat="1" applyFill="1" applyAlignment="1">
      <alignment wrapText="1"/>
    </xf>
    <xf numFmtId="3" fontId="16" fillId="23" borderId="4" xfId="4" applyNumberFormat="1" applyFont="1" applyFill="1" applyBorder="1"/>
    <xf numFmtId="171" fontId="16" fillId="23" borderId="14" xfId="4" applyNumberFormat="1" applyFont="1" applyFill="1" applyBorder="1" applyProtection="1">
      <protection locked="0"/>
    </xf>
    <xf numFmtId="171" fontId="17" fillId="28" borderId="8" xfId="4" applyNumberFormat="1" applyFont="1" applyFill="1" applyBorder="1" applyAlignment="1">
      <alignment vertical="top"/>
    </xf>
    <xf numFmtId="0" fontId="33" fillId="2" borderId="0" xfId="0" applyFont="1" applyFill="1" applyAlignment="1">
      <alignment vertical="center"/>
    </xf>
    <xf numFmtId="166" fontId="11" fillId="2" borderId="0" xfId="0" applyNumberFormat="1" applyFont="1" applyFill="1"/>
    <xf numFmtId="0" fontId="35" fillId="2" borderId="2" xfId="0" applyFont="1" applyFill="1" applyBorder="1" applyAlignment="1">
      <alignment wrapText="1"/>
    </xf>
    <xf numFmtId="166" fontId="35" fillId="2" borderId="2" xfId="0" applyNumberFormat="1" applyFont="1" applyFill="1" applyBorder="1" applyAlignment="1">
      <alignment wrapText="1"/>
    </xf>
    <xf numFmtId="165" fontId="35" fillId="2" borderId="2" xfId="0" applyNumberFormat="1" applyFont="1" applyFill="1" applyBorder="1" applyAlignment="1">
      <alignment wrapText="1"/>
    </xf>
    <xf numFmtId="0" fontId="35" fillId="4" borderId="2" xfId="0" applyFont="1" applyFill="1" applyBorder="1" applyAlignment="1">
      <alignment wrapText="1"/>
    </xf>
    <xf numFmtId="166" fontId="35" fillId="4" borderId="2" xfId="0" applyNumberFormat="1" applyFont="1" applyFill="1" applyBorder="1" applyAlignment="1">
      <alignment wrapText="1"/>
    </xf>
    <xf numFmtId="164" fontId="35" fillId="2" borderId="2" xfId="0" applyNumberFormat="1" applyFont="1" applyFill="1" applyBorder="1" applyAlignment="1">
      <alignment wrapText="1"/>
    </xf>
    <xf numFmtId="9" fontId="0" fillId="2" borderId="0" xfId="3" applyFont="1" applyFill="1" applyAlignment="1">
      <alignment wrapText="1"/>
    </xf>
    <xf numFmtId="171" fontId="16" fillId="29" borderId="7" xfId="4" applyNumberFormat="1" applyFont="1" applyFill="1" applyBorder="1" applyProtection="1">
      <protection locked="0"/>
    </xf>
    <xf numFmtId="3" fontId="17" fillId="30" borderId="8" xfId="4" applyNumberFormat="1" applyFont="1" applyFill="1" applyBorder="1" applyAlignment="1">
      <alignment vertical="top"/>
    </xf>
    <xf numFmtId="171" fontId="16" fillId="29" borderId="4" xfId="4" applyNumberFormat="1" applyFont="1" applyFill="1" applyBorder="1" applyProtection="1">
      <protection locked="0"/>
    </xf>
    <xf numFmtId="0" fontId="36" fillId="3" borderId="1" xfId="0" applyFont="1" applyFill="1" applyBorder="1" applyAlignment="1">
      <alignment horizontal="center" wrapText="1"/>
    </xf>
    <xf numFmtId="3" fontId="37" fillId="0" borderId="0" xfId="4" applyNumberFormat="1" applyFont="1"/>
    <xf numFmtId="171" fontId="17" fillId="30" borderId="8" xfId="4" applyNumberFormat="1" applyFont="1" applyFill="1" applyBorder="1" applyAlignment="1">
      <alignment vertical="top"/>
    </xf>
    <xf numFmtId="14" fontId="0" fillId="0" borderId="0" xfId="0" applyNumberFormat="1"/>
    <xf numFmtId="171" fontId="17" fillId="30" borderId="10" xfId="4" applyNumberFormat="1" applyFont="1" applyFill="1" applyBorder="1" applyAlignment="1">
      <alignment vertical="top"/>
    </xf>
    <xf numFmtId="169" fontId="0" fillId="0" borderId="0" xfId="1" applyNumberFormat="1" applyFont="1" applyFill="1" applyBorder="1" applyAlignment="1">
      <alignment wrapText="1"/>
    </xf>
    <xf numFmtId="169" fontId="4" fillId="2" borderId="0" xfId="1" applyNumberFormat="1" applyFont="1" applyFill="1" applyBorder="1" applyAlignment="1">
      <alignment horizontal="right" wrapText="1"/>
    </xf>
    <xf numFmtId="3" fontId="17" fillId="30" borderId="9" xfId="4" applyNumberFormat="1" applyFont="1" applyFill="1" applyBorder="1" applyAlignment="1">
      <alignment vertical="top"/>
    </xf>
    <xf numFmtId="0" fontId="3" fillId="3" borderId="1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14" fillId="13" borderId="23" xfId="0" applyFont="1" applyFill="1" applyBorder="1" applyAlignment="1">
      <alignment horizontal="center" vertical="center" wrapText="1"/>
    </xf>
    <xf numFmtId="14" fontId="28" fillId="0" borderId="15" xfId="4" applyNumberFormat="1" applyFont="1" applyBorder="1" applyAlignment="1">
      <alignment horizontal="center" vertical="top"/>
    </xf>
    <xf numFmtId="169" fontId="0" fillId="2" borderId="0" xfId="1" applyNumberFormat="1" applyFont="1" applyFill="1" applyBorder="1" applyAlignment="1">
      <alignment horizontal="center" wrapText="1"/>
    </xf>
    <xf numFmtId="0" fontId="14" fillId="14" borderId="15" xfId="0" applyFont="1" applyFill="1" applyBorder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0" fontId="0" fillId="2" borderId="0" xfId="0" quotePrefix="1" applyFill="1" applyAlignment="1">
      <alignment horizontal="left" vertical="center" wrapText="1"/>
    </xf>
    <xf numFmtId="0" fontId="8" fillId="2" borderId="0" xfId="0" quotePrefix="1" applyFont="1" applyFill="1" applyAlignment="1">
      <alignment horizontal="left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169" fontId="8" fillId="2" borderId="0" xfId="1" applyNumberFormat="1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3" fontId="16" fillId="0" borderId="0" xfId="4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3" borderId="1" xfId="0" applyFont="1" applyFill="1" applyBorder="1" applyAlignment="1">
      <alignment horizontal="center" wrapText="1"/>
    </xf>
    <xf numFmtId="0" fontId="4" fillId="2" borderId="0" xfId="2" applyFont="1" applyFill="1" applyAlignment="1">
      <alignment horizontal="center" wrapText="1"/>
    </xf>
    <xf numFmtId="0" fontId="8" fillId="2" borderId="0" xfId="2" applyFill="1" applyAlignment="1">
      <alignment horizontal="center" wrapText="1"/>
    </xf>
    <xf numFmtId="0" fontId="36" fillId="3" borderId="36" xfId="0" applyFont="1" applyFill="1" applyBorder="1" applyAlignment="1">
      <alignment horizontal="center" wrapText="1"/>
    </xf>
    <xf numFmtId="0" fontId="36" fillId="3" borderId="37" xfId="0" applyFont="1" applyFill="1" applyBorder="1" applyAlignment="1">
      <alignment horizontal="center" wrapText="1"/>
    </xf>
    <xf numFmtId="0" fontId="8" fillId="2" borderId="0" xfId="2" quotePrefix="1" applyFill="1" applyAlignment="1">
      <alignment horizontal="left" vertical="center" wrapText="1"/>
    </xf>
  </cellXfs>
  <cellStyles count="6">
    <cellStyle name="Comma 2" xfId="5" xr:uid="{84A12DD9-19FB-43DF-89DD-E3AE02D59C29}"/>
    <cellStyle name="Komma" xfId="1" builtinId="3"/>
    <cellStyle name="Normal 2" xfId="2" xr:uid="{4668EAD3-F448-48F9-848C-BB1E502D043D}"/>
    <cellStyle name="Normal 3" xfId="4" xr:uid="{5A98D083-DCE6-4ABC-82B7-9FD286B61BC0}"/>
    <cellStyle name="Prozent" xfId="3" builtinId="5"/>
    <cellStyle name="Standard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8995C55E-B9BA-48A2-AC76-146235029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750834</xdr:colOff>
      <xdr:row>55</xdr:row>
      <xdr:rowOff>63500</xdr:rowOff>
    </xdr:from>
    <xdr:to>
      <xdr:col>28</xdr:col>
      <xdr:colOff>659280</xdr:colOff>
      <xdr:row>81</xdr:row>
      <xdr:rowOff>125095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77D0E02-69B3-8790-1C92-DC7AEE2A1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417" y="7884583"/>
          <a:ext cx="2331501" cy="4762500"/>
        </a:xfrm>
        <a:prstGeom prst="rect">
          <a:avLst/>
        </a:prstGeom>
      </xdr:spPr>
    </xdr:pic>
    <xdr:clientData/>
  </xdr:twoCellAnchor>
  <xdr:twoCellAnchor editAs="oneCell">
    <xdr:from>
      <xdr:col>28</xdr:col>
      <xdr:colOff>772584</xdr:colOff>
      <xdr:row>55</xdr:row>
      <xdr:rowOff>74464</xdr:rowOff>
    </xdr:from>
    <xdr:to>
      <xdr:col>31</xdr:col>
      <xdr:colOff>739354</xdr:colOff>
      <xdr:row>81</xdr:row>
      <xdr:rowOff>56728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997DA0F-3223-B38F-8EAD-62A1CC11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67167" y="7906131"/>
          <a:ext cx="2328333" cy="46774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55</xdr:row>
      <xdr:rowOff>0</xdr:rowOff>
    </xdr:from>
    <xdr:to>
      <xdr:col>5</xdr:col>
      <xdr:colOff>364600</xdr:colOff>
      <xdr:row>91</xdr:row>
      <xdr:rowOff>134994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24109BE-27F1-52F3-6A01-24FAEBD7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9857" y="7249886"/>
          <a:ext cx="3101609" cy="640135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802823</xdr:colOff>
      <xdr:row>55</xdr:row>
      <xdr:rowOff>13607</xdr:rowOff>
    </xdr:from>
    <xdr:to>
      <xdr:col>9</xdr:col>
      <xdr:colOff>473221</xdr:colOff>
      <xdr:row>92</xdr:row>
      <xdr:rowOff>40821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997CA9B-BDAF-0B51-2631-EFD6D7591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5394" y="7837714"/>
          <a:ext cx="3238055" cy="6599464"/>
        </a:xfrm>
        <a:prstGeom prst="rect">
          <a:avLst/>
        </a:prstGeom>
      </xdr:spPr>
    </xdr:pic>
    <xdr:clientData/>
  </xdr:twoCellAnchor>
  <xdr:twoCellAnchor editAs="oneCell">
    <xdr:from>
      <xdr:col>9</xdr:col>
      <xdr:colOff>830037</xdr:colOff>
      <xdr:row>55</xdr:row>
      <xdr:rowOff>27215</xdr:rowOff>
    </xdr:from>
    <xdr:to>
      <xdr:col>13</xdr:col>
      <xdr:colOff>457541</xdr:colOff>
      <xdr:row>92</xdr:row>
      <xdr:rowOff>60438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19FDA28-0ECA-944F-FC23-8C8411AC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50287" y="7851322"/>
          <a:ext cx="3197678" cy="6616903"/>
        </a:xfrm>
        <a:prstGeom prst="rect">
          <a:avLst/>
        </a:prstGeom>
      </xdr:spPr>
    </xdr:pic>
    <xdr:clientData/>
  </xdr:twoCellAnchor>
  <xdr:twoCellAnchor editAs="oneCell">
    <xdr:from>
      <xdr:col>13</xdr:col>
      <xdr:colOff>748392</xdr:colOff>
      <xdr:row>55</xdr:row>
      <xdr:rowOff>40822</xdr:rowOff>
    </xdr:from>
    <xdr:to>
      <xdr:col>17</xdr:col>
      <xdr:colOff>439367</xdr:colOff>
      <xdr:row>94</xdr:row>
      <xdr:rowOff>134726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1DBDB3F-0395-D5E1-218F-D08EE844B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87059" y="7861905"/>
          <a:ext cx="3273274" cy="7122296"/>
        </a:xfrm>
        <a:prstGeom prst="rect">
          <a:avLst/>
        </a:prstGeom>
      </xdr:spPr>
    </xdr:pic>
    <xdr:clientData/>
  </xdr:twoCellAnchor>
  <xdr:twoCellAnchor editAs="oneCell">
    <xdr:from>
      <xdr:col>21</xdr:col>
      <xdr:colOff>9074</xdr:colOff>
      <xdr:row>53</xdr:row>
      <xdr:rowOff>170846</xdr:rowOff>
    </xdr:from>
    <xdr:to>
      <xdr:col>24</xdr:col>
      <xdr:colOff>437055</xdr:colOff>
      <xdr:row>89</xdr:row>
      <xdr:rowOff>60415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AAA9C509-7079-4EDC-248F-3A8D901DB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22360" y="7641167"/>
          <a:ext cx="3110698" cy="6292547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95250</xdr:colOff>
      <xdr:row>53</xdr:row>
      <xdr:rowOff>163286</xdr:rowOff>
    </xdr:from>
    <xdr:to>
      <xdr:col>28</xdr:col>
      <xdr:colOff>401166</xdr:colOff>
      <xdr:row>89</xdr:row>
      <xdr:rowOff>132261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6FCA4885-ED3C-DBD7-DB07-73EC8CA2E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356536" y="7633607"/>
          <a:ext cx="2980400" cy="6368143"/>
        </a:xfrm>
        <a:prstGeom prst="rect">
          <a:avLst/>
        </a:prstGeom>
      </xdr:spPr>
    </xdr:pic>
    <xdr:clientData/>
  </xdr:twoCellAnchor>
  <xdr:twoCellAnchor editAs="oneCell">
    <xdr:from>
      <xdr:col>28</xdr:col>
      <xdr:colOff>752475</xdr:colOff>
      <xdr:row>53</xdr:row>
      <xdr:rowOff>171450</xdr:rowOff>
    </xdr:from>
    <xdr:to>
      <xdr:col>32</xdr:col>
      <xdr:colOff>288090</xdr:colOff>
      <xdr:row>89</xdr:row>
      <xdr:rowOff>21847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680C2C53-5D40-80BA-84A7-186FC559C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36500" y="7639050"/>
          <a:ext cx="3115110" cy="6392167"/>
        </a:xfrm>
        <a:prstGeom prst="rect">
          <a:avLst/>
        </a:prstGeom>
      </xdr:spPr>
    </xdr:pic>
    <xdr:clientData/>
  </xdr:twoCellAnchor>
  <xdr:twoCellAnchor editAs="oneCell">
    <xdr:from>
      <xdr:col>33</xdr:col>
      <xdr:colOff>1</xdr:colOff>
      <xdr:row>54</xdr:row>
      <xdr:rowOff>0</xdr:rowOff>
    </xdr:from>
    <xdr:to>
      <xdr:col>35</xdr:col>
      <xdr:colOff>1163106</xdr:colOff>
      <xdr:row>88</xdr:row>
      <xdr:rowOff>133350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51A6ED11-2428-8FC3-13A0-51D34996F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127451" y="6953250"/>
          <a:ext cx="2883320" cy="5953125"/>
        </a:xfrm>
        <a:prstGeom prst="rect">
          <a:avLst/>
        </a:prstGeom>
      </xdr:spPr>
    </xdr:pic>
    <xdr:clientData/>
  </xdr:twoCellAnchor>
  <xdr:twoCellAnchor editAs="oneCell">
    <xdr:from>
      <xdr:col>38</xdr:col>
      <xdr:colOff>11906</xdr:colOff>
      <xdr:row>54</xdr:row>
      <xdr:rowOff>11906</xdr:rowOff>
    </xdr:from>
    <xdr:to>
      <xdr:col>41</xdr:col>
      <xdr:colOff>708149</xdr:colOff>
      <xdr:row>88</xdr:row>
      <xdr:rowOff>93821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80FF8E93-9EBE-8654-8F02-E65F0B0DF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147375" y="7667625"/>
          <a:ext cx="2993673" cy="6191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2459474</xdr:colOff>
      <xdr:row>54</xdr:row>
      <xdr:rowOff>165192</xdr:rowOff>
    </xdr:from>
    <xdr:to>
      <xdr:col>4</xdr:col>
      <xdr:colOff>708346</xdr:colOff>
      <xdr:row>85</xdr:row>
      <xdr:rowOff>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FD45FF0-858D-8DC1-02DE-6800ED8C7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4641" y="7806359"/>
          <a:ext cx="2534964" cy="5422808"/>
        </a:xfrm>
        <a:prstGeom prst="rect">
          <a:avLst/>
        </a:prstGeom>
      </xdr:spPr>
    </xdr:pic>
    <xdr:clientData/>
  </xdr:twoCellAnchor>
  <xdr:twoCellAnchor editAs="oneCell">
    <xdr:from>
      <xdr:col>5</xdr:col>
      <xdr:colOff>820616</xdr:colOff>
      <xdr:row>55</xdr:row>
      <xdr:rowOff>0</xdr:rowOff>
    </xdr:from>
    <xdr:to>
      <xdr:col>8</xdr:col>
      <xdr:colOff>572548</xdr:colOff>
      <xdr:row>85</xdr:row>
      <xdr:rowOff>21619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F928654-B737-5506-E98D-3E8A9A57B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8904" y="7832481"/>
          <a:ext cx="2293328" cy="552032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14</xdr:col>
      <xdr:colOff>95834</xdr:colOff>
      <xdr:row>84</xdr:row>
      <xdr:rowOff>93821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45C0C94B-97B6-3D6A-9A27-088BB2724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0469" y="7834313"/>
          <a:ext cx="2413744" cy="5298281"/>
        </a:xfrm>
        <a:prstGeom prst="rect">
          <a:avLst/>
        </a:prstGeom>
      </xdr:spPr>
    </xdr:pic>
    <xdr:clientData/>
  </xdr:twoCellAnchor>
  <xdr:twoCellAnchor editAs="oneCell">
    <xdr:from>
      <xdr:col>13</xdr:col>
      <xdr:colOff>750095</xdr:colOff>
      <xdr:row>55</xdr:row>
      <xdr:rowOff>35719</xdr:rowOff>
    </xdr:from>
    <xdr:to>
      <xdr:col>17</xdr:col>
      <xdr:colOff>174318</xdr:colOff>
      <xdr:row>87</xdr:row>
      <xdr:rowOff>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9DCA3DA4-7D74-E3E1-1467-BAFA52ECF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76238" y="7859826"/>
          <a:ext cx="2806414" cy="5638460"/>
        </a:xfrm>
        <a:prstGeom prst="rect">
          <a:avLst/>
        </a:prstGeom>
      </xdr:spPr>
    </xdr:pic>
    <xdr:clientData/>
  </xdr:twoCellAnchor>
  <xdr:twoCellAnchor editAs="oneCell">
    <xdr:from>
      <xdr:col>17</xdr:col>
      <xdr:colOff>5102</xdr:colOff>
      <xdr:row>55</xdr:row>
      <xdr:rowOff>23811</xdr:rowOff>
    </xdr:from>
    <xdr:to>
      <xdr:col>20</xdr:col>
      <xdr:colOff>40821</xdr:colOff>
      <xdr:row>87</xdr:row>
      <xdr:rowOff>55379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408851E7-EF95-1062-34C6-B4013DF3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05816" y="7847918"/>
          <a:ext cx="2648291" cy="5709557"/>
        </a:xfrm>
        <a:prstGeom prst="rect">
          <a:avLst/>
        </a:prstGeom>
      </xdr:spPr>
    </xdr:pic>
    <xdr:clientData/>
  </xdr:twoCellAnchor>
  <xdr:twoCellAnchor editAs="oneCell">
    <xdr:from>
      <xdr:col>20</xdr:col>
      <xdr:colOff>40821</xdr:colOff>
      <xdr:row>54</xdr:row>
      <xdr:rowOff>149681</xdr:rowOff>
    </xdr:from>
    <xdr:to>
      <xdr:col>23</xdr:col>
      <xdr:colOff>173006</xdr:colOff>
      <xdr:row>87</xdr:row>
      <xdr:rowOff>60417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3C41BC7E-AD06-615C-6B25-CEEFDEDBD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54107" y="7796895"/>
          <a:ext cx="2735231" cy="5769428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</xdr:row>
      <xdr:rowOff>0</xdr:rowOff>
    </xdr:from>
    <xdr:to>
      <xdr:col>26</xdr:col>
      <xdr:colOff>17417</xdr:colOff>
      <xdr:row>87</xdr:row>
      <xdr:rowOff>95485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8669192-9C11-71E0-A31E-5392EB8EC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825857" y="7824107"/>
          <a:ext cx="2626179" cy="5760139"/>
        </a:xfrm>
        <a:prstGeom prst="rect">
          <a:avLst/>
        </a:prstGeom>
      </xdr:spPr>
    </xdr:pic>
    <xdr:clientData/>
  </xdr:twoCellAnchor>
  <xdr:twoCellAnchor editAs="oneCell">
    <xdr:from>
      <xdr:col>25</xdr:col>
      <xdr:colOff>843644</xdr:colOff>
      <xdr:row>55</xdr:row>
      <xdr:rowOff>1</xdr:rowOff>
    </xdr:from>
    <xdr:to>
      <xdr:col>29</xdr:col>
      <xdr:colOff>15602</xdr:colOff>
      <xdr:row>87</xdr:row>
      <xdr:rowOff>149678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C9DD00D7-0AF0-50BC-A211-BB05D3918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11215" y="7824108"/>
          <a:ext cx="2651577" cy="58238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55</xdr:row>
      <xdr:rowOff>0</xdr:rowOff>
    </xdr:from>
    <xdr:to>
      <xdr:col>5</xdr:col>
      <xdr:colOff>17238</xdr:colOff>
      <xdr:row>85</xdr:row>
      <xdr:rowOff>130084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D7D9794-4440-93D3-133E-E086E6C41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7393" y="7824107"/>
          <a:ext cx="2517142" cy="5456464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55</xdr:row>
      <xdr:rowOff>0</xdr:rowOff>
    </xdr:from>
    <xdr:to>
      <xdr:col>8</xdr:col>
      <xdr:colOff>56799</xdr:colOff>
      <xdr:row>84</xdr:row>
      <xdr:rowOff>60416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1E6307E-E730-D64D-5C96-A37B99DE4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1108" y="7824107"/>
          <a:ext cx="2509894" cy="5225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10</xdr:col>
      <xdr:colOff>707104</xdr:colOff>
      <xdr:row>83</xdr:row>
      <xdr:rowOff>172810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FAA4242-56CC-50E6-A055-94930B437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05257" y="7249886"/>
          <a:ext cx="2427591" cy="504008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13</xdr:col>
      <xdr:colOff>611573</xdr:colOff>
      <xdr:row>84</xdr:row>
      <xdr:rowOff>55789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1CB35B4-F6A8-BB10-6CE7-5DCA333A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72257" y="7249886"/>
          <a:ext cx="2429487" cy="5116285"/>
        </a:xfrm>
        <a:prstGeom prst="rect">
          <a:avLst/>
        </a:prstGeom>
      </xdr:spPr>
    </xdr:pic>
    <xdr:clientData/>
  </xdr:twoCellAnchor>
  <xdr:twoCellAnchor editAs="oneCell">
    <xdr:from>
      <xdr:col>13</xdr:col>
      <xdr:colOff>680358</xdr:colOff>
      <xdr:row>55</xdr:row>
      <xdr:rowOff>122465</xdr:rowOff>
    </xdr:from>
    <xdr:to>
      <xdr:col>24</xdr:col>
      <xdr:colOff>250914</xdr:colOff>
      <xdr:row>73</xdr:row>
      <xdr:rowOff>16489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202A7393-4C8C-B4B5-BA5D-CF47986AA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65037" y="7946572"/>
          <a:ext cx="9021533" cy="3109120"/>
        </a:xfrm>
        <a:prstGeom prst="rect">
          <a:avLst/>
        </a:prstGeom>
      </xdr:spPr>
    </xdr:pic>
    <xdr:clientData/>
  </xdr:twoCellAnchor>
  <xdr:twoCellAnchor editAs="oneCell">
    <xdr:from>
      <xdr:col>13</xdr:col>
      <xdr:colOff>680356</xdr:colOff>
      <xdr:row>73</xdr:row>
      <xdr:rowOff>136072</xdr:rowOff>
    </xdr:from>
    <xdr:to>
      <xdr:col>22</xdr:col>
      <xdr:colOff>212468</xdr:colOff>
      <xdr:row>88</xdr:row>
      <xdr:rowOff>150051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88AE7F60-4047-181B-723B-57409B59B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65035" y="11171465"/>
          <a:ext cx="7268589" cy="2667372"/>
        </a:xfrm>
        <a:prstGeom prst="rect">
          <a:avLst/>
        </a:prstGeom>
      </xdr:spPr>
    </xdr:pic>
    <xdr:clientData/>
  </xdr:twoCellAnchor>
  <xdr:twoCellAnchor editAs="oneCell">
    <xdr:from>
      <xdr:col>25</xdr:col>
      <xdr:colOff>204107</xdr:colOff>
      <xdr:row>56</xdr:row>
      <xdr:rowOff>68035</xdr:rowOff>
    </xdr:from>
    <xdr:to>
      <xdr:col>39</xdr:col>
      <xdr:colOff>93330</xdr:colOff>
      <xdr:row>71</xdr:row>
      <xdr:rowOff>77934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61B7645-67A2-440A-82B3-D18F3F609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989393" y="8069035"/>
          <a:ext cx="11593543" cy="26768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87085</xdr:rowOff>
    </xdr:from>
    <xdr:to>
      <xdr:col>4</xdr:col>
      <xdr:colOff>491783</xdr:colOff>
      <xdr:row>69</xdr:row>
      <xdr:rowOff>79978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2BCB4B8-1A54-C38A-10C6-133A85377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88628"/>
          <a:ext cx="6515665" cy="2781541"/>
        </a:xfrm>
        <a:prstGeom prst="rect">
          <a:avLst/>
        </a:prstGeom>
      </xdr:spPr>
    </xdr:pic>
    <xdr:clientData/>
  </xdr:twoCellAnchor>
  <xdr:twoCellAnchor editAs="oneCell">
    <xdr:from>
      <xdr:col>4</xdr:col>
      <xdr:colOff>685799</xdr:colOff>
      <xdr:row>53</xdr:row>
      <xdr:rowOff>119742</xdr:rowOff>
    </xdr:from>
    <xdr:to>
      <xdr:col>15</xdr:col>
      <xdr:colOff>172249</xdr:colOff>
      <xdr:row>69</xdr:row>
      <xdr:rowOff>76437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1E4D41-0F92-EA61-1838-486757C25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8256" y="7021285"/>
          <a:ext cx="9236240" cy="2743438"/>
        </a:xfrm>
        <a:prstGeom prst="rect">
          <a:avLst/>
        </a:prstGeom>
      </xdr:spPr>
    </xdr:pic>
    <xdr:clientData/>
  </xdr:twoCellAnchor>
  <xdr:twoCellAnchor editAs="oneCell">
    <xdr:from>
      <xdr:col>18</xdr:col>
      <xdr:colOff>612322</xdr:colOff>
      <xdr:row>53</xdr:row>
      <xdr:rowOff>68035</xdr:rowOff>
    </xdr:from>
    <xdr:to>
      <xdr:col>22</xdr:col>
      <xdr:colOff>74381</xdr:colOff>
      <xdr:row>85</xdr:row>
      <xdr:rowOff>132788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2A50B5E-57C9-D8A7-9969-95B9E4B8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37036" y="7021285"/>
          <a:ext cx="2564488" cy="57215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1660A94-8F1A-4606-81FE-0E8B4126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855644EC-C5C6-4EC0-BC51-0419F9A87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0543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839DA249-518B-4B0D-94B7-8B1D1E6F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DC746D8C-76E1-411B-8DB7-E797BBE2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4" name="Picture 3">
          <a:extLst>
            <a:ext uri="{FF2B5EF4-FFF2-40B4-BE49-F238E27FC236}">
              <a16:creationId xmlns:a16="http://schemas.microsoft.com/office/drawing/2014/main" id="{3B00BAFE-7745-4DEA-84F3-A9636531A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D0F09C00-209D-4A63-9124-CF1D34F6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ADC5D6AC-588C-46C4-8CBB-7B80617B9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5C1588D7-C076-4D6B-9EA8-F9009BBB5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2E167B3F-C953-4258-9599-23C5AE4D2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B1720F5B-FFE6-4469-9B83-86BA26DEA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F1E735B4-3D39-411F-BE05-3E6079AE7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0816DA2E-90D8-4B3E-881F-49957F72A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B0ABCED7-6A2D-4063-A1D5-148E0A6FB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114FC850-3698-4DF6-893A-05D5E39B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4DF6C4DF-623E-4202-BE3B-ABDCAE35F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D843F916-1606-4227-9D66-DA62C0AAC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EA337BD5-6D72-451D-832D-8D4B8D960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C51FEFAC-D894-4213-B103-7CF7D955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388FD7F7-82AC-4569-898E-B50FE0FC9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87E68B39-73CA-48EB-BA1A-10F14E3C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39B6358B-21EC-42BB-BD80-6F47EFC13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5A5DFC03-5665-4FFC-9E61-3868BC1A8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D66EF416-DA5A-4F77-B752-C90BE3885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4D09DE7F-33FB-42B5-BEA2-45C58F9FA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B40291B0-8737-4671-9465-C9FD36897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96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29DAEC6F-3977-49C8-89EB-9EEB7FFE1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611FFCA7-55D1-4043-8D0A-9C8614BA6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3DB0BE2A-C89A-485A-80E7-1B18AEE61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BAB26247-5142-4AEF-9748-901E70FBB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2163BCDA-474E-465D-8932-1AF5FBD7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1F5BF91D-06A0-496C-8CBA-EB5090B10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5A810A9D-4DE2-4424-95AC-7EA811E27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7E120E7C-F381-4E6A-8D1F-BD5528361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18765" y="9144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277CA6D1-DE87-4C52-AF24-7457D9799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4" name="Picture 3">
          <a:extLst>
            <a:ext uri="{FF2B5EF4-FFF2-40B4-BE49-F238E27FC236}">
              <a16:creationId xmlns:a16="http://schemas.microsoft.com/office/drawing/2014/main" id="{5C042857-FD81-4FE1-B1CA-74A91D6AF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61A0D79A-CBE7-4171-B6C3-9AC1A4B5C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231A14CD-606B-4663-B88E-DA9226592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339FCA9C-D7FE-449F-85F5-A5BDA0E11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F6111DD9-CB5C-4510-85FE-9C1AD18C1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3C6E2477-230E-4EA2-9D7D-02579D8CD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C97A4215-82B3-43FC-B476-D96D31530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BD6048F1-824F-488B-AA24-A69EF75E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301584F4-A1C9-4BEA-8321-6D1C5BA23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5CAF1C31-1DA7-4213-BF63-47CFAC1AA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3078EE84-5116-476E-8349-26086763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0B2EBCAD-5E00-41D0-B67B-71E405849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18765" y="9144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4" name="Picture 3">
          <a:extLst>
            <a:ext uri="{FF2B5EF4-FFF2-40B4-BE49-F238E27FC236}">
              <a16:creationId xmlns:a16="http://schemas.microsoft.com/office/drawing/2014/main" id="{6BAC3CA7-21D4-4B99-850F-1139EF886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F16A15F8-1740-4287-B0E6-455C0D1FE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3" name="Picture 2">
          <a:extLst>
            <a:ext uri="{FF2B5EF4-FFF2-40B4-BE49-F238E27FC236}">
              <a16:creationId xmlns:a16="http://schemas.microsoft.com/office/drawing/2014/main" id="{BF25D796-BAC1-4626-BFD3-CB116F3C7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18765" y="91440"/>
          <a:ext cx="942975" cy="666750"/>
        </a:xfrm>
        <a:prstGeom prst="rect">
          <a:avLst/>
        </a:prstGeom>
      </xdr:spPr>
    </xdr:pic>
    <xdr:clientData/>
  </xdr:oneCellAnchor>
  <xdr:oneCellAnchor>
    <xdr:from>
      <xdr:col>39</xdr:col>
      <xdr:colOff>95250</xdr:colOff>
      <xdr:row>0</xdr:row>
      <xdr:rowOff>95250</xdr:rowOff>
    </xdr:from>
    <xdr:ext cx="942975" cy="666750"/>
    <xdr:pic>
      <xdr:nvPicPr>
        <xdr:cNvPr id="4" name="Picture 3">
          <a:extLst>
            <a:ext uri="{FF2B5EF4-FFF2-40B4-BE49-F238E27FC236}">
              <a16:creationId xmlns:a16="http://schemas.microsoft.com/office/drawing/2014/main" id="{0BFD5A0D-E5B2-41D9-B886-36A567546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495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7A51550C-D7FF-4CC1-97A6-3BC3D52D1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52420" y="95250"/>
          <a:ext cx="942975" cy="66675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95250</xdr:rowOff>
    </xdr:from>
    <xdr:ext cx="9429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99BB7AB8-91F4-4261-93C1-8778BE51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1920" y="95250"/>
          <a:ext cx="942975" cy="6667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SSadler/AppData/Local/Microsoft/Windows/INetCache/Content.Outlook/QTUSZBB8/2024-12-16%20Finance%20Plan_2025_incl%20liqui.xlsx" TargetMode="External"/><Relationship Id="rId1" Type="http://schemas.openxmlformats.org/officeDocument/2006/relationships/externalLinkPath" Target="https://lindnerhotels-my.sharepoint.com/Users/SSadler/AppData/Local/Microsoft/Windows/INetCache/Content.Outlook/QTUSZBB8/2024-12-16%20Finance%20Plan_2025_incl%20liqu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ased P&amp;L Budget (2)"/>
      <sheetName val="Exec.Summary_Liquiplanung"/>
      <sheetName val="Exec Summary_Sanierung"/>
      <sheetName val="Exec Summary_Base Case"/>
      <sheetName val="Dezember24"/>
      <sheetName val="Januar"/>
      <sheetName val="Februar"/>
      <sheetName val="März"/>
      <sheetName val="April"/>
      <sheetName val="Mai"/>
      <sheetName val="Juni"/>
      <sheetName val="Budget 25 LH AG"/>
      <sheetName val="Overview"/>
      <sheetName val="HQ only"/>
      <sheetName val="Hotels Only"/>
      <sheetName val="Kudamm"/>
      <sheetName val="Airport"/>
      <sheetName val="Seestern"/>
      <sheetName val="Höchst"/>
      <sheetName val="Main Plaza"/>
      <sheetName val="Michel"/>
      <sheetName val="Köln Dom"/>
      <sheetName val="City Plza"/>
      <sheetName val="Leverkusen"/>
      <sheetName val="Oberstaufen"/>
      <sheetName val="Sylt"/>
      <sheetName val="Wiesensee"/>
      <sheetName val="MAA Mainz"/>
    </sheetNames>
    <sheetDataSet>
      <sheetData sheetId="0"/>
      <sheetData sheetId="1"/>
      <sheetData sheetId="2"/>
      <sheetData sheetId="3">
        <row r="89">
          <cell r="D89">
            <v>6154074.2526000002</v>
          </cell>
          <cell r="E89">
            <v>7067619.3800750002</v>
          </cell>
          <cell r="F89">
            <v>9450776.4840750005</v>
          </cell>
          <cell r="G89">
            <v>7516057.0514249997</v>
          </cell>
          <cell r="H89">
            <v>9416025.5928000025</v>
          </cell>
          <cell r="I89">
            <v>9271903.71428</v>
          </cell>
        </row>
        <row r="93">
          <cell r="D93">
            <v>-1668592.9496605042</v>
          </cell>
          <cell r="F93">
            <v>-1811735.3658605036</v>
          </cell>
          <cell r="G93">
            <v>-1605266.0551605041</v>
          </cell>
          <cell r="H93">
            <v>-1701716.8776605038</v>
          </cell>
          <cell r="I93">
            <v>-1605652.0505605042</v>
          </cell>
        </row>
        <row r="94">
          <cell r="D94">
            <v>3608495.7802670002</v>
          </cell>
          <cell r="E94">
            <v>4330172.2087697499</v>
          </cell>
          <cell r="F94">
            <v>5182376.6871262509</v>
          </cell>
          <cell r="G94">
            <v>4265960.5593320001</v>
          </cell>
          <cell r="H94">
            <v>4874306.6668187529</v>
          </cell>
          <cell r="I94">
            <v>5125322.7912744991</v>
          </cell>
        </row>
      </sheetData>
      <sheetData sheetId="4"/>
      <sheetData sheetId="5">
        <row r="42">
          <cell r="AP42">
            <v>967750</v>
          </cell>
        </row>
      </sheetData>
      <sheetData sheetId="6"/>
      <sheetData sheetId="7"/>
      <sheetData sheetId="8">
        <row r="41">
          <cell r="C41">
            <v>145395.26676459168</v>
          </cell>
          <cell r="D41">
            <v>145395.76676459168</v>
          </cell>
          <cell r="E41">
            <v>145395.76676459168</v>
          </cell>
          <cell r="F41">
            <v>145395.76676459168</v>
          </cell>
          <cell r="AD41">
            <v>145395.76676459168</v>
          </cell>
          <cell r="AE41">
            <v>145395.76676459168</v>
          </cell>
          <cell r="AF41">
            <v>436187.30029377504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dler, Sophie" id="{1543EC2C-C916-4825-A5A9-6E3D700B085C}" userId="S::Sophie.Sadler@mylindnergroup.com::67ebc82a-13ac-4f4e-85f6-6bcebba3620e" providerId="AD"/>
  <person displayName="Sadler, Sophie" id="{ACDAB031-9481-475C-8128-AF42445C26E3}" userId="S::sophie.sadler@mylindnergroup.com::67ebc82a-13ac-4f4e-85f6-6bcebba3620e" providerId="AD"/>
  <person displayName="Scherk, Christoph" id="{CD980C95-FED7-4CC2-82CF-9E8EEC449FDC}" userId="S::christoph.scherk@mylindnergroup.com::107ad9e8-c793-456b-9421-9b25b3e042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6" dT="2024-12-14T18:12:27.61" personId="{1543EC2C-C916-4825-A5A9-6E3D700B085C}" id="{87FD4185-654C-4C0B-8610-67B982CE4C3A}">
    <text>Ab Juli 50%Pacht - alternativ schliessen</text>
  </threadedComment>
  <threadedComment ref="B23" dT="2024-12-14T18:07:42.59" personId="{1543EC2C-C916-4825-A5A9-6E3D700B085C}" id="{54F93A24-2DE1-4E13-BC7C-A646498DCFA0}">
    <text>Keine Pachtreduzierung angenommen da aktuelle Verzinsung nachverhandelt werden müsste</text>
  </threadedComment>
  <threadedComment ref="B23" dT="2024-12-15T09:03:26.27" personId="{CD980C95-FED7-4CC2-82CF-9E8EEC449FDC}" id="{32B600B2-A79B-4114-A2C8-1791BE3C52E3}" parentId="{54F93A24-2DE1-4E13-BC7C-A646498DCFA0}">
    <text>Letzte Indexierung nicht in Budget enthalten (300k p.a.)</text>
  </threadedComment>
  <threadedComment ref="B26" dT="2024-12-15T09:06:27.70" personId="{CD980C95-FED7-4CC2-82CF-9E8EEC449FDC}" id="{8B49AE5C-31FD-4480-B66A-D4476F8BC258}">
    <text>Invest &amp; hold</text>
  </threadedComment>
  <threadedComment ref="B27" dT="2024-12-15T09:06:42.90" personId="{CD980C95-FED7-4CC2-82CF-9E8EEC449FDC}" id="{0986ECA2-46BF-416D-B269-12A729CFD4EA}">
    <text>Invest &amp; hold</text>
  </threadedComment>
  <threadedComment ref="B39" dT="2024-12-14T19:43:20.34" personId="{1543EC2C-C916-4825-A5A9-6E3D700B085C}" id="{C95DA60A-1258-4A4C-B0E1-472E4435A6A4}">
    <text>Due to 3 property closures</text>
  </threadedComment>
  <threadedComment ref="F41" dT="2024-12-14T20:02:04.20" personId="{1543EC2C-C916-4825-A5A9-6E3D700B085C}" id="{0F7F9CDD-F8D8-4C75-ACB8-57867E7BCC4E}">
    <text>Auto Leasing Verträge</text>
  </threadedComment>
  <threadedComment ref="F41" dT="2024-12-14T20:02:37.09" personId="{1543EC2C-C916-4825-A5A9-6E3D700B085C}" id="{4FC824D3-758D-47A4-A232-F7AD81531A95}" parentId="{0F7F9CDD-F8D8-4C75-ACB8-57867E7BCC4E}">
    <text>Reisekosten</text>
  </threadedComment>
  <threadedComment ref="D43" dT="2024-12-14T20:12:38.30" personId="{1543EC2C-C916-4825-A5A9-6E3D700B085C}" id="{7E9402DD-90E6-41D5-BE58-8F818839D658}">
    <text>Wilmesmeyer</text>
  </threadedComment>
  <threadedComment ref="F43" dT="2024-12-14T20:10:24.58" personId="{1543EC2C-C916-4825-A5A9-6E3D700B085C}" id="{303B9FAB-11B4-496E-9689-D49AD3C6A1C8}">
    <text>Barter Hockey Deal</text>
  </threadedComment>
  <threadedComment ref="O43" dT="2024-12-14T20:10:58.19" personId="{1543EC2C-C916-4825-A5A9-6E3D700B085C}" id="{82B86FEF-AE90-4E74-B267-6219536B6C65}">
    <text>Gutscheine Duftstars 7500</text>
  </threadedComment>
  <threadedComment ref="B72" dT="2024-12-15T10:32:16.68" personId="{1543EC2C-C916-4825-A5A9-6E3D700B085C}" id="{4326A270-7D5A-458C-9CAE-39CC047A7B9E}">
    <text>Only adjusted by the LH AG Hotels!</text>
  </threadedComment>
  <threadedComment ref="D76" dT="2024-12-15T11:16:25.13" personId="{1543EC2C-C916-4825-A5A9-6E3D700B085C}" id="{9D3ADB53-AF1E-4598-B56D-7856E399EDB9}">
    <text>70% von Umsatz 7% und 30% 19%
50% per CC und 50% Deb (50%30 Tage 25% 60T und 25% 90T)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30" dT="2025-03-06T19:09:59.39" personId="{CD980C95-FED7-4CC2-82CF-9E8EEC449FDC}" id="{9D7E4E3B-3057-4E99-B19F-98A53F96697E}">
    <text>Ergebnispachtanteil Juli bis September (nur der ist positiv)</text>
  </threadedComment>
  <threadedComment ref="B35" dT="2024-12-14T18:07:42.59" personId="{1543EC2C-C916-4825-A5A9-6E3D700B085C}" id="{E2571DEF-F652-463B-87E3-59835FCC00BA}">
    <text>Keine Pachtreduzierung angenommen da aktuelle Verzinsung nachverhandelt werden müsste</text>
  </threadedComment>
  <threadedComment ref="B35" dT="2024-12-15T09:03:26.27" personId="{CD980C95-FED7-4CC2-82CF-9E8EEC449FDC}" id="{92DFE526-B19F-4E8B-A519-F499690113D5}" parentId="{E2571DEF-F652-463B-87E3-59835FCC00BA}">
    <text>Letzte Indexierung nicht in Budget enthalten (300k p.a.)</text>
  </threadedComment>
  <threadedComment ref="B39" dT="2024-12-15T09:06:27.70" personId="{CD980C95-FED7-4CC2-82CF-9E8EEC449FDC}" id="{B4006EEF-1282-4ED8-A51D-3FFCA34240FE}">
    <text>Invest &amp; hold</text>
  </threadedComment>
  <threadedComment ref="B40" dT="2024-12-15T09:06:42.90" personId="{CD980C95-FED7-4CC2-82CF-9E8EEC449FDC}" id="{4A1DDAC1-C776-45DF-A28C-A51FCA38AB9F}">
    <text>Invest &amp; hold</text>
  </threadedComment>
  <threadedComment ref="B52" dT="2024-12-14T19:43:20.34" personId="{1543EC2C-C916-4825-A5A9-6E3D700B085C}" id="{FABC48B1-C592-41D8-AF7D-9FEA39CAFE6C}">
    <text>Due to 3 property closures</text>
  </threadedComment>
  <threadedComment ref="F54" dT="2024-12-14T20:02:04.20" personId="{1543EC2C-C916-4825-A5A9-6E3D700B085C}" id="{2B3C8498-1BBE-45A7-A4A3-2427F9D5F999}">
    <text>Auto Leasing Verträge</text>
  </threadedComment>
  <threadedComment ref="F54" dT="2024-12-14T20:02:37.09" personId="{1543EC2C-C916-4825-A5A9-6E3D700B085C}" id="{2FA62AC6-4E2E-44A2-A361-B1F63FADE5EE}" parentId="{2B3C8498-1BBE-45A7-A4A3-2427F9D5F999}">
    <text>Reisekosten</text>
  </threadedComment>
  <threadedComment ref="D56" dT="2024-12-14T20:12:38.30" personId="{1543EC2C-C916-4825-A5A9-6E3D700B085C}" id="{A3623D05-4391-46E1-AE0E-BE54626DD7BE}">
    <text>Wilmesmeyer</text>
  </threadedComment>
  <threadedComment ref="F56" dT="2024-12-14T20:10:24.58" personId="{1543EC2C-C916-4825-A5A9-6E3D700B085C}" id="{06B46357-4899-4646-9070-E9CBE6475EEA}">
    <text>Barter Hockey Deal</text>
  </threadedComment>
  <threadedComment ref="O56" dT="2024-12-14T20:10:58.19" personId="{1543EC2C-C916-4825-A5A9-6E3D700B085C}" id="{A1C74858-FD7E-4F6E-8218-D2DAD79FD4AB}">
    <text>Gutscheine Duftstars 7500</text>
  </threadedComment>
  <threadedComment ref="B88" dT="2024-12-15T10:32:16.68" personId="{1543EC2C-C916-4825-A5A9-6E3D700B085C}" id="{8C09CB01-210C-43F3-A317-9D1EF0D974D9}">
    <text>Only adjusted by the LH AG Hotels!</text>
  </threadedComment>
  <threadedComment ref="D98" dT="2024-12-15T11:16:25.13" personId="{1543EC2C-C916-4825-A5A9-6E3D700B085C}" id="{7BC88CA7-0E91-4718-9575-BE0E50482CE9}">
    <text>70% von Umsatz 7% und 30% 19%
50% per CC und 50% Deb (50%30 Tage 25% 60T und 25% 90T)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8" dT="2024-12-13T10:17:28.15" personId="{ACDAB031-9481-475C-8128-AF42445C26E3}" id="{A098DFE4-2890-4F2F-9DC1-A4E99DAA5B68}">
    <text>Pacht Höchst nur 1 Monat</text>
  </threadedComment>
  <threadedComment ref="E8" dT="2024-12-16T12:20:25.81" personId="{CD980C95-FED7-4CC2-82CF-9E8EEC449FDC}" id="{031D391F-AF79-4D0B-B241-0A1FE051D92C}" parentId="{A098DFE4-2890-4F2F-9DC1-A4E99DAA5B68}">
    <text>Pacht inkl. MWSt.</text>
  </threadedComment>
  <threadedComment ref="AF26" dT="2025-01-11T22:01:44.10" personId="{1543EC2C-C916-4825-A5A9-6E3D700B085C}" id="{E18E5B89-3F46-40EF-9E45-2A1511CE47E1}">
    <text>CS</text>
  </threadedComment>
  <threadedComment ref="AM40" dT="2025-01-11T22:25:35.43" personId="{1543EC2C-C916-4825-A5A9-6E3D700B085C}" id="{989F226F-E67D-41E1-90E7-899DB2F5D466}">
    <text>Umsätze wurden im FC um -1 Mio.EUR reduziert</text>
  </threadedComment>
  <threadedComment ref="AF41" dT="2025-02-10T15:34:36.74" personId="{1543EC2C-C916-4825-A5A9-6E3D700B085C}" id="{54798E26-0113-4996-8CDA-3B13D790B755}">
    <text>50k Bargeld Einzahlung CGN CP</text>
  </threadedComment>
  <threadedComment ref="AP42" dT="2025-01-11T21:43:22.69" personId="{1543EC2C-C916-4825-A5A9-6E3D700B085C}" id="{57305731-6430-42E9-9489-8FF6B32CB3F2}">
    <text>Abzug 350k erste Woche</text>
  </threadedComment>
  <threadedComment ref="AP42" dT="2025-01-11T21:50:14.84" personId="{1543EC2C-C916-4825-A5A9-6E3D700B085C}" id="{070F112F-32A0-4F82-BB10-890A79B322E2}" parentId="{57305731-6430-42E9-9489-8FF6B32CB3F2}">
    <text>Reduzierung 250k wegen Einbehalt Nexi</text>
  </threadedComment>
  <threadedComment ref="AP44" dT="2024-12-15T16:23:22.74" personId="{CD980C95-FED7-4CC2-82CF-9E8EEC449FDC}" id="{BB75838B-C5DC-4AD4-8F31-59085FA491EE}">
    <text>Ganzer Monat Dezember</text>
  </threadedComment>
  <threadedComment ref="AP45" dT="2024-12-15T16:22:14.46" personId="{CD980C95-FED7-4CC2-82CF-9E8EEC449FDC}" id="{ACA4C4BF-4207-4436-A752-64AF0B8434F1}">
    <text>Ganzer Monat November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P29" dT="2024-12-16T12:18:59.86" personId="{CD980C95-FED7-4CC2-82CF-9E8EEC449FDC}" id="{67E6CD9C-693A-401C-864A-E53BA85EADD3}">
    <text>Keine Zahlung Pachten</text>
  </threadedComment>
  <threadedComment ref="AK40" dT="2025-01-11T22:25:35.43" personId="{1543EC2C-C916-4825-A5A9-6E3D700B085C}" id="{B0B6507C-69E1-4CD3-8CDD-F4A97CEF4729}">
    <text>Umsätze wurden im FC um -1 Mio.EUR reduziert</text>
  </threadedComment>
  <threadedComment ref="AN45" dT="2024-12-15T16:23:54.46" personId="{CD980C95-FED7-4CC2-82CF-9E8EEC449FDC}" id="{BD8196D5-81D6-4A87-9E58-5D4635B5A41A}">
    <text>Ganzer Monat Dezember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8" dT="2024-12-13T10:17:28.15" personId="{ACDAB031-9481-475C-8128-AF42445C26E3}" id="{89AB39C8-687F-4907-856F-80C42DC27B17}">
    <text>Pacht Höchst nur 1 Monat</text>
  </threadedComment>
  <threadedComment ref="I8" dT="2025-03-27T11:07:33.00" personId="{CD980C95-FED7-4CC2-82CF-9E8EEC449FDC}" id="{F869C5E7-D45D-476A-BFFF-F1819EE90DA0}">
    <text>Grüne Hotels</text>
  </threadedComment>
  <threadedComment ref="M8" dT="2025-03-27T11:06:53.90" personId="{CD980C95-FED7-4CC2-82CF-9E8EEC449FDC}" id="{BC68C8EE-B3A6-4995-A787-CD544C8BFC95}">
    <text>Höchst</text>
  </threadedComment>
  <threadedComment ref="P8" dT="2025-03-27T11:06:38.37" personId="{CD980C95-FED7-4CC2-82CF-9E8EEC449FDC}" id="{D0633902-21F9-421B-A3F9-F1490B86A4E9}">
    <text>Airport</text>
  </threadedComment>
  <threadedComment ref="W10" dT="2025-03-27T08:40:32.35" personId="{CD980C95-FED7-4CC2-82CF-9E8EEC449FDC}" id="{FDBE8311-9554-4D2C-AB9A-88B6B1C5AAC0}">
    <text>Büchner Barella HV</text>
  </threadedComment>
  <threadedComment ref="AD10" dT="2025-03-26T12:34:42.11" personId="{CD980C95-FED7-4CC2-82CF-9E8EEC449FDC}" id="{D4E7DDA9-6838-41B3-BE6E-8BA624F1A3D6}">
    <text>Zahllauf von Vorwoche</text>
  </threadedComment>
  <threadedComment ref="T39" dT="2025-03-27T08:44:11.96" personId="{CD980C95-FED7-4CC2-82CF-9E8EEC449FDC}" id="{ECEBC3F0-0B34-4419-A800-931F429076D0}">
    <text>750k sind eingegangen, werden Ende Mai eliminiert</text>
  </threadedComment>
  <threadedComment ref="AK40" dT="2025-01-11T22:25:35.43" personId="{1543EC2C-C916-4825-A5A9-6E3D700B085C}" id="{FCC5040C-0555-4BBF-B152-4DDD3DCFCC00}">
    <text>Umsätze wurden im FC um -1 Mio.EUR reduziert</text>
  </threadedComment>
  <threadedComment ref="V41" dT="2025-01-16T13:00:21.77" personId="{CD980C95-FED7-4CC2-82CF-9E8EEC449FDC}" id="{D2D6023B-D92D-42B5-AC64-AFEE55A15DA4}">
    <text>Auskehrung Guthaben SSK nach Anfechtung durch Andres, EUR 140.000 werden vorab ausgekehrt (31.01.)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8" dT="2024-12-13T10:17:28.15" personId="{ACDAB031-9481-475C-8128-AF42445C26E3}" id="{FF0FC990-6B26-4B36-8BFC-E6DE01057A97}">
    <text>Pacht Höchst nur 1 Monat</text>
  </threadedComment>
  <threadedComment ref="C8" dT="2025-03-28T15:05:07.75" personId="{CD980C95-FED7-4CC2-82CF-9E8EEC449FDC}" id="{A21DCDD6-E17C-4C66-A7A3-AE0C12C6E3F5}" parentId="{FF0FC990-6B26-4B36-8BFC-E6DE01057A97}">
    <text>Immermannstr. eliminiert, da von MAA eingezahlt</text>
  </threadedComment>
  <threadedComment ref="C8" dT="2025-03-28T15:05:38.00" personId="{CD980C95-FED7-4CC2-82CF-9E8EEC449FDC}" id="{491D3806-265E-4BDF-B7BA-1834AE546571}" parentId="{FF0FC990-6B26-4B36-8BFC-E6DE01057A97}">
    <text>Angepasst auf verhandelt neue Zahllast lt. Tabelle Klaus Peters</text>
  </threadedComment>
  <threadedComment ref="M8" dT="2025-04-09T16:35:48.39" personId="{CD980C95-FED7-4CC2-82CF-9E8EEC449FDC}" id="{66BE4B14-EA99-4F67-B046-CE4D6299DAF4}">
    <text>Pacht LUG nachzahlung</text>
  </threadedComment>
  <threadedComment ref="M10" dT="2025-04-09T16:24:58.67" personId="{CD980C95-FED7-4CC2-82CF-9E8EEC449FDC}" id="{B03ADADD-EC70-4A3C-A3E0-52E904BF8F21}">
    <text>DE2 Betrag</text>
  </threadedComment>
  <threadedComment ref="Q10" dT="2025-04-10T12:10:50.62" personId="{CD980C95-FED7-4CC2-82CF-9E8EEC449FDC}" id="{AA985A64-666D-4232-A6EA-780BCD76FE02}">
    <text>Hyatt</text>
  </threadedComment>
  <threadedComment ref="AB10" dT="2025-04-09T16:38:43.61" personId="{CD980C95-FED7-4CC2-82CF-9E8EEC449FDC}" id="{55762D76-2D80-4D4C-A622-6D43EFB28F34}">
    <text>Einstweilige Verfügungen 12.18</text>
  </threadedComment>
  <threadedComment ref="L29" dT="2025-04-09T16:41:37.42" personId="{CD980C95-FED7-4CC2-82CF-9E8EEC449FDC}" id="{A21E04BC-EE60-48C0-AC1F-81BAB4EB8F67}">
    <text>Ust März lt. Meldung</text>
  </threadedComment>
  <threadedComment ref="AD31" dT="2025-03-13T19:00:19.53" personId="{CD980C95-FED7-4CC2-82CF-9E8EEC449FDC}" id="{8427597D-D45B-4B70-ACC9-06309345E174}">
    <text>Ausgleich FF&amp;E Konto DUS Airport (Instandhaltung Feuermelder)</text>
  </threadedComment>
  <threadedComment ref="AK40" dT="2025-01-11T22:25:35.43" personId="{1543EC2C-C916-4825-A5A9-6E3D700B085C}" id="{61C9E54A-E57B-4C96-926B-633936389BA2}">
    <text>Umsätze wurden im FC um -1 Mio.EUR reduziert</text>
  </threadedComment>
  <threadedComment ref="AM42" dT="2025-01-15T15:47:45.44" personId="{CD980C95-FED7-4CC2-82CF-9E8EEC449FDC}" id="{D42FB556-CA86-430F-9093-11204C8F43D1}">
    <text>100k aus Januar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8" dT="2024-12-13T10:17:28.15" personId="{ACDAB031-9481-475C-8128-AF42445C26E3}" id="{4DE6D655-2B6D-4E86-8BCD-E791F045612C}">
    <text>Pacht Höchst nur 1 Monat</text>
  </threadedComment>
  <threadedComment ref="G10" dT="2025-05-08T08:28:14.24" personId="{CD980C95-FED7-4CC2-82CF-9E8EEC449FDC}" id="{6ED63F78-D0F6-4350-B114-45201B7D58F0}">
    <text>April Zahllauf</text>
  </threadedComment>
  <threadedComment ref="J10" dT="2025-05-08T08:27:55.08" personId="{CD980C95-FED7-4CC2-82CF-9E8EEC449FDC}" id="{50F88DBB-2B62-4B96-8FB5-5FE50B19E8A0}">
    <text>DE2 Zahllauf</text>
  </threadedComment>
  <threadedComment ref="AF31" dT="2025-03-27T08:47:39.75" personId="{CD980C95-FED7-4CC2-82CF-9E8EEC449FDC}" id="{8D610B67-A7B4-4861-873C-213623A3A9C5}">
    <text>Rückzahlung OL LV</text>
  </threadedComment>
  <threadedComment ref="AK40" dT="2025-01-11T22:25:35.43" personId="{1543EC2C-C916-4825-A5A9-6E3D700B085C}" id="{69124CFE-B085-434A-8691-9A8D2D3520EF}">
    <text>Umsätze wurden im FC um -1 Mio.EUR reduziert</text>
  </threadedComment>
  <threadedComment ref="U97" dT="2025-06-03T15:14:59.64" personId="{CD980C95-FED7-4CC2-82CF-9E8EEC449FDC}" id="{33996427-B320-4EC2-8F48-2ABD340FEAE4}">
    <text>San Carlos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8" dT="2024-12-13T10:17:28.15" personId="{ACDAB031-9481-475C-8128-AF42445C26E3}" id="{6AC3641A-D862-4EA7-8E43-E3ACCB38E90F}">
    <text>Pacht Höchst nur 1 Monat</text>
  </threadedComment>
  <threadedComment ref="E8" dT="2025-06-04T15:20:01.36" personId="{CD980C95-FED7-4CC2-82CF-9E8EEC449FDC}" id="{6A2FBB2E-72FD-475B-A102-77CD19003740}" parentId="{6AC3641A-D862-4EA7-8E43-E3ACCB38E90F}">
    <text>Bezahlt am 30.05.</text>
  </threadedComment>
  <threadedComment ref="K29" dT="2025-04-09T16:44:06.22" personId="{CD980C95-FED7-4CC2-82CF-9E8EEC449FDC}" id="{E8D44C60-E18F-43A6-82EC-4ED3A1CD800A}">
    <text>Analog Zahllast April für März</text>
  </threadedComment>
  <threadedComment ref="AA31" dT="2025-03-27T08:47:39.75" personId="{CD980C95-FED7-4CC2-82CF-9E8EEC449FDC}" id="{2A9DEC00-2A1F-4DB7-BF57-17DC42E47090}">
    <text>Rückzahlung OL LV</text>
  </threadedComment>
  <threadedComment ref="AA31" dT="2025-06-18T09:49:27.57" personId="{CD980C95-FED7-4CC2-82CF-9E8EEC449FDC}" id="{4AC38CDB-55C1-4C89-8795-EBFA869A8A62}" parentId="{2A9DEC00-2A1F-4DB7-BF57-17DC42E47090}">
    <text>Nicht zur Rückzahlung fällig</text>
  </threadedComment>
  <threadedComment ref="AB31" dT="2025-03-13T19:00:52.54" personId="{CD980C95-FED7-4CC2-82CF-9E8EEC449FDC}" id="{D7523D2C-4873-40D0-B49E-2EF73735CD77}">
    <text>Ausgleich FF&amp;E Konto Mainz</text>
  </threadedComment>
  <threadedComment ref="AK40" dT="2025-01-11T22:25:35.43" personId="{1543EC2C-C916-4825-A5A9-6E3D700B085C}" id="{33B99A62-8171-4147-A963-11BFBAB225E7}">
    <text>Umsätze wurden im FC um -1 Mio.EUR reduziert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C8" dT="2024-12-13T10:17:28.15" personId="{ACDAB031-9481-475C-8128-AF42445C26E3}" id="{E64FA9DE-E7F9-43F4-85B2-F61C3EA84586}">
    <text>Pacht Höchst nur 1 Monat</text>
  </threadedComment>
  <threadedComment ref="C8" dT="2025-05-08T14:54:44.65" personId="{CD980C95-FED7-4CC2-82CF-9E8EEC449FDC}" id="{062B520C-DA66-43E0-8E43-EBD5407A09A4}" parentId="{E64FA9DE-E7F9-43F4-85B2-F61C3EA84586}">
    <text>Ohne Oberstaufen und Wiesensee</text>
  </threadedComment>
  <threadedComment ref="K29" dT="2025-04-09T16:44:06.22" personId="{CD980C95-FED7-4CC2-82CF-9E8EEC449FDC}" id="{941BA003-1426-430A-B5D5-F551BD3D41A6}">
    <text>Analog Zahllast April für März</text>
  </threadedComment>
  <threadedComment ref="AK40" dT="2025-01-11T22:25:35.43" personId="{1543EC2C-C916-4825-A5A9-6E3D700B085C}" id="{738A9B5E-2498-4CD8-880E-B383A4EB4709}">
    <text>Umsätze wurden im FC um -1 Mio.EUR reduziert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8" dT="2024-12-13T10:17:28.15" personId="{ACDAB031-9481-475C-8128-AF42445C26E3}" id="{7C7D6EA9-1BBC-4999-A324-A76AADCAE42F}">
    <text>Pacht Höchst nur 1 Monat</text>
  </threadedComment>
  <threadedComment ref="F8" dT="2025-05-08T14:54:44.65" personId="{CD980C95-FED7-4CC2-82CF-9E8EEC449FDC}" id="{684A7292-AF87-4D5E-92D2-4EC64198B718}" parentId="{7C7D6EA9-1BBC-4999-A324-A76AADCAE42F}">
    <text>Ohne Oberstaufen und Wiesensee</text>
  </threadedComment>
  <threadedComment ref="J29" dT="2025-04-09T16:44:06.22" personId="{CD980C95-FED7-4CC2-82CF-9E8EEC449FDC}" id="{BC19AE37-C572-4844-B740-F5DCE19158EB}">
    <text>Analog Zahllast April für März</text>
  </threadedComment>
  <threadedComment ref="AB31" dT="2025-03-13T19:00:52.54" personId="{CD980C95-FED7-4CC2-82CF-9E8EEC449FDC}" id="{173E3F1A-0CB4-4CA6-BFE0-ADBF513B00BC}">
    <text>Ausgleich FF&amp;E Konto Mainz</text>
  </threadedComment>
  <threadedComment ref="AK40" dT="2025-01-11T22:25:35.43" personId="{1543EC2C-C916-4825-A5A9-6E3D700B085C}" id="{ACF5D81D-009A-470D-A661-E455F638E8AD}">
    <text>Umsätze wurden im FC um -1 Mio.EUR reduziert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8" dT="2024-12-13T10:17:28.15" personId="{ACDAB031-9481-475C-8128-AF42445C26E3}" id="{22594D7B-65B5-4EA3-B0F6-E8FE52FD8F27}">
    <text>Pacht Höchst nur 1 Monat</text>
  </threadedComment>
  <threadedComment ref="K29" dT="2025-04-09T16:44:06.22" personId="{CD980C95-FED7-4CC2-82CF-9E8EEC449FDC}" id="{A2A18AC3-0B9A-4046-8668-8961AFA136E2}">
    <text>Analog Zahllast April für März</text>
  </threadedComment>
  <threadedComment ref="AB31" dT="2025-03-13T19:00:52.54" personId="{CD980C95-FED7-4CC2-82CF-9E8EEC449FDC}" id="{E6E6CC98-1282-462D-A094-79F88F1B7021}">
    <text>Ausgleich FF&amp;E Konto Mainz</text>
  </threadedComment>
  <threadedComment ref="AK40" dT="2025-01-11T22:25:35.43" personId="{1543EC2C-C916-4825-A5A9-6E3D700B085C}" id="{1D2BDF19-43CA-4D60-8ACC-65C286751790}">
    <text>Umsätze wurden im FC um -1 Mio.EUR reduziert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1EC8-2A16-46E8-89AE-6F3BFED5C5FC}">
  <sheetPr>
    <pageSetUpPr fitToPage="1"/>
  </sheetPr>
  <dimension ref="B2:AN168"/>
  <sheetViews>
    <sheetView workbookViewId="0">
      <pane xSplit="2" ySplit="10" topLeftCell="C11" activePane="bottomRight" state="frozen"/>
      <selection pane="topRight"/>
      <selection pane="bottomLeft"/>
      <selection pane="bottomRight" activeCell="C11" sqref="C11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1" t="s">
        <v>0</v>
      </c>
    </row>
    <row r="3" spans="2:40" ht="14" x14ac:dyDescent="0.15">
      <c r="B3" s="2" t="s">
        <v>1</v>
      </c>
      <c r="C3" s="3"/>
    </row>
    <row r="4" spans="2:40" ht="14" x14ac:dyDescent="0.15">
      <c r="B4" s="2" t="s">
        <v>2</v>
      </c>
      <c r="C4" s="3"/>
    </row>
    <row r="5" spans="2:40" ht="14" x14ac:dyDescent="0.15">
      <c r="B5" s="2" t="s">
        <v>3</v>
      </c>
      <c r="C5" s="3"/>
    </row>
    <row r="6" spans="2:40" ht="14" x14ac:dyDescent="0.15">
      <c r="B6" s="2" t="s">
        <v>4</v>
      </c>
      <c r="C6" s="3"/>
    </row>
    <row r="7" spans="2:40" ht="14" x14ac:dyDescent="0.15">
      <c r="B7" s="2" t="s">
        <v>5</v>
      </c>
      <c r="C7" s="3"/>
    </row>
    <row r="8" spans="2:40" ht="14" x14ac:dyDescent="0.15">
      <c r="B8" s="2" t="s">
        <v>6</v>
      </c>
      <c r="C8" s="3"/>
    </row>
    <row r="10" spans="2:40" ht="14" x14ac:dyDescent="0.15">
      <c r="B10" s="4" t="s">
        <v>7</v>
      </c>
      <c r="C10" s="343" t="s">
        <v>8</v>
      </c>
      <c r="D10" s="344"/>
      <c r="F10" s="343" t="s">
        <v>9</v>
      </c>
      <c r="G10" s="344"/>
      <c r="I10" s="343" t="s">
        <v>10</v>
      </c>
      <c r="J10" s="344"/>
      <c r="L10" s="343" t="s">
        <v>11</v>
      </c>
      <c r="M10" s="344"/>
      <c r="O10" s="343" t="s">
        <v>12</v>
      </c>
      <c r="P10" s="344"/>
      <c r="R10" s="343" t="s">
        <v>13</v>
      </c>
      <c r="S10" s="344"/>
      <c r="U10" s="343" t="s">
        <v>14</v>
      </c>
      <c r="V10" s="344"/>
      <c r="X10" s="343" t="s">
        <v>15</v>
      </c>
      <c r="Y10" s="344"/>
      <c r="AA10" s="343" t="s">
        <v>16</v>
      </c>
      <c r="AB10" s="344"/>
      <c r="AD10" s="343" t="s">
        <v>17</v>
      </c>
      <c r="AE10" s="344"/>
      <c r="AG10" s="343" t="s">
        <v>18</v>
      </c>
      <c r="AH10" s="344"/>
      <c r="AJ10" s="343" t="s">
        <v>19</v>
      </c>
      <c r="AK10" s="344"/>
      <c r="AM10" s="343" t="s">
        <v>20</v>
      </c>
      <c r="AN10" s="344"/>
    </row>
    <row r="11" spans="2:40" ht="14" x14ac:dyDescent="0.15">
      <c r="B11" s="5" t="s">
        <v>21</v>
      </c>
      <c r="C11" s="6">
        <v>121988476.0851</v>
      </c>
      <c r="D11" s="7">
        <v>1</v>
      </c>
      <c r="F11" s="6">
        <v>7240087.3559999997</v>
      </c>
      <c r="G11" s="7">
        <v>1</v>
      </c>
      <c r="I11" s="6">
        <v>8314846.3295</v>
      </c>
      <c r="J11" s="7">
        <v>1</v>
      </c>
      <c r="L11" s="6">
        <v>11118560.569499999</v>
      </c>
      <c r="M11" s="7">
        <v>1</v>
      </c>
      <c r="O11" s="6">
        <v>8842420.0604999997</v>
      </c>
      <c r="P11" s="7">
        <v>1</v>
      </c>
      <c r="R11" s="6">
        <v>11077677.168</v>
      </c>
      <c r="S11" s="7">
        <v>1</v>
      </c>
      <c r="U11" s="6">
        <v>10908122.016799999</v>
      </c>
      <c r="V11" s="7">
        <v>1</v>
      </c>
      <c r="X11" s="6">
        <v>9390566.3160999995</v>
      </c>
      <c r="Y11" s="7">
        <v>1</v>
      </c>
      <c r="AA11" s="6">
        <v>10250151.282600001</v>
      </c>
      <c r="AB11" s="7">
        <v>1</v>
      </c>
      <c r="AD11" s="6">
        <v>12897675.805299999</v>
      </c>
      <c r="AE11" s="7">
        <v>1</v>
      </c>
      <c r="AG11" s="6">
        <v>12387225.269400001</v>
      </c>
      <c r="AH11" s="7">
        <v>1</v>
      </c>
      <c r="AJ11" s="6">
        <v>10794718.781199999</v>
      </c>
      <c r="AK11" s="7">
        <v>1</v>
      </c>
      <c r="AM11" s="6">
        <v>8766425.1302000005</v>
      </c>
      <c r="AN11" s="7">
        <v>1</v>
      </c>
    </row>
    <row r="12" spans="2:40" ht="14" x14ac:dyDescent="0.15">
      <c r="B12" s="5" t="s">
        <v>22</v>
      </c>
      <c r="C12" s="6">
        <v>46975896.0713</v>
      </c>
      <c r="D12" s="7">
        <v>0.3850847</v>
      </c>
      <c r="F12" s="6">
        <v>3792365.0682000001</v>
      </c>
      <c r="G12" s="7">
        <v>0.52380101000000001</v>
      </c>
      <c r="I12" s="6">
        <v>3908626.0414999998</v>
      </c>
      <c r="J12" s="7">
        <v>0.47007796000000002</v>
      </c>
      <c r="L12" s="6">
        <v>4046732.5731000002</v>
      </c>
      <c r="M12" s="7">
        <v>0.36396191</v>
      </c>
      <c r="O12" s="6">
        <v>3846189.0427999999</v>
      </c>
      <c r="P12" s="7">
        <v>0.43497017999999998</v>
      </c>
      <c r="R12" s="6">
        <v>3937724.7763999999</v>
      </c>
      <c r="S12" s="7">
        <v>0.35546484</v>
      </c>
      <c r="U12" s="6">
        <v>4039104.3158</v>
      </c>
      <c r="V12" s="7">
        <v>0.37028411999999999</v>
      </c>
      <c r="X12" s="6">
        <v>3752530.0902</v>
      </c>
      <c r="Y12" s="7">
        <v>0.39960636999999999</v>
      </c>
      <c r="AA12" s="6">
        <v>3776933.8273</v>
      </c>
      <c r="AB12" s="7">
        <v>0.36847591000000002</v>
      </c>
      <c r="AD12" s="6">
        <v>3995896.7919000001</v>
      </c>
      <c r="AE12" s="7">
        <v>0.30981525999999998</v>
      </c>
      <c r="AG12" s="6">
        <v>3933104.2362000002</v>
      </c>
      <c r="AH12" s="7">
        <v>0.31751293000000003</v>
      </c>
      <c r="AJ12" s="6">
        <v>4146594.9105000002</v>
      </c>
      <c r="AK12" s="7">
        <v>0.38413181000000002</v>
      </c>
      <c r="AM12" s="6">
        <v>3800094.3974000001</v>
      </c>
      <c r="AN12" s="7">
        <v>0.43348279000000001</v>
      </c>
    </row>
    <row r="13" spans="2:40" ht="14" x14ac:dyDescent="0.15">
      <c r="B13" s="5" t="s">
        <v>23</v>
      </c>
      <c r="C13" s="6">
        <v>30075828.920000002</v>
      </c>
      <c r="D13" s="7">
        <v>0</v>
      </c>
      <c r="F13" s="6">
        <v>290044.42129999999</v>
      </c>
      <c r="G13" s="7">
        <v>0</v>
      </c>
      <c r="I13" s="6">
        <v>889605.51150000002</v>
      </c>
      <c r="J13" s="7">
        <v>0</v>
      </c>
      <c r="L13" s="6">
        <v>2812348.5323999999</v>
      </c>
      <c r="M13" s="7">
        <v>0</v>
      </c>
      <c r="O13" s="6">
        <v>1496788.1555999999</v>
      </c>
      <c r="P13" s="7">
        <v>0</v>
      </c>
      <c r="R13" s="6">
        <v>3386770.1165999998</v>
      </c>
      <c r="S13" s="7">
        <v>0</v>
      </c>
      <c r="U13" s="6">
        <v>2841946.3816999998</v>
      </c>
      <c r="V13" s="7">
        <v>0</v>
      </c>
      <c r="X13" s="6">
        <v>2276610.4515</v>
      </c>
      <c r="Y13" s="7">
        <v>0</v>
      </c>
      <c r="AA13" s="6">
        <v>2905225.7744999998</v>
      </c>
      <c r="AB13" s="7">
        <v>0</v>
      </c>
      <c r="AD13" s="6">
        <v>4624136.0016000001</v>
      </c>
      <c r="AE13" s="7">
        <v>0</v>
      </c>
      <c r="AG13" s="6">
        <v>4442699.7719000001</v>
      </c>
      <c r="AH13" s="7">
        <v>0</v>
      </c>
      <c r="AJ13" s="6">
        <v>2818991.9043000001</v>
      </c>
      <c r="AK13" s="7">
        <v>0</v>
      </c>
      <c r="AM13" s="6">
        <v>1290661.8970999999</v>
      </c>
      <c r="AN13" s="7">
        <v>0</v>
      </c>
    </row>
    <row r="14" spans="2:40" ht="14" x14ac:dyDescent="0.15">
      <c r="B14" s="5" t="s">
        <v>24</v>
      </c>
      <c r="C14" s="8">
        <v>824900</v>
      </c>
      <c r="D14" s="7">
        <v>0</v>
      </c>
      <c r="F14" s="8">
        <v>70060</v>
      </c>
      <c r="G14" s="7">
        <v>0</v>
      </c>
      <c r="I14" s="8">
        <v>63280</v>
      </c>
      <c r="J14" s="7">
        <v>0</v>
      </c>
      <c r="L14" s="8">
        <v>70060</v>
      </c>
      <c r="M14" s="7">
        <v>0</v>
      </c>
      <c r="O14" s="8">
        <v>67800</v>
      </c>
      <c r="P14" s="7">
        <v>0</v>
      </c>
      <c r="R14" s="8">
        <v>70060</v>
      </c>
      <c r="S14" s="7">
        <v>0</v>
      </c>
      <c r="U14" s="8">
        <v>67800</v>
      </c>
      <c r="V14" s="7">
        <v>0</v>
      </c>
      <c r="X14" s="8">
        <v>70060</v>
      </c>
      <c r="Y14" s="7">
        <v>0</v>
      </c>
      <c r="AA14" s="8">
        <v>70060</v>
      </c>
      <c r="AB14" s="7">
        <v>0</v>
      </c>
      <c r="AD14" s="8">
        <v>67800</v>
      </c>
      <c r="AE14" s="7">
        <v>0</v>
      </c>
      <c r="AG14" s="8">
        <v>70060</v>
      </c>
      <c r="AH14" s="7">
        <v>0</v>
      </c>
      <c r="AJ14" s="8">
        <v>67800</v>
      </c>
      <c r="AK14" s="7">
        <v>0</v>
      </c>
      <c r="AM14" s="8">
        <v>70060</v>
      </c>
      <c r="AN14" s="7">
        <v>0</v>
      </c>
    </row>
    <row r="15" spans="2:40" ht="14" x14ac:dyDescent="0.15">
      <c r="B15" s="5" t="s">
        <v>25</v>
      </c>
      <c r="C15" s="9">
        <v>540060</v>
      </c>
      <c r="D15" s="7">
        <v>0</v>
      </c>
      <c r="F15" s="9">
        <v>36033</v>
      </c>
      <c r="G15" s="7">
        <v>0</v>
      </c>
      <c r="I15" s="9">
        <v>39507</v>
      </c>
      <c r="J15" s="7">
        <v>0</v>
      </c>
      <c r="L15" s="9">
        <v>49055</v>
      </c>
      <c r="M15" s="7">
        <v>0</v>
      </c>
      <c r="O15" s="9">
        <v>41789</v>
      </c>
      <c r="P15" s="7">
        <v>0</v>
      </c>
      <c r="R15" s="9">
        <v>47550</v>
      </c>
      <c r="S15" s="7">
        <v>0</v>
      </c>
      <c r="U15" s="9">
        <v>47041</v>
      </c>
      <c r="V15" s="7">
        <v>0</v>
      </c>
      <c r="X15" s="9">
        <v>42384</v>
      </c>
      <c r="Y15" s="7">
        <v>0</v>
      </c>
      <c r="AA15" s="9">
        <v>46032</v>
      </c>
      <c r="AB15" s="7">
        <v>0</v>
      </c>
      <c r="AD15" s="9">
        <v>52526</v>
      </c>
      <c r="AE15" s="7">
        <v>0</v>
      </c>
      <c r="AG15" s="9">
        <v>49112</v>
      </c>
      <c r="AH15" s="7">
        <v>0</v>
      </c>
      <c r="AJ15" s="9">
        <v>48568</v>
      </c>
      <c r="AK15" s="7">
        <v>0</v>
      </c>
      <c r="AM15" s="9">
        <v>40463</v>
      </c>
      <c r="AN15" s="7">
        <v>0</v>
      </c>
    </row>
    <row r="16" spans="2:40" ht="14" x14ac:dyDescent="0.15">
      <c r="B16" s="5" t="s">
        <v>26</v>
      </c>
      <c r="C16" s="8">
        <v>65.813310704328003</v>
      </c>
      <c r="D16" s="7">
        <v>0</v>
      </c>
      <c r="F16" s="8">
        <v>51.7727662004</v>
      </c>
      <c r="G16" s="7">
        <v>0</v>
      </c>
      <c r="I16" s="8">
        <v>62.923514538558997</v>
      </c>
      <c r="J16" s="7">
        <v>0</v>
      </c>
      <c r="L16" s="8">
        <v>70.342563516984995</v>
      </c>
      <c r="M16" s="7">
        <v>0</v>
      </c>
      <c r="O16" s="8">
        <v>62.010324483776003</v>
      </c>
      <c r="P16" s="7">
        <v>0</v>
      </c>
      <c r="R16" s="8">
        <v>68.305737938909999</v>
      </c>
      <c r="S16" s="7">
        <v>0</v>
      </c>
      <c r="U16" s="8">
        <v>69.824483775811004</v>
      </c>
      <c r="V16" s="7">
        <v>0</v>
      </c>
      <c r="X16" s="8">
        <v>60.852126748501</v>
      </c>
      <c r="Y16" s="7">
        <v>0</v>
      </c>
      <c r="AA16" s="8">
        <v>66.074793034541997</v>
      </c>
      <c r="AB16" s="7">
        <v>0</v>
      </c>
      <c r="AD16" s="8">
        <v>77.817109144542997</v>
      </c>
      <c r="AE16" s="7">
        <v>0</v>
      </c>
      <c r="AG16" s="8">
        <v>70.324007993148996</v>
      </c>
      <c r="AH16" s="7">
        <v>0</v>
      </c>
      <c r="AJ16" s="8">
        <v>71.883480825958998</v>
      </c>
      <c r="AK16" s="7">
        <v>0</v>
      </c>
      <c r="AM16" s="8">
        <v>57.938909506138003</v>
      </c>
      <c r="AN16" s="7">
        <v>0</v>
      </c>
    </row>
    <row r="17" spans="2:40" ht="14" x14ac:dyDescent="0.15">
      <c r="B17" s="5" t="s">
        <v>27</v>
      </c>
      <c r="C17" s="9">
        <v>132.71698453024001</v>
      </c>
      <c r="D17" s="7">
        <v>0</v>
      </c>
      <c r="F17" s="9">
        <v>114.80619145506</v>
      </c>
      <c r="G17" s="7">
        <v>0</v>
      </c>
      <c r="I17" s="9">
        <v>121.51362113296</v>
      </c>
      <c r="J17" s="7">
        <v>0</v>
      </c>
      <c r="L17" s="9">
        <v>138.74131626542001</v>
      </c>
      <c r="M17" s="7">
        <v>0</v>
      </c>
      <c r="O17" s="9">
        <v>123.40963399459</v>
      </c>
      <c r="P17" s="7">
        <v>0</v>
      </c>
      <c r="R17" s="9">
        <v>141.99155388643999</v>
      </c>
      <c r="S17" s="7">
        <v>0</v>
      </c>
      <c r="U17" s="9">
        <v>132.54899154992</v>
      </c>
      <c r="V17" s="7">
        <v>0</v>
      </c>
      <c r="X17" s="9">
        <v>123.94446482399</v>
      </c>
      <c r="Y17" s="7">
        <v>0</v>
      </c>
      <c r="AA17" s="9">
        <v>127.68629654154</v>
      </c>
      <c r="AB17" s="7">
        <v>0</v>
      </c>
      <c r="AD17" s="9">
        <v>142.64024072078999</v>
      </c>
      <c r="AE17" s="7">
        <v>0</v>
      </c>
      <c r="AG17" s="9">
        <v>157.60430521665</v>
      </c>
      <c r="AH17" s="7">
        <v>0</v>
      </c>
      <c r="AJ17" s="9">
        <v>133.2835920215</v>
      </c>
      <c r="AK17" s="7">
        <v>0</v>
      </c>
      <c r="AM17" s="9">
        <v>122.35398652348999</v>
      </c>
      <c r="AN17" s="7">
        <v>0</v>
      </c>
    </row>
    <row r="18" spans="2:40" ht="14" x14ac:dyDescent="0.15">
      <c r="B18" s="5" t="s">
        <v>28</v>
      </c>
      <c r="C18" s="6">
        <v>85.627390793307995</v>
      </c>
      <c r="D18" s="7">
        <v>0</v>
      </c>
      <c r="F18" s="6">
        <v>57.891971120468</v>
      </c>
      <c r="G18" s="7">
        <v>0</v>
      </c>
      <c r="I18" s="6">
        <v>74.542329805625997</v>
      </c>
      <c r="J18" s="7">
        <v>0</v>
      </c>
      <c r="L18" s="6">
        <v>95.729450034256004</v>
      </c>
      <c r="M18" s="7">
        <v>0</v>
      </c>
      <c r="O18" s="6">
        <v>74.821758038347994</v>
      </c>
      <c r="P18" s="7">
        <v>0</v>
      </c>
      <c r="R18" s="6">
        <v>95.038515376820001</v>
      </c>
      <c r="S18" s="7">
        <v>0</v>
      </c>
      <c r="U18" s="6">
        <v>90.696712558997007</v>
      </c>
      <c r="V18" s="7">
        <v>0</v>
      </c>
      <c r="X18" s="6">
        <v>73.926808408507</v>
      </c>
      <c r="Y18" s="7">
        <v>0</v>
      </c>
      <c r="AA18" s="6">
        <v>82.742015449614996</v>
      </c>
      <c r="AB18" s="7">
        <v>0</v>
      </c>
      <c r="AD18" s="6">
        <v>109.06963545870001</v>
      </c>
      <c r="AE18" s="7">
        <v>0</v>
      </c>
      <c r="AG18" s="6">
        <v>109.01174190408</v>
      </c>
      <c r="AH18" s="7">
        <v>0</v>
      </c>
      <c r="AJ18" s="6">
        <v>94.157337718289</v>
      </c>
      <c r="AK18" s="7">
        <v>0</v>
      </c>
      <c r="AM18" s="6">
        <v>69.673984537538999</v>
      </c>
      <c r="AN18" s="7">
        <v>0</v>
      </c>
    </row>
    <row r="19" spans="2:40" ht="14" x14ac:dyDescent="0.15">
      <c r="B19" s="5" t="s">
        <v>29</v>
      </c>
      <c r="C19" s="9">
        <v>147.88274467826</v>
      </c>
      <c r="D19" s="7">
        <v>0</v>
      </c>
      <c r="F19" s="9">
        <v>103.34124116472</v>
      </c>
      <c r="G19" s="7">
        <v>0</v>
      </c>
      <c r="I19" s="9">
        <v>131.39769800094999</v>
      </c>
      <c r="J19" s="7">
        <v>0</v>
      </c>
      <c r="L19" s="9">
        <v>158.70055052097999</v>
      </c>
      <c r="M19" s="7">
        <v>0</v>
      </c>
      <c r="O19" s="9">
        <v>130.41917493362999</v>
      </c>
      <c r="P19" s="7">
        <v>0</v>
      </c>
      <c r="R19" s="9">
        <v>158.11700211248001</v>
      </c>
      <c r="S19" s="7">
        <v>0</v>
      </c>
      <c r="U19" s="9">
        <v>160.88675541002999</v>
      </c>
      <c r="V19" s="7">
        <v>0</v>
      </c>
      <c r="X19" s="9">
        <v>134.03605932201</v>
      </c>
      <c r="Y19" s="7">
        <v>0</v>
      </c>
      <c r="AA19" s="9">
        <v>146.30532804168001</v>
      </c>
      <c r="AB19" s="7">
        <v>0</v>
      </c>
      <c r="AD19" s="9">
        <v>190.23120656784999</v>
      </c>
      <c r="AE19" s="7">
        <v>0</v>
      </c>
      <c r="AG19" s="9">
        <v>176.80881058236</v>
      </c>
      <c r="AH19" s="7">
        <v>0</v>
      </c>
      <c r="AJ19" s="9">
        <v>159.21414131563</v>
      </c>
      <c r="AK19" s="7">
        <v>0</v>
      </c>
      <c r="AM19" s="9">
        <v>125.12739266629001</v>
      </c>
      <c r="AN19" s="7">
        <v>0</v>
      </c>
    </row>
    <row r="20" spans="2:40" ht="14" x14ac:dyDescent="0.15">
      <c r="B20" s="5" t="s">
        <v>30</v>
      </c>
      <c r="C20" s="8">
        <v>744636.92469999997</v>
      </c>
      <c r="D20" s="7">
        <v>0</v>
      </c>
      <c r="F20" s="8">
        <v>46243.554700000001</v>
      </c>
      <c r="G20" s="7">
        <v>0</v>
      </c>
      <c r="I20" s="8">
        <v>51902.210500000001</v>
      </c>
      <c r="J20" s="7">
        <v>0</v>
      </c>
      <c r="L20" s="8">
        <v>65871.501600000003</v>
      </c>
      <c r="M20" s="7">
        <v>0</v>
      </c>
      <c r="O20" s="8">
        <v>56416.150999999998</v>
      </c>
      <c r="P20" s="7">
        <v>0</v>
      </c>
      <c r="R20" s="8">
        <v>65738.665500000003</v>
      </c>
      <c r="S20" s="7">
        <v>0</v>
      </c>
      <c r="U20" s="8">
        <v>64694.092400000001</v>
      </c>
      <c r="V20" s="7">
        <v>0</v>
      </c>
      <c r="X20" s="8">
        <v>62619.381999999998</v>
      </c>
      <c r="Y20" s="7">
        <v>0</v>
      </c>
      <c r="AA20" s="8">
        <v>68425.838900000002</v>
      </c>
      <c r="AB20" s="7">
        <v>0</v>
      </c>
      <c r="AD20" s="8">
        <v>71191.698099999994</v>
      </c>
      <c r="AE20" s="7">
        <v>0</v>
      </c>
      <c r="AG20" s="8">
        <v>69161.3</v>
      </c>
      <c r="AH20" s="7">
        <v>0</v>
      </c>
      <c r="AJ20" s="8">
        <v>63404.9</v>
      </c>
      <c r="AK20" s="7">
        <v>0</v>
      </c>
      <c r="AM20" s="8">
        <v>58967.63</v>
      </c>
      <c r="AN20" s="7">
        <v>0</v>
      </c>
    </row>
    <row r="21" spans="2:40" ht="14" x14ac:dyDescent="0.15">
      <c r="B21" s="5" t="s">
        <v>31</v>
      </c>
      <c r="C21" s="9">
        <v>1.371606473271</v>
      </c>
      <c r="D21" s="7">
        <v>0</v>
      </c>
      <c r="F21" s="9">
        <v>1.2749105287825</v>
      </c>
      <c r="G21" s="7">
        <v>0</v>
      </c>
      <c r="I21" s="9">
        <v>1.3034861243658999</v>
      </c>
      <c r="J21" s="7">
        <v>0</v>
      </c>
      <c r="L21" s="9">
        <v>1.3366239519500001</v>
      </c>
      <c r="M21" s="7">
        <v>0</v>
      </c>
      <c r="O21" s="9">
        <v>1.3418678733677001</v>
      </c>
      <c r="P21" s="7">
        <v>0</v>
      </c>
      <c r="R21" s="9">
        <v>1.3737052659074001</v>
      </c>
      <c r="S21" s="7">
        <v>0</v>
      </c>
      <c r="U21" s="9">
        <v>1.3665552565429999</v>
      </c>
      <c r="V21" s="7">
        <v>0</v>
      </c>
      <c r="X21" s="9">
        <v>1.4688007412099</v>
      </c>
      <c r="Y21" s="7">
        <v>0</v>
      </c>
      <c r="AA21" s="9">
        <v>1.4781352911950001</v>
      </c>
      <c r="AB21" s="7">
        <v>0</v>
      </c>
      <c r="AD21" s="9">
        <v>1.3493498502654</v>
      </c>
      <c r="AE21" s="7">
        <v>0</v>
      </c>
      <c r="AG21" s="9">
        <v>1.4037488075666</v>
      </c>
      <c r="AH21" s="7">
        <v>0</v>
      </c>
      <c r="AJ21" s="9">
        <v>1.3009602560683</v>
      </c>
      <c r="AK21" s="7">
        <v>0</v>
      </c>
      <c r="AM21" s="9">
        <v>1.4526909243201001</v>
      </c>
      <c r="AN21" s="7">
        <v>0</v>
      </c>
    </row>
    <row r="22" spans="2:40" ht="14" x14ac:dyDescent="0.15">
      <c r="B22" s="5" t="s">
        <v>32</v>
      </c>
      <c r="C22" s="8">
        <v>887397.83039999998</v>
      </c>
      <c r="D22" s="7">
        <v>0</v>
      </c>
      <c r="F22" s="8">
        <v>57581.770499999999</v>
      </c>
      <c r="G22" s="7">
        <v>0</v>
      </c>
      <c r="I22" s="8">
        <v>64906.698900000003</v>
      </c>
      <c r="J22" s="7">
        <v>0</v>
      </c>
      <c r="L22" s="8">
        <v>76338.346000000005</v>
      </c>
      <c r="M22" s="7">
        <v>0</v>
      </c>
      <c r="O22" s="8">
        <v>68538.0386</v>
      </c>
      <c r="P22" s="7">
        <v>0</v>
      </c>
      <c r="R22" s="8">
        <v>76858.808399999994</v>
      </c>
      <c r="S22" s="7">
        <v>0</v>
      </c>
      <c r="U22" s="8">
        <v>74693.977100000004</v>
      </c>
      <c r="V22" s="7">
        <v>0</v>
      </c>
      <c r="X22" s="8">
        <v>69081.763699999996</v>
      </c>
      <c r="Y22" s="7">
        <v>0</v>
      </c>
      <c r="AA22" s="8">
        <v>79196.072899999999</v>
      </c>
      <c r="AB22" s="7">
        <v>0</v>
      </c>
      <c r="AD22" s="8">
        <v>88605.0959</v>
      </c>
      <c r="AE22" s="7">
        <v>0</v>
      </c>
      <c r="AG22" s="8">
        <v>85343.551099999997</v>
      </c>
      <c r="AH22" s="7">
        <v>0</v>
      </c>
      <c r="AJ22" s="8">
        <v>79676.765100000004</v>
      </c>
      <c r="AK22" s="7">
        <v>0</v>
      </c>
      <c r="AM22" s="8">
        <v>66576.942200000005</v>
      </c>
      <c r="AN22" s="7">
        <v>0</v>
      </c>
    </row>
    <row r="23" spans="2:40" ht="14" x14ac:dyDescent="0.15">
      <c r="B23" s="5" t="s">
        <v>33</v>
      </c>
      <c r="C23" s="8">
        <v>626.55690000000004</v>
      </c>
      <c r="D23" s="7">
        <v>0</v>
      </c>
      <c r="F23" s="8">
        <v>628.07839999999999</v>
      </c>
      <c r="G23" s="7">
        <v>0</v>
      </c>
      <c r="I23" s="8">
        <v>636.67840000000001</v>
      </c>
      <c r="J23" s="7">
        <v>0</v>
      </c>
      <c r="L23" s="8">
        <v>637.17840000000001</v>
      </c>
      <c r="M23" s="7">
        <v>0</v>
      </c>
      <c r="O23" s="8">
        <v>629.82839999999999</v>
      </c>
      <c r="P23" s="7">
        <v>0</v>
      </c>
      <c r="R23" s="8">
        <v>632.32839999999999</v>
      </c>
      <c r="S23" s="7">
        <v>0</v>
      </c>
      <c r="U23" s="8">
        <v>629.32839999999999</v>
      </c>
      <c r="V23" s="7">
        <v>0</v>
      </c>
      <c r="X23" s="8">
        <v>624.66840000000002</v>
      </c>
      <c r="Y23" s="7">
        <v>0</v>
      </c>
      <c r="AA23" s="8">
        <v>624.3184</v>
      </c>
      <c r="AB23" s="7">
        <v>0</v>
      </c>
      <c r="AD23" s="8">
        <v>618.3184</v>
      </c>
      <c r="AE23" s="7">
        <v>0</v>
      </c>
      <c r="AG23" s="8">
        <v>619.3184</v>
      </c>
      <c r="AH23" s="7">
        <v>0</v>
      </c>
      <c r="AJ23" s="8">
        <v>619.3184</v>
      </c>
      <c r="AK23" s="7">
        <v>0</v>
      </c>
      <c r="AM23" s="8">
        <v>619.3184</v>
      </c>
      <c r="AN23" s="7">
        <v>0</v>
      </c>
    </row>
    <row r="25" spans="2:40" ht="14" x14ac:dyDescent="0.15">
      <c r="B25" s="5" t="s">
        <v>34</v>
      </c>
      <c r="C25" s="8"/>
    </row>
    <row r="26" spans="2:40" x14ac:dyDescent="0.15">
      <c r="B26" s="8"/>
      <c r="C26" s="8"/>
      <c r="D26" s="8"/>
      <c r="F26" s="8"/>
      <c r="G26" s="8"/>
      <c r="I26" s="8"/>
      <c r="J26" s="8"/>
      <c r="L26" s="8"/>
      <c r="M26" s="8"/>
      <c r="O26" s="8"/>
      <c r="P26" s="8"/>
      <c r="R26" s="8"/>
      <c r="S26" s="8"/>
      <c r="U26" s="8"/>
      <c r="V26" s="8"/>
      <c r="X26" s="8"/>
      <c r="Y26" s="8"/>
      <c r="AA26" s="8"/>
      <c r="AB26" s="8"/>
      <c r="AD26" s="8"/>
      <c r="AE26" s="8"/>
      <c r="AG26" s="8"/>
      <c r="AH26" s="8"/>
      <c r="AJ26" s="8"/>
      <c r="AK26" s="8"/>
      <c r="AM26" s="8"/>
      <c r="AN26" s="8"/>
    </row>
    <row r="27" spans="2:40" ht="14" x14ac:dyDescent="0.15">
      <c r="B27" s="10" t="s">
        <v>21</v>
      </c>
      <c r="C27" s="11">
        <v>121988476.0851</v>
      </c>
      <c r="D27" s="12">
        <v>1</v>
      </c>
      <c r="F27" s="11">
        <v>7240087.3559999997</v>
      </c>
      <c r="G27" s="12">
        <v>1</v>
      </c>
      <c r="I27" s="11">
        <v>8314846.3295</v>
      </c>
      <c r="J27" s="12">
        <v>1</v>
      </c>
      <c r="L27" s="11">
        <v>11118560.569499999</v>
      </c>
      <c r="M27" s="12">
        <v>1</v>
      </c>
      <c r="O27" s="11">
        <v>8842420.0604999997</v>
      </c>
      <c r="P27" s="12">
        <v>1</v>
      </c>
      <c r="R27" s="11">
        <v>11077677.168</v>
      </c>
      <c r="S27" s="12">
        <v>1</v>
      </c>
      <c r="U27" s="11">
        <v>10908122.016799999</v>
      </c>
      <c r="V27" s="12">
        <v>1</v>
      </c>
      <c r="X27" s="11">
        <v>9390566.3160999995</v>
      </c>
      <c r="Y27" s="12">
        <v>1</v>
      </c>
      <c r="AA27" s="11">
        <v>10250151.282600001</v>
      </c>
      <c r="AB27" s="12">
        <v>1</v>
      </c>
      <c r="AD27" s="11">
        <v>12897675.805299999</v>
      </c>
      <c r="AE27" s="12">
        <v>1</v>
      </c>
      <c r="AG27" s="11">
        <v>12387225.269400001</v>
      </c>
      <c r="AH27" s="12">
        <v>1</v>
      </c>
      <c r="AJ27" s="11">
        <v>10794718.781199999</v>
      </c>
      <c r="AK27" s="12">
        <v>1</v>
      </c>
      <c r="AM27" s="11">
        <v>8766425.1302000005</v>
      </c>
      <c r="AN27" s="12">
        <v>1</v>
      </c>
    </row>
    <row r="28" spans="2:40" ht="14" x14ac:dyDescent="0.15">
      <c r="B28" s="5" t="s">
        <v>35</v>
      </c>
      <c r="C28" s="8">
        <v>71675134.665399998</v>
      </c>
      <c r="D28" s="7">
        <v>0.58755659999999998</v>
      </c>
      <c r="F28" s="8">
        <v>4136811.4967</v>
      </c>
      <c r="G28" s="7">
        <v>0.57137590999999999</v>
      </c>
      <c r="I28" s="8">
        <v>4800638.6300999997</v>
      </c>
      <c r="J28" s="7">
        <v>0.57735747000000004</v>
      </c>
      <c r="L28" s="8">
        <v>6805955.2693999996</v>
      </c>
      <c r="M28" s="7">
        <v>0.61212557000000001</v>
      </c>
      <c r="O28" s="8">
        <v>5157165.1950000003</v>
      </c>
      <c r="P28" s="7">
        <v>0.58323005999999999</v>
      </c>
      <c r="R28" s="8">
        <v>6751698.3872999996</v>
      </c>
      <c r="S28" s="7">
        <v>0.60948683000000003</v>
      </c>
      <c r="U28" s="8">
        <v>6235237.1114999996</v>
      </c>
      <c r="V28" s="7">
        <v>0.57161417000000003</v>
      </c>
      <c r="X28" s="8">
        <v>5253262.1971000005</v>
      </c>
      <c r="Y28" s="7">
        <v>0.55941909999999995</v>
      </c>
      <c r="AA28" s="8">
        <v>5877655.6024000002</v>
      </c>
      <c r="AB28" s="7">
        <v>0.57342134999999994</v>
      </c>
      <c r="AD28" s="8">
        <v>7492321.2840999998</v>
      </c>
      <c r="AE28" s="7">
        <v>0.58090476000000002</v>
      </c>
      <c r="AG28" s="8">
        <v>7740262.6377999997</v>
      </c>
      <c r="AH28" s="7">
        <v>0.62485846999999994</v>
      </c>
      <c r="AJ28" s="8">
        <v>6473317.4972999999</v>
      </c>
      <c r="AK28" s="7">
        <v>0.59967449000000006</v>
      </c>
      <c r="AM28" s="8">
        <v>4950809.3567000004</v>
      </c>
      <c r="AN28" s="7">
        <v>0.56474667000000001</v>
      </c>
    </row>
    <row r="29" spans="2:40" ht="14" x14ac:dyDescent="0.15">
      <c r="B29" s="5" t="s">
        <v>36</v>
      </c>
      <c r="C29" s="8">
        <v>27110904.108199999</v>
      </c>
      <c r="D29" s="7">
        <v>0.22224152</v>
      </c>
      <c r="F29" s="8">
        <v>1845934.3166</v>
      </c>
      <c r="G29" s="7">
        <v>0.25496023000000001</v>
      </c>
      <c r="I29" s="8">
        <v>2166474.8553999998</v>
      </c>
      <c r="J29" s="7">
        <v>0.26055500999999998</v>
      </c>
      <c r="L29" s="8">
        <v>2499682.7285000002</v>
      </c>
      <c r="M29" s="7">
        <v>0.22482071000000001</v>
      </c>
      <c r="O29" s="8">
        <v>2111881.6501000002</v>
      </c>
      <c r="P29" s="7">
        <v>0.23883525999999999</v>
      </c>
      <c r="R29" s="8">
        <v>2284825.7527999999</v>
      </c>
      <c r="S29" s="7">
        <v>0.20625494999999999</v>
      </c>
      <c r="U29" s="8">
        <v>2341321.5921</v>
      </c>
      <c r="V29" s="7">
        <v>0.21464021</v>
      </c>
      <c r="X29" s="8">
        <v>1757392.7945999999</v>
      </c>
      <c r="Y29" s="7">
        <v>0.18714449999999999</v>
      </c>
      <c r="AA29" s="8">
        <v>1960046.3940999999</v>
      </c>
      <c r="AB29" s="7">
        <v>0.19122122</v>
      </c>
      <c r="AD29" s="8">
        <v>2945980.5183999999</v>
      </c>
      <c r="AE29" s="7">
        <v>0.22841174</v>
      </c>
      <c r="AG29" s="8">
        <v>2550904.9545999998</v>
      </c>
      <c r="AH29" s="7">
        <v>0.20593030000000001</v>
      </c>
      <c r="AJ29" s="8">
        <v>2675402.9707999998</v>
      </c>
      <c r="AK29" s="7">
        <v>0.24784369000000001</v>
      </c>
      <c r="AM29" s="8">
        <v>1971055.5802</v>
      </c>
      <c r="AN29" s="7">
        <v>0.22484143000000001</v>
      </c>
    </row>
    <row r="30" spans="2:40" ht="14" x14ac:dyDescent="0.15">
      <c r="B30" s="5" t="s">
        <v>37</v>
      </c>
      <c r="C30" s="8">
        <v>4283822.7854000004</v>
      </c>
      <c r="D30" s="7">
        <v>3.5116620000000001E-2</v>
      </c>
      <c r="F30" s="8">
        <v>286832.35230000003</v>
      </c>
      <c r="G30" s="7">
        <v>3.961725E-2</v>
      </c>
      <c r="I30" s="8">
        <v>324057.58620000002</v>
      </c>
      <c r="J30" s="7">
        <v>3.897337E-2</v>
      </c>
      <c r="L30" s="8">
        <v>363546.35979999998</v>
      </c>
      <c r="M30" s="7">
        <v>3.2697249999999997E-2</v>
      </c>
      <c r="O30" s="8">
        <v>338467.56969999999</v>
      </c>
      <c r="P30" s="7">
        <v>3.827771E-2</v>
      </c>
      <c r="R30" s="8">
        <v>398241.1433</v>
      </c>
      <c r="S30" s="7">
        <v>3.5949879999999997E-2</v>
      </c>
      <c r="U30" s="8">
        <v>383543.99080000003</v>
      </c>
      <c r="V30" s="7">
        <v>3.5161320000000003E-2</v>
      </c>
      <c r="X30" s="8">
        <v>368802.62699999998</v>
      </c>
      <c r="Y30" s="7">
        <v>3.9273740000000001E-2</v>
      </c>
      <c r="AA30" s="8">
        <v>378084.87939999998</v>
      </c>
      <c r="AB30" s="7">
        <v>3.6885790000000002E-2</v>
      </c>
      <c r="AD30" s="8">
        <v>408861.68329999998</v>
      </c>
      <c r="AE30" s="7">
        <v>3.170042E-2</v>
      </c>
      <c r="AG30" s="8">
        <v>375262.86580000003</v>
      </c>
      <c r="AH30" s="7">
        <v>3.0294339999999999E-2</v>
      </c>
      <c r="AJ30" s="8">
        <v>348985.92129999999</v>
      </c>
      <c r="AK30" s="7">
        <v>3.2329320000000002E-2</v>
      </c>
      <c r="AM30" s="8">
        <v>309135.80650000001</v>
      </c>
      <c r="AN30" s="7">
        <v>3.5263610000000001E-2</v>
      </c>
    </row>
    <row r="31" spans="2:40" ht="14" x14ac:dyDescent="0.15">
      <c r="B31" s="5" t="s">
        <v>38</v>
      </c>
      <c r="C31" s="8">
        <v>1174894.7871999999</v>
      </c>
      <c r="D31" s="7">
        <v>9.6311899999999995E-3</v>
      </c>
      <c r="F31" s="8">
        <v>75497.383600000001</v>
      </c>
      <c r="G31" s="7">
        <v>1.042769E-2</v>
      </c>
      <c r="I31" s="8">
        <v>76366.258300000001</v>
      </c>
      <c r="J31" s="7">
        <v>9.184330000000001E-3</v>
      </c>
      <c r="L31" s="8">
        <v>140783.64180000001</v>
      </c>
      <c r="M31" s="7">
        <v>1.2662039999999999E-2</v>
      </c>
      <c r="O31" s="8">
        <v>81646.668399999995</v>
      </c>
      <c r="P31" s="7">
        <v>9.2335200000000003E-3</v>
      </c>
      <c r="R31" s="8">
        <v>84491.499200000006</v>
      </c>
      <c r="S31" s="7">
        <v>7.6271900000000007E-3</v>
      </c>
      <c r="U31" s="8">
        <v>98406.031799999997</v>
      </c>
      <c r="V31" s="7">
        <v>9.0213500000000009E-3</v>
      </c>
      <c r="X31" s="8">
        <v>69740.029599999994</v>
      </c>
      <c r="Y31" s="7">
        <v>7.4266100000000002E-3</v>
      </c>
      <c r="AA31" s="8">
        <v>74394.7068</v>
      </c>
      <c r="AB31" s="7">
        <v>7.2579099999999994E-3</v>
      </c>
      <c r="AD31" s="8">
        <v>130622.8284</v>
      </c>
      <c r="AE31" s="7">
        <v>1.012763E-2</v>
      </c>
      <c r="AG31" s="8">
        <v>145234.84090000001</v>
      </c>
      <c r="AH31" s="7">
        <v>1.172457E-2</v>
      </c>
      <c r="AJ31" s="8">
        <v>123977.6606</v>
      </c>
      <c r="AK31" s="7">
        <v>1.148503E-2</v>
      </c>
      <c r="AM31" s="8">
        <v>73733.237800000003</v>
      </c>
      <c r="AN31" s="7">
        <v>8.4108700000000008E-3</v>
      </c>
    </row>
    <row r="32" spans="2:40" x14ac:dyDescent="0.15">
      <c r="B32" s="8"/>
      <c r="C32" s="8"/>
      <c r="D32" s="8"/>
      <c r="F32" s="8"/>
      <c r="G32" s="8"/>
      <c r="I32" s="8"/>
      <c r="J32" s="8"/>
      <c r="L32" s="8"/>
      <c r="M32" s="8"/>
      <c r="O32" s="8"/>
      <c r="P32" s="8"/>
      <c r="R32" s="8"/>
      <c r="S32" s="8"/>
      <c r="U32" s="8"/>
      <c r="V32" s="8"/>
      <c r="X32" s="8"/>
      <c r="Y32" s="8"/>
      <c r="AA32" s="8"/>
      <c r="AB32" s="8"/>
      <c r="AD32" s="8"/>
      <c r="AE32" s="8"/>
      <c r="AG32" s="8"/>
      <c r="AH32" s="8"/>
      <c r="AJ32" s="8"/>
      <c r="AK32" s="8"/>
      <c r="AM32" s="8"/>
      <c r="AN32" s="8"/>
    </row>
    <row r="33" spans="2:40" ht="14" x14ac:dyDescent="0.15">
      <c r="B33" s="13" t="s">
        <v>39</v>
      </c>
      <c r="C33" s="14"/>
      <c r="D33" s="14"/>
      <c r="F33" s="14"/>
      <c r="G33" s="14"/>
      <c r="I33" s="14"/>
      <c r="J33" s="14"/>
      <c r="L33" s="14"/>
      <c r="M33" s="14"/>
      <c r="O33" s="14"/>
      <c r="P33" s="14"/>
      <c r="R33" s="14"/>
      <c r="S33" s="14"/>
      <c r="U33" s="14"/>
      <c r="V33" s="14"/>
      <c r="X33" s="14"/>
      <c r="Y33" s="14"/>
      <c r="AA33" s="14"/>
      <c r="AB33" s="14"/>
      <c r="AD33" s="14"/>
      <c r="AE33" s="14"/>
      <c r="AG33" s="14"/>
      <c r="AH33" s="14"/>
      <c r="AJ33" s="14"/>
      <c r="AK33" s="14"/>
      <c r="AM33" s="14"/>
      <c r="AN33" s="14"/>
    </row>
    <row r="34" spans="2:40" ht="14" x14ac:dyDescent="0.15">
      <c r="B34" s="10" t="s">
        <v>35</v>
      </c>
      <c r="C34" s="11">
        <v>71675134.665399998</v>
      </c>
      <c r="D34" s="12">
        <v>1</v>
      </c>
      <c r="F34" s="11">
        <v>4136811.4967</v>
      </c>
      <c r="G34" s="12">
        <v>1</v>
      </c>
      <c r="I34" s="11">
        <v>4800638.6300999997</v>
      </c>
      <c r="J34" s="12">
        <v>1</v>
      </c>
      <c r="L34" s="11">
        <v>6805955.2693999996</v>
      </c>
      <c r="M34" s="12">
        <v>1</v>
      </c>
      <c r="O34" s="11">
        <v>5157165.1950000003</v>
      </c>
      <c r="P34" s="12">
        <v>1</v>
      </c>
      <c r="R34" s="11">
        <v>6751698.3872999996</v>
      </c>
      <c r="S34" s="12">
        <v>1</v>
      </c>
      <c r="U34" s="11">
        <v>6235237.1114999996</v>
      </c>
      <c r="V34" s="12">
        <v>1</v>
      </c>
      <c r="X34" s="11">
        <v>5253262.1971000005</v>
      </c>
      <c r="Y34" s="12">
        <v>1</v>
      </c>
      <c r="AA34" s="11">
        <v>5877655.6024000002</v>
      </c>
      <c r="AB34" s="12">
        <v>1</v>
      </c>
      <c r="AD34" s="11">
        <v>7492321.2840999998</v>
      </c>
      <c r="AE34" s="12">
        <v>1</v>
      </c>
      <c r="AG34" s="11">
        <v>7740262.6377999997</v>
      </c>
      <c r="AH34" s="12">
        <v>1</v>
      </c>
      <c r="AJ34" s="11">
        <v>6473317.4972999999</v>
      </c>
      <c r="AK34" s="12">
        <v>1</v>
      </c>
      <c r="AM34" s="11">
        <v>4950809.3567000004</v>
      </c>
      <c r="AN34" s="12">
        <v>1</v>
      </c>
    </row>
    <row r="35" spans="2:40" ht="14" x14ac:dyDescent="0.15">
      <c r="B35" s="5" t="s">
        <v>22</v>
      </c>
      <c r="C35" s="8">
        <v>14927382.4592</v>
      </c>
      <c r="D35" s="7">
        <v>0.20826444999999999</v>
      </c>
      <c r="F35" s="8">
        <v>1150985.6713</v>
      </c>
      <c r="G35" s="7">
        <v>0.27823015000000001</v>
      </c>
      <c r="I35" s="8">
        <v>1195591.5341</v>
      </c>
      <c r="J35" s="7">
        <v>0.24904842999999999</v>
      </c>
      <c r="L35" s="8">
        <v>1263390.6207999999</v>
      </c>
      <c r="M35" s="7">
        <v>0.18563017000000001</v>
      </c>
      <c r="O35" s="8">
        <v>1199755.3711000001</v>
      </c>
      <c r="P35" s="7">
        <v>0.23263854</v>
      </c>
      <c r="R35" s="8">
        <v>1254052.1975</v>
      </c>
      <c r="S35" s="7">
        <v>0.18573877999999999</v>
      </c>
      <c r="U35" s="8">
        <v>1308247.9791000001</v>
      </c>
      <c r="V35" s="7">
        <v>0.20981527</v>
      </c>
      <c r="X35" s="8">
        <v>1209967.9504</v>
      </c>
      <c r="Y35" s="7">
        <v>0.23032696999999999</v>
      </c>
      <c r="AA35" s="8">
        <v>1224281.4886</v>
      </c>
      <c r="AB35" s="7">
        <v>0.20829418999999999</v>
      </c>
      <c r="AD35" s="8">
        <v>1308659.7807</v>
      </c>
      <c r="AE35" s="7">
        <v>0.17466680000000001</v>
      </c>
      <c r="AG35" s="8">
        <v>1265785.868</v>
      </c>
      <c r="AH35" s="7">
        <v>0.16353268000000001</v>
      </c>
      <c r="AJ35" s="8">
        <v>1331244.6022000001</v>
      </c>
      <c r="AK35" s="7">
        <v>0.20565106</v>
      </c>
      <c r="AM35" s="8">
        <v>1215419.3954</v>
      </c>
      <c r="AN35" s="7">
        <v>0.24549913000000001</v>
      </c>
    </row>
    <row r="36" spans="2:40" ht="14" x14ac:dyDescent="0.15">
      <c r="B36" s="5" t="s">
        <v>40</v>
      </c>
      <c r="C36" s="8">
        <v>11316499.7019</v>
      </c>
      <c r="D36" s="7">
        <v>0.15788599</v>
      </c>
      <c r="F36" s="8">
        <v>699808.75910000002</v>
      </c>
      <c r="G36" s="7">
        <v>0.16916622000000001</v>
      </c>
      <c r="I36" s="8">
        <v>798402.25699999998</v>
      </c>
      <c r="J36" s="7">
        <v>0.16631167999999999</v>
      </c>
      <c r="L36" s="8">
        <v>1064316.4924999999</v>
      </c>
      <c r="M36" s="7">
        <v>0.15638018000000001</v>
      </c>
      <c r="O36" s="8">
        <v>833095.10930000001</v>
      </c>
      <c r="P36" s="7">
        <v>0.16154129</v>
      </c>
      <c r="R36" s="8">
        <v>1008530.1256</v>
      </c>
      <c r="S36" s="7">
        <v>0.14937428999999999</v>
      </c>
      <c r="U36" s="8">
        <v>1009980.4182</v>
      </c>
      <c r="V36" s="7">
        <v>0.16197946999999999</v>
      </c>
      <c r="X36" s="8">
        <v>892610.80810000002</v>
      </c>
      <c r="Y36" s="7">
        <v>0.16991553000000001</v>
      </c>
      <c r="AA36" s="8">
        <v>975216.26690000005</v>
      </c>
      <c r="AB36" s="7">
        <v>0.16591926000000001</v>
      </c>
      <c r="AD36" s="8">
        <v>1141191.2808000001</v>
      </c>
      <c r="AE36" s="7">
        <v>0.15231478000000001</v>
      </c>
      <c r="AG36" s="8">
        <v>1124487.8914000001</v>
      </c>
      <c r="AH36" s="7">
        <v>0.14527773999999999</v>
      </c>
      <c r="AJ36" s="8">
        <v>978351.73360000004</v>
      </c>
      <c r="AK36" s="7">
        <v>0.15113605999999999</v>
      </c>
      <c r="AM36" s="8">
        <v>790508.55940000003</v>
      </c>
      <c r="AN36" s="7">
        <v>0.15967259</v>
      </c>
    </row>
    <row r="37" spans="2:40" ht="14" x14ac:dyDescent="0.15">
      <c r="B37" s="10" t="s">
        <v>41</v>
      </c>
      <c r="C37" s="11">
        <v>45431252.504600003</v>
      </c>
      <c r="D37" s="12">
        <v>0.63384956000000003</v>
      </c>
      <c r="F37" s="11">
        <v>2286017.0660999999</v>
      </c>
      <c r="G37" s="12">
        <v>0.55260363000000001</v>
      </c>
      <c r="I37" s="11">
        <v>2806644.8391</v>
      </c>
      <c r="J37" s="12">
        <v>0.58463988999999994</v>
      </c>
      <c r="L37" s="11">
        <v>4478248.1561000003</v>
      </c>
      <c r="M37" s="12">
        <v>0.65798964999999998</v>
      </c>
      <c r="O37" s="11">
        <v>3124314.7146999999</v>
      </c>
      <c r="P37" s="12">
        <v>0.60582016999999999</v>
      </c>
      <c r="R37" s="11">
        <v>4489116.0641999999</v>
      </c>
      <c r="S37" s="12">
        <v>0.66488693999999993</v>
      </c>
      <c r="U37" s="11">
        <v>3917008.7143999999</v>
      </c>
      <c r="V37" s="12">
        <v>0.62820525000000005</v>
      </c>
      <c r="X37" s="11">
        <v>3150683.4386999998</v>
      </c>
      <c r="Y37" s="12">
        <v>0.59975750999999999</v>
      </c>
      <c r="AA37" s="11">
        <v>3678157.8467999999</v>
      </c>
      <c r="AB37" s="12">
        <v>0.62578654999999994</v>
      </c>
      <c r="AD37" s="11">
        <v>5042470.2226</v>
      </c>
      <c r="AE37" s="12">
        <v>0.6730184199999999</v>
      </c>
      <c r="AG37" s="11">
        <v>5349988.8783999998</v>
      </c>
      <c r="AH37" s="12">
        <v>0.69118958000000008</v>
      </c>
      <c r="AJ37" s="11">
        <v>4163721.1616000002</v>
      </c>
      <c r="AK37" s="12">
        <v>0.64321287999999999</v>
      </c>
      <c r="AM37" s="11">
        <v>2944881.4018999999</v>
      </c>
      <c r="AN37" s="12">
        <v>0.59482827999999999</v>
      </c>
    </row>
    <row r="38" spans="2:40" x14ac:dyDescent="0.15">
      <c r="B38" s="8"/>
      <c r="C38" s="8"/>
      <c r="D38" s="8"/>
      <c r="F38" s="8"/>
      <c r="G38" s="8"/>
      <c r="I38" s="8"/>
      <c r="J38" s="8"/>
      <c r="L38" s="8"/>
      <c r="M38" s="8"/>
      <c r="O38" s="8"/>
      <c r="P38" s="8"/>
      <c r="R38" s="8"/>
      <c r="S38" s="8"/>
      <c r="U38" s="8"/>
      <c r="V38" s="8"/>
      <c r="X38" s="8"/>
      <c r="Y38" s="8"/>
      <c r="AA38" s="8"/>
      <c r="AB38" s="8"/>
      <c r="AD38" s="8"/>
      <c r="AE38" s="8"/>
      <c r="AG38" s="8"/>
      <c r="AH38" s="8"/>
      <c r="AJ38" s="8"/>
      <c r="AK38" s="8"/>
      <c r="AM38" s="8"/>
      <c r="AN38" s="8"/>
    </row>
    <row r="39" spans="2:40" ht="14" x14ac:dyDescent="0.15">
      <c r="B39" s="13" t="s">
        <v>42</v>
      </c>
      <c r="C39" s="14"/>
      <c r="D39" s="14"/>
      <c r="F39" s="14"/>
      <c r="G39" s="14"/>
      <c r="I39" s="14"/>
      <c r="J39" s="14"/>
      <c r="L39" s="14"/>
      <c r="M39" s="14"/>
      <c r="O39" s="14"/>
      <c r="P39" s="14"/>
      <c r="R39" s="14"/>
      <c r="S39" s="14"/>
      <c r="U39" s="14"/>
      <c r="V39" s="14"/>
      <c r="X39" s="14"/>
      <c r="Y39" s="14"/>
      <c r="AA39" s="14"/>
      <c r="AB39" s="14"/>
      <c r="AD39" s="14"/>
      <c r="AE39" s="14"/>
      <c r="AG39" s="14"/>
      <c r="AH39" s="14"/>
      <c r="AJ39" s="14"/>
      <c r="AK39" s="14"/>
      <c r="AM39" s="14"/>
      <c r="AN39" s="14"/>
    </row>
    <row r="40" spans="2:40" ht="14" x14ac:dyDescent="0.15">
      <c r="B40" s="5" t="s">
        <v>43</v>
      </c>
      <c r="C40" s="8">
        <v>16634037.8061</v>
      </c>
      <c r="D40" s="7">
        <v>0.61355525999999994</v>
      </c>
      <c r="F40" s="8">
        <v>1107459.2039999999</v>
      </c>
      <c r="G40" s="7">
        <v>0.59994508000000002</v>
      </c>
      <c r="I40" s="8">
        <v>1274039.1037999999</v>
      </c>
      <c r="J40" s="7">
        <v>0.58807010999999998</v>
      </c>
      <c r="L40" s="8">
        <v>1523950.2117999999</v>
      </c>
      <c r="M40" s="7">
        <v>0.60965745999999998</v>
      </c>
      <c r="O40" s="8">
        <v>1288151.6702000001</v>
      </c>
      <c r="P40" s="7">
        <v>0.60995448000000008</v>
      </c>
      <c r="R40" s="8">
        <v>1414044.2265000001</v>
      </c>
      <c r="S40" s="7">
        <v>0.61888493</v>
      </c>
      <c r="U40" s="8">
        <v>1445661.3732</v>
      </c>
      <c r="V40" s="7">
        <v>0.61745528000000005</v>
      </c>
      <c r="X40" s="8">
        <v>1107692.2431999999</v>
      </c>
      <c r="Y40" s="7">
        <v>0.63030430000000004</v>
      </c>
      <c r="AA40" s="8">
        <v>1242505.1157</v>
      </c>
      <c r="AB40" s="7">
        <v>0.63391618000000005</v>
      </c>
      <c r="AD40" s="8">
        <v>1825679.5924</v>
      </c>
      <c r="AE40" s="7">
        <v>0.61971882999999994</v>
      </c>
      <c r="AG40" s="8">
        <v>1583714.976</v>
      </c>
      <c r="AH40" s="7">
        <v>0.62084437000000003</v>
      </c>
      <c r="AJ40" s="8">
        <v>1603559.317</v>
      </c>
      <c r="AK40" s="7">
        <v>0.59937114000000002</v>
      </c>
      <c r="AM40" s="8">
        <v>1217580.7723000001</v>
      </c>
      <c r="AN40" s="7">
        <v>0.61773031</v>
      </c>
    </row>
    <row r="41" spans="2:40" ht="14" x14ac:dyDescent="0.15">
      <c r="B41" s="5" t="s">
        <v>44</v>
      </c>
      <c r="C41" s="8">
        <v>7486725.0777000003</v>
      </c>
      <c r="D41" s="7">
        <v>0.2761518</v>
      </c>
      <c r="F41" s="8">
        <v>500796.2928</v>
      </c>
      <c r="G41" s="7">
        <v>0.27129692</v>
      </c>
      <c r="I41" s="8">
        <v>639110.1716</v>
      </c>
      <c r="J41" s="7">
        <v>0.29500004000000002</v>
      </c>
      <c r="L41" s="8">
        <v>714857.08649999998</v>
      </c>
      <c r="M41" s="7">
        <v>0.28597913000000003</v>
      </c>
      <c r="O41" s="8">
        <v>597059.20010000002</v>
      </c>
      <c r="P41" s="7">
        <v>0.28271433000000001</v>
      </c>
      <c r="R41" s="8">
        <v>623253.12639999995</v>
      </c>
      <c r="S41" s="7">
        <v>0.27277928000000001</v>
      </c>
      <c r="U41" s="8">
        <v>629867.79890000005</v>
      </c>
      <c r="V41" s="7">
        <v>0.26902232999999998</v>
      </c>
      <c r="X41" s="8">
        <v>497756.88650000002</v>
      </c>
      <c r="Y41" s="7">
        <v>0.28323598999999999</v>
      </c>
      <c r="AA41" s="8">
        <v>570156.99840000004</v>
      </c>
      <c r="AB41" s="7">
        <v>0.29088954</v>
      </c>
      <c r="AD41" s="8">
        <v>765251.85620000004</v>
      </c>
      <c r="AE41" s="7">
        <v>0.25976134000000001</v>
      </c>
      <c r="AG41" s="8">
        <v>677870.48860000004</v>
      </c>
      <c r="AH41" s="7">
        <v>0.26573725999999998</v>
      </c>
      <c r="AJ41" s="8">
        <v>727029.87379999994</v>
      </c>
      <c r="AK41" s="7">
        <v>0.27174593000000002</v>
      </c>
      <c r="AM41" s="8">
        <v>543715.29790000001</v>
      </c>
      <c r="AN41" s="7">
        <v>0.27584980999999997</v>
      </c>
    </row>
    <row r="42" spans="2:40" ht="14" x14ac:dyDescent="0.15">
      <c r="B42" s="5" t="s">
        <v>45</v>
      </c>
      <c r="C42" s="8">
        <v>2990141.2250000001</v>
      </c>
      <c r="D42" s="7">
        <v>0.11029294000000001</v>
      </c>
      <c r="F42" s="8">
        <v>237678.82</v>
      </c>
      <c r="G42" s="7">
        <v>0.12875801000000001</v>
      </c>
      <c r="I42" s="8">
        <v>253325.58</v>
      </c>
      <c r="J42" s="7">
        <v>0.11692985</v>
      </c>
      <c r="L42" s="8">
        <v>260875.43</v>
      </c>
      <c r="M42" s="7">
        <v>0.10436342</v>
      </c>
      <c r="O42" s="8">
        <v>226670.78</v>
      </c>
      <c r="P42" s="7">
        <v>0.10733119000000001</v>
      </c>
      <c r="R42" s="8">
        <v>247528.4</v>
      </c>
      <c r="S42" s="7">
        <v>0.10833579</v>
      </c>
      <c r="U42" s="8">
        <v>265792.42</v>
      </c>
      <c r="V42" s="7">
        <v>0.11352239</v>
      </c>
      <c r="X42" s="8">
        <v>151943.66500000001</v>
      </c>
      <c r="Y42" s="7">
        <v>8.6459709999999995E-2</v>
      </c>
      <c r="AA42" s="8">
        <v>147384.28</v>
      </c>
      <c r="AB42" s="7">
        <v>7.5194280000000002E-2</v>
      </c>
      <c r="AD42" s="8">
        <v>355049.07</v>
      </c>
      <c r="AE42" s="7">
        <v>0.12051982999999999</v>
      </c>
      <c r="AG42" s="8">
        <v>289319.49</v>
      </c>
      <c r="AH42" s="7">
        <v>0.11341837</v>
      </c>
      <c r="AJ42" s="8">
        <v>344813.78</v>
      </c>
      <c r="AK42" s="7">
        <v>0.12888293000000001</v>
      </c>
      <c r="AM42" s="8">
        <v>209759.51</v>
      </c>
      <c r="AN42" s="7">
        <v>0.10641989</v>
      </c>
    </row>
    <row r="43" spans="2:40" ht="14" x14ac:dyDescent="0.15">
      <c r="B43" s="10" t="s">
        <v>36</v>
      </c>
      <c r="C43" s="11">
        <v>27110904.108199999</v>
      </c>
      <c r="D43" s="12">
        <v>1</v>
      </c>
      <c r="F43" s="11">
        <v>1845934.3166</v>
      </c>
      <c r="G43" s="12">
        <v>1</v>
      </c>
      <c r="I43" s="11">
        <v>2166474.8553999998</v>
      </c>
      <c r="J43" s="12">
        <v>1</v>
      </c>
      <c r="L43" s="11">
        <v>2499682.7285000002</v>
      </c>
      <c r="M43" s="12">
        <v>1</v>
      </c>
      <c r="O43" s="11">
        <v>2111881.6501000002</v>
      </c>
      <c r="P43" s="12">
        <v>1</v>
      </c>
      <c r="R43" s="11">
        <v>2284825.7527999999</v>
      </c>
      <c r="S43" s="12">
        <v>1</v>
      </c>
      <c r="U43" s="11">
        <v>2341321.5921</v>
      </c>
      <c r="V43" s="12">
        <v>1</v>
      </c>
      <c r="X43" s="11">
        <v>1757392.7945999999</v>
      </c>
      <c r="Y43" s="12">
        <v>1</v>
      </c>
      <c r="AA43" s="11">
        <v>1960046.3940999999</v>
      </c>
      <c r="AB43" s="12">
        <v>1</v>
      </c>
      <c r="AD43" s="11">
        <v>2945980.5183999999</v>
      </c>
      <c r="AE43" s="12">
        <v>1</v>
      </c>
      <c r="AG43" s="11">
        <v>2550904.9545999998</v>
      </c>
      <c r="AH43" s="12">
        <v>1</v>
      </c>
      <c r="AJ43" s="11">
        <v>2675402.9707999998</v>
      </c>
      <c r="AK43" s="12">
        <v>1</v>
      </c>
      <c r="AM43" s="11">
        <v>1971055.5802</v>
      </c>
      <c r="AN43" s="12">
        <v>1</v>
      </c>
    </row>
    <row r="44" spans="2:40" ht="14" x14ac:dyDescent="0.15">
      <c r="B44" s="5" t="s">
        <v>46</v>
      </c>
      <c r="C44" s="8">
        <v>5085929.5042000003</v>
      </c>
      <c r="D44" s="7">
        <v>0.30575436</v>
      </c>
      <c r="F44" s="8">
        <v>333187.26010000001</v>
      </c>
      <c r="G44" s="7">
        <v>0.30085737000000001</v>
      </c>
      <c r="I44" s="8">
        <v>391538.5552</v>
      </c>
      <c r="J44" s="7">
        <v>0.30732067000000002</v>
      </c>
      <c r="L44" s="8">
        <v>465349.65210000001</v>
      </c>
      <c r="M44" s="7">
        <v>0.30535751999999999</v>
      </c>
      <c r="O44" s="8">
        <v>393745.48259999999</v>
      </c>
      <c r="P44" s="7">
        <v>0.30566702000000001</v>
      </c>
      <c r="R44" s="8">
        <v>431554.1054</v>
      </c>
      <c r="S44" s="7">
        <v>0.30519138000000001</v>
      </c>
      <c r="U44" s="8">
        <v>438140.12239999999</v>
      </c>
      <c r="V44" s="7">
        <v>0.30307244</v>
      </c>
      <c r="X44" s="8">
        <v>347743.08769999997</v>
      </c>
      <c r="Y44" s="7">
        <v>0.31393474999999998</v>
      </c>
      <c r="AA44" s="8">
        <v>391621.18609999999</v>
      </c>
      <c r="AB44" s="7">
        <v>0.31518678</v>
      </c>
      <c r="AD44" s="8">
        <v>552937.66020000004</v>
      </c>
      <c r="AE44" s="7">
        <v>0.30286676000000001</v>
      </c>
      <c r="AG44" s="8">
        <v>484700.42959999997</v>
      </c>
      <c r="AH44" s="7">
        <v>0.30605282</v>
      </c>
      <c r="AJ44" s="8">
        <v>485892.95199999999</v>
      </c>
      <c r="AK44" s="7">
        <v>0.30300903000000001</v>
      </c>
      <c r="AM44" s="8">
        <v>369519.01079999999</v>
      </c>
      <c r="AN44" s="7">
        <v>0.30348624000000002</v>
      </c>
    </row>
    <row r="45" spans="2:40" ht="14" x14ac:dyDescent="0.15">
      <c r="B45" s="5" t="s">
        <v>47</v>
      </c>
      <c r="C45" s="8">
        <v>1338622.2476999999</v>
      </c>
      <c r="D45" s="7">
        <v>0.17879944</v>
      </c>
      <c r="F45" s="8">
        <v>88165.581399999995</v>
      </c>
      <c r="G45" s="7">
        <v>0.17605079000000001</v>
      </c>
      <c r="I45" s="8">
        <v>113913.7674</v>
      </c>
      <c r="J45" s="7">
        <v>0.17823807999999999</v>
      </c>
      <c r="L45" s="8">
        <v>127404.4871</v>
      </c>
      <c r="M45" s="7">
        <v>0.17822372</v>
      </c>
      <c r="O45" s="8">
        <v>106416.2064</v>
      </c>
      <c r="P45" s="7">
        <v>0.17823393000000001</v>
      </c>
      <c r="R45" s="8">
        <v>112350.47289999999</v>
      </c>
      <c r="S45" s="7">
        <v>0.1802646</v>
      </c>
      <c r="U45" s="8">
        <v>113728.0791</v>
      </c>
      <c r="V45" s="7">
        <v>0.18055864999999999</v>
      </c>
      <c r="X45" s="8">
        <v>90660.094200000007</v>
      </c>
      <c r="Y45" s="7">
        <v>0.1821373</v>
      </c>
      <c r="AA45" s="8">
        <v>103337.5362</v>
      </c>
      <c r="AB45" s="7">
        <v>0.18124399999999999</v>
      </c>
      <c r="AD45" s="8">
        <v>136041.6966</v>
      </c>
      <c r="AE45" s="7">
        <v>0.17777376</v>
      </c>
      <c r="AG45" s="8">
        <v>120505.7868</v>
      </c>
      <c r="AH45" s="7">
        <v>0.17777111000000001</v>
      </c>
      <c r="AJ45" s="8">
        <v>128344.90360000001</v>
      </c>
      <c r="AK45" s="7">
        <v>0.17653319000000001</v>
      </c>
      <c r="AM45" s="8">
        <v>97753.635999999999</v>
      </c>
      <c r="AN45" s="7">
        <v>0.17978827999999999</v>
      </c>
    </row>
    <row r="46" spans="2:40" ht="14" x14ac:dyDescent="0.15">
      <c r="B46" s="5" t="s">
        <v>48</v>
      </c>
      <c r="C46" s="8">
        <v>209170</v>
      </c>
      <c r="D46" s="7">
        <v>6.9953219999999997E-2</v>
      </c>
      <c r="F46" s="8">
        <v>17577</v>
      </c>
      <c r="G46" s="7">
        <v>7.3952740000000003E-2</v>
      </c>
      <c r="I46" s="8">
        <v>18470</v>
      </c>
      <c r="J46" s="7">
        <v>7.2910130000000004E-2</v>
      </c>
      <c r="L46" s="8">
        <v>21130</v>
      </c>
      <c r="M46" s="7">
        <v>8.0996509999999994E-2</v>
      </c>
      <c r="O46" s="8">
        <v>15530</v>
      </c>
      <c r="P46" s="7">
        <v>6.8513459999999998E-2</v>
      </c>
      <c r="R46" s="8">
        <v>15740</v>
      </c>
      <c r="S46" s="7">
        <v>6.3588660000000005E-2</v>
      </c>
      <c r="U46" s="8">
        <v>20265</v>
      </c>
      <c r="V46" s="7">
        <v>7.6243710000000006E-2</v>
      </c>
      <c r="X46" s="8">
        <v>12265</v>
      </c>
      <c r="Y46" s="7">
        <v>8.0720709999999987E-2</v>
      </c>
      <c r="AA46" s="8">
        <v>10018</v>
      </c>
      <c r="AB46" s="7">
        <v>6.7971969999999993E-2</v>
      </c>
      <c r="AD46" s="8">
        <v>25790</v>
      </c>
      <c r="AE46" s="7">
        <v>7.2637850000000004E-2</v>
      </c>
      <c r="AG46" s="8">
        <v>17110</v>
      </c>
      <c r="AH46" s="7">
        <v>5.913877E-2</v>
      </c>
      <c r="AJ46" s="8">
        <v>21720</v>
      </c>
      <c r="AK46" s="7">
        <v>6.2990519999999994E-2</v>
      </c>
      <c r="AM46" s="8">
        <v>13555</v>
      </c>
      <c r="AN46" s="7">
        <v>6.4621620000000005E-2</v>
      </c>
    </row>
    <row r="47" spans="2:40" ht="14" x14ac:dyDescent="0.15">
      <c r="B47" s="10" t="s">
        <v>49</v>
      </c>
      <c r="C47" s="11">
        <v>6633721.7520000003</v>
      </c>
      <c r="D47" s="12">
        <v>0.24468833000000001</v>
      </c>
      <c r="F47" s="11">
        <v>438929.84159999999</v>
      </c>
      <c r="G47" s="12">
        <v>0.23778194</v>
      </c>
      <c r="I47" s="11">
        <v>523922.32260000001</v>
      </c>
      <c r="J47" s="12">
        <v>0.24183171000000001</v>
      </c>
      <c r="L47" s="11">
        <v>613884.13919999998</v>
      </c>
      <c r="M47" s="12">
        <v>0.24558482000000001</v>
      </c>
      <c r="O47" s="11">
        <v>515691.68900000001</v>
      </c>
      <c r="P47" s="12">
        <v>0.24418587999999999</v>
      </c>
      <c r="R47" s="11">
        <v>559644.57830000005</v>
      </c>
      <c r="S47" s="12">
        <v>0.24493972</v>
      </c>
      <c r="U47" s="11">
        <v>572133.20149999997</v>
      </c>
      <c r="V47" s="12">
        <v>0.24436336</v>
      </c>
      <c r="X47" s="11">
        <v>450668.18180000002</v>
      </c>
      <c r="Y47" s="12">
        <v>0.25644135000000001</v>
      </c>
      <c r="AA47" s="11">
        <v>504976.72220000002</v>
      </c>
      <c r="AB47" s="12">
        <v>0.25763509000000001</v>
      </c>
      <c r="AD47" s="11">
        <v>714769.35679999995</v>
      </c>
      <c r="AE47" s="12">
        <v>0.24262528</v>
      </c>
      <c r="AG47" s="11">
        <v>622316.21649999998</v>
      </c>
      <c r="AH47" s="12">
        <v>0.24395900000000001</v>
      </c>
      <c r="AJ47" s="11">
        <v>635957.85569999996</v>
      </c>
      <c r="AK47" s="12">
        <v>0.23770545000000001</v>
      </c>
      <c r="AM47" s="11">
        <v>480827.64679999999</v>
      </c>
      <c r="AN47" s="12">
        <v>0.24394424000000001</v>
      </c>
    </row>
    <row r="48" spans="2:40" ht="14" x14ac:dyDescent="0.15">
      <c r="B48" s="5" t="s">
        <v>22</v>
      </c>
      <c r="C48" s="8">
        <v>13286922.394099999</v>
      </c>
      <c r="D48" s="7">
        <v>0.49009513999999998</v>
      </c>
      <c r="F48" s="8">
        <v>1062408.7786000001</v>
      </c>
      <c r="G48" s="7">
        <v>0.57553986000000001</v>
      </c>
      <c r="I48" s="8">
        <v>1103781.0983</v>
      </c>
      <c r="J48" s="7">
        <v>0.50948252999999999</v>
      </c>
      <c r="L48" s="8">
        <v>1146025.5518</v>
      </c>
      <c r="M48" s="7">
        <v>0.4584684</v>
      </c>
      <c r="O48" s="8">
        <v>1093535.3507999999</v>
      </c>
      <c r="P48" s="7">
        <v>0.51780143999999995</v>
      </c>
      <c r="R48" s="8">
        <v>1096980.3001999999</v>
      </c>
      <c r="S48" s="7">
        <v>0.48011552000000002</v>
      </c>
      <c r="U48" s="8">
        <v>1143363.3784</v>
      </c>
      <c r="V48" s="7">
        <v>0.48834102000000001</v>
      </c>
      <c r="X48" s="8">
        <v>1026101.3255</v>
      </c>
      <c r="Y48" s="7">
        <v>0.58387705000000001</v>
      </c>
      <c r="AA48" s="8">
        <v>1038345.4771</v>
      </c>
      <c r="AB48" s="7">
        <v>0.52975556000000001</v>
      </c>
      <c r="AD48" s="8">
        <v>1138209.9823</v>
      </c>
      <c r="AE48" s="7">
        <v>0.38636031999999998</v>
      </c>
      <c r="AG48" s="8">
        <v>1112443.2056</v>
      </c>
      <c r="AH48" s="7">
        <v>0.43609746999999999</v>
      </c>
      <c r="AJ48" s="8">
        <v>1243016.6664</v>
      </c>
      <c r="AK48" s="7">
        <v>0.46460913999999998</v>
      </c>
      <c r="AM48" s="8">
        <v>1082711.2790999999</v>
      </c>
      <c r="AN48" s="7">
        <v>0.5493053</v>
      </c>
    </row>
    <row r="49" spans="2:40" ht="14" x14ac:dyDescent="0.15">
      <c r="B49" s="5" t="s">
        <v>40</v>
      </c>
      <c r="C49" s="8">
        <v>1192925.3177</v>
      </c>
      <c r="D49" s="7">
        <v>4.4001680000000001E-2</v>
      </c>
      <c r="F49" s="8">
        <v>89119.326300000001</v>
      </c>
      <c r="G49" s="7">
        <v>4.8278710000000002E-2</v>
      </c>
      <c r="I49" s="8">
        <v>102029.48759999999</v>
      </c>
      <c r="J49" s="7">
        <v>4.7094700000000003E-2</v>
      </c>
      <c r="L49" s="8">
        <v>117551.68090000001</v>
      </c>
      <c r="M49" s="7">
        <v>4.7026640000000001E-2</v>
      </c>
      <c r="O49" s="8">
        <v>91479.499899999995</v>
      </c>
      <c r="P49" s="7">
        <v>4.331658E-2</v>
      </c>
      <c r="R49" s="8">
        <v>109869.25260000001</v>
      </c>
      <c r="S49" s="7">
        <v>4.8086490000000003E-2</v>
      </c>
      <c r="U49" s="8">
        <v>103611.6982</v>
      </c>
      <c r="V49" s="7">
        <v>4.4253510000000003E-2</v>
      </c>
      <c r="X49" s="8">
        <v>77884.5677</v>
      </c>
      <c r="Y49" s="7">
        <v>4.4318249999999997E-2</v>
      </c>
      <c r="AA49" s="8">
        <v>86531.902100000007</v>
      </c>
      <c r="AB49" s="7">
        <v>4.414788E-2</v>
      </c>
      <c r="AD49" s="8">
        <v>122022.0422</v>
      </c>
      <c r="AE49" s="7">
        <v>4.1419839999999999E-2</v>
      </c>
      <c r="AG49" s="8">
        <v>97260.821599999996</v>
      </c>
      <c r="AH49" s="7">
        <v>3.8127969999999997E-2</v>
      </c>
      <c r="AJ49" s="8">
        <v>105924.85830000001</v>
      </c>
      <c r="AK49" s="7">
        <v>3.959211E-2</v>
      </c>
      <c r="AM49" s="8">
        <v>89640.180300000007</v>
      </c>
      <c r="AN49" s="7">
        <v>4.547826E-2</v>
      </c>
    </row>
    <row r="50" spans="2:40" ht="14" x14ac:dyDescent="0.15">
      <c r="B50" s="10" t="s">
        <v>41</v>
      </c>
      <c r="C50" s="11">
        <v>5997334.6458999999</v>
      </c>
      <c r="D50" s="12">
        <v>0.22121484999999999</v>
      </c>
      <c r="F50" s="11">
        <v>255476.3702</v>
      </c>
      <c r="G50" s="12">
        <v>0.13839948999999999</v>
      </c>
      <c r="I50" s="11">
        <v>436741.94669999997</v>
      </c>
      <c r="J50" s="12">
        <v>0.20159104999999999</v>
      </c>
      <c r="L50" s="11">
        <v>622221.35660000006</v>
      </c>
      <c r="M50" s="12">
        <v>0.24892012999999999</v>
      </c>
      <c r="O50" s="11">
        <v>411175.11060000001</v>
      </c>
      <c r="P50" s="12">
        <v>0.19469610000000001</v>
      </c>
      <c r="R50" s="11">
        <v>518331.62209999998</v>
      </c>
      <c r="S50" s="12">
        <v>0.22685827</v>
      </c>
      <c r="U50" s="11">
        <v>522213.31390000001</v>
      </c>
      <c r="V50" s="12">
        <v>0.22304210999999999</v>
      </c>
      <c r="X50" s="11">
        <v>202738.7199</v>
      </c>
      <c r="Y50" s="12">
        <v>0.11536335</v>
      </c>
      <c r="AA50" s="11">
        <v>330192.29259999999</v>
      </c>
      <c r="AB50" s="12">
        <v>0.16846147</v>
      </c>
      <c r="AD50" s="11">
        <v>970979.13710000005</v>
      </c>
      <c r="AE50" s="12">
        <v>0.32959454999999999</v>
      </c>
      <c r="AG50" s="11">
        <v>718884.71120000002</v>
      </c>
      <c r="AH50" s="12">
        <v>0.28181556000000002</v>
      </c>
      <c r="AJ50" s="11">
        <v>690503.59069999994</v>
      </c>
      <c r="AK50" s="12">
        <v>0.25809330000000003</v>
      </c>
      <c r="AM50" s="11">
        <v>317876.4743</v>
      </c>
      <c r="AN50" s="12">
        <v>0.1612722</v>
      </c>
    </row>
    <row r="51" spans="2:40" x14ac:dyDescent="0.15">
      <c r="B51" s="8"/>
      <c r="C51" s="8"/>
      <c r="D51" s="8"/>
      <c r="F51" s="8"/>
      <c r="G51" s="8"/>
      <c r="I51" s="8"/>
      <c r="J51" s="8"/>
      <c r="L51" s="8"/>
      <c r="M51" s="8"/>
      <c r="O51" s="8"/>
      <c r="P51" s="8"/>
      <c r="R51" s="8"/>
      <c r="S51" s="8"/>
      <c r="U51" s="8"/>
      <c r="V51" s="8"/>
      <c r="X51" s="8"/>
      <c r="Y51" s="8"/>
      <c r="AA51" s="8"/>
      <c r="AB51" s="8"/>
      <c r="AD51" s="8"/>
      <c r="AE51" s="8"/>
      <c r="AG51" s="8"/>
      <c r="AH51" s="8"/>
      <c r="AJ51" s="8"/>
      <c r="AK51" s="8"/>
      <c r="AM51" s="8"/>
      <c r="AN51" s="8"/>
    </row>
    <row r="52" spans="2:40" ht="14" x14ac:dyDescent="0.15">
      <c r="B52" s="13" t="s">
        <v>50</v>
      </c>
      <c r="C52" s="14"/>
      <c r="D52" s="14"/>
      <c r="F52" s="14"/>
      <c r="G52" s="14"/>
      <c r="I52" s="14"/>
      <c r="J52" s="14"/>
      <c r="L52" s="14"/>
      <c r="M52" s="14"/>
      <c r="O52" s="14"/>
      <c r="P52" s="14"/>
      <c r="R52" s="14"/>
      <c r="S52" s="14"/>
      <c r="U52" s="14"/>
      <c r="V52" s="14"/>
      <c r="X52" s="14"/>
      <c r="Y52" s="14"/>
      <c r="AA52" s="14"/>
      <c r="AB52" s="14"/>
      <c r="AD52" s="14"/>
      <c r="AE52" s="14"/>
      <c r="AG52" s="14"/>
      <c r="AH52" s="14"/>
      <c r="AJ52" s="14"/>
      <c r="AK52" s="14"/>
      <c r="AM52" s="14"/>
      <c r="AN52" s="14"/>
    </row>
    <row r="53" spans="2:40" ht="14" x14ac:dyDescent="0.15">
      <c r="B53" s="5" t="s">
        <v>37</v>
      </c>
      <c r="C53" s="8">
        <v>4283822.7854000004</v>
      </c>
      <c r="D53" s="7">
        <v>1</v>
      </c>
      <c r="F53" s="8">
        <v>286832.35230000003</v>
      </c>
      <c r="G53" s="7">
        <v>1</v>
      </c>
      <c r="I53" s="8">
        <v>324057.58620000002</v>
      </c>
      <c r="J53" s="7">
        <v>1</v>
      </c>
      <c r="L53" s="8">
        <v>363546.35979999998</v>
      </c>
      <c r="M53" s="7">
        <v>1</v>
      </c>
      <c r="O53" s="8">
        <v>338467.56969999999</v>
      </c>
      <c r="P53" s="7">
        <v>1</v>
      </c>
      <c r="R53" s="8">
        <v>398241.1433</v>
      </c>
      <c r="S53" s="7">
        <v>1</v>
      </c>
      <c r="U53" s="8">
        <v>383543.99080000003</v>
      </c>
      <c r="V53" s="7">
        <v>1</v>
      </c>
      <c r="X53" s="8">
        <v>368802.62699999998</v>
      </c>
      <c r="Y53" s="7">
        <v>1</v>
      </c>
      <c r="AA53" s="8">
        <v>378084.87939999998</v>
      </c>
      <c r="AB53" s="7">
        <v>1</v>
      </c>
      <c r="AD53" s="8">
        <v>408861.68329999998</v>
      </c>
      <c r="AE53" s="7">
        <v>1</v>
      </c>
      <c r="AG53" s="8">
        <v>375262.86580000003</v>
      </c>
      <c r="AH53" s="7">
        <v>1</v>
      </c>
      <c r="AJ53" s="8">
        <v>348985.92129999999</v>
      </c>
      <c r="AK53" s="7">
        <v>1</v>
      </c>
      <c r="AM53" s="8">
        <v>309135.80650000001</v>
      </c>
      <c r="AN53" s="7">
        <v>1</v>
      </c>
    </row>
    <row r="54" spans="2:40" ht="14" x14ac:dyDescent="0.15">
      <c r="B54" s="5" t="s">
        <v>49</v>
      </c>
      <c r="C54" s="8">
        <v>416646.95699999999</v>
      </c>
      <c r="D54" s="7">
        <v>9.7260550000000001E-2</v>
      </c>
      <c r="F54" s="8">
        <v>20680.179100000001</v>
      </c>
      <c r="G54" s="7">
        <v>7.2098490000000001E-2</v>
      </c>
      <c r="I54" s="8">
        <v>33491.7094</v>
      </c>
      <c r="J54" s="7">
        <v>0.1033511</v>
      </c>
      <c r="L54" s="8">
        <v>31243.796999999999</v>
      </c>
      <c r="M54" s="7">
        <v>8.5941709999999991E-2</v>
      </c>
      <c r="O54" s="8">
        <v>63332.372499999998</v>
      </c>
      <c r="P54" s="7">
        <v>0.18711504000000001</v>
      </c>
      <c r="R54" s="8">
        <v>38878.293799999999</v>
      </c>
      <c r="S54" s="7">
        <v>9.7625009999999998E-2</v>
      </c>
      <c r="U54" s="8">
        <v>40776.303599999999</v>
      </c>
      <c r="V54" s="7">
        <v>0.10631454</v>
      </c>
      <c r="X54" s="8">
        <v>35983.223299999998</v>
      </c>
      <c r="Y54" s="7">
        <v>9.7567699999999993E-2</v>
      </c>
      <c r="AA54" s="8">
        <v>33253.996500000001</v>
      </c>
      <c r="AB54" s="7">
        <v>8.7953790000000004E-2</v>
      </c>
      <c r="AD54" s="8">
        <v>39881.940699999999</v>
      </c>
      <c r="AE54" s="7">
        <v>9.7543849999999988E-2</v>
      </c>
      <c r="AG54" s="8">
        <v>36487.345200000003</v>
      </c>
      <c r="AH54" s="7">
        <v>9.7231430000000008E-2</v>
      </c>
      <c r="AJ54" s="8">
        <v>22415.027999999998</v>
      </c>
      <c r="AK54" s="7">
        <v>6.4229029999999993E-2</v>
      </c>
      <c r="AM54" s="8">
        <v>20222.767899999999</v>
      </c>
      <c r="AN54" s="7">
        <v>6.5417100000000006E-2</v>
      </c>
    </row>
    <row r="55" spans="2:40" ht="14" x14ac:dyDescent="0.15">
      <c r="B55" s="5" t="s">
        <v>22</v>
      </c>
      <c r="C55" s="8">
        <v>830021.17630000005</v>
      </c>
      <c r="D55" s="7">
        <v>0.19375712</v>
      </c>
      <c r="F55" s="8">
        <v>57504.482600000003</v>
      </c>
      <c r="G55" s="7">
        <v>0.20048115999999999</v>
      </c>
      <c r="I55" s="8">
        <v>69671.885399999999</v>
      </c>
      <c r="J55" s="7">
        <v>0.21499847</v>
      </c>
      <c r="L55" s="8">
        <v>68024.207299999995</v>
      </c>
      <c r="M55" s="7">
        <v>0.18711288000000001</v>
      </c>
      <c r="O55" s="8">
        <v>72444.037500000006</v>
      </c>
      <c r="P55" s="7">
        <v>0.21403538999999999</v>
      </c>
      <c r="R55" s="8">
        <v>74221.403000000006</v>
      </c>
      <c r="S55" s="7">
        <v>0.18637302</v>
      </c>
      <c r="U55" s="8">
        <v>75127.923500000004</v>
      </c>
      <c r="V55" s="7">
        <v>0.19587824000000001</v>
      </c>
      <c r="X55" s="8">
        <v>71906.876900000003</v>
      </c>
      <c r="Y55" s="7">
        <v>0.19497386999999999</v>
      </c>
      <c r="AA55" s="8">
        <v>72346.635200000004</v>
      </c>
      <c r="AB55" s="7">
        <v>0.19135025</v>
      </c>
      <c r="AD55" s="8">
        <v>74455.064299999998</v>
      </c>
      <c r="AE55" s="7">
        <v>0.18210330999999999</v>
      </c>
      <c r="AG55" s="8">
        <v>72463.234500000006</v>
      </c>
      <c r="AH55" s="7">
        <v>0.19309993</v>
      </c>
      <c r="AJ55" s="8">
        <v>61102.9637</v>
      </c>
      <c r="AK55" s="7">
        <v>0.17508719</v>
      </c>
      <c r="AM55" s="8">
        <v>60752.462399999997</v>
      </c>
      <c r="AN55" s="7">
        <v>0.19652354</v>
      </c>
    </row>
    <row r="56" spans="2:40" ht="14" x14ac:dyDescent="0.15">
      <c r="B56" s="5" t="s">
        <v>40</v>
      </c>
      <c r="C56" s="8">
        <v>233976.36</v>
      </c>
      <c r="D56" s="7">
        <v>5.4618589999999988E-2</v>
      </c>
      <c r="F56" s="8">
        <v>5196.28</v>
      </c>
      <c r="G56" s="7">
        <v>1.8116090000000001E-2</v>
      </c>
      <c r="I56" s="8">
        <v>7296.28</v>
      </c>
      <c r="J56" s="7">
        <v>2.2515380000000002E-2</v>
      </c>
      <c r="L56" s="8">
        <v>20146.28</v>
      </c>
      <c r="M56" s="7">
        <v>5.5415989999999998E-2</v>
      </c>
      <c r="O56" s="8">
        <v>25921.279999999999</v>
      </c>
      <c r="P56" s="7">
        <v>7.6584239999999998E-2</v>
      </c>
      <c r="R56" s="8">
        <v>30446.28</v>
      </c>
      <c r="S56" s="7">
        <v>7.6451870000000005E-2</v>
      </c>
      <c r="U56" s="8">
        <v>26046.28</v>
      </c>
      <c r="V56" s="7">
        <v>6.7909499999999998E-2</v>
      </c>
      <c r="X56" s="8">
        <v>22919.279999999999</v>
      </c>
      <c r="Y56" s="7">
        <v>6.2145110000000003E-2</v>
      </c>
      <c r="AA56" s="8">
        <v>21446.28</v>
      </c>
      <c r="AB56" s="7">
        <v>5.6723450000000002E-2</v>
      </c>
      <c r="AD56" s="8">
        <v>23946.28</v>
      </c>
      <c r="AE56" s="7">
        <v>5.8568170000000003E-2</v>
      </c>
      <c r="AG56" s="8">
        <v>22846.28</v>
      </c>
      <c r="AH56" s="7">
        <v>6.0880740000000003E-2</v>
      </c>
      <c r="AJ56" s="8">
        <v>15696.28</v>
      </c>
      <c r="AK56" s="7">
        <v>4.4976830000000002E-2</v>
      </c>
      <c r="AM56" s="8">
        <v>12069.28</v>
      </c>
      <c r="AN56" s="7">
        <v>3.9042E-2</v>
      </c>
    </row>
    <row r="57" spans="2:40" ht="14" x14ac:dyDescent="0.15">
      <c r="B57" s="10" t="s">
        <v>41</v>
      </c>
      <c r="C57" s="11">
        <v>2803178.2921000002</v>
      </c>
      <c r="D57" s="12">
        <v>0.65436373999999997</v>
      </c>
      <c r="F57" s="11">
        <v>203451.4106</v>
      </c>
      <c r="G57" s="12">
        <v>0.70930426000000002</v>
      </c>
      <c r="I57" s="11">
        <v>213597.7114</v>
      </c>
      <c r="J57" s="12">
        <v>0.65913504000000001</v>
      </c>
      <c r="L57" s="11">
        <v>244132.07550000001</v>
      </c>
      <c r="M57" s="12">
        <v>0.67152941999999993</v>
      </c>
      <c r="O57" s="11">
        <v>176769.87959999999</v>
      </c>
      <c r="P57" s="12">
        <v>0.52226534000000002</v>
      </c>
      <c r="R57" s="11">
        <v>254695.16649999999</v>
      </c>
      <c r="S57" s="12">
        <v>0.63955010999999995</v>
      </c>
      <c r="U57" s="11">
        <v>241593.48370000001</v>
      </c>
      <c r="V57" s="12">
        <v>0.62989771999999999</v>
      </c>
      <c r="X57" s="11">
        <v>237993.24679999999</v>
      </c>
      <c r="Y57" s="12">
        <v>0.64531332000000008</v>
      </c>
      <c r="AA57" s="11">
        <v>251037.96780000001</v>
      </c>
      <c r="AB57" s="12">
        <v>0.66397251000000002</v>
      </c>
      <c r="AD57" s="11">
        <v>270578.3982</v>
      </c>
      <c r="AE57" s="12">
        <v>0.6617846799999999</v>
      </c>
      <c r="AG57" s="11">
        <v>243466.0061</v>
      </c>
      <c r="AH57" s="12">
        <v>0.64878789999999997</v>
      </c>
      <c r="AJ57" s="11">
        <v>249771.64970000001</v>
      </c>
      <c r="AK57" s="12">
        <v>0.71570694999999995</v>
      </c>
      <c r="AM57" s="11">
        <v>216091.29620000001</v>
      </c>
      <c r="AN57" s="12">
        <v>0.69901736000000003</v>
      </c>
    </row>
    <row r="58" spans="2:40" x14ac:dyDescent="0.15">
      <c r="B58" s="8"/>
      <c r="C58" s="8"/>
      <c r="D58" s="8"/>
      <c r="F58" s="8"/>
      <c r="G58" s="8"/>
      <c r="I58" s="8"/>
      <c r="J58" s="8"/>
      <c r="L58" s="8"/>
      <c r="M58" s="8"/>
      <c r="O58" s="8"/>
      <c r="P58" s="8"/>
      <c r="R58" s="8"/>
      <c r="S58" s="8"/>
      <c r="U58" s="8"/>
      <c r="V58" s="8"/>
      <c r="X58" s="8"/>
      <c r="Y58" s="8"/>
      <c r="AA58" s="8"/>
      <c r="AB58" s="8"/>
      <c r="AD58" s="8"/>
      <c r="AE58" s="8"/>
      <c r="AG58" s="8"/>
      <c r="AH58" s="8"/>
      <c r="AJ58" s="8"/>
      <c r="AK58" s="8"/>
      <c r="AM58" s="8"/>
      <c r="AN58" s="8"/>
    </row>
    <row r="59" spans="2:40" ht="14" x14ac:dyDescent="0.15">
      <c r="B59" s="13" t="s">
        <v>38</v>
      </c>
      <c r="C59" s="14"/>
      <c r="D59" s="14"/>
      <c r="F59" s="14"/>
      <c r="G59" s="14"/>
      <c r="I59" s="14"/>
      <c r="J59" s="14"/>
      <c r="L59" s="14"/>
      <c r="M59" s="14"/>
      <c r="O59" s="14"/>
      <c r="P59" s="14"/>
      <c r="R59" s="14"/>
      <c r="S59" s="14"/>
      <c r="U59" s="14"/>
      <c r="V59" s="14"/>
      <c r="X59" s="14"/>
      <c r="Y59" s="14"/>
      <c r="AA59" s="14"/>
      <c r="AB59" s="14"/>
      <c r="AD59" s="14"/>
      <c r="AE59" s="14"/>
      <c r="AG59" s="14"/>
      <c r="AH59" s="14"/>
      <c r="AJ59" s="14"/>
      <c r="AK59" s="14"/>
      <c r="AM59" s="14"/>
      <c r="AN59" s="14"/>
    </row>
    <row r="60" spans="2:40" ht="14" x14ac:dyDescent="0.15">
      <c r="B60" s="10" t="s">
        <v>38</v>
      </c>
      <c r="C60" s="11">
        <v>1174894.7871999999</v>
      </c>
      <c r="D60" s="12">
        <v>0.27426316000000001</v>
      </c>
      <c r="F60" s="11">
        <v>75497.383600000001</v>
      </c>
      <c r="G60" s="12">
        <v>0.26321084</v>
      </c>
      <c r="I60" s="11">
        <v>76366.258300000001</v>
      </c>
      <c r="J60" s="12">
        <v>0.23565643999999999</v>
      </c>
      <c r="L60" s="11">
        <v>140783.64180000001</v>
      </c>
      <c r="M60" s="12">
        <v>0.38725085999999997</v>
      </c>
      <c r="O60" s="11">
        <v>81646.668399999995</v>
      </c>
      <c r="P60" s="12">
        <v>0.24122449000000001</v>
      </c>
      <c r="R60" s="11">
        <v>84491.499200000006</v>
      </c>
      <c r="S60" s="12">
        <v>0.21216165000000001</v>
      </c>
      <c r="U60" s="11">
        <v>98406.031799999997</v>
      </c>
      <c r="V60" s="12">
        <v>0.25657038999999998</v>
      </c>
      <c r="X60" s="11">
        <v>69740.029599999994</v>
      </c>
      <c r="Y60" s="12">
        <v>0.18909851999999999</v>
      </c>
      <c r="AA60" s="11">
        <v>74394.7068</v>
      </c>
      <c r="AB60" s="12">
        <v>0.19676721</v>
      </c>
      <c r="AD60" s="11">
        <v>130622.8284</v>
      </c>
      <c r="AE60" s="12">
        <v>0.31947925999999999</v>
      </c>
      <c r="AG60" s="11">
        <v>145234.84090000001</v>
      </c>
      <c r="AH60" s="12">
        <v>0.38702162000000001</v>
      </c>
      <c r="AJ60" s="11">
        <v>123977.6606</v>
      </c>
      <c r="AK60" s="12">
        <v>0.35525118</v>
      </c>
      <c r="AM60" s="11">
        <v>73733.237800000003</v>
      </c>
      <c r="AN60" s="12">
        <v>0.23851406</v>
      </c>
    </row>
    <row r="61" spans="2:40" x14ac:dyDescent="0.15">
      <c r="B61" s="8"/>
      <c r="C61" s="8"/>
      <c r="D61" s="8"/>
      <c r="F61" s="8"/>
      <c r="G61" s="8"/>
      <c r="I61" s="8"/>
      <c r="J61" s="8"/>
      <c r="L61" s="8"/>
      <c r="M61" s="8"/>
      <c r="O61" s="8"/>
      <c r="P61" s="8"/>
      <c r="R61" s="8"/>
      <c r="S61" s="8"/>
      <c r="U61" s="8"/>
      <c r="V61" s="8"/>
      <c r="X61" s="8"/>
      <c r="Y61" s="8"/>
      <c r="AA61" s="8"/>
      <c r="AB61" s="8"/>
      <c r="AD61" s="8"/>
      <c r="AE61" s="8"/>
      <c r="AG61" s="8"/>
      <c r="AH61" s="8"/>
      <c r="AJ61" s="8"/>
      <c r="AK61" s="8"/>
      <c r="AM61" s="8"/>
      <c r="AN61" s="8"/>
    </row>
    <row r="62" spans="2:40" ht="14" x14ac:dyDescent="0.15">
      <c r="B62" s="13" t="s">
        <v>51</v>
      </c>
      <c r="C62" s="14"/>
      <c r="D62" s="14"/>
      <c r="F62" s="14"/>
      <c r="G62" s="14"/>
      <c r="I62" s="14"/>
      <c r="J62" s="14"/>
      <c r="L62" s="14"/>
      <c r="M62" s="14"/>
      <c r="O62" s="14"/>
      <c r="P62" s="14"/>
      <c r="R62" s="14"/>
      <c r="S62" s="14"/>
      <c r="U62" s="14"/>
      <c r="V62" s="14"/>
      <c r="X62" s="14"/>
      <c r="Y62" s="14"/>
      <c r="AA62" s="14"/>
      <c r="AB62" s="14"/>
      <c r="AD62" s="14"/>
      <c r="AE62" s="14"/>
      <c r="AG62" s="14"/>
      <c r="AH62" s="14"/>
      <c r="AJ62" s="14"/>
      <c r="AK62" s="14"/>
      <c r="AM62" s="14"/>
      <c r="AN62" s="14"/>
    </row>
    <row r="63" spans="2:40" ht="14" x14ac:dyDescent="0.15">
      <c r="B63" s="10" t="s">
        <v>52</v>
      </c>
      <c r="C63" s="11">
        <v>55406660.2293</v>
      </c>
      <c r="D63" s="12">
        <v>0.45419586000000001</v>
      </c>
      <c r="F63" s="11">
        <v>2820442.2303999998</v>
      </c>
      <c r="G63" s="12">
        <v>0.38955914000000003</v>
      </c>
      <c r="I63" s="11">
        <v>3533350.7552999998</v>
      </c>
      <c r="J63" s="12">
        <v>0.42494481000000001</v>
      </c>
      <c r="L63" s="11">
        <v>5485385.2302000001</v>
      </c>
      <c r="M63" s="12">
        <v>0.49335390000000001</v>
      </c>
      <c r="O63" s="11">
        <v>3793906.3731999998</v>
      </c>
      <c r="P63" s="12">
        <v>0.42905747</v>
      </c>
      <c r="R63" s="11">
        <v>5346634.3518000003</v>
      </c>
      <c r="S63" s="12">
        <v>0.48264941</v>
      </c>
      <c r="U63" s="11">
        <v>4779221.5438000001</v>
      </c>
      <c r="V63" s="12">
        <v>0.43813422000000002</v>
      </c>
      <c r="X63" s="11">
        <v>3661155.4350000001</v>
      </c>
      <c r="Y63" s="12">
        <v>0.38987589</v>
      </c>
      <c r="AA63" s="11">
        <v>4333782.8141999999</v>
      </c>
      <c r="AB63" s="12">
        <v>0.42280183999999998</v>
      </c>
      <c r="AD63" s="11">
        <v>6414650.5861999998</v>
      </c>
      <c r="AE63" s="12">
        <v>0.49734933999999997</v>
      </c>
      <c r="AG63" s="11">
        <v>6457574.4369000001</v>
      </c>
      <c r="AH63" s="12">
        <v>0.52130920000000003</v>
      </c>
      <c r="AJ63" s="11">
        <v>5227974.0624000002</v>
      </c>
      <c r="AK63" s="12">
        <v>0.48430849999999998</v>
      </c>
      <c r="AM63" s="11">
        <v>3552582.4098999999</v>
      </c>
      <c r="AN63" s="12">
        <v>0.40524870000000002</v>
      </c>
    </row>
    <row r="64" spans="2:40" x14ac:dyDescent="0.15">
      <c r="B64" s="8"/>
      <c r="C64" s="8"/>
      <c r="D64" s="8"/>
      <c r="F64" s="8"/>
      <c r="G64" s="8"/>
      <c r="I64" s="8"/>
      <c r="J64" s="8"/>
      <c r="L64" s="8"/>
      <c r="M64" s="8"/>
      <c r="O64" s="8"/>
      <c r="P64" s="8"/>
      <c r="R64" s="8"/>
      <c r="S64" s="8"/>
      <c r="U64" s="8"/>
      <c r="V64" s="8"/>
      <c r="X64" s="8"/>
      <c r="Y64" s="8"/>
      <c r="AA64" s="8"/>
      <c r="AB64" s="8"/>
      <c r="AD64" s="8"/>
      <c r="AE64" s="8"/>
      <c r="AG64" s="8"/>
      <c r="AH64" s="8"/>
      <c r="AJ64" s="8"/>
      <c r="AK64" s="8"/>
      <c r="AM64" s="8"/>
      <c r="AN64" s="8"/>
    </row>
    <row r="65" spans="2:40" ht="14" x14ac:dyDescent="0.15">
      <c r="B65" s="13" t="s">
        <v>53</v>
      </c>
      <c r="C65" s="14"/>
      <c r="D65" s="14"/>
      <c r="F65" s="14"/>
      <c r="G65" s="14"/>
      <c r="I65" s="14"/>
      <c r="J65" s="14"/>
      <c r="L65" s="14"/>
      <c r="M65" s="14"/>
      <c r="O65" s="14"/>
      <c r="P65" s="14"/>
      <c r="R65" s="14"/>
      <c r="S65" s="14"/>
      <c r="U65" s="14"/>
      <c r="V65" s="14"/>
      <c r="X65" s="14"/>
      <c r="Y65" s="14"/>
      <c r="AA65" s="14"/>
      <c r="AB65" s="14"/>
      <c r="AD65" s="14"/>
      <c r="AE65" s="14"/>
      <c r="AG65" s="14"/>
      <c r="AH65" s="14"/>
      <c r="AJ65" s="14"/>
      <c r="AK65" s="14"/>
      <c r="AM65" s="14"/>
      <c r="AN65" s="14"/>
    </row>
    <row r="66" spans="2:40" ht="14" x14ac:dyDescent="0.15">
      <c r="B66" s="5" t="s">
        <v>22</v>
      </c>
      <c r="C66" s="8">
        <v>7929088.0521</v>
      </c>
      <c r="D66" s="7">
        <v>6.499866E-2</v>
      </c>
      <c r="F66" s="8">
        <v>660477.86939999997</v>
      </c>
      <c r="G66" s="7">
        <v>9.1225120000000007E-2</v>
      </c>
      <c r="I66" s="8">
        <v>668925.51009999996</v>
      </c>
      <c r="J66" s="7">
        <v>8.0449529999999991E-2</v>
      </c>
      <c r="L66" s="8">
        <v>676408.85230000003</v>
      </c>
      <c r="M66" s="7">
        <v>6.0836010000000003E-2</v>
      </c>
      <c r="O66" s="8">
        <v>671255.50179999997</v>
      </c>
      <c r="P66" s="7">
        <v>7.5913099999999997E-2</v>
      </c>
      <c r="R66" s="8">
        <v>665671.07149999996</v>
      </c>
      <c r="S66" s="7">
        <v>6.0091210000000013E-2</v>
      </c>
      <c r="U66" s="8">
        <v>661370.39260000002</v>
      </c>
      <c r="V66" s="7">
        <v>6.0630999999999997E-2</v>
      </c>
      <c r="X66" s="8">
        <v>649525.85210000002</v>
      </c>
      <c r="Y66" s="7">
        <v>6.9167909999999999E-2</v>
      </c>
      <c r="AA66" s="8">
        <v>651699.64560000005</v>
      </c>
      <c r="AB66" s="7">
        <v>6.3579510000000006E-2</v>
      </c>
      <c r="AD66" s="8">
        <v>636463.33770000003</v>
      </c>
      <c r="AE66" s="7">
        <v>4.9347130000000003E-2</v>
      </c>
      <c r="AG66" s="8">
        <v>653247.42969999998</v>
      </c>
      <c r="AH66" s="7">
        <v>5.2735570000000002E-2</v>
      </c>
      <c r="AJ66" s="8">
        <v>660568.3946</v>
      </c>
      <c r="AK66" s="7">
        <v>6.1193659999999997E-2</v>
      </c>
      <c r="AM66" s="8">
        <v>673474.19469999999</v>
      </c>
      <c r="AN66" s="7">
        <v>7.682427E-2</v>
      </c>
    </row>
    <row r="67" spans="2:40" ht="14" x14ac:dyDescent="0.15">
      <c r="B67" s="5" t="s">
        <v>40</v>
      </c>
      <c r="C67" s="8">
        <v>6428748.3536999999</v>
      </c>
      <c r="D67" s="7">
        <v>5.2699639999999999E-2</v>
      </c>
      <c r="F67" s="8">
        <v>389592.52850000001</v>
      </c>
      <c r="G67" s="7">
        <v>5.3810469999999999E-2</v>
      </c>
      <c r="I67" s="8">
        <v>432294.37390000001</v>
      </c>
      <c r="J67" s="7">
        <v>5.1990660000000001E-2</v>
      </c>
      <c r="L67" s="8">
        <v>640303.83219999995</v>
      </c>
      <c r="M67" s="7">
        <v>5.7588729999999998E-2</v>
      </c>
      <c r="O67" s="8">
        <v>431062.93829999998</v>
      </c>
      <c r="P67" s="7">
        <v>4.8749430000000003E-2</v>
      </c>
      <c r="R67" s="8">
        <v>453868.34210000001</v>
      </c>
      <c r="S67" s="7">
        <v>4.0971439999999998E-2</v>
      </c>
      <c r="U67" s="8">
        <v>762894.02350000001</v>
      </c>
      <c r="V67" s="7">
        <v>6.9938159999999999E-2</v>
      </c>
      <c r="X67" s="8">
        <v>430059.86589999998</v>
      </c>
      <c r="Y67" s="7">
        <v>4.5797009999999999E-2</v>
      </c>
      <c r="AA67" s="8">
        <v>425340.61410000001</v>
      </c>
      <c r="AB67" s="7">
        <v>4.1496030000000003E-2</v>
      </c>
      <c r="AD67" s="8">
        <v>584592.82499999995</v>
      </c>
      <c r="AE67" s="7">
        <v>4.5325439999999988E-2</v>
      </c>
      <c r="AG67" s="8">
        <v>482259.84610000002</v>
      </c>
      <c r="AH67" s="7">
        <v>3.8932029999999999E-2</v>
      </c>
      <c r="AJ67" s="8">
        <v>527652.72120000003</v>
      </c>
      <c r="AK67" s="7">
        <v>4.8880640000000003E-2</v>
      </c>
      <c r="AM67" s="8">
        <v>868826.44290000002</v>
      </c>
      <c r="AN67" s="7">
        <v>9.9108409999999994E-2</v>
      </c>
    </row>
    <row r="68" spans="2:40" ht="14" x14ac:dyDescent="0.15">
      <c r="B68" s="10" t="s">
        <v>41</v>
      </c>
      <c r="C68" s="11">
        <v>-14357836.406199999</v>
      </c>
      <c r="D68" s="12">
        <v>-0.11769830000000001</v>
      </c>
      <c r="F68" s="11">
        <v>-1050070.3977000001</v>
      </c>
      <c r="G68" s="12">
        <v>-0.14503559999999999</v>
      </c>
      <c r="I68" s="11">
        <v>-1101219.8838</v>
      </c>
      <c r="J68" s="12">
        <v>-0.13244020000000001</v>
      </c>
      <c r="L68" s="11">
        <v>-1316712.6843999999</v>
      </c>
      <c r="M68" s="12">
        <v>-0.11842474</v>
      </c>
      <c r="O68" s="11">
        <v>-1102318.4406000001</v>
      </c>
      <c r="P68" s="12">
        <v>-0.12466252999999999</v>
      </c>
      <c r="R68" s="11">
        <v>-1119539.4135</v>
      </c>
      <c r="S68" s="12">
        <v>-0.10106265</v>
      </c>
      <c r="U68" s="11">
        <v>-1424264.4161</v>
      </c>
      <c r="V68" s="12">
        <v>-0.13056917000000001</v>
      </c>
      <c r="X68" s="11">
        <v>-1079585.7180999999</v>
      </c>
      <c r="Y68" s="12">
        <v>-0.11496492</v>
      </c>
      <c r="AA68" s="11">
        <v>-1077040.2597000001</v>
      </c>
      <c r="AB68" s="12">
        <v>-0.10507555</v>
      </c>
      <c r="AD68" s="11">
        <v>-1221056.1625999999</v>
      </c>
      <c r="AE68" s="12">
        <v>-9.4672569999999998E-2</v>
      </c>
      <c r="AG68" s="11">
        <v>-1135507.2760000001</v>
      </c>
      <c r="AH68" s="12">
        <v>-9.1667609999999997E-2</v>
      </c>
      <c r="AJ68" s="11">
        <v>-1188221.1159000001</v>
      </c>
      <c r="AK68" s="12">
        <v>-0.1100743</v>
      </c>
      <c r="AM68" s="11">
        <v>-1542300.6377999999</v>
      </c>
      <c r="AN68" s="12">
        <v>-0.17593268000000001</v>
      </c>
    </row>
    <row r="69" spans="2:40" x14ac:dyDescent="0.15">
      <c r="B69" s="8"/>
      <c r="C69" s="8"/>
      <c r="D69" s="8"/>
      <c r="F69" s="8"/>
      <c r="G69" s="8"/>
      <c r="I69" s="8"/>
      <c r="J69" s="8"/>
      <c r="L69" s="8"/>
      <c r="M69" s="8"/>
      <c r="O69" s="8"/>
      <c r="P69" s="8"/>
      <c r="R69" s="8"/>
      <c r="S69" s="8"/>
      <c r="U69" s="8"/>
      <c r="V69" s="8"/>
      <c r="X69" s="8"/>
      <c r="Y69" s="8"/>
      <c r="AA69" s="8"/>
      <c r="AB69" s="8"/>
      <c r="AD69" s="8"/>
      <c r="AE69" s="8"/>
      <c r="AG69" s="8"/>
      <c r="AH69" s="8"/>
      <c r="AJ69" s="8"/>
      <c r="AK69" s="8"/>
      <c r="AM69" s="8"/>
      <c r="AN69" s="8"/>
    </row>
    <row r="70" spans="2:40" ht="14" x14ac:dyDescent="0.15">
      <c r="B70" s="13" t="s">
        <v>54</v>
      </c>
      <c r="C70" s="14"/>
      <c r="D70" s="14"/>
      <c r="F70" s="14"/>
      <c r="G70" s="14"/>
      <c r="I70" s="14"/>
      <c r="J70" s="14"/>
      <c r="L70" s="14"/>
      <c r="M70" s="14"/>
      <c r="O70" s="14"/>
      <c r="P70" s="14"/>
      <c r="R70" s="14"/>
      <c r="S70" s="14"/>
      <c r="U70" s="14"/>
      <c r="V70" s="14"/>
      <c r="X70" s="14"/>
      <c r="Y70" s="14"/>
      <c r="AA70" s="14"/>
      <c r="AB70" s="14"/>
      <c r="AD70" s="14"/>
      <c r="AE70" s="14"/>
      <c r="AG70" s="14"/>
      <c r="AH70" s="14"/>
      <c r="AJ70" s="14"/>
      <c r="AK70" s="14"/>
      <c r="AM70" s="14"/>
      <c r="AN70" s="14"/>
    </row>
    <row r="71" spans="2:40" ht="14" x14ac:dyDescent="0.15">
      <c r="B71" s="5" t="s">
        <v>55</v>
      </c>
      <c r="C71" s="8">
        <v>326313.71999999997</v>
      </c>
      <c r="D71" s="7">
        <v>2.6749600000000001E-3</v>
      </c>
      <c r="F71" s="8">
        <v>27211.81</v>
      </c>
      <c r="G71" s="7">
        <v>3.7584900000000002E-3</v>
      </c>
      <c r="I71" s="8">
        <v>27211.81</v>
      </c>
      <c r="J71" s="7">
        <v>3.27268E-3</v>
      </c>
      <c r="L71" s="8">
        <v>27211.81</v>
      </c>
      <c r="M71" s="7">
        <v>2.4474200000000001E-3</v>
      </c>
      <c r="O71" s="8">
        <v>26911.81</v>
      </c>
      <c r="P71" s="7">
        <v>3.0434899999999998E-3</v>
      </c>
      <c r="R71" s="8">
        <v>27211.81</v>
      </c>
      <c r="S71" s="7">
        <v>2.4564500000000002E-3</v>
      </c>
      <c r="U71" s="8">
        <v>27247.81</v>
      </c>
      <c r="V71" s="7">
        <v>2.4979400000000001E-3</v>
      </c>
      <c r="X71" s="8">
        <v>27247.81</v>
      </c>
      <c r="Y71" s="7">
        <v>2.9016200000000002E-3</v>
      </c>
      <c r="AA71" s="8">
        <v>27211.81</v>
      </c>
      <c r="AB71" s="7">
        <v>2.6547699999999999E-3</v>
      </c>
      <c r="AD71" s="8">
        <v>27211.81</v>
      </c>
      <c r="AE71" s="7">
        <v>2.1098200000000001E-3</v>
      </c>
      <c r="AG71" s="8">
        <v>27211.81</v>
      </c>
      <c r="AH71" s="7">
        <v>2.1967599999999999E-3</v>
      </c>
      <c r="AJ71" s="8">
        <v>27211.81</v>
      </c>
      <c r="AK71" s="7">
        <v>2.5208399999999999E-3</v>
      </c>
      <c r="AM71" s="8">
        <v>27211.81</v>
      </c>
      <c r="AN71" s="7">
        <v>3.1040899999999999E-3</v>
      </c>
    </row>
    <row r="72" spans="2:40" ht="14" x14ac:dyDescent="0.15">
      <c r="B72" s="5" t="s">
        <v>56</v>
      </c>
      <c r="C72" s="8">
        <v>2464615.0417999998</v>
      </c>
      <c r="D72" s="7">
        <v>2.020367E-2</v>
      </c>
      <c r="F72" s="8">
        <v>239328.27739999999</v>
      </c>
      <c r="G72" s="7">
        <v>3.305599E-2</v>
      </c>
      <c r="I72" s="8">
        <v>210187.7874</v>
      </c>
      <c r="J72" s="7">
        <v>2.527861E-2</v>
      </c>
      <c r="L72" s="8">
        <v>206203.26740000001</v>
      </c>
      <c r="M72" s="7">
        <v>1.8545860000000001E-2</v>
      </c>
      <c r="O72" s="8">
        <v>222616.26740000001</v>
      </c>
      <c r="P72" s="7">
        <v>2.5175940000000001E-2</v>
      </c>
      <c r="R72" s="8">
        <v>198190.10740000001</v>
      </c>
      <c r="S72" s="7">
        <v>1.7890940000000001E-2</v>
      </c>
      <c r="U72" s="8">
        <v>200852.01740000001</v>
      </c>
      <c r="V72" s="7">
        <v>1.841307E-2</v>
      </c>
      <c r="X72" s="8">
        <v>218616.26740000001</v>
      </c>
      <c r="Y72" s="7">
        <v>2.3280410000000001E-2</v>
      </c>
      <c r="AA72" s="8">
        <v>189541.61040000001</v>
      </c>
      <c r="AB72" s="7">
        <v>1.8491589999999999E-2</v>
      </c>
      <c r="AD72" s="8">
        <v>189760.77739999999</v>
      </c>
      <c r="AE72" s="7">
        <v>1.471279E-2</v>
      </c>
      <c r="AG72" s="8">
        <v>209792.2574</v>
      </c>
      <c r="AH72" s="7">
        <v>1.6936179999999999E-2</v>
      </c>
      <c r="AJ72" s="8">
        <v>189541.6274</v>
      </c>
      <c r="AK72" s="7">
        <v>1.755874E-2</v>
      </c>
      <c r="AM72" s="8">
        <v>189984.77739999999</v>
      </c>
      <c r="AN72" s="7">
        <v>2.1671860000000001E-2</v>
      </c>
    </row>
    <row r="73" spans="2:40" ht="14" x14ac:dyDescent="0.15">
      <c r="B73" s="5" t="s">
        <v>40</v>
      </c>
      <c r="C73" s="8">
        <v>432061</v>
      </c>
      <c r="D73" s="7">
        <v>3.5418200000000002E-3</v>
      </c>
      <c r="F73" s="8">
        <v>39779.25</v>
      </c>
      <c r="G73" s="7">
        <v>5.4943099999999996E-3</v>
      </c>
      <c r="I73" s="8">
        <v>95074.25</v>
      </c>
      <c r="J73" s="7">
        <v>1.143428E-2</v>
      </c>
      <c r="L73" s="8">
        <v>60404.25</v>
      </c>
      <c r="M73" s="7">
        <v>5.4327400000000001E-3</v>
      </c>
      <c r="O73" s="8">
        <v>56579.25</v>
      </c>
      <c r="P73" s="7">
        <v>6.3986200000000007E-3</v>
      </c>
      <c r="R73" s="8">
        <v>49284.25</v>
      </c>
      <c r="S73" s="7">
        <v>4.44897E-3</v>
      </c>
      <c r="U73" s="8">
        <v>26404.25</v>
      </c>
      <c r="V73" s="7">
        <v>2.4206000000000002E-3</v>
      </c>
      <c r="X73" s="8">
        <v>14579.25</v>
      </c>
      <c r="Y73" s="7">
        <v>1.55254E-3</v>
      </c>
      <c r="AA73" s="8">
        <v>29284.25</v>
      </c>
      <c r="AB73" s="7">
        <v>2.85696E-3</v>
      </c>
      <c r="AD73" s="8">
        <v>15404.25</v>
      </c>
      <c r="AE73" s="7">
        <v>1.1943399999999999E-3</v>
      </c>
      <c r="AG73" s="8">
        <v>15579.25</v>
      </c>
      <c r="AH73" s="7">
        <v>1.2576899999999999E-3</v>
      </c>
      <c r="AJ73" s="8">
        <v>14284.25</v>
      </c>
      <c r="AK73" s="7">
        <v>1.3232599999999999E-3</v>
      </c>
      <c r="AM73" s="8">
        <v>15404.25</v>
      </c>
      <c r="AN73" s="7">
        <v>1.7571900000000001E-3</v>
      </c>
    </row>
    <row r="74" spans="2:40" ht="14" x14ac:dyDescent="0.15">
      <c r="B74" s="10" t="s">
        <v>41</v>
      </c>
      <c r="C74" s="11">
        <v>-3481996.0523999999</v>
      </c>
      <c r="D74" s="12">
        <v>-2.854365E-2</v>
      </c>
      <c r="F74" s="11">
        <v>-328797.1667</v>
      </c>
      <c r="G74" s="12">
        <v>-4.5413429999999998E-2</v>
      </c>
      <c r="I74" s="11">
        <v>-352091.67670000001</v>
      </c>
      <c r="J74" s="12">
        <v>-4.2344939999999998E-2</v>
      </c>
      <c r="L74" s="11">
        <v>-312037.15669999999</v>
      </c>
      <c r="M74" s="12">
        <v>-2.8064530000000001E-2</v>
      </c>
      <c r="O74" s="11">
        <v>-325025.15669999999</v>
      </c>
      <c r="P74" s="12">
        <v>-3.6757489999999997E-2</v>
      </c>
      <c r="R74" s="11">
        <v>-292903.99670000002</v>
      </c>
      <c r="S74" s="12">
        <v>-2.644092E-2</v>
      </c>
      <c r="U74" s="11">
        <v>-272721.90669999999</v>
      </c>
      <c r="V74" s="12">
        <v>-2.500173E-2</v>
      </c>
      <c r="X74" s="11">
        <v>-284333.2132</v>
      </c>
      <c r="Y74" s="12">
        <v>-3.0278599999999999E-2</v>
      </c>
      <c r="AA74" s="11">
        <v>-269927.55619999999</v>
      </c>
      <c r="AB74" s="12">
        <v>-2.6334010000000001E-2</v>
      </c>
      <c r="AD74" s="11">
        <v>-256266.72320000001</v>
      </c>
      <c r="AE74" s="12">
        <v>-1.986922E-2</v>
      </c>
      <c r="AG74" s="11">
        <v>-276473.20319999999</v>
      </c>
      <c r="AH74" s="12">
        <v>-2.2319220000000001E-2</v>
      </c>
      <c r="AJ74" s="11">
        <v>-254927.57320000001</v>
      </c>
      <c r="AK74" s="12">
        <v>-2.361595E-2</v>
      </c>
      <c r="AM74" s="11">
        <v>-256490.72320000001</v>
      </c>
      <c r="AN74" s="12">
        <v>-2.9258300000000001E-2</v>
      </c>
    </row>
    <row r="75" spans="2:40" x14ac:dyDescent="0.15">
      <c r="B75" s="8"/>
      <c r="C75" s="8"/>
      <c r="D75" s="8"/>
      <c r="F75" s="8"/>
      <c r="G75" s="8"/>
      <c r="I75" s="8"/>
      <c r="J75" s="8"/>
      <c r="L75" s="8"/>
      <c r="M75" s="8"/>
      <c r="O75" s="8"/>
      <c r="P75" s="8"/>
      <c r="R75" s="8"/>
      <c r="S75" s="8"/>
      <c r="U75" s="8"/>
      <c r="V75" s="8"/>
      <c r="X75" s="8"/>
      <c r="Y75" s="8"/>
      <c r="AA75" s="8"/>
      <c r="AB75" s="8"/>
      <c r="AD75" s="8"/>
      <c r="AE75" s="8"/>
      <c r="AG75" s="8"/>
      <c r="AH75" s="8"/>
      <c r="AJ75" s="8"/>
      <c r="AK75" s="8"/>
      <c r="AM75" s="8"/>
      <c r="AN75" s="8"/>
    </row>
    <row r="76" spans="2:40" ht="14" x14ac:dyDescent="0.15">
      <c r="B76" s="13" t="s">
        <v>57</v>
      </c>
      <c r="C76" s="14"/>
      <c r="D76" s="14"/>
      <c r="F76" s="14"/>
      <c r="G76" s="14"/>
      <c r="I76" s="14"/>
      <c r="J76" s="14"/>
      <c r="L76" s="14"/>
      <c r="M76" s="14"/>
      <c r="O76" s="14"/>
      <c r="P76" s="14"/>
      <c r="R76" s="14"/>
      <c r="S76" s="14"/>
      <c r="U76" s="14"/>
      <c r="V76" s="14"/>
      <c r="X76" s="14"/>
      <c r="Y76" s="14"/>
      <c r="AA76" s="14"/>
      <c r="AB76" s="14"/>
      <c r="AD76" s="14"/>
      <c r="AE76" s="14"/>
      <c r="AG76" s="14"/>
      <c r="AH76" s="14"/>
      <c r="AJ76" s="14"/>
      <c r="AK76" s="14"/>
      <c r="AM76" s="14"/>
      <c r="AN76" s="14"/>
    </row>
    <row r="77" spans="2:40" ht="14" x14ac:dyDescent="0.15">
      <c r="B77" s="5" t="s">
        <v>22</v>
      </c>
      <c r="C77" s="8">
        <v>6048216.9671</v>
      </c>
      <c r="D77" s="7">
        <v>4.9580230000000003E-2</v>
      </c>
      <c r="F77" s="8">
        <v>527846.78870000003</v>
      </c>
      <c r="G77" s="7">
        <v>7.2906139999999994E-2</v>
      </c>
      <c r="I77" s="8">
        <v>538872.80669999996</v>
      </c>
      <c r="J77" s="7">
        <v>6.480851E-2</v>
      </c>
      <c r="L77" s="8">
        <v>568510.13630000001</v>
      </c>
      <c r="M77" s="7">
        <v>5.1131629999999997E-2</v>
      </c>
      <c r="O77" s="8">
        <v>496466.72560000001</v>
      </c>
      <c r="P77" s="7">
        <v>5.6146019999999998E-2</v>
      </c>
      <c r="R77" s="8">
        <v>523734.63630000001</v>
      </c>
      <c r="S77" s="7">
        <v>4.7278380000000002E-2</v>
      </c>
      <c r="U77" s="8">
        <v>515792.0061</v>
      </c>
      <c r="V77" s="7">
        <v>4.7285130000000002E-2</v>
      </c>
      <c r="X77" s="8">
        <v>467824.15909999999</v>
      </c>
      <c r="Y77" s="7">
        <v>4.9818519999999998E-2</v>
      </c>
      <c r="AA77" s="8">
        <v>469391.3799</v>
      </c>
      <c r="AB77" s="7">
        <v>4.5793609999999998E-2</v>
      </c>
      <c r="AD77" s="8">
        <v>501181.17989999999</v>
      </c>
      <c r="AE77" s="7">
        <v>3.8858259999999999E-2</v>
      </c>
      <c r="AG77" s="8">
        <v>500068.36229999998</v>
      </c>
      <c r="AH77" s="7">
        <v>4.0369679999999998E-2</v>
      </c>
      <c r="AJ77" s="8">
        <v>492674.7304</v>
      </c>
      <c r="AK77" s="7">
        <v>4.5640350000000003E-2</v>
      </c>
      <c r="AM77" s="8">
        <v>445854.05579999997</v>
      </c>
      <c r="AN77" s="7">
        <v>5.085928E-2</v>
      </c>
    </row>
    <row r="78" spans="2:40" ht="14" x14ac:dyDescent="0.15">
      <c r="B78" s="5" t="s">
        <v>40</v>
      </c>
      <c r="C78" s="8">
        <v>6980384.4461000003</v>
      </c>
      <c r="D78" s="7">
        <v>5.7221670000000002E-2</v>
      </c>
      <c r="F78" s="8">
        <v>510364.3039</v>
      </c>
      <c r="G78" s="7">
        <v>7.0491460000000006E-2</v>
      </c>
      <c r="I78" s="8">
        <v>583074.14930000005</v>
      </c>
      <c r="J78" s="7">
        <v>7.012446E-2</v>
      </c>
      <c r="L78" s="8">
        <v>669689.83519999997</v>
      </c>
      <c r="M78" s="7">
        <v>6.0231700000000013E-2</v>
      </c>
      <c r="O78" s="8">
        <v>531159.23690000002</v>
      </c>
      <c r="P78" s="7">
        <v>6.0069440000000002E-2</v>
      </c>
      <c r="R78" s="8">
        <v>594841.55870000005</v>
      </c>
      <c r="S78" s="7">
        <v>5.369732E-2</v>
      </c>
      <c r="U78" s="8">
        <v>572156.23389999999</v>
      </c>
      <c r="V78" s="7">
        <v>5.2452310000000002E-2</v>
      </c>
      <c r="X78" s="8">
        <v>517380.81829999998</v>
      </c>
      <c r="Y78" s="7">
        <v>5.5095810000000002E-2</v>
      </c>
      <c r="AA78" s="8">
        <v>615541.45250000001</v>
      </c>
      <c r="AB78" s="7">
        <v>6.0051940000000012E-2</v>
      </c>
      <c r="AD78" s="8">
        <v>645034.92130000005</v>
      </c>
      <c r="AE78" s="7">
        <v>5.0011720000000003E-2</v>
      </c>
      <c r="AG78" s="8">
        <v>640110.73869999999</v>
      </c>
      <c r="AH78" s="7">
        <v>5.1675069999999997E-2</v>
      </c>
      <c r="AJ78" s="8">
        <v>591203.36069999996</v>
      </c>
      <c r="AK78" s="7">
        <v>5.4767830000000003E-2</v>
      </c>
      <c r="AM78" s="8">
        <v>509827.83669999999</v>
      </c>
      <c r="AN78" s="7">
        <v>5.8156869999999999E-2</v>
      </c>
    </row>
    <row r="79" spans="2:40" ht="14" x14ac:dyDescent="0.15">
      <c r="B79" s="10" t="s">
        <v>41</v>
      </c>
      <c r="C79" s="11">
        <v>-13028601.413799999</v>
      </c>
      <c r="D79" s="12">
        <v>-0.10680190000000001</v>
      </c>
      <c r="F79" s="11">
        <v>-1038211.0926</v>
      </c>
      <c r="G79" s="12">
        <v>-0.14339758999999999</v>
      </c>
      <c r="I79" s="11">
        <v>-1121946.9561999999</v>
      </c>
      <c r="J79" s="12">
        <v>-0.13493298000000001</v>
      </c>
      <c r="L79" s="11">
        <v>-1238199.9715</v>
      </c>
      <c r="M79" s="12">
        <v>-0.11136333</v>
      </c>
      <c r="O79" s="11">
        <v>-1027625.9624</v>
      </c>
      <c r="P79" s="12">
        <v>-0.11621547</v>
      </c>
      <c r="R79" s="11">
        <v>-1118576.1947999999</v>
      </c>
      <c r="S79" s="12">
        <v>-0.1009757</v>
      </c>
      <c r="U79" s="11">
        <v>-1087948.2401999999</v>
      </c>
      <c r="V79" s="12">
        <v>-9.9737449999999991E-2</v>
      </c>
      <c r="X79" s="11">
        <v>-985204.97750000004</v>
      </c>
      <c r="Y79" s="12">
        <v>-0.10491433</v>
      </c>
      <c r="AA79" s="11">
        <v>-1084932.8324</v>
      </c>
      <c r="AB79" s="12">
        <v>-0.10584554</v>
      </c>
      <c r="AD79" s="11">
        <v>-1146216.1007999999</v>
      </c>
      <c r="AE79" s="12">
        <v>-8.8869969999999993E-2</v>
      </c>
      <c r="AG79" s="11">
        <v>-1140179.1011000001</v>
      </c>
      <c r="AH79" s="12">
        <v>-9.2044750000000009E-2</v>
      </c>
      <c r="AJ79" s="11">
        <v>-1083878.0914</v>
      </c>
      <c r="AK79" s="12">
        <v>-0.10040818</v>
      </c>
      <c r="AM79" s="11">
        <v>-955681.89289999998</v>
      </c>
      <c r="AN79" s="12">
        <v>-0.10901615000000001</v>
      </c>
    </row>
    <row r="80" spans="2:40" x14ac:dyDescent="0.15">
      <c r="B80" s="8"/>
      <c r="C80" s="8"/>
      <c r="D80" s="8"/>
      <c r="F80" s="8"/>
      <c r="G80" s="8"/>
      <c r="I80" s="8"/>
      <c r="J80" s="8"/>
      <c r="L80" s="8"/>
      <c r="M80" s="8"/>
      <c r="O80" s="8"/>
      <c r="P80" s="8"/>
      <c r="R80" s="8"/>
      <c r="S80" s="8"/>
      <c r="U80" s="8"/>
      <c r="V80" s="8"/>
      <c r="X80" s="8"/>
      <c r="Y80" s="8"/>
      <c r="AA80" s="8"/>
      <c r="AB80" s="8"/>
      <c r="AD80" s="8"/>
      <c r="AE80" s="8"/>
      <c r="AG80" s="8"/>
      <c r="AH80" s="8"/>
      <c r="AJ80" s="8"/>
      <c r="AK80" s="8"/>
      <c r="AM80" s="8"/>
      <c r="AN80" s="8"/>
    </row>
    <row r="81" spans="2:40" ht="14" x14ac:dyDescent="0.15">
      <c r="B81" s="13" t="s">
        <v>58</v>
      </c>
      <c r="C81" s="14"/>
      <c r="D81" s="14"/>
      <c r="F81" s="14"/>
      <c r="G81" s="14"/>
      <c r="I81" s="14"/>
      <c r="J81" s="14"/>
      <c r="L81" s="14"/>
      <c r="M81" s="14"/>
      <c r="O81" s="14"/>
      <c r="P81" s="14"/>
      <c r="R81" s="14"/>
      <c r="S81" s="14"/>
      <c r="U81" s="14"/>
      <c r="V81" s="14"/>
      <c r="X81" s="14"/>
      <c r="Y81" s="14"/>
      <c r="AA81" s="14"/>
      <c r="AB81" s="14"/>
      <c r="AD81" s="14"/>
      <c r="AE81" s="14"/>
      <c r="AG81" s="14"/>
      <c r="AH81" s="14"/>
      <c r="AJ81" s="14"/>
      <c r="AK81" s="14"/>
      <c r="AM81" s="14"/>
      <c r="AN81" s="14"/>
    </row>
    <row r="82" spans="2:40" ht="14" x14ac:dyDescent="0.15">
      <c r="B82" s="5" t="s">
        <v>22</v>
      </c>
      <c r="C82" s="8">
        <v>1902289.0427000001</v>
      </c>
      <c r="D82" s="7">
        <v>1.559401E-2</v>
      </c>
      <c r="F82" s="8">
        <v>158750.09049999999</v>
      </c>
      <c r="G82" s="7">
        <v>2.1926540000000001E-2</v>
      </c>
      <c r="I82" s="8">
        <v>161375.88440000001</v>
      </c>
      <c r="J82" s="7">
        <v>1.9408160000000001E-2</v>
      </c>
      <c r="L82" s="8">
        <v>159623.25380000001</v>
      </c>
      <c r="M82" s="7">
        <v>1.435647E-2</v>
      </c>
      <c r="O82" s="8">
        <v>151966.16889999999</v>
      </c>
      <c r="P82" s="7">
        <v>1.718604E-2</v>
      </c>
      <c r="R82" s="8">
        <v>148673.78140000001</v>
      </c>
      <c r="S82" s="7">
        <v>1.3421020000000001E-2</v>
      </c>
      <c r="U82" s="8">
        <v>159811.2488</v>
      </c>
      <c r="V82" s="7">
        <v>1.4650669999999999E-2</v>
      </c>
      <c r="X82" s="8">
        <v>159765.98310000001</v>
      </c>
      <c r="Y82" s="7">
        <v>1.7013460000000001E-2</v>
      </c>
      <c r="AA82" s="8">
        <v>153431.25779999999</v>
      </c>
      <c r="AB82" s="7">
        <v>1.496868E-2</v>
      </c>
      <c r="AD82" s="8">
        <v>155864.0036</v>
      </c>
      <c r="AE82" s="7">
        <v>1.2084660000000001E-2</v>
      </c>
      <c r="AG82" s="8">
        <v>157674.12880000001</v>
      </c>
      <c r="AH82" s="7">
        <v>1.272877E-2</v>
      </c>
      <c r="AJ82" s="8">
        <v>176924.10990000001</v>
      </c>
      <c r="AK82" s="7">
        <v>1.6389879999999999E-2</v>
      </c>
      <c r="AM82" s="8">
        <v>158429.1317</v>
      </c>
      <c r="AN82" s="7">
        <v>1.807226E-2</v>
      </c>
    </row>
    <row r="83" spans="2:40" ht="14" x14ac:dyDescent="0.15">
      <c r="B83" s="5" t="s">
        <v>40</v>
      </c>
      <c r="C83" s="8">
        <v>3062245.7895999998</v>
      </c>
      <c r="D83" s="7">
        <v>2.510275E-2</v>
      </c>
      <c r="F83" s="8">
        <v>253628.90330000001</v>
      </c>
      <c r="G83" s="7">
        <v>3.5031189999999997E-2</v>
      </c>
      <c r="I83" s="8">
        <v>260474.07329999999</v>
      </c>
      <c r="J83" s="7">
        <v>3.1326380000000001E-2</v>
      </c>
      <c r="L83" s="8">
        <v>286685.7133</v>
      </c>
      <c r="M83" s="7">
        <v>2.5784430000000001E-2</v>
      </c>
      <c r="O83" s="8">
        <v>260610.03330000001</v>
      </c>
      <c r="P83" s="7">
        <v>2.9472700000000001E-2</v>
      </c>
      <c r="R83" s="8">
        <v>244648.84330000001</v>
      </c>
      <c r="S83" s="7">
        <v>2.208485E-2</v>
      </c>
      <c r="U83" s="8">
        <v>254791.7133</v>
      </c>
      <c r="V83" s="7">
        <v>2.335798E-2</v>
      </c>
      <c r="X83" s="8">
        <v>240734.50330000001</v>
      </c>
      <c r="Y83" s="7">
        <v>2.563578E-2</v>
      </c>
      <c r="AA83" s="8">
        <v>229329.07329999999</v>
      </c>
      <c r="AB83" s="7">
        <v>2.2373239999999999E-2</v>
      </c>
      <c r="AD83" s="8">
        <v>299105.11330000003</v>
      </c>
      <c r="AE83" s="7">
        <v>2.3190619999999999E-2</v>
      </c>
      <c r="AG83" s="8">
        <v>268581.5833</v>
      </c>
      <c r="AH83" s="7">
        <v>2.1682139999999999E-2</v>
      </c>
      <c r="AJ83" s="8">
        <v>224246.5233</v>
      </c>
      <c r="AK83" s="7">
        <v>2.0773730000000001E-2</v>
      </c>
      <c r="AM83" s="8">
        <v>239409.7133</v>
      </c>
      <c r="AN83" s="7">
        <v>2.730985E-2</v>
      </c>
    </row>
    <row r="84" spans="2:40" ht="14" x14ac:dyDescent="0.15">
      <c r="B84" s="10" t="s">
        <v>41</v>
      </c>
      <c r="C84" s="11">
        <v>-4964534.8322999999</v>
      </c>
      <c r="D84" s="12">
        <v>-4.0696749999999997E-2</v>
      </c>
      <c r="F84" s="11">
        <v>-412378.9938</v>
      </c>
      <c r="G84" s="12">
        <v>-5.695774E-2</v>
      </c>
      <c r="I84" s="11">
        <v>-421849.95770000003</v>
      </c>
      <c r="J84" s="12">
        <v>-5.0734550000000003E-2</v>
      </c>
      <c r="L84" s="11">
        <v>-446308.96710000001</v>
      </c>
      <c r="M84" s="12">
        <v>-4.0140890000000012E-2</v>
      </c>
      <c r="O84" s="11">
        <v>-412576.2022</v>
      </c>
      <c r="P84" s="12">
        <v>-4.6658739999999997E-2</v>
      </c>
      <c r="R84" s="11">
        <v>-393322.62469999999</v>
      </c>
      <c r="S84" s="12">
        <v>-3.5505879999999997E-2</v>
      </c>
      <c r="U84" s="11">
        <v>-414602.9621</v>
      </c>
      <c r="V84" s="12">
        <v>-3.8008649999999998E-2</v>
      </c>
      <c r="X84" s="11">
        <v>-400500.48639999999</v>
      </c>
      <c r="Y84" s="12">
        <v>-4.2649239999999998E-2</v>
      </c>
      <c r="AA84" s="11">
        <v>-382760.33110000001</v>
      </c>
      <c r="AB84" s="12">
        <v>-3.7341920000000001E-2</v>
      </c>
      <c r="AD84" s="11">
        <v>-454969.11690000002</v>
      </c>
      <c r="AE84" s="12">
        <v>-3.5275279999999999E-2</v>
      </c>
      <c r="AG84" s="11">
        <v>-426255.7121</v>
      </c>
      <c r="AH84" s="12">
        <v>-3.4410910000000003E-2</v>
      </c>
      <c r="AJ84" s="11">
        <v>-401170.63319999998</v>
      </c>
      <c r="AK84" s="12">
        <v>-3.7163599999999998E-2</v>
      </c>
      <c r="AM84" s="11">
        <v>-397838.84499999997</v>
      </c>
      <c r="AN84" s="12">
        <v>-4.5382110000000003E-2</v>
      </c>
    </row>
    <row r="85" spans="2:40" x14ac:dyDescent="0.15">
      <c r="B85" s="8"/>
      <c r="C85" s="8"/>
      <c r="D85" s="8"/>
      <c r="F85" s="8"/>
      <c r="G85" s="8"/>
      <c r="I85" s="8"/>
      <c r="J85" s="8"/>
      <c r="L85" s="8"/>
      <c r="M85" s="8"/>
      <c r="O85" s="8"/>
      <c r="P85" s="8"/>
      <c r="R85" s="8"/>
      <c r="S85" s="8"/>
      <c r="U85" s="8"/>
      <c r="V85" s="8"/>
      <c r="X85" s="8"/>
      <c r="Y85" s="8"/>
      <c r="AA85" s="8"/>
      <c r="AB85" s="8"/>
      <c r="AD85" s="8"/>
      <c r="AE85" s="8"/>
      <c r="AG85" s="8"/>
      <c r="AH85" s="8"/>
      <c r="AJ85" s="8"/>
      <c r="AK85" s="8"/>
      <c r="AM85" s="8"/>
      <c r="AN85" s="8"/>
    </row>
    <row r="86" spans="2:40" ht="14" x14ac:dyDescent="0.15">
      <c r="B86" s="13" t="s">
        <v>59</v>
      </c>
      <c r="C86" s="14"/>
      <c r="D86" s="14"/>
      <c r="F86" s="14"/>
      <c r="G86" s="14"/>
      <c r="I86" s="14"/>
      <c r="J86" s="14"/>
      <c r="L86" s="14"/>
      <c r="M86" s="14"/>
      <c r="O86" s="14"/>
      <c r="P86" s="14"/>
      <c r="R86" s="14"/>
      <c r="S86" s="14"/>
      <c r="U86" s="14"/>
      <c r="V86" s="14"/>
      <c r="X86" s="14"/>
      <c r="Y86" s="14"/>
      <c r="AA86" s="14"/>
      <c r="AB86" s="14"/>
      <c r="AD86" s="14"/>
      <c r="AE86" s="14"/>
      <c r="AG86" s="14"/>
      <c r="AH86" s="14"/>
      <c r="AJ86" s="14"/>
      <c r="AK86" s="14"/>
      <c r="AM86" s="14"/>
      <c r="AN86" s="14"/>
    </row>
    <row r="87" spans="2:40" ht="14" x14ac:dyDescent="0.15">
      <c r="B87" s="10" t="s">
        <v>41</v>
      </c>
      <c r="C87" s="11">
        <v>-4885590.6551999999</v>
      </c>
      <c r="D87" s="12">
        <v>-4.0049609999999999E-2</v>
      </c>
      <c r="F87" s="11">
        <v>-401369.40730000002</v>
      </c>
      <c r="G87" s="12">
        <v>-5.5437089999999987E-2</v>
      </c>
      <c r="I87" s="11">
        <v>-398281.27590000001</v>
      </c>
      <c r="J87" s="12">
        <v>-4.7900020000000001E-2</v>
      </c>
      <c r="L87" s="11">
        <v>-469168.36609999998</v>
      </c>
      <c r="M87" s="12">
        <v>-4.2196860000000003E-2</v>
      </c>
      <c r="O87" s="11">
        <v>-389152.37579999998</v>
      </c>
      <c r="P87" s="12">
        <v>-4.400971E-2</v>
      </c>
      <c r="R87" s="11">
        <v>-387278.8334</v>
      </c>
      <c r="S87" s="12">
        <v>-3.4960289999999998E-2</v>
      </c>
      <c r="U87" s="11">
        <v>-383317.37</v>
      </c>
      <c r="V87" s="12">
        <v>-3.514055E-2</v>
      </c>
      <c r="X87" s="11">
        <v>-389494.1986</v>
      </c>
      <c r="Y87" s="12">
        <v>-4.1477180000000002E-2</v>
      </c>
      <c r="AA87" s="11">
        <v>-392467.70289999997</v>
      </c>
      <c r="AB87" s="12">
        <v>-3.8288969999999999E-2</v>
      </c>
      <c r="AD87" s="11">
        <v>-427122.41450000001</v>
      </c>
      <c r="AE87" s="12">
        <v>-3.3116230000000003E-2</v>
      </c>
      <c r="AG87" s="11">
        <v>-417907.22149999999</v>
      </c>
      <c r="AH87" s="12">
        <v>-3.3736950000000002E-2</v>
      </c>
      <c r="AJ87" s="11">
        <v>-433145.91840000002</v>
      </c>
      <c r="AK87" s="12">
        <v>-4.0125729999999998E-2</v>
      </c>
      <c r="AM87" s="11">
        <v>-396885.57079999999</v>
      </c>
      <c r="AN87" s="12">
        <v>-4.527337E-2</v>
      </c>
    </row>
    <row r="88" spans="2:40" x14ac:dyDescent="0.15">
      <c r="B88" s="8"/>
      <c r="C88" s="8"/>
      <c r="D88" s="8"/>
      <c r="F88" s="8"/>
      <c r="G88" s="8"/>
      <c r="I88" s="8"/>
      <c r="J88" s="8"/>
      <c r="L88" s="8"/>
      <c r="M88" s="8"/>
      <c r="O88" s="8"/>
      <c r="P88" s="8"/>
      <c r="R88" s="8"/>
      <c r="S88" s="8"/>
      <c r="U88" s="8"/>
      <c r="V88" s="8"/>
      <c r="X88" s="8"/>
      <c r="Y88" s="8"/>
      <c r="AA88" s="8"/>
      <c r="AB88" s="8"/>
      <c r="AD88" s="8"/>
      <c r="AE88" s="8"/>
      <c r="AG88" s="8"/>
      <c r="AH88" s="8"/>
      <c r="AJ88" s="8"/>
      <c r="AK88" s="8"/>
      <c r="AM88" s="8"/>
      <c r="AN88" s="8"/>
    </row>
    <row r="89" spans="2:40" ht="14" x14ac:dyDescent="0.15">
      <c r="B89" s="10" t="s">
        <v>23</v>
      </c>
      <c r="C89" s="11">
        <v>30075828.920000002</v>
      </c>
      <c r="D89" s="12">
        <v>0.24654648000000001</v>
      </c>
      <c r="F89" s="11">
        <v>290044.42129999999</v>
      </c>
      <c r="G89" s="12">
        <v>4.0060900000000003E-2</v>
      </c>
      <c r="I89" s="11">
        <v>889605.51150000002</v>
      </c>
      <c r="J89" s="12">
        <v>0.10699001</v>
      </c>
      <c r="L89" s="11">
        <v>2812348.5323999999</v>
      </c>
      <c r="M89" s="12">
        <v>0.25294178</v>
      </c>
      <c r="O89" s="11">
        <v>1496788.1555999999</v>
      </c>
      <c r="P89" s="12">
        <v>0.16927359</v>
      </c>
      <c r="R89" s="11">
        <v>3386770.1165999998</v>
      </c>
      <c r="S89" s="12">
        <v>0.30572927</v>
      </c>
      <c r="U89" s="11">
        <v>2841946.3816999998</v>
      </c>
      <c r="V89" s="12">
        <v>0.26053489000000002</v>
      </c>
      <c r="X89" s="11">
        <v>2276610.4515</v>
      </c>
      <c r="Y89" s="12">
        <v>0.24243591</v>
      </c>
      <c r="AA89" s="11">
        <v>2905225.7744999998</v>
      </c>
      <c r="AB89" s="12">
        <v>0.28343247999999999</v>
      </c>
      <c r="AD89" s="11">
        <v>4624136.0016000001</v>
      </c>
      <c r="AE89" s="12">
        <v>0.35852475</v>
      </c>
      <c r="AG89" s="11">
        <v>4442699.7719000001</v>
      </c>
      <c r="AH89" s="12">
        <v>0.35865173</v>
      </c>
      <c r="AJ89" s="11">
        <v>2818991.9043000001</v>
      </c>
      <c r="AK89" s="12">
        <v>0.26114546999999999</v>
      </c>
      <c r="AM89" s="11">
        <v>1290661.8970999999</v>
      </c>
      <c r="AN89" s="12">
        <v>0.14722784999999999</v>
      </c>
    </row>
    <row r="90" spans="2:40" x14ac:dyDescent="0.15">
      <c r="B90" s="8"/>
      <c r="C90" s="8"/>
      <c r="D90" s="8"/>
      <c r="F90" s="8"/>
      <c r="G90" s="8"/>
      <c r="I90" s="8"/>
      <c r="J90" s="8"/>
      <c r="L90" s="8"/>
      <c r="M90" s="8"/>
      <c r="O90" s="8"/>
      <c r="P90" s="8"/>
      <c r="R90" s="8"/>
      <c r="S90" s="8"/>
      <c r="U90" s="8"/>
      <c r="V90" s="8"/>
      <c r="X90" s="8"/>
      <c r="Y90" s="8"/>
      <c r="AA90" s="8"/>
      <c r="AB90" s="8"/>
      <c r="AD90" s="8"/>
      <c r="AE90" s="8"/>
      <c r="AG90" s="8"/>
      <c r="AH90" s="8"/>
      <c r="AJ90" s="8"/>
      <c r="AK90" s="8"/>
      <c r="AM90" s="8"/>
      <c r="AN90" s="8"/>
    </row>
    <row r="91" spans="2:40" ht="14" x14ac:dyDescent="0.15">
      <c r="B91" s="10" t="s">
        <v>60</v>
      </c>
      <c r="C91" s="11">
        <v>6619916.5300000003</v>
      </c>
      <c r="D91" s="12">
        <v>5.4266740000000001E-2</v>
      </c>
      <c r="F91" s="11">
        <v>554149.53</v>
      </c>
      <c r="G91" s="12">
        <v>7.6539070000000001E-2</v>
      </c>
      <c r="I91" s="11">
        <v>532677</v>
      </c>
      <c r="J91" s="12">
        <v>6.406336E-2</v>
      </c>
      <c r="L91" s="11">
        <v>538309</v>
      </c>
      <c r="M91" s="12">
        <v>4.8415350000000003E-2</v>
      </c>
      <c r="O91" s="11">
        <v>538309</v>
      </c>
      <c r="P91" s="12">
        <v>6.0878019999999998E-2</v>
      </c>
      <c r="R91" s="11">
        <v>538309</v>
      </c>
      <c r="S91" s="12">
        <v>4.8594030000000003E-2</v>
      </c>
      <c r="U91" s="11">
        <v>538309</v>
      </c>
      <c r="V91" s="12">
        <v>4.9349369999999997E-2</v>
      </c>
      <c r="X91" s="11">
        <v>688309</v>
      </c>
      <c r="Y91" s="12">
        <v>7.3297920000000003E-2</v>
      </c>
      <c r="AA91" s="11">
        <v>538309</v>
      </c>
      <c r="AB91" s="12">
        <v>5.2517179999999997E-2</v>
      </c>
      <c r="AD91" s="11">
        <v>538309</v>
      </c>
      <c r="AE91" s="12">
        <v>4.1736899999999993E-2</v>
      </c>
      <c r="AG91" s="11">
        <v>538309</v>
      </c>
      <c r="AH91" s="12">
        <v>4.3456790000000002E-2</v>
      </c>
      <c r="AJ91" s="11">
        <v>538309</v>
      </c>
      <c r="AK91" s="12">
        <v>4.9867809999999999E-2</v>
      </c>
      <c r="AM91" s="11">
        <v>538309</v>
      </c>
      <c r="AN91" s="12">
        <v>6.1405759999999997E-2</v>
      </c>
    </row>
    <row r="92" spans="2:40" ht="14" x14ac:dyDescent="0.15">
      <c r="B92" s="5" t="s">
        <v>61</v>
      </c>
      <c r="C92" s="8">
        <v>5599504.5300000003</v>
      </c>
      <c r="D92" s="7">
        <v>4.5901909999999997E-2</v>
      </c>
      <c r="F92" s="8">
        <v>486308.53</v>
      </c>
      <c r="G92" s="7">
        <v>6.716888E-2</v>
      </c>
      <c r="I92" s="8">
        <v>464836</v>
      </c>
      <c r="J92" s="7">
        <v>5.5904339999999997E-2</v>
      </c>
      <c r="L92" s="8">
        <v>464836</v>
      </c>
      <c r="M92" s="7">
        <v>4.1807209999999997E-2</v>
      </c>
      <c r="O92" s="8">
        <v>464836</v>
      </c>
      <c r="P92" s="7">
        <v>5.2568869999999997E-2</v>
      </c>
      <c r="R92" s="8">
        <v>464836</v>
      </c>
      <c r="S92" s="7">
        <v>4.1961500000000013E-2</v>
      </c>
      <c r="U92" s="8">
        <v>464836</v>
      </c>
      <c r="V92" s="7">
        <v>4.2613749999999999E-2</v>
      </c>
      <c r="X92" s="8">
        <v>464836</v>
      </c>
      <c r="Y92" s="7">
        <v>4.950032E-2</v>
      </c>
      <c r="AA92" s="8">
        <v>464836</v>
      </c>
      <c r="AB92" s="7">
        <v>4.5349180000000003E-2</v>
      </c>
      <c r="AD92" s="8">
        <v>464836</v>
      </c>
      <c r="AE92" s="7">
        <v>3.6040290000000003E-2</v>
      </c>
      <c r="AG92" s="8">
        <v>464836</v>
      </c>
      <c r="AH92" s="7">
        <v>3.7525429999999999E-2</v>
      </c>
      <c r="AJ92" s="8">
        <v>464836</v>
      </c>
      <c r="AK92" s="7">
        <v>4.3061429999999998E-2</v>
      </c>
      <c r="AM92" s="8">
        <v>464836</v>
      </c>
      <c r="AN92" s="7">
        <v>5.3024579999999988E-2</v>
      </c>
    </row>
    <row r="93" spans="2:40" ht="14" x14ac:dyDescent="0.15">
      <c r="B93" s="5" t="s">
        <v>62</v>
      </c>
      <c r="C93" s="8">
        <v>206320</v>
      </c>
      <c r="D93" s="7">
        <v>1.6913099999999999E-3</v>
      </c>
      <c r="F93" s="8">
        <v>0</v>
      </c>
      <c r="G93" s="7">
        <v>0</v>
      </c>
      <c r="I93" s="8">
        <v>0</v>
      </c>
      <c r="J93" s="7">
        <v>0</v>
      </c>
      <c r="L93" s="8">
        <v>5632</v>
      </c>
      <c r="M93" s="7">
        <v>5.0653999999999999E-4</v>
      </c>
      <c r="O93" s="8">
        <v>5632</v>
      </c>
      <c r="P93" s="7">
        <v>6.3692999999999996E-4</v>
      </c>
      <c r="R93" s="8">
        <v>5632</v>
      </c>
      <c r="S93" s="7">
        <v>5.0840999999999994E-4</v>
      </c>
      <c r="U93" s="8">
        <v>5632</v>
      </c>
      <c r="V93" s="7">
        <v>5.1631000000000008E-4</v>
      </c>
      <c r="X93" s="8">
        <v>155632</v>
      </c>
      <c r="Y93" s="7">
        <v>1.6573230000000001E-2</v>
      </c>
      <c r="AA93" s="8">
        <v>5632</v>
      </c>
      <c r="AB93" s="7">
        <v>5.4945999999999999E-4</v>
      </c>
      <c r="AD93" s="8">
        <v>5632</v>
      </c>
      <c r="AE93" s="7">
        <v>4.3667000000000001E-4</v>
      </c>
      <c r="AG93" s="8">
        <v>5632</v>
      </c>
      <c r="AH93" s="7">
        <v>4.5466000000000001E-4</v>
      </c>
      <c r="AJ93" s="8">
        <v>5632</v>
      </c>
      <c r="AK93" s="7">
        <v>5.2174000000000003E-4</v>
      </c>
      <c r="AM93" s="8">
        <v>5632</v>
      </c>
      <c r="AN93" s="7">
        <v>6.4244999999999992E-4</v>
      </c>
    </row>
    <row r="94" spans="2:40" ht="14" x14ac:dyDescent="0.15">
      <c r="B94" s="5" t="s">
        <v>63</v>
      </c>
      <c r="C94" s="8">
        <v>814092</v>
      </c>
      <c r="D94" s="7">
        <v>6.6735199999999996E-3</v>
      </c>
      <c r="F94" s="8">
        <v>67841</v>
      </c>
      <c r="G94" s="7">
        <v>9.3701900000000005E-3</v>
      </c>
      <c r="I94" s="8">
        <v>67841</v>
      </c>
      <c r="J94" s="7">
        <v>8.1590199999999995E-3</v>
      </c>
      <c r="L94" s="8">
        <v>67841</v>
      </c>
      <c r="M94" s="7">
        <v>6.1016000000000004E-3</v>
      </c>
      <c r="O94" s="8">
        <v>67841</v>
      </c>
      <c r="P94" s="7">
        <v>7.6722200000000004E-3</v>
      </c>
      <c r="R94" s="8">
        <v>67841</v>
      </c>
      <c r="S94" s="7">
        <v>6.1241199999999994E-3</v>
      </c>
      <c r="U94" s="8">
        <v>67841</v>
      </c>
      <c r="V94" s="7">
        <v>6.2193099999999996E-3</v>
      </c>
      <c r="X94" s="8">
        <v>67841</v>
      </c>
      <c r="Y94" s="7">
        <v>7.2243799999999999E-3</v>
      </c>
      <c r="AA94" s="8">
        <v>67841</v>
      </c>
      <c r="AB94" s="7">
        <v>6.6185400000000009E-3</v>
      </c>
      <c r="AD94" s="8">
        <v>67841</v>
      </c>
      <c r="AE94" s="7">
        <v>5.2599399999999994E-3</v>
      </c>
      <c r="AG94" s="8">
        <v>67841</v>
      </c>
      <c r="AH94" s="7">
        <v>5.4766899999999993E-3</v>
      </c>
      <c r="AJ94" s="8">
        <v>67841</v>
      </c>
      <c r="AK94" s="7">
        <v>6.2846500000000001E-3</v>
      </c>
      <c r="AM94" s="8">
        <v>67841</v>
      </c>
      <c r="AN94" s="7">
        <v>7.7387300000000001E-3</v>
      </c>
    </row>
    <row r="95" spans="2:40" ht="14" x14ac:dyDescent="0.15">
      <c r="B95" s="5" t="s">
        <v>64</v>
      </c>
      <c r="C95" s="8">
        <v>0</v>
      </c>
      <c r="D95" s="7">
        <v>0</v>
      </c>
      <c r="F95" s="8">
        <v>0</v>
      </c>
      <c r="G95" s="7">
        <v>0</v>
      </c>
      <c r="I95" s="8">
        <v>0</v>
      </c>
      <c r="J95" s="7">
        <v>0</v>
      </c>
      <c r="L95" s="8">
        <v>0</v>
      </c>
      <c r="M95" s="7">
        <v>0</v>
      </c>
      <c r="O95" s="8">
        <v>0</v>
      </c>
      <c r="P95" s="7">
        <v>0</v>
      </c>
      <c r="R95" s="8">
        <v>0</v>
      </c>
      <c r="S95" s="7">
        <v>0</v>
      </c>
      <c r="U95" s="8">
        <v>0</v>
      </c>
      <c r="V95" s="7">
        <v>0</v>
      </c>
      <c r="X95" s="8">
        <v>0</v>
      </c>
      <c r="Y95" s="7">
        <v>0</v>
      </c>
      <c r="AA95" s="8">
        <v>0</v>
      </c>
      <c r="AB95" s="7">
        <v>0</v>
      </c>
      <c r="AD95" s="8">
        <v>0</v>
      </c>
      <c r="AE95" s="7">
        <v>0</v>
      </c>
      <c r="AG95" s="8">
        <v>0</v>
      </c>
      <c r="AH95" s="7">
        <v>0</v>
      </c>
      <c r="AJ95" s="8">
        <v>0</v>
      </c>
      <c r="AK95" s="7">
        <v>0</v>
      </c>
      <c r="AM95" s="8">
        <v>0</v>
      </c>
      <c r="AN95" s="7">
        <v>0</v>
      </c>
    </row>
    <row r="96" spans="2:40" x14ac:dyDescent="0.15">
      <c r="B96" s="8"/>
      <c r="C96" s="8"/>
      <c r="D96" s="8"/>
      <c r="F96" s="8"/>
      <c r="G96" s="8"/>
      <c r="I96" s="8"/>
      <c r="J96" s="8"/>
      <c r="L96" s="8"/>
      <c r="M96" s="8"/>
      <c r="O96" s="8"/>
      <c r="P96" s="8"/>
      <c r="R96" s="8"/>
      <c r="S96" s="8"/>
      <c r="U96" s="8"/>
      <c r="V96" s="8"/>
      <c r="X96" s="8"/>
      <c r="Y96" s="8"/>
      <c r="AA96" s="8"/>
      <c r="AB96" s="8"/>
      <c r="AD96" s="8"/>
      <c r="AE96" s="8"/>
      <c r="AG96" s="8"/>
      <c r="AH96" s="8"/>
      <c r="AJ96" s="8"/>
      <c r="AK96" s="8"/>
      <c r="AM96" s="8"/>
      <c r="AN96" s="8"/>
    </row>
    <row r="97" spans="2:40" ht="14" x14ac:dyDescent="0.15">
      <c r="B97" s="10" t="s">
        <v>65</v>
      </c>
      <c r="C97" s="11">
        <v>6788960</v>
      </c>
      <c r="D97" s="12">
        <v>5.5652470000000002E-2</v>
      </c>
      <c r="F97" s="11">
        <v>548220</v>
      </c>
      <c r="G97" s="12">
        <v>7.5720080000000009E-2</v>
      </c>
      <c r="I97" s="11">
        <v>548220</v>
      </c>
      <c r="J97" s="12">
        <v>6.5932669999999999E-2</v>
      </c>
      <c r="L97" s="11">
        <v>553852</v>
      </c>
      <c r="M97" s="12">
        <v>4.9813280000000001E-2</v>
      </c>
      <c r="O97" s="11">
        <v>553852</v>
      </c>
      <c r="P97" s="12">
        <v>6.2635789999999997E-2</v>
      </c>
      <c r="R97" s="11">
        <v>553852</v>
      </c>
      <c r="S97" s="12">
        <v>4.9997119999999999E-2</v>
      </c>
      <c r="U97" s="11">
        <v>553852</v>
      </c>
      <c r="V97" s="12">
        <v>5.0774279999999998E-2</v>
      </c>
      <c r="X97" s="11">
        <v>707852</v>
      </c>
      <c r="Y97" s="12">
        <v>7.5379050000000003E-2</v>
      </c>
      <c r="AA97" s="11">
        <v>553852</v>
      </c>
      <c r="AB97" s="12">
        <v>5.4033539999999998E-2</v>
      </c>
      <c r="AD97" s="11">
        <v>553852</v>
      </c>
      <c r="AE97" s="12">
        <v>4.2942000000000001E-2</v>
      </c>
      <c r="AG97" s="11">
        <v>553852</v>
      </c>
      <c r="AH97" s="12">
        <v>4.4711550000000003E-2</v>
      </c>
      <c r="AJ97" s="11">
        <v>553852</v>
      </c>
      <c r="AK97" s="12">
        <v>5.1307679999999987E-2</v>
      </c>
      <c r="AM97" s="11">
        <v>553852</v>
      </c>
      <c r="AN97" s="12">
        <v>6.3178769999999995E-2</v>
      </c>
    </row>
    <row r="98" spans="2:40" ht="14" x14ac:dyDescent="0.15">
      <c r="B98" s="5" t="s">
        <v>66</v>
      </c>
      <c r="C98" s="8">
        <v>5568000</v>
      </c>
      <c r="D98" s="7">
        <v>4.5643660000000003E-2</v>
      </c>
      <c r="F98" s="8">
        <v>464000</v>
      </c>
      <c r="G98" s="7">
        <v>6.4087619999999998E-2</v>
      </c>
      <c r="I98" s="8">
        <v>464000</v>
      </c>
      <c r="J98" s="7">
        <v>5.5803800000000001E-2</v>
      </c>
      <c r="L98" s="8">
        <v>464000</v>
      </c>
      <c r="M98" s="7">
        <v>4.1732020000000002E-2</v>
      </c>
      <c r="O98" s="8">
        <v>464000</v>
      </c>
      <c r="P98" s="7">
        <v>5.2474319999999998E-2</v>
      </c>
      <c r="R98" s="8">
        <v>464000</v>
      </c>
      <c r="S98" s="7">
        <v>4.1886039999999999E-2</v>
      </c>
      <c r="U98" s="8">
        <v>464000</v>
      </c>
      <c r="V98" s="7">
        <v>4.2537110000000003E-2</v>
      </c>
      <c r="X98" s="8">
        <v>464000</v>
      </c>
      <c r="Y98" s="7">
        <v>4.9411289999999997E-2</v>
      </c>
      <c r="AA98" s="8">
        <v>464000</v>
      </c>
      <c r="AB98" s="7">
        <v>4.5267619999999988E-2</v>
      </c>
      <c r="AD98" s="8">
        <v>464000</v>
      </c>
      <c r="AE98" s="7">
        <v>3.5975470000000002E-2</v>
      </c>
      <c r="AG98" s="8">
        <v>464000</v>
      </c>
      <c r="AH98" s="7">
        <v>3.7457940000000002E-2</v>
      </c>
      <c r="AJ98" s="8">
        <v>464000</v>
      </c>
      <c r="AK98" s="7">
        <v>4.2983979999999998E-2</v>
      </c>
      <c r="AM98" s="8">
        <v>464000</v>
      </c>
      <c r="AN98" s="7">
        <v>5.2929209999999997E-2</v>
      </c>
    </row>
    <row r="99" spans="2:40" ht="14" x14ac:dyDescent="0.15">
      <c r="B99" s="5" t="s">
        <v>67</v>
      </c>
      <c r="C99" s="8">
        <v>1220960</v>
      </c>
      <c r="D99" s="7">
        <v>1.000881E-2</v>
      </c>
      <c r="F99" s="8">
        <v>84220</v>
      </c>
      <c r="G99" s="7">
        <v>1.1632460000000001E-2</v>
      </c>
      <c r="I99" s="8">
        <v>84220</v>
      </c>
      <c r="J99" s="7">
        <v>1.012887E-2</v>
      </c>
      <c r="L99" s="8">
        <v>89852</v>
      </c>
      <c r="M99" s="7">
        <v>8.0812599999999998E-3</v>
      </c>
      <c r="O99" s="8">
        <v>89852</v>
      </c>
      <c r="P99" s="7">
        <v>1.0161470000000001E-2</v>
      </c>
      <c r="R99" s="8">
        <v>89852</v>
      </c>
      <c r="S99" s="7">
        <v>8.1110899999999996E-3</v>
      </c>
      <c r="U99" s="8">
        <v>89852</v>
      </c>
      <c r="V99" s="7">
        <v>8.2371600000000003E-3</v>
      </c>
      <c r="X99" s="8">
        <v>243852</v>
      </c>
      <c r="Y99" s="7">
        <v>2.5967759999999999E-2</v>
      </c>
      <c r="AA99" s="8">
        <v>89852</v>
      </c>
      <c r="AB99" s="7">
        <v>8.76592E-3</v>
      </c>
      <c r="AD99" s="8">
        <v>89852</v>
      </c>
      <c r="AE99" s="7">
        <v>6.9665299999999994E-3</v>
      </c>
      <c r="AG99" s="8">
        <v>89852</v>
      </c>
      <c r="AH99" s="7">
        <v>7.2535999999999998E-3</v>
      </c>
      <c r="AJ99" s="8">
        <v>89852</v>
      </c>
      <c r="AK99" s="7">
        <v>8.3236999999999998E-3</v>
      </c>
      <c r="AM99" s="8">
        <v>89852</v>
      </c>
      <c r="AN99" s="7">
        <v>1.024956E-2</v>
      </c>
    </row>
    <row r="100" spans="2:40" x14ac:dyDescent="0.15">
      <c r="B100" s="8"/>
      <c r="C100" s="8"/>
      <c r="D100" s="8"/>
      <c r="F100" s="8"/>
      <c r="G100" s="8"/>
      <c r="I100" s="8"/>
      <c r="J100" s="8"/>
      <c r="L100" s="8"/>
      <c r="M100" s="8"/>
      <c r="O100" s="8"/>
      <c r="P100" s="8"/>
      <c r="R100" s="8"/>
      <c r="S100" s="8"/>
      <c r="U100" s="8"/>
      <c r="V100" s="8"/>
      <c r="X100" s="8"/>
      <c r="Y100" s="8"/>
      <c r="AA100" s="8"/>
      <c r="AB100" s="8"/>
      <c r="AD100" s="8"/>
      <c r="AE100" s="8"/>
      <c r="AG100" s="8"/>
      <c r="AH100" s="8"/>
      <c r="AJ100" s="8"/>
      <c r="AK100" s="8"/>
      <c r="AM100" s="8"/>
      <c r="AN100" s="8"/>
    </row>
    <row r="101" spans="2:40" ht="28" x14ac:dyDescent="0.15">
      <c r="B101" s="10" t="s">
        <v>68</v>
      </c>
      <c r="C101" s="11">
        <v>-169043.47</v>
      </c>
      <c r="D101" s="12">
        <v>-1.3857299999999999E-3</v>
      </c>
      <c r="F101" s="11">
        <v>5929.53</v>
      </c>
      <c r="G101" s="12">
        <v>8.1899000000000002E-4</v>
      </c>
      <c r="I101" s="11">
        <v>-15543</v>
      </c>
      <c r="J101" s="12">
        <v>-1.8693099999999999E-3</v>
      </c>
      <c r="L101" s="11">
        <v>-15543</v>
      </c>
      <c r="M101" s="12">
        <v>-1.3979299999999999E-3</v>
      </c>
      <c r="O101" s="11">
        <v>-15543</v>
      </c>
      <c r="P101" s="12">
        <v>-1.75778E-3</v>
      </c>
      <c r="R101" s="11">
        <v>-15543</v>
      </c>
      <c r="S101" s="12">
        <v>-1.4030900000000001E-3</v>
      </c>
      <c r="U101" s="11">
        <v>-15543</v>
      </c>
      <c r="V101" s="12">
        <v>-1.4249E-3</v>
      </c>
      <c r="X101" s="11">
        <v>-19543</v>
      </c>
      <c r="Y101" s="12">
        <v>-2.08113E-3</v>
      </c>
      <c r="AA101" s="11">
        <v>-15543</v>
      </c>
      <c r="AB101" s="12">
        <v>-1.51637E-3</v>
      </c>
      <c r="AD101" s="11">
        <v>-15543</v>
      </c>
      <c r="AE101" s="12">
        <v>-1.2051E-3</v>
      </c>
      <c r="AG101" s="11">
        <v>-15543</v>
      </c>
      <c r="AH101" s="12">
        <v>-1.2547599999999999E-3</v>
      </c>
      <c r="AJ101" s="11">
        <v>-15543</v>
      </c>
      <c r="AK101" s="12">
        <v>-1.43987E-3</v>
      </c>
      <c r="AM101" s="11">
        <v>-15543</v>
      </c>
      <c r="AN101" s="12">
        <v>-1.77301E-3</v>
      </c>
    </row>
    <row r="102" spans="2:40" x14ac:dyDescent="0.15">
      <c r="B102" s="8"/>
      <c r="C102" s="8"/>
      <c r="D102" s="8"/>
      <c r="F102" s="8"/>
      <c r="G102" s="8"/>
      <c r="I102" s="8"/>
      <c r="J102" s="8"/>
      <c r="L102" s="8"/>
      <c r="M102" s="8"/>
      <c r="O102" s="8"/>
      <c r="P102" s="8"/>
      <c r="R102" s="8"/>
      <c r="S102" s="8"/>
      <c r="U102" s="8"/>
      <c r="V102" s="8"/>
      <c r="X102" s="8"/>
      <c r="Y102" s="8"/>
      <c r="AA102" s="8"/>
      <c r="AB102" s="8"/>
      <c r="AD102" s="8"/>
      <c r="AE102" s="8"/>
      <c r="AG102" s="8"/>
      <c r="AH102" s="8"/>
      <c r="AJ102" s="8"/>
      <c r="AK102" s="8"/>
      <c r="AM102" s="8"/>
      <c r="AN102" s="8"/>
    </row>
    <row r="103" spans="2:40" ht="14" x14ac:dyDescent="0.15">
      <c r="B103" s="10" t="s">
        <v>69</v>
      </c>
      <c r="C103" s="11">
        <v>29906785.449999999</v>
      </c>
      <c r="D103" s="12">
        <v>0.24516073999999999</v>
      </c>
      <c r="F103" s="11">
        <v>295973.95130000002</v>
      </c>
      <c r="G103" s="12">
        <v>4.0879890000000002E-2</v>
      </c>
      <c r="I103" s="11">
        <v>874062.51150000002</v>
      </c>
      <c r="J103" s="12">
        <v>0.10512071000000001</v>
      </c>
      <c r="L103" s="11">
        <v>2796805.5323999999</v>
      </c>
      <c r="M103" s="12">
        <v>0.25154385000000001</v>
      </c>
      <c r="O103" s="11">
        <v>1481245.1555999999</v>
      </c>
      <c r="P103" s="12">
        <v>0.16751580999999999</v>
      </c>
      <c r="R103" s="11">
        <v>3371227.1165999998</v>
      </c>
      <c r="S103" s="12">
        <v>0.30432617000000001</v>
      </c>
      <c r="U103" s="11">
        <v>2826403.3816999998</v>
      </c>
      <c r="V103" s="12">
        <v>0.25910999000000001</v>
      </c>
      <c r="X103" s="11">
        <v>2257067.4515</v>
      </c>
      <c r="Y103" s="12">
        <v>0.24035477</v>
      </c>
      <c r="AA103" s="11">
        <v>2889682.7744999998</v>
      </c>
      <c r="AB103" s="12">
        <v>0.28191611</v>
      </c>
      <c r="AD103" s="11">
        <v>4608593.0016000001</v>
      </c>
      <c r="AE103" s="12">
        <v>0.35731964999999999</v>
      </c>
      <c r="AG103" s="11">
        <v>4427156.7719000001</v>
      </c>
      <c r="AH103" s="12">
        <v>0.35739696999999998</v>
      </c>
      <c r="AJ103" s="11">
        <v>2803448.9043000001</v>
      </c>
      <c r="AK103" s="12">
        <v>0.25970559999999998</v>
      </c>
      <c r="AM103" s="11">
        <v>1275118.8970999999</v>
      </c>
      <c r="AN103" s="12">
        <v>0.14545483000000001</v>
      </c>
    </row>
    <row r="104" spans="2:40" x14ac:dyDescent="0.15">
      <c r="B104" s="8"/>
      <c r="C104" s="8"/>
      <c r="D104" s="8"/>
      <c r="F104" s="8"/>
      <c r="G104" s="8"/>
      <c r="I104" s="8"/>
      <c r="J104" s="8"/>
      <c r="L104" s="8"/>
      <c r="M104" s="8"/>
      <c r="O104" s="8"/>
      <c r="P104" s="8"/>
      <c r="R104" s="8"/>
      <c r="S104" s="8"/>
      <c r="U104" s="8"/>
      <c r="V104" s="8"/>
      <c r="X104" s="8"/>
      <c r="Y104" s="8"/>
      <c r="AA104" s="8"/>
      <c r="AB104" s="8"/>
      <c r="AD104" s="8"/>
      <c r="AE104" s="8"/>
      <c r="AG104" s="8"/>
      <c r="AH104" s="8"/>
      <c r="AJ104" s="8"/>
      <c r="AK104" s="8"/>
      <c r="AM104" s="8"/>
      <c r="AN104" s="8"/>
    </row>
    <row r="105" spans="2:40" ht="14" x14ac:dyDescent="0.15">
      <c r="B105" s="10" t="s">
        <v>70</v>
      </c>
      <c r="C105" s="11">
        <v>2515203.6</v>
      </c>
      <c r="D105" s="12">
        <v>2.061837E-2</v>
      </c>
      <c r="F105" s="11">
        <v>207731.94</v>
      </c>
      <c r="G105" s="12">
        <v>2.8691910000000001E-2</v>
      </c>
      <c r="I105" s="11">
        <v>215582.91</v>
      </c>
      <c r="J105" s="12">
        <v>2.5927470000000001E-2</v>
      </c>
      <c r="L105" s="11">
        <v>207731.94</v>
      </c>
      <c r="M105" s="12">
        <v>1.8683350000000001E-2</v>
      </c>
      <c r="O105" s="11">
        <v>207373.1</v>
      </c>
      <c r="P105" s="12">
        <v>2.345208E-2</v>
      </c>
      <c r="R105" s="11">
        <v>213506.07</v>
      </c>
      <c r="S105" s="12">
        <v>1.9273539999999999E-2</v>
      </c>
      <c r="U105" s="11">
        <v>207373.1</v>
      </c>
      <c r="V105" s="12">
        <v>1.9010889999999999E-2</v>
      </c>
      <c r="X105" s="11">
        <v>207373.1</v>
      </c>
      <c r="Y105" s="12">
        <v>2.2083129999999999E-2</v>
      </c>
      <c r="AA105" s="11">
        <v>213206.07</v>
      </c>
      <c r="AB105" s="12">
        <v>2.0800289999999999E-2</v>
      </c>
      <c r="AD105" s="11">
        <v>207373.1</v>
      </c>
      <c r="AE105" s="12">
        <v>1.6078329999999998E-2</v>
      </c>
      <c r="AG105" s="11">
        <v>207373.1</v>
      </c>
      <c r="AH105" s="12">
        <v>1.674088E-2</v>
      </c>
      <c r="AJ105" s="11">
        <v>213206.07</v>
      </c>
      <c r="AK105" s="12">
        <v>1.9750960000000001E-2</v>
      </c>
      <c r="AM105" s="11">
        <v>207373.1</v>
      </c>
      <c r="AN105" s="12">
        <v>2.365538E-2</v>
      </c>
    </row>
    <row r="106" spans="2:40" ht="14" x14ac:dyDescent="0.15">
      <c r="B106" s="5" t="s">
        <v>71</v>
      </c>
      <c r="C106" s="8">
        <v>717658.56</v>
      </c>
      <c r="D106" s="7">
        <v>5.8830000000000002E-3</v>
      </c>
      <c r="F106" s="8">
        <v>59779.88</v>
      </c>
      <c r="G106" s="7">
        <v>8.25679E-3</v>
      </c>
      <c r="I106" s="8">
        <v>59779.88</v>
      </c>
      <c r="J106" s="7">
        <v>7.1895399999999986E-3</v>
      </c>
      <c r="L106" s="8">
        <v>59779.88</v>
      </c>
      <c r="M106" s="7">
        <v>5.3765799999999997E-3</v>
      </c>
      <c r="O106" s="8">
        <v>59779.88</v>
      </c>
      <c r="P106" s="7">
        <v>6.7605800000000004E-3</v>
      </c>
      <c r="R106" s="8">
        <v>60079.88</v>
      </c>
      <c r="S106" s="7">
        <v>5.4235100000000003E-3</v>
      </c>
      <c r="U106" s="8">
        <v>59779.88</v>
      </c>
      <c r="V106" s="7">
        <v>5.4803100000000004E-3</v>
      </c>
      <c r="X106" s="8">
        <v>59779.88</v>
      </c>
      <c r="Y106" s="7">
        <v>6.3659500000000004E-3</v>
      </c>
      <c r="AA106" s="8">
        <v>59779.88</v>
      </c>
      <c r="AB106" s="7">
        <v>5.8320999999999998E-3</v>
      </c>
      <c r="AD106" s="8">
        <v>59779.88</v>
      </c>
      <c r="AE106" s="7">
        <v>4.6349299999999998E-3</v>
      </c>
      <c r="AG106" s="8">
        <v>59779.88</v>
      </c>
      <c r="AH106" s="7">
        <v>4.82593E-3</v>
      </c>
      <c r="AJ106" s="8">
        <v>59779.88</v>
      </c>
      <c r="AK106" s="7">
        <v>5.5378799999999994E-3</v>
      </c>
      <c r="AM106" s="8">
        <v>59779.88</v>
      </c>
      <c r="AN106" s="7">
        <v>6.8191900000000001E-3</v>
      </c>
    </row>
    <row r="107" spans="2:40" ht="14" x14ac:dyDescent="0.15">
      <c r="B107" s="5" t="s">
        <v>72</v>
      </c>
      <c r="C107" s="8">
        <v>142562.12</v>
      </c>
      <c r="D107" s="7">
        <v>1.16865E-3</v>
      </c>
      <c r="F107" s="8">
        <v>11712.01</v>
      </c>
      <c r="G107" s="7">
        <v>1.6176599999999999E-3</v>
      </c>
      <c r="I107" s="8">
        <v>13730.01</v>
      </c>
      <c r="J107" s="7">
        <v>1.6512600000000001E-3</v>
      </c>
      <c r="L107" s="8">
        <v>11712.01</v>
      </c>
      <c r="M107" s="7">
        <v>1.0533700000000001E-3</v>
      </c>
      <c r="O107" s="8">
        <v>11712.01</v>
      </c>
      <c r="P107" s="7">
        <v>1.32453E-3</v>
      </c>
      <c r="R107" s="8">
        <v>11712.01</v>
      </c>
      <c r="S107" s="7">
        <v>1.05726E-3</v>
      </c>
      <c r="U107" s="8">
        <v>11712.01</v>
      </c>
      <c r="V107" s="7">
        <v>1.0736999999999999E-3</v>
      </c>
      <c r="X107" s="8">
        <v>11712.01</v>
      </c>
      <c r="Y107" s="7">
        <v>1.2472099999999999E-3</v>
      </c>
      <c r="AA107" s="8">
        <v>11712.01</v>
      </c>
      <c r="AB107" s="7">
        <v>1.14262E-3</v>
      </c>
      <c r="AD107" s="8">
        <v>11712.01</v>
      </c>
      <c r="AE107" s="7">
        <v>9.0806999999999997E-4</v>
      </c>
      <c r="AG107" s="8">
        <v>11712.01</v>
      </c>
      <c r="AH107" s="7">
        <v>9.4548999999999989E-4</v>
      </c>
      <c r="AJ107" s="8">
        <v>11712.01</v>
      </c>
      <c r="AK107" s="7">
        <v>1.0849799999999999E-3</v>
      </c>
      <c r="AM107" s="8">
        <v>11712.01</v>
      </c>
      <c r="AN107" s="7">
        <v>1.3360100000000001E-3</v>
      </c>
    </row>
    <row r="108" spans="2:40" ht="14" x14ac:dyDescent="0.15">
      <c r="B108" s="5" t="s">
        <v>73</v>
      </c>
      <c r="C108" s="8">
        <v>725064</v>
      </c>
      <c r="D108" s="7">
        <v>5.9437099999999996E-3</v>
      </c>
      <c r="F108" s="8">
        <v>60422</v>
      </c>
      <c r="G108" s="7">
        <v>8.3454799999999989E-3</v>
      </c>
      <c r="I108" s="8">
        <v>60422</v>
      </c>
      <c r="J108" s="7">
        <v>7.2667599999999997E-3</v>
      </c>
      <c r="L108" s="8">
        <v>60422</v>
      </c>
      <c r="M108" s="7">
        <v>5.4343399999999993E-3</v>
      </c>
      <c r="O108" s="8">
        <v>60422</v>
      </c>
      <c r="P108" s="7">
        <v>6.8332000000000002E-3</v>
      </c>
      <c r="R108" s="8">
        <v>60422</v>
      </c>
      <c r="S108" s="7">
        <v>5.4543899999999999E-3</v>
      </c>
      <c r="U108" s="8">
        <v>60422</v>
      </c>
      <c r="V108" s="7">
        <v>5.5391800000000003E-3</v>
      </c>
      <c r="X108" s="8">
        <v>60422</v>
      </c>
      <c r="Y108" s="7">
        <v>6.4343300000000003E-3</v>
      </c>
      <c r="AA108" s="8">
        <v>60422</v>
      </c>
      <c r="AB108" s="7">
        <v>5.8947400000000007E-3</v>
      </c>
      <c r="AD108" s="8">
        <v>60422</v>
      </c>
      <c r="AE108" s="7">
        <v>4.6847199999999999E-3</v>
      </c>
      <c r="AG108" s="8">
        <v>60422</v>
      </c>
      <c r="AH108" s="7">
        <v>4.87777E-3</v>
      </c>
      <c r="AJ108" s="8">
        <v>60422</v>
      </c>
      <c r="AK108" s="7">
        <v>5.5973700000000008E-3</v>
      </c>
      <c r="AM108" s="8">
        <v>60422</v>
      </c>
      <c r="AN108" s="7">
        <v>6.8924300000000006E-3</v>
      </c>
    </row>
    <row r="109" spans="2:40" ht="14" x14ac:dyDescent="0.15">
      <c r="B109" s="5" t="s">
        <v>74</v>
      </c>
      <c r="C109" s="8">
        <v>104562.96</v>
      </c>
      <c r="D109" s="7">
        <v>8.5714999999999999E-4</v>
      </c>
      <c r="F109" s="8">
        <v>8982.7099999999991</v>
      </c>
      <c r="G109" s="7">
        <v>1.24069E-3</v>
      </c>
      <c r="I109" s="8">
        <v>8982.7099999999991</v>
      </c>
      <c r="J109" s="7">
        <v>1.0803200000000001E-3</v>
      </c>
      <c r="L109" s="8">
        <v>8982.7099999999991</v>
      </c>
      <c r="M109" s="7">
        <v>8.0789999999999996E-4</v>
      </c>
      <c r="O109" s="8">
        <v>8623.8700000000008</v>
      </c>
      <c r="P109" s="7">
        <v>9.7528000000000003E-4</v>
      </c>
      <c r="R109" s="8">
        <v>8623.8700000000008</v>
      </c>
      <c r="S109" s="7">
        <v>7.7849000000000006E-4</v>
      </c>
      <c r="U109" s="8">
        <v>8623.8700000000008</v>
      </c>
      <c r="V109" s="7">
        <v>7.9059000000000009E-4</v>
      </c>
      <c r="X109" s="8">
        <v>8623.8700000000008</v>
      </c>
      <c r="Y109" s="7">
        <v>9.1834999999999996E-4</v>
      </c>
      <c r="AA109" s="8">
        <v>8623.8700000000008</v>
      </c>
      <c r="AB109" s="7">
        <v>8.4133999999999999E-4</v>
      </c>
      <c r="AD109" s="8">
        <v>8623.8700000000008</v>
      </c>
      <c r="AE109" s="7">
        <v>6.6864000000000008E-4</v>
      </c>
      <c r="AG109" s="8">
        <v>8623.8700000000008</v>
      </c>
      <c r="AH109" s="7">
        <v>6.9618999999999996E-4</v>
      </c>
      <c r="AJ109" s="8">
        <v>8623.8700000000008</v>
      </c>
      <c r="AK109" s="7">
        <v>7.9890000000000007E-4</v>
      </c>
      <c r="AM109" s="8">
        <v>8623.8700000000008</v>
      </c>
      <c r="AN109" s="7">
        <v>9.8374000000000009E-4</v>
      </c>
    </row>
    <row r="110" spans="2:40" ht="14" x14ac:dyDescent="0.15">
      <c r="B110" s="5" t="s">
        <v>75</v>
      </c>
      <c r="C110" s="8">
        <v>572863.36</v>
      </c>
      <c r="D110" s="7">
        <v>4.6960400000000003E-3</v>
      </c>
      <c r="F110" s="8">
        <v>45794.29</v>
      </c>
      <c r="G110" s="7">
        <v>6.3251000000000002E-3</v>
      </c>
      <c r="I110" s="8">
        <v>51627.26</v>
      </c>
      <c r="J110" s="7">
        <v>6.2090500000000007E-3</v>
      </c>
      <c r="L110" s="8">
        <v>45794.29</v>
      </c>
      <c r="M110" s="7">
        <v>4.1187200000000002E-3</v>
      </c>
      <c r="O110" s="8">
        <v>45794.29</v>
      </c>
      <c r="P110" s="7">
        <v>5.1789300000000009E-3</v>
      </c>
      <c r="R110" s="8">
        <v>51627.26</v>
      </c>
      <c r="S110" s="7">
        <v>4.6604799999999998E-3</v>
      </c>
      <c r="U110" s="8">
        <v>45794.29</v>
      </c>
      <c r="V110" s="7">
        <v>4.1981800000000001E-3</v>
      </c>
      <c r="X110" s="8">
        <v>45794.29</v>
      </c>
      <c r="Y110" s="7">
        <v>4.8766299999999999E-3</v>
      </c>
      <c r="AA110" s="8">
        <v>51627.26</v>
      </c>
      <c r="AB110" s="7">
        <v>5.0367300000000014E-3</v>
      </c>
      <c r="AD110" s="8">
        <v>45794.29</v>
      </c>
      <c r="AE110" s="7">
        <v>3.5505799999999998E-3</v>
      </c>
      <c r="AG110" s="8">
        <v>45794.29</v>
      </c>
      <c r="AH110" s="7">
        <v>3.6968999999999999E-3</v>
      </c>
      <c r="AJ110" s="8">
        <v>51627.26</v>
      </c>
      <c r="AK110" s="7">
        <v>4.7826400000000003E-3</v>
      </c>
      <c r="AM110" s="8">
        <v>45794.29</v>
      </c>
      <c r="AN110" s="7">
        <v>5.2238299999999996E-3</v>
      </c>
    </row>
    <row r="111" spans="2:40" ht="14" x14ac:dyDescent="0.15">
      <c r="B111" s="5" t="s">
        <v>76</v>
      </c>
      <c r="C111" s="8">
        <v>252492.6</v>
      </c>
      <c r="D111" s="7">
        <v>2.0698100000000001E-3</v>
      </c>
      <c r="F111" s="8">
        <v>21041.05</v>
      </c>
      <c r="G111" s="7">
        <v>2.9061899999999999E-3</v>
      </c>
      <c r="I111" s="8">
        <v>21041.05</v>
      </c>
      <c r="J111" s="7">
        <v>2.53054E-3</v>
      </c>
      <c r="L111" s="8">
        <v>21041.05</v>
      </c>
      <c r="M111" s="7">
        <v>1.8924300000000001E-3</v>
      </c>
      <c r="O111" s="8">
        <v>21041.05</v>
      </c>
      <c r="P111" s="7">
        <v>2.3795600000000002E-3</v>
      </c>
      <c r="R111" s="8">
        <v>21041.05</v>
      </c>
      <c r="S111" s="7">
        <v>1.89941E-3</v>
      </c>
      <c r="U111" s="8">
        <v>21041.05</v>
      </c>
      <c r="V111" s="7">
        <v>1.9289299999999999E-3</v>
      </c>
      <c r="X111" s="8">
        <v>21041.05</v>
      </c>
      <c r="Y111" s="7">
        <v>2.2406599999999998E-3</v>
      </c>
      <c r="AA111" s="8">
        <v>21041.05</v>
      </c>
      <c r="AB111" s="7">
        <v>2.0527599999999998E-3</v>
      </c>
      <c r="AD111" s="8">
        <v>21041.05</v>
      </c>
      <c r="AE111" s="7">
        <v>1.63138E-3</v>
      </c>
      <c r="AG111" s="8">
        <v>21041.05</v>
      </c>
      <c r="AH111" s="7">
        <v>1.6986099999999999E-3</v>
      </c>
      <c r="AJ111" s="8">
        <v>21041.05</v>
      </c>
      <c r="AK111" s="7">
        <v>1.9492000000000001E-3</v>
      </c>
      <c r="AM111" s="8">
        <v>21041.05</v>
      </c>
      <c r="AN111" s="7">
        <v>2.40019E-3</v>
      </c>
    </row>
    <row r="112" spans="2:40" ht="14" x14ac:dyDescent="0.15">
      <c r="B112" s="5" t="s">
        <v>77</v>
      </c>
      <c r="C112" s="8">
        <v>0</v>
      </c>
      <c r="D112" s="7">
        <v>0</v>
      </c>
      <c r="F112" s="8">
        <v>0</v>
      </c>
      <c r="G112" s="7">
        <v>0</v>
      </c>
      <c r="I112" s="8">
        <v>0</v>
      </c>
      <c r="J112" s="7">
        <v>0</v>
      </c>
      <c r="L112" s="8">
        <v>0</v>
      </c>
      <c r="M112" s="7">
        <v>0</v>
      </c>
      <c r="O112" s="8">
        <v>0</v>
      </c>
      <c r="P112" s="7">
        <v>0</v>
      </c>
      <c r="R112" s="8">
        <v>0</v>
      </c>
      <c r="S112" s="7">
        <v>0</v>
      </c>
      <c r="U112" s="8">
        <v>0</v>
      </c>
      <c r="V112" s="7">
        <v>0</v>
      </c>
      <c r="X112" s="8">
        <v>0</v>
      </c>
      <c r="Y112" s="7">
        <v>0</v>
      </c>
      <c r="AA112" s="8">
        <v>0</v>
      </c>
      <c r="AB112" s="7">
        <v>0</v>
      </c>
      <c r="AD112" s="8">
        <v>0</v>
      </c>
      <c r="AE112" s="7">
        <v>0</v>
      </c>
      <c r="AG112" s="8">
        <v>0</v>
      </c>
      <c r="AH112" s="7">
        <v>0</v>
      </c>
      <c r="AJ112" s="8">
        <v>0</v>
      </c>
      <c r="AK112" s="7">
        <v>0</v>
      </c>
      <c r="AM112" s="8">
        <v>0</v>
      </c>
      <c r="AN112" s="7">
        <v>0</v>
      </c>
    </row>
    <row r="113" spans="2:40" ht="14" x14ac:dyDescent="0.15">
      <c r="B113" s="5" t="s">
        <v>78</v>
      </c>
      <c r="C113" s="8">
        <v>0</v>
      </c>
      <c r="D113" s="7">
        <v>0</v>
      </c>
      <c r="F113" s="8">
        <v>0</v>
      </c>
      <c r="G113" s="7">
        <v>0</v>
      </c>
      <c r="I113" s="8">
        <v>0</v>
      </c>
      <c r="J113" s="7">
        <v>0</v>
      </c>
      <c r="L113" s="8">
        <v>0</v>
      </c>
      <c r="M113" s="7">
        <v>0</v>
      </c>
      <c r="O113" s="8">
        <v>0</v>
      </c>
      <c r="P113" s="7">
        <v>0</v>
      </c>
      <c r="R113" s="8">
        <v>0</v>
      </c>
      <c r="S113" s="7">
        <v>0</v>
      </c>
      <c r="U113" s="8">
        <v>0</v>
      </c>
      <c r="V113" s="7">
        <v>0</v>
      </c>
      <c r="X113" s="8">
        <v>0</v>
      </c>
      <c r="Y113" s="7">
        <v>0</v>
      </c>
      <c r="AA113" s="8">
        <v>0</v>
      </c>
      <c r="AB113" s="7">
        <v>0</v>
      </c>
      <c r="AD113" s="8">
        <v>0</v>
      </c>
      <c r="AE113" s="7">
        <v>0</v>
      </c>
      <c r="AG113" s="8">
        <v>0</v>
      </c>
      <c r="AH113" s="7">
        <v>0</v>
      </c>
      <c r="AJ113" s="8">
        <v>0</v>
      </c>
      <c r="AK113" s="7">
        <v>0</v>
      </c>
      <c r="AM113" s="8">
        <v>0</v>
      </c>
      <c r="AN113" s="7">
        <v>0</v>
      </c>
    </row>
    <row r="114" spans="2:40" ht="14" x14ac:dyDescent="0.15">
      <c r="B114" s="5" t="s">
        <v>79</v>
      </c>
      <c r="C114" s="8">
        <v>0</v>
      </c>
      <c r="D114" s="7">
        <v>0</v>
      </c>
      <c r="F114" s="8">
        <v>0</v>
      </c>
      <c r="G114" s="7">
        <v>0</v>
      </c>
      <c r="I114" s="8">
        <v>0</v>
      </c>
      <c r="J114" s="7">
        <v>0</v>
      </c>
      <c r="L114" s="8">
        <v>0</v>
      </c>
      <c r="M114" s="7">
        <v>0</v>
      </c>
      <c r="O114" s="8">
        <v>0</v>
      </c>
      <c r="P114" s="7">
        <v>0</v>
      </c>
      <c r="R114" s="8">
        <v>0</v>
      </c>
      <c r="S114" s="7">
        <v>0</v>
      </c>
      <c r="U114" s="8">
        <v>0</v>
      </c>
      <c r="V114" s="7">
        <v>0</v>
      </c>
      <c r="X114" s="8">
        <v>0</v>
      </c>
      <c r="Y114" s="7">
        <v>0</v>
      </c>
      <c r="AA114" s="8">
        <v>0</v>
      </c>
      <c r="AB114" s="7">
        <v>0</v>
      </c>
      <c r="AD114" s="8">
        <v>0</v>
      </c>
      <c r="AE114" s="7">
        <v>0</v>
      </c>
      <c r="AG114" s="8">
        <v>0</v>
      </c>
      <c r="AH114" s="7">
        <v>0</v>
      </c>
      <c r="AJ114" s="8">
        <v>0</v>
      </c>
      <c r="AK114" s="7">
        <v>0</v>
      </c>
      <c r="AM114" s="8">
        <v>0</v>
      </c>
      <c r="AN114" s="7">
        <v>0</v>
      </c>
    </row>
    <row r="115" spans="2:40" ht="14" x14ac:dyDescent="0.15">
      <c r="B115" s="5" t="s">
        <v>80</v>
      </c>
      <c r="C115" s="8">
        <v>0</v>
      </c>
      <c r="D115" s="7">
        <v>0</v>
      </c>
      <c r="F115" s="8">
        <v>0</v>
      </c>
      <c r="G115" s="7">
        <v>0</v>
      </c>
      <c r="I115" s="8">
        <v>0</v>
      </c>
      <c r="J115" s="7">
        <v>0</v>
      </c>
      <c r="L115" s="8">
        <v>0</v>
      </c>
      <c r="M115" s="7">
        <v>0</v>
      </c>
      <c r="O115" s="8">
        <v>0</v>
      </c>
      <c r="P115" s="7">
        <v>0</v>
      </c>
      <c r="R115" s="8">
        <v>0</v>
      </c>
      <c r="S115" s="7">
        <v>0</v>
      </c>
      <c r="U115" s="8">
        <v>0</v>
      </c>
      <c r="V115" s="7">
        <v>0</v>
      </c>
      <c r="X115" s="8">
        <v>0</v>
      </c>
      <c r="Y115" s="7">
        <v>0</v>
      </c>
      <c r="AA115" s="8">
        <v>0</v>
      </c>
      <c r="AB115" s="7">
        <v>0</v>
      </c>
      <c r="AD115" s="8">
        <v>0</v>
      </c>
      <c r="AE115" s="7">
        <v>0</v>
      </c>
      <c r="AG115" s="8">
        <v>0</v>
      </c>
      <c r="AH115" s="7">
        <v>0</v>
      </c>
      <c r="AJ115" s="8">
        <v>0</v>
      </c>
      <c r="AK115" s="7">
        <v>0</v>
      </c>
      <c r="AM115" s="8">
        <v>0</v>
      </c>
      <c r="AN115" s="7">
        <v>0</v>
      </c>
    </row>
    <row r="116" spans="2:40" x14ac:dyDescent="0.15">
      <c r="B116" s="8"/>
      <c r="C116" s="8"/>
      <c r="D116" s="8"/>
      <c r="F116" s="8"/>
      <c r="G116" s="8"/>
      <c r="I116" s="8"/>
      <c r="J116" s="8"/>
      <c r="L116" s="8"/>
      <c r="M116" s="8"/>
      <c r="O116" s="8"/>
      <c r="P116" s="8"/>
      <c r="R116" s="8"/>
      <c r="S116" s="8"/>
      <c r="U116" s="8"/>
      <c r="V116" s="8"/>
      <c r="X116" s="8"/>
      <c r="Y116" s="8"/>
      <c r="AA116" s="8"/>
      <c r="AB116" s="8"/>
      <c r="AD116" s="8"/>
      <c r="AE116" s="8"/>
      <c r="AG116" s="8"/>
      <c r="AH116" s="8"/>
      <c r="AJ116" s="8"/>
      <c r="AK116" s="8"/>
      <c r="AM116" s="8"/>
      <c r="AN116" s="8"/>
    </row>
    <row r="117" spans="2:40" ht="14" x14ac:dyDescent="0.15">
      <c r="B117" s="10" t="s">
        <v>81</v>
      </c>
      <c r="C117" s="11">
        <v>0</v>
      </c>
      <c r="D117" s="12">
        <v>0</v>
      </c>
      <c r="F117" s="11">
        <v>0</v>
      </c>
      <c r="G117" s="12">
        <v>0</v>
      </c>
      <c r="I117" s="11">
        <v>0</v>
      </c>
      <c r="J117" s="12">
        <v>0</v>
      </c>
      <c r="L117" s="11">
        <v>0</v>
      </c>
      <c r="M117" s="12">
        <v>0</v>
      </c>
      <c r="O117" s="11">
        <v>0</v>
      </c>
      <c r="P117" s="12">
        <v>0</v>
      </c>
      <c r="R117" s="11">
        <v>0</v>
      </c>
      <c r="S117" s="12">
        <v>0</v>
      </c>
      <c r="U117" s="11">
        <v>0</v>
      </c>
      <c r="V117" s="12">
        <v>0</v>
      </c>
      <c r="X117" s="11">
        <v>0</v>
      </c>
      <c r="Y117" s="12">
        <v>0</v>
      </c>
      <c r="AA117" s="11">
        <v>0</v>
      </c>
      <c r="AB117" s="12">
        <v>0</v>
      </c>
      <c r="AD117" s="11">
        <v>0</v>
      </c>
      <c r="AE117" s="12">
        <v>0</v>
      </c>
      <c r="AG117" s="11">
        <v>0</v>
      </c>
      <c r="AH117" s="12">
        <v>0</v>
      </c>
      <c r="AJ117" s="11">
        <v>0</v>
      </c>
      <c r="AK117" s="12">
        <v>0</v>
      </c>
      <c r="AM117" s="11">
        <v>0</v>
      </c>
      <c r="AN117" s="12">
        <v>0</v>
      </c>
    </row>
    <row r="118" spans="2:40" ht="14" x14ac:dyDescent="0.15">
      <c r="B118" s="5" t="s">
        <v>82</v>
      </c>
      <c r="C118" s="8">
        <v>0</v>
      </c>
      <c r="D118" s="7">
        <v>0</v>
      </c>
      <c r="F118" s="8">
        <v>0</v>
      </c>
      <c r="G118" s="7">
        <v>0</v>
      </c>
      <c r="I118" s="8">
        <v>0</v>
      </c>
      <c r="J118" s="7">
        <v>0</v>
      </c>
      <c r="L118" s="8">
        <v>0</v>
      </c>
      <c r="M118" s="7">
        <v>0</v>
      </c>
      <c r="O118" s="8">
        <v>0</v>
      </c>
      <c r="P118" s="7">
        <v>0</v>
      </c>
      <c r="R118" s="8">
        <v>0</v>
      </c>
      <c r="S118" s="7">
        <v>0</v>
      </c>
      <c r="U118" s="8">
        <v>0</v>
      </c>
      <c r="V118" s="7">
        <v>0</v>
      </c>
      <c r="X118" s="8">
        <v>0</v>
      </c>
      <c r="Y118" s="7">
        <v>0</v>
      </c>
      <c r="AA118" s="8">
        <v>0</v>
      </c>
      <c r="AB118" s="7">
        <v>0</v>
      </c>
      <c r="AD118" s="8">
        <v>0</v>
      </c>
      <c r="AE118" s="7">
        <v>0</v>
      </c>
      <c r="AG118" s="8">
        <v>0</v>
      </c>
      <c r="AH118" s="7">
        <v>0</v>
      </c>
      <c r="AJ118" s="8">
        <v>0</v>
      </c>
      <c r="AK118" s="7">
        <v>0</v>
      </c>
      <c r="AM118" s="8">
        <v>0</v>
      </c>
      <c r="AN118" s="7">
        <v>0</v>
      </c>
    </row>
    <row r="119" spans="2:40" ht="14" x14ac:dyDescent="0.15">
      <c r="B119" s="5" t="s">
        <v>83</v>
      </c>
      <c r="C119" s="8">
        <v>0</v>
      </c>
      <c r="D119" s="7">
        <v>0</v>
      </c>
      <c r="F119" s="8">
        <v>0</v>
      </c>
      <c r="G119" s="7">
        <v>0</v>
      </c>
      <c r="I119" s="8">
        <v>0</v>
      </c>
      <c r="J119" s="7">
        <v>0</v>
      </c>
      <c r="L119" s="8">
        <v>0</v>
      </c>
      <c r="M119" s="7">
        <v>0</v>
      </c>
      <c r="O119" s="8">
        <v>0</v>
      </c>
      <c r="P119" s="7">
        <v>0</v>
      </c>
      <c r="R119" s="8">
        <v>0</v>
      </c>
      <c r="S119" s="7">
        <v>0</v>
      </c>
      <c r="U119" s="8">
        <v>0</v>
      </c>
      <c r="V119" s="7">
        <v>0</v>
      </c>
      <c r="X119" s="8">
        <v>0</v>
      </c>
      <c r="Y119" s="7">
        <v>0</v>
      </c>
      <c r="AA119" s="8">
        <v>0</v>
      </c>
      <c r="AB119" s="7">
        <v>0</v>
      </c>
      <c r="AD119" s="8">
        <v>0</v>
      </c>
      <c r="AE119" s="7">
        <v>0</v>
      </c>
      <c r="AG119" s="8">
        <v>0</v>
      </c>
      <c r="AH119" s="7">
        <v>0</v>
      </c>
      <c r="AJ119" s="8">
        <v>0</v>
      </c>
      <c r="AK119" s="7">
        <v>0</v>
      </c>
      <c r="AM119" s="8">
        <v>0</v>
      </c>
      <c r="AN119" s="7">
        <v>0</v>
      </c>
    </row>
    <row r="120" spans="2:40" x14ac:dyDescent="0.15">
      <c r="B120" s="8"/>
      <c r="C120" s="8"/>
      <c r="D120" s="8"/>
      <c r="F120" s="8"/>
      <c r="G120" s="8"/>
      <c r="I120" s="8"/>
      <c r="J120" s="8"/>
      <c r="L120" s="8"/>
      <c r="M120" s="8"/>
      <c r="O120" s="8"/>
      <c r="P120" s="8"/>
      <c r="R120" s="8"/>
      <c r="S120" s="8"/>
      <c r="U120" s="8"/>
      <c r="V120" s="8"/>
      <c r="X120" s="8"/>
      <c r="Y120" s="8"/>
      <c r="AA120" s="8"/>
      <c r="AB120" s="8"/>
      <c r="AD120" s="8"/>
      <c r="AE120" s="8"/>
      <c r="AG120" s="8"/>
      <c r="AH120" s="8"/>
      <c r="AJ120" s="8"/>
      <c r="AK120" s="8"/>
      <c r="AM120" s="8"/>
      <c r="AN120" s="8"/>
    </row>
    <row r="121" spans="2:40" ht="14" x14ac:dyDescent="0.15">
      <c r="B121" s="10" t="s">
        <v>84</v>
      </c>
      <c r="C121" s="11">
        <v>27391581.850000001</v>
      </c>
      <c r="D121" s="12">
        <v>0.22454236999999999</v>
      </c>
      <c r="F121" s="11">
        <v>88242.011299999998</v>
      </c>
      <c r="G121" s="12">
        <v>1.2187979999999999E-2</v>
      </c>
      <c r="I121" s="11">
        <v>658479.60149999999</v>
      </c>
      <c r="J121" s="12">
        <v>7.9193239999999998E-2</v>
      </c>
      <c r="L121" s="11">
        <v>2589073.5924</v>
      </c>
      <c r="M121" s="12">
        <v>0.2328605</v>
      </c>
      <c r="O121" s="11">
        <v>1273872.0556000001</v>
      </c>
      <c r="P121" s="12">
        <v>0.14406373</v>
      </c>
      <c r="R121" s="11">
        <v>3157721.0466</v>
      </c>
      <c r="S121" s="12">
        <v>0.28505262999999997</v>
      </c>
      <c r="U121" s="11">
        <v>2619030.2817000002</v>
      </c>
      <c r="V121" s="12">
        <v>0.24009910000000001</v>
      </c>
      <c r="X121" s="11">
        <v>2049694.3515000001</v>
      </c>
      <c r="Y121" s="12">
        <v>0.21827163999999999</v>
      </c>
      <c r="AA121" s="11">
        <v>2676476.7045</v>
      </c>
      <c r="AB121" s="12">
        <v>0.26111582</v>
      </c>
      <c r="AD121" s="11">
        <v>4401219.9016000004</v>
      </c>
      <c r="AE121" s="12">
        <v>0.34124132000000001</v>
      </c>
      <c r="AG121" s="11">
        <v>4219783.6719000004</v>
      </c>
      <c r="AH121" s="12">
        <v>0.34065609000000002</v>
      </c>
      <c r="AJ121" s="11">
        <v>2590242.8343000002</v>
      </c>
      <c r="AK121" s="12">
        <v>0.23995464</v>
      </c>
      <c r="AM121" s="11">
        <v>1067745.7971000001</v>
      </c>
      <c r="AN121" s="12">
        <v>0.12179945</v>
      </c>
    </row>
    <row r="122" spans="2:40" ht="14" x14ac:dyDescent="0.15">
      <c r="B122" s="5" t="s">
        <v>85</v>
      </c>
      <c r="C122" s="8">
        <v>1573804.1085000001</v>
      </c>
      <c r="D122" s="7">
        <v>1.290125E-2</v>
      </c>
      <c r="F122" s="8">
        <v>102746.63860000001</v>
      </c>
      <c r="G122" s="7">
        <v>1.419135E-2</v>
      </c>
      <c r="I122" s="8">
        <v>117386.89969999999</v>
      </c>
      <c r="J122" s="7">
        <v>1.411775E-2</v>
      </c>
      <c r="L122" s="8">
        <v>152516.6153</v>
      </c>
      <c r="M122" s="7">
        <v>1.37173E-2</v>
      </c>
      <c r="O122" s="8">
        <v>114441.72749999999</v>
      </c>
      <c r="P122" s="7">
        <v>1.294235E-2</v>
      </c>
      <c r="R122" s="8">
        <v>135659.66930000001</v>
      </c>
      <c r="S122" s="7">
        <v>1.224622E-2</v>
      </c>
      <c r="U122" s="8">
        <v>132476.35070000001</v>
      </c>
      <c r="V122" s="7">
        <v>1.2144739999999999E-2</v>
      </c>
      <c r="X122" s="8">
        <v>109311.1409</v>
      </c>
      <c r="Y122" s="7">
        <v>1.164053E-2</v>
      </c>
      <c r="AA122" s="8">
        <v>122870.51850000001</v>
      </c>
      <c r="AB122" s="7">
        <v>1.198719E-2</v>
      </c>
      <c r="AD122" s="8">
        <v>162467.09160000001</v>
      </c>
      <c r="AE122" s="7">
        <v>1.2596619999999999E-2</v>
      </c>
      <c r="AG122" s="8">
        <v>155833.04639999999</v>
      </c>
      <c r="AH122" s="7">
        <v>1.258014E-2</v>
      </c>
      <c r="AJ122" s="8">
        <v>152632.10130000001</v>
      </c>
      <c r="AK122" s="7">
        <v>1.4139519999999999E-2</v>
      </c>
      <c r="AM122" s="8">
        <v>115462.30869999999</v>
      </c>
      <c r="AN122" s="7">
        <v>1.3170970000000001E-2</v>
      </c>
    </row>
    <row r="123" spans="2:40" x14ac:dyDescent="0.15">
      <c r="B123" s="8"/>
      <c r="C123" s="8"/>
      <c r="D123" s="8"/>
      <c r="F123" s="8"/>
      <c r="G123" s="8"/>
      <c r="I123" s="8"/>
      <c r="J123" s="8"/>
      <c r="L123" s="8"/>
      <c r="M123" s="8"/>
      <c r="O123" s="8"/>
      <c r="P123" s="8"/>
      <c r="R123" s="8"/>
      <c r="S123" s="8"/>
      <c r="U123" s="8"/>
      <c r="V123" s="8"/>
      <c r="X123" s="8"/>
      <c r="Y123" s="8"/>
      <c r="AA123" s="8"/>
      <c r="AB123" s="8"/>
      <c r="AD123" s="8"/>
      <c r="AE123" s="8"/>
      <c r="AG123" s="8"/>
      <c r="AH123" s="8"/>
      <c r="AJ123" s="8"/>
      <c r="AK123" s="8"/>
      <c r="AM123" s="8"/>
      <c r="AN123" s="8"/>
    </row>
    <row r="124" spans="2:40" ht="14" x14ac:dyDescent="0.15">
      <c r="B124" s="10" t="s">
        <v>86</v>
      </c>
      <c r="C124" s="11">
        <v>25817777.741500001</v>
      </c>
      <c r="D124" s="12">
        <v>0.21164111999999999</v>
      </c>
      <c r="F124" s="11">
        <v>-14504.6273</v>
      </c>
      <c r="G124" s="12">
        <v>-2.0033799999999999E-3</v>
      </c>
      <c r="I124" s="11">
        <v>541092.70180000004</v>
      </c>
      <c r="J124" s="12">
        <v>6.507549E-2</v>
      </c>
      <c r="L124" s="11">
        <v>2436556.977</v>
      </c>
      <c r="M124" s="12">
        <v>0.21914320000000001</v>
      </c>
      <c r="O124" s="11">
        <v>1159430.3278000001</v>
      </c>
      <c r="P124" s="12">
        <v>0.13112138000000001</v>
      </c>
      <c r="R124" s="11">
        <v>3022061.3774000001</v>
      </c>
      <c r="S124" s="12">
        <v>0.27280641</v>
      </c>
      <c r="U124" s="11">
        <v>2486553.9309999999</v>
      </c>
      <c r="V124" s="12">
        <v>0.22795435999999999</v>
      </c>
      <c r="X124" s="11">
        <v>1940383.2106000001</v>
      </c>
      <c r="Y124" s="12">
        <v>0.20663112</v>
      </c>
      <c r="AA124" s="11">
        <v>2553606.1860000002</v>
      </c>
      <c r="AB124" s="12">
        <v>0.24912862999999999</v>
      </c>
      <c r="AD124" s="11">
        <v>4238752.8101000004</v>
      </c>
      <c r="AE124" s="12">
        <v>0.32864470000000001</v>
      </c>
      <c r="AG124" s="11">
        <v>4063950.6255000001</v>
      </c>
      <c r="AH124" s="12">
        <v>0.32807594000000001</v>
      </c>
      <c r="AJ124" s="11">
        <v>2437610.7330999998</v>
      </c>
      <c r="AK124" s="12">
        <v>0.22581512000000001</v>
      </c>
      <c r="AM124" s="11">
        <v>952283.48849999998</v>
      </c>
      <c r="AN124" s="12">
        <v>0.10862848999999999</v>
      </c>
    </row>
    <row r="125" spans="2:40" ht="14" x14ac:dyDescent="0.15">
      <c r="B125" s="5" t="s">
        <v>87</v>
      </c>
      <c r="C125" s="8">
        <v>0</v>
      </c>
      <c r="D125" s="7">
        <v>0</v>
      </c>
      <c r="F125" s="8">
        <v>0</v>
      </c>
      <c r="G125" s="7">
        <v>0</v>
      </c>
      <c r="I125" s="8">
        <v>0</v>
      </c>
      <c r="J125" s="7">
        <v>0</v>
      </c>
      <c r="L125" s="8">
        <v>0</v>
      </c>
      <c r="M125" s="7">
        <v>0</v>
      </c>
      <c r="O125" s="8">
        <v>0</v>
      </c>
      <c r="P125" s="7">
        <v>0</v>
      </c>
      <c r="R125" s="8">
        <v>0</v>
      </c>
      <c r="S125" s="7">
        <v>0</v>
      </c>
      <c r="U125" s="8">
        <v>0</v>
      </c>
      <c r="V125" s="7">
        <v>0</v>
      </c>
      <c r="X125" s="8">
        <v>0</v>
      </c>
      <c r="Y125" s="7">
        <v>0</v>
      </c>
      <c r="AA125" s="8">
        <v>0</v>
      </c>
      <c r="AB125" s="7">
        <v>0</v>
      </c>
      <c r="AD125" s="8">
        <v>0</v>
      </c>
      <c r="AE125" s="7">
        <v>0</v>
      </c>
      <c r="AG125" s="8">
        <v>0</v>
      </c>
      <c r="AH125" s="7">
        <v>0</v>
      </c>
      <c r="AJ125" s="8">
        <v>0</v>
      </c>
      <c r="AK125" s="7">
        <v>0</v>
      </c>
      <c r="AM125" s="8">
        <v>0</v>
      </c>
      <c r="AN125" s="7">
        <v>0</v>
      </c>
    </row>
    <row r="126" spans="2:40" x14ac:dyDescent="0.15">
      <c r="B126" s="8"/>
      <c r="C126" s="8"/>
      <c r="D126" s="8"/>
      <c r="F126" s="8"/>
      <c r="G126" s="8"/>
      <c r="I126" s="8"/>
      <c r="J126" s="8"/>
      <c r="L126" s="8"/>
      <c r="M126" s="8"/>
      <c r="O126" s="8"/>
      <c r="P126" s="8"/>
      <c r="R126" s="8"/>
      <c r="S126" s="8"/>
      <c r="U126" s="8"/>
      <c r="V126" s="8"/>
      <c r="X126" s="8"/>
      <c r="Y126" s="8"/>
      <c r="AA126" s="8"/>
      <c r="AB126" s="8"/>
      <c r="AD126" s="8"/>
      <c r="AE126" s="8"/>
      <c r="AG126" s="8"/>
      <c r="AH126" s="8"/>
      <c r="AJ126" s="8"/>
      <c r="AK126" s="8"/>
      <c r="AM126" s="8"/>
      <c r="AN126" s="8"/>
    </row>
    <row r="127" spans="2:40" ht="14" x14ac:dyDescent="0.15">
      <c r="B127" s="10" t="s">
        <v>88</v>
      </c>
      <c r="C127" s="11">
        <v>25817777.741500001</v>
      </c>
      <c r="D127" s="12">
        <v>0.21164111999999999</v>
      </c>
      <c r="F127" s="11">
        <v>-14504.6273</v>
      </c>
      <c r="G127" s="12">
        <v>-2.0033799999999999E-3</v>
      </c>
      <c r="I127" s="11">
        <v>541092.70180000004</v>
      </c>
      <c r="J127" s="12">
        <v>6.507549E-2</v>
      </c>
      <c r="L127" s="11">
        <v>2436556.977</v>
      </c>
      <c r="M127" s="12">
        <v>0.21914320000000001</v>
      </c>
      <c r="O127" s="11">
        <v>1159430.3278000001</v>
      </c>
      <c r="P127" s="12">
        <v>0.13112138000000001</v>
      </c>
      <c r="R127" s="11">
        <v>3022061.3774000001</v>
      </c>
      <c r="S127" s="12">
        <v>0.27280641</v>
      </c>
      <c r="U127" s="11">
        <v>2486553.9309999999</v>
      </c>
      <c r="V127" s="12">
        <v>0.22795435999999999</v>
      </c>
      <c r="X127" s="11">
        <v>1940383.2106000001</v>
      </c>
      <c r="Y127" s="12">
        <v>0.20663112</v>
      </c>
      <c r="AA127" s="11">
        <v>2553606.1860000002</v>
      </c>
      <c r="AB127" s="12">
        <v>0.24912862999999999</v>
      </c>
      <c r="AD127" s="11">
        <v>4238752.8101000004</v>
      </c>
      <c r="AE127" s="12">
        <v>0.32864470000000001</v>
      </c>
      <c r="AG127" s="11">
        <v>4063950.6255000001</v>
      </c>
      <c r="AH127" s="12">
        <v>0.32807594000000001</v>
      </c>
      <c r="AJ127" s="11">
        <v>2437610.7330999998</v>
      </c>
      <c r="AK127" s="12">
        <v>0.22581512000000001</v>
      </c>
      <c r="AM127" s="11">
        <v>952283.48849999998</v>
      </c>
      <c r="AN127" s="12">
        <v>0.10862848999999999</v>
      </c>
    </row>
    <row r="128" spans="2:40" x14ac:dyDescent="0.15">
      <c r="B128" s="8"/>
      <c r="C128" s="8"/>
      <c r="D128" s="8"/>
      <c r="F128" s="8"/>
      <c r="G128" s="8"/>
      <c r="I128" s="8"/>
      <c r="J128" s="8"/>
      <c r="L128" s="8"/>
      <c r="M128" s="8"/>
      <c r="O128" s="8"/>
      <c r="P128" s="8"/>
      <c r="R128" s="8"/>
      <c r="S128" s="8"/>
      <c r="U128" s="8"/>
      <c r="V128" s="8"/>
      <c r="X128" s="8"/>
      <c r="Y128" s="8"/>
      <c r="AA128" s="8"/>
      <c r="AB128" s="8"/>
      <c r="AD128" s="8"/>
      <c r="AE128" s="8"/>
      <c r="AG128" s="8"/>
      <c r="AH128" s="8"/>
      <c r="AJ128" s="8"/>
      <c r="AK128" s="8"/>
      <c r="AM128" s="8"/>
      <c r="AN128" s="8"/>
    </row>
    <row r="129" spans="2:40" ht="14" x14ac:dyDescent="0.15">
      <c r="B129" s="10" t="s">
        <v>89</v>
      </c>
      <c r="C129" s="11">
        <v>3127342.6905999999</v>
      </c>
      <c r="D129" s="12">
        <v>2.563638E-2</v>
      </c>
      <c r="F129" s="11">
        <v>190352.26629999999</v>
      </c>
      <c r="G129" s="12">
        <v>2.6291430000000001E-2</v>
      </c>
      <c r="I129" s="11">
        <v>221026.11989999999</v>
      </c>
      <c r="J129" s="12">
        <v>2.6582109999999999E-2</v>
      </c>
      <c r="L129" s="11">
        <v>294299.03989999997</v>
      </c>
      <c r="M129" s="12">
        <v>2.646917E-2</v>
      </c>
      <c r="O129" s="11">
        <v>230674.83249999999</v>
      </c>
      <c r="P129" s="12">
        <v>2.6087300000000001E-2</v>
      </c>
      <c r="R129" s="11">
        <v>285577.7035</v>
      </c>
      <c r="S129" s="12">
        <v>2.5779570000000002E-2</v>
      </c>
      <c r="U129" s="11">
        <v>271755.26179999998</v>
      </c>
      <c r="V129" s="12">
        <v>2.4913109999999999E-2</v>
      </c>
      <c r="X129" s="11">
        <v>223475.9295</v>
      </c>
      <c r="Y129" s="12">
        <v>2.379792E-2</v>
      </c>
      <c r="AA129" s="11">
        <v>248705.44769999999</v>
      </c>
      <c r="AB129" s="12">
        <v>2.4263590000000002E-2</v>
      </c>
      <c r="AD129" s="11">
        <v>329333.5894</v>
      </c>
      <c r="AE129" s="12">
        <v>2.5534339999999999E-2</v>
      </c>
      <c r="AG129" s="11">
        <v>324349.95909999998</v>
      </c>
      <c r="AH129" s="12">
        <v>2.6184229999999999E-2</v>
      </c>
      <c r="AJ129" s="11">
        <v>288650.52159999998</v>
      </c>
      <c r="AK129" s="12">
        <v>2.673998E-2</v>
      </c>
      <c r="AM129" s="11">
        <v>219142.01939999999</v>
      </c>
      <c r="AN129" s="12">
        <v>2.499788E-2</v>
      </c>
    </row>
    <row r="130" spans="2:40" ht="14" x14ac:dyDescent="0.15">
      <c r="B130" s="5" t="s">
        <v>90</v>
      </c>
      <c r="C130" s="8">
        <v>3127342.6905999999</v>
      </c>
      <c r="D130" s="7">
        <v>2.563638E-2</v>
      </c>
      <c r="F130" s="8">
        <v>190352.26629999999</v>
      </c>
      <c r="G130" s="7">
        <v>2.6291430000000001E-2</v>
      </c>
      <c r="I130" s="8">
        <v>221026.11989999999</v>
      </c>
      <c r="J130" s="7">
        <v>2.6582109999999999E-2</v>
      </c>
      <c r="L130" s="8">
        <v>294299.03989999997</v>
      </c>
      <c r="M130" s="7">
        <v>2.646917E-2</v>
      </c>
      <c r="O130" s="8">
        <v>230674.83249999999</v>
      </c>
      <c r="P130" s="7">
        <v>2.6087300000000001E-2</v>
      </c>
      <c r="R130" s="8">
        <v>285577.7035</v>
      </c>
      <c r="S130" s="7">
        <v>2.5779570000000002E-2</v>
      </c>
      <c r="U130" s="8">
        <v>271755.26179999998</v>
      </c>
      <c r="V130" s="7">
        <v>2.4913109999999999E-2</v>
      </c>
      <c r="X130" s="8">
        <v>223475.9295</v>
      </c>
      <c r="Y130" s="7">
        <v>2.379792E-2</v>
      </c>
      <c r="AA130" s="8">
        <v>248705.44769999999</v>
      </c>
      <c r="AB130" s="7">
        <v>2.4263590000000002E-2</v>
      </c>
      <c r="AD130" s="8">
        <v>329333.5894</v>
      </c>
      <c r="AE130" s="7">
        <v>2.5534339999999999E-2</v>
      </c>
      <c r="AG130" s="8">
        <v>324349.95909999998</v>
      </c>
      <c r="AH130" s="7">
        <v>2.6184229999999999E-2</v>
      </c>
      <c r="AJ130" s="8">
        <v>288650.52159999998</v>
      </c>
      <c r="AK130" s="7">
        <v>2.673998E-2</v>
      </c>
      <c r="AM130" s="8">
        <v>219142.01939999999</v>
      </c>
      <c r="AN130" s="7">
        <v>2.499788E-2</v>
      </c>
    </row>
    <row r="131" spans="2:40" ht="14" x14ac:dyDescent="0.15">
      <c r="B131" s="5" t="s">
        <v>91</v>
      </c>
      <c r="C131" s="8">
        <v>0</v>
      </c>
      <c r="D131" s="7">
        <v>0</v>
      </c>
      <c r="F131" s="8">
        <v>0</v>
      </c>
      <c r="G131" s="7">
        <v>0</v>
      </c>
      <c r="I131" s="8">
        <v>0</v>
      </c>
      <c r="J131" s="7">
        <v>0</v>
      </c>
      <c r="L131" s="8">
        <v>0</v>
      </c>
      <c r="M131" s="7">
        <v>0</v>
      </c>
      <c r="O131" s="8">
        <v>0</v>
      </c>
      <c r="P131" s="7">
        <v>0</v>
      </c>
      <c r="R131" s="8">
        <v>0</v>
      </c>
      <c r="S131" s="7">
        <v>0</v>
      </c>
      <c r="U131" s="8">
        <v>0</v>
      </c>
      <c r="V131" s="7">
        <v>0</v>
      </c>
      <c r="X131" s="8">
        <v>0</v>
      </c>
      <c r="Y131" s="7">
        <v>0</v>
      </c>
      <c r="AA131" s="8">
        <v>0</v>
      </c>
      <c r="AB131" s="7">
        <v>0</v>
      </c>
      <c r="AD131" s="8">
        <v>0</v>
      </c>
      <c r="AE131" s="7">
        <v>0</v>
      </c>
      <c r="AG131" s="8">
        <v>0</v>
      </c>
      <c r="AH131" s="7">
        <v>0</v>
      </c>
      <c r="AJ131" s="8">
        <v>0</v>
      </c>
      <c r="AK131" s="7">
        <v>0</v>
      </c>
      <c r="AM131" s="8">
        <v>0</v>
      </c>
      <c r="AN131" s="7">
        <v>0</v>
      </c>
    </row>
    <row r="132" spans="2:40" ht="14" x14ac:dyDescent="0.15">
      <c r="B132" s="5" t="s">
        <v>92</v>
      </c>
      <c r="C132" s="8">
        <v>0</v>
      </c>
      <c r="D132" s="7">
        <v>0</v>
      </c>
      <c r="F132" s="8">
        <v>0</v>
      </c>
      <c r="G132" s="7">
        <v>0</v>
      </c>
      <c r="I132" s="8">
        <v>0</v>
      </c>
      <c r="J132" s="7">
        <v>0</v>
      </c>
      <c r="L132" s="8">
        <v>0</v>
      </c>
      <c r="M132" s="7">
        <v>0</v>
      </c>
      <c r="O132" s="8">
        <v>0</v>
      </c>
      <c r="P132" s="7">
        <v>0</v>
      </c>
      <c r="R132" s="8">
        <v>0</v>
      </c>
      <c r="S132" s="7">
        <v>0</v>
      </c>
      <c r="U132" s="8">
        <v>0</v>
      </c>
      <c r="V132" s="7">
        <v>0</v>
      </c>
      <c r="X132" s="8">
        <v>0</v>
      </c>
      <c r="Y132" s="7">
        <v>0</v>
      </c>
      <c r="AA132" s="8">
        <v>0</v>
      </c>
      <c r="AB132" s="7">
        <v>0</v>
      </c>
      <c r="AD132" s="8">
        <v>0</v>
      </c>
      <c r="AE132" s="7">
        <v>0</v>
      </c>
      <c r="AG132" s="8">
        <v>0</v>
      </c>
      <c r="AH132" s="7">
        <v>0</v>
      </c>
      <c r="AJ132" s="8">
        <v>0</v>
      </c>
      <c r="AK132" s="7">
        <v>0</v>
      </c>
      <c r="AM132" s="8">
        <v>0</v>
      </c>
      <c r="AN132" s="7">
        <v>0</v>
      </c>
    </row>
    <row r="133" spans="2:40" x14ac:dyDescent="0.15">
      <c r="B133" s="8"/>
      <c r="C133" s="8"/>
      <c r="D133" s="8"/>
      <c r="F133" s="8"/>
      <c r="G133" s="8"/>
      <c r="I133" s="8"/>
      <c r="J133" s="8"/>
      <c r="L133" s="8"/>
      <c r="M133" s="8"/>
      <c r="O133" s="8"/>
      <c r="P133" s="8"/>
      <c r="R133" s="8"/>
      <c r="S133" s="8"/>
      <c r="U133" s="8"/>
      <c r="V133" s="8"/>
      <c r="X133" s="8"/>
      <c r="Y133" s="8"/>
      <c r="AA133" s="8"/>
      <c r="AB133" s="8"/>
      <c r="AD133" s="8"/>
      <c r="AE133" s="8"/>
      <c r="AG133" s="8"/>
      <c r="AH133" s="8"/>
      <c r="AJ133" s="8"/>
      <c r="AK133" s="8"/>
      <c r="AM133" s="8"/>
      <c r="AN133" s="8"/>
    </row>
    <row r="134" spans="2:40" ht="14" x14ac:dyDescent="0.15">
      <c r="B134" s="10" t="s">
        <v>93</v>
      </c>
      <c r="C134" s="11">
        <v>22690435.0502</v>
      </c>
      <c r="D134" s="12">
        <v>0.18600474</v>
      </c>
      <c r="F134" s="11">
        <v>-204856.8939</v>
      </c>
      <c r="G134" s="12">
        <v>-2.829481E-2</v>
      </c>
      <c r="I134" s="11">
        <v>320066.58189999999</v>
      </c>
      <c r="J134" s="12">
        <v>3.8493390000000002E-2</v>
      </c>
      <c r="L134" s="11">
        <v>2142257.9369999999</v>
      </c>
      <c r="M134" s="12">
        <v>0.19267403999999999</v>
      </c>
      <c r="O134" s="11">
        <v>928755.49529999995</v>
      </c>
      <c r="P134" s="12">
        <v>0.10503408</v>
      </c>
      <c r="R134" s="11">
        <v>2736483.6740000001</v>
      </c>
      <c r="S134" s="12">
        <v>0.24702684999999999</v>
      </c>
      <c r="U134" s="11">
        <v>2214798.6690000002</v>
      </c>
      <c r="V134" s="12">
        <v>0.20304124000000001</v>
      </c>
      <c r="X134" s="11">
        <v>1716907.2812000001</v>
      </c>
      <c r="Y134" s="12">
        <v>0.1828332</v>
      </c>
      <c r="AA134" s="11">
        <v>2304900.7385</v>
      </c>
      <c r="AB134" s="12">
        <v>0.22486505000000001</v>
      </c>
      <c r="AD134" s="11">
        <v>3909419.2204</v>
      </c>
      <c r="AE134" s="12">
        <v>0.30311036000000002</v>
      </c>
      <c r="AG134" s="11">
        <v>3739600.6664999998</v>
      </c>
      <c r="AH134" s="12">
        <v>0.30189170999999998</v>
      </c>
      <c r="AJ134" s="11">
        <v>2148960.2113999999</v>
      </c>
      <c r="AK134" s="12">
        <v>0.19907515000000001</v>
      </c>
      <c r="AM134" s="11">
        <v>733141.46889999998</v>
      </c>
      <c r="AN134" s="12">
        <v>8.3630609999999994E-2</v>
      </c>
    </row>
    <row r="135" spans="2:40" x14ac:dyDescent="0.15">
      <c r="B135" s="8"/>
      <c r="C135" s="8"/>
      <c r="D135" s="8"/>
      <c r="F135" s="8"/>
      <c r="G135" s="8"/>
      <c r="I135" s="8"/>
      <c r="J135" s="8"/>
      <c r="L135" s="8"/>
      <c r="M135" s="8"/>
      <c r="O135" s="8"/>
      <c r="P135" s="8"/>
      <c r="R135" s="8"/>
      <c r="S135" s="8"/>
      <c r="U135" s="8"/>
      <c r="V135" s="8"/>
      <c r="X135" s="8"/>
      <c r="Y135" s="8"/>
      <c r="AA135" s="8"/>
      <c r="AB135" s="8"/>
      <c r="AD135" s="8"/>
      <c r="AE135" s="8"/>
      <c r="AG135" s="8"/>
      <c r="AH135" s="8"/>
      <c r="AJ135" s="8"/>
      <c r="AK135" s="8"/>
      <c r="AM135" s="8"/>
      <c r="AN135" s="8"/>
    </row>
    <row r="136" spans="2:40" ht="14" x14ac:dyDescent="0.15">
      <c r="B136" s="10" t="s">
        <v>94</v>
      </c>
      <c r="C136" s="11">
        <v>25973945.7062</v>
      </c>
      <c r="D136" s="12">
        <v>0.21292131</v>
      </c>
      <c r="F136" s="11">
        <v>2093637.0789999999</v>
      </c>
      <c r="G136" s="12">
        <v>0.28917290000000001</v>
      </c>
      <c r="I136" s="11">
        <v>2097315.5164000001</v>
      </c>
      <c r="J136" s="12">
        <v>0.25223743999999998</v>
      </c>
      <c r="L136" s="11">
        <v>2288177.0671999999</v>
      </c>
      <c r="M136" s="12">
        <v>0.20579796</v>
      </c>
      <c r="O136" s="11">
        <v>2081749.4635999999</v>
      </c>
      <c r="P136" s="12">
        <v>0.23542757</v>
      </c>
      <c r="R136" s="11">
        <v>2184774.4602000001</v>
      </c>
      <c r="S136" s="12">
        <v>0.19722316000000001</v>
      </c>
      <c r="U136" s="11">
        <v>2097658.7637999998</v>
      </c>
      <c r="V136" s="12">
        <v>0.19230247</v>
      </c>
      <c r="X136" s="11">
        <v>2043385.1647999999</v>
      </c>
      <c r="Y136" s="12">
        <v>0.21759977999999999</v>
      </c>
      <c r="AA136" s="11">
        <v>2104375.3816</v>
      </c>
      <c r="AB136" s="12">
        <v>0.20530188999999999</v>
      </c>
      <c r="AD136" s="11">
        <v>2287842.0554</v>
      </c>
      <c r="AE136" s="12">
        <v>0.17738406000000001</v>
      </c>
      <c r="AG136" s="11">
        <v>2372139.3368000002</v>
      </c>
      <c r="AH136" s="12">
        <v>0.19149885</v>
      </c>
      <c r="AJ136" s="11">
        <v>2278632.2231000001</v>
      </c>
      <c r="AK136" s="12">
        <v>0.21108768999999999</v>
      </c>
      <c r="AM136" s="11">
        <v>2044259.1943000001</v>
      </c>
      <c r="AN136" s="12">
        <v>0.23319187999999999</v>
      </c>
    </row>
    <row r="137" spans="2:40" ht="14" x14ac:dyDescent="0.15">
      <c r="B137" s="5" t="s">
        <v>95</v>
      </c>
      <c r="C137" s="8">
        <v>20185614.440000001</v>
      </c>
      <c r="D137" s="7">
        <v>0.16547149</v>
      </c>
      <c r="F137" s="8">
        <v>1679565.96</v>
      </c>
      <c r="G137" s="7">
        <v>0.23198145000000001</v>
      </c>
      <c r="I137" s="8">
        <v>1682368.04</v>
      </c>
      <c r="J137" s="7">
        <v>0.20233303</v>
      </c>
      <c r="L137" s="8">
        <v>1682368.04</v>
      </c>
      <c r="M137" s="7">
        <v>0.15131168</v>
      </c>
      <c r="O137" s="8">
        <v>1682368.04</v>
      </c>
      <c r="P137" s="7">
        <v>0.19026103999999999</v>
      </c>
      <c r="R137" s="8">
        <v>1682368.04</v>
      </c>
      <c r="S137" s="7">
        <v>0.15187011</v>
      </c>
      <c r="U137" s="8">
        <v>1682368.04</v>
      </c>
      <c r="V137" s="7">
        <v>0.15423076999999999</v>
      </c>
      <c r="X137" s="8">
        <v>1682368.04</v>
      </c>
      <c r="Y137" s="7">
        <v>0.17915512</v>
      </c>
      <c r="AA137" s="8">
        <v>1682368.04</v>
      </c>
      <c r="AB137" s="7">
        <v>0.16413104000000001</v>
      </c>
      <c r="AD137" s="8">
        <v>1682368.04</v>
      </c>
      <c r="AE137" s="7">
        <v>0.13043963</v>
      </c>
      <c r="AG137" s="8">
        <v>1682368.04</v>
      </c>
      <c r="AH137" s="7">
        <v>0.13581476000000001</v>
      </c>
      <c r="AJ137" s="8">
        <v>1682368.04</v>
      </c>
      <c r="AK137" s="7">
        <v>0.15585103</v>
      </c>
      <c r="AM137" s="8">
        <v>1682368.08</v>
      </c>
      <c r="AN137" s="7">
        <v>0.19191038999999999</v>
      </c>
    </row>
    <row r="138" spans="2:40" ht="14" x14ac:dyDescent="0.15">
      <c r="B138" s="5" t="s">
        <v>96</v>
      </c>
      <c r="C138" s="8">
        <v>5788331.2662000004</v>
      </c>
      <c r="D138" s="7">
        <v>4.7449819999999997E-2</v>
      </c>
      <c r="F138" s="8">
        <v>414071.11900000001</v>
      </c>
      <c r="G138" s="7">
        <v>5.7191449999999998E-2</v>
      </c>
      <c r="I138" s="8">
        <v>414947.47639999999</v>
      </c>
      <c r="J138" s="7">
        <v>4.9904410000000003E-2</v>
      </c>
      <c r="L138" s="8">
        <v>605809.02720000001</v>
      </c>
      <c r="M138" s="7">
        <v>5.4486279999999998E-2</v>
      </c>
      <c r="O138" s="8">
        <v>399381.42359999998</v>
      </c>
      <c r="P138" s="7">
        <v>4.5166530000000003E-2</v>
      </c>
      <c r="R138" s="8">
        <v>502406.42019999999</v>
      </c>
      <c r="S138" s="7">
        <v>4.5353049999999999E-2</v>
      </c>
      <c r="U138" s="8">
        <v>415290.72379999998</v>
      </c>
      <c r="V138" s="7">
        <v>3.80717E-2</v>
      </c>
      <c r="X138" s="8">
        <v>361017.12479999999</v>
      </c>
      <c r="Y138" s="7">
        <v>3.8444659999999999E-2</v>
      </c>
      <c r="AA138" s="8">
        <v>422007.34159999999</v>
      </c>
      <c r="AB138" s="7">
        <v>4.117084E-2</v>
      </c>
      <c r="AD138" s="8">
        <v>605474.01540000003</v>
      </c>
      <c r="AE138" s="7">
        <v>4.6944430000000002E-2</v>
      </c>
      <c r="AG138" s="8">
        <v>689771.29680000001</v>
      </c>
      <c r="AH138" s="7">
        <v>5.5684079999999997E-2</v>
      </c>
      <c r="AJ138" s="8">
        <v>596264.18310000002</v>
      </c>
      <c r="AK138" s="7">
        <v>5.5236660000000007E-2</v>
      </c>
      <c r="AM138" s="8">
        <v>361891.11430000002</v>
      </c>
      <c r="AN138" s="7">
        <v>4.1281489999999997E-2</v>
      </c>
    </row>
    <row r="139" spans="2:40" ht="14" x14ac:dyDescent="0.15">
      <c r="B139" s="5" t="s">
        <v>97</v>
      </c>
      <c r="C139" s="8">
        <v>0</v>
      </c>
      <c r="D139" s="7">
        <v>0</v>
      </c>
      <c r="F139" s="8">
        <v>0</v>
      </c>
      <c r="G139" s="7">
        <v>0</v>
      </c>
      <c r="I139" s="8">
        <v>0</v>
      </c>
      <c r="J139" s="7">
        <v>0</v>
      </c>
      <c r="L139" s="8">
        <v>0</v>
      </c>
      <c r="M139" s="7">
        <v>0</v>
      </c>
      <c r="O139" s="8">
        <v>0</v>
      </c>
      <c r="P139" s="7">
        <v>0</v>
      </c>
      <c r="R139" s="8">
        <v>0</v>
      </c>
      <c r="S139" s="7">
        <v>0</v>
      </c>
      <c r="U139" s="8">
        <v>0</v>
      </c>
      <c r="V139" s="7">
        <v>0</v>
      </c>
      <c r="X139" s="8">
        <v>0</v>
      </c>
      <c r="Y139" s="7">
        <v>0</v>
      </c>
      <c r="AA139" s="8">
        <v>0</v>
      </c>
      <c r="AB139" s="7">
        <v>0</v>
      </c>
      <c r="AD139" s="8">
        <v>0</v>
      </c>
      <c r="AE139" s="7">
        <v>0</v>
      </c>
      <c r="AG139" s="8">
        <v>0</v>
      </c>
      <c r="AH139" s="7">
        <v>0</v>
      </c>
      <c r="AJ139" s="8">
        <v>0</v>
      </c>
      <c r="AK139" s="7">
        <v>0</v>
      </c>
      <c r="AM139" s="8">
        <v>0</v>
      </c>
      <c r="AN139" s="7">
        <v>0</v>
      </c>
    </row>
    <row r="140" spans="2:40" x14ac:dyDescent="0.15">
      <c r="B140" s="8"/>
      <c r="C140" s="8"/>
      <c r="D140" s="8"/>
      <c r="F140" s="8"/>
      <c r="G140" s="8"/>
      <c r="I140" s="8"/>
      <c r="J140" s="8"/>
      <c r="L140" s="8"/>
      <c r="M140" s="8"/>
      <c r="O140" s="8"/>
      <c r="P140" s="8"/>
      <c r="R140" s="8"/>
      <c r="S140" s="8"/>
      <c r="U140" s="8"/>
      <c r="V140" s="8"/>
      <c r="X140" s="8"/>
      <c r="Y140" s="8"/>
      <c r="AA140" s="8"/>
      <c r="AB140" s="8"/>
      <c r="AD140" s="8"/>
      <c r="AE140" s="8"/>
      <c r="AG140" s="8"/>
      <c r="AH140" s="8"/>
      <c r="AJ140" s="8"/>
      <c r="AK140" s="8"/>
      <c r="AM140" s="8"/>
      <c r="AN140" s="8"/>
    </row>
    <row r="141" spans="2:40" ht="28" x14ac:dyDescent="0.15">
      <c r="B141" s="10" t="s">
        <v>98</v>
      </c>
      <c r="C141" s="11">
        <v>-3283510.6556000002</v>
      </c>
      <c r="D141" s="12">
        <v>-2.6916559999999999E-2</v>
      </c>
      <c r="F141" s="11">
        <v>-2298493.9728999999</v>
      </c>
      <c r="G141" s="12">
        <v>-0.31746771000000001</v>
      </c>
      <c r="I141" s="11">
        <v>-1777248.9343999999</v>
      </c>
      <c r="J141" s="12">
        <v>-0.21374404999999999</v>
      </c>
      <c r="L141" s="11">
        <v>-145919.13020000001</v>
      </c>
      <c r="M141" s="12">
        <v>-1.3123920000000001E-2</v>
      </c>
      <c r="O141" s="11">
        <v>-1152993.9683000001</v>
      </c>
      <c r="P141" s="12">
        <v>-0.13039349</v>
      </c>
      <c r="R141" s="11">
        <v>551709.21380000003</v>
      </c>
      <c r="S141" s="12">
        <v>4.9803689999999998E-2</v>
      </c>
      <c r="U141" s="11">
        <v>117139.9053</v>
      </c>
      <c r="V141" s="12">
        <v>1.073878E-2</v>
      </c>
      <c r="X141" s="11">
        <v>-326477.8835</v>
      </c>
      <c r="Y141" s="12">
        <v>-3.4766579999999998E-2</v>
      </c>
      <c r="AA141" s="11">
        <v>200525.35709999999</v>
      </c>
      <c r="AB141" s="12">
        <v>1.956316E-2</v>
      </c>
      <c r="AD141" s="11">
        <v>1621577.1651999999</v>
      </c>
      <c r="AE141" s="12">
        <v>0.12572631000000001</v>
      </c>
      <c r="AG141" s="11">
        <v>1367461.3295</v>
      </c>
      <c r="AH141" s="12">
        <v>0.11039287</v>
      </c>
      <c r="AJ141" s="11">
        <v>-129672.01179999999</v>
      </c>
      <c r="AK141" s="12">
        <v>-1.201254E-2</v>
      </c>
      <c r="AM141" s="11">
        <v>-1311117.7254000001</v>
      </c>
      <c r="AN141" s="12">
        <v>-0.14956127999999999</v>
      </c>
    </row>
    <row r="142" spans="2:40" ht="14" x14ac:dyDescent="0.15">
      <c r="B142" s="5" t="s">
        <v>99</v>
      </c>
      <c r="C142" s="8">
        <v>90780</v>
      </c>
      <c r="D142" s="7">
        <v>7.4416999999999994E-4</v>
      </c>
      <c r="F142" s="8">
        <v>7565</v>
      </c>
      <c r="G142" s="7">
        <v>1.04488E-3</v>
      </c>
      <c r="I142" s="8">
        <v>7565</v>
      </c>
      <c r="J142" s="7">
        <v>9.0981999999999999E-4</v>
      </c>
      <c r="L142" s="8">
        <v>7565</v>
      </c>
      <c r="M142" s="7">
        <v>6.8039000000000001E-4</v>
      </c>
      <c r="O142" s="8">
        <v>7565</v>
      </c>
      <c r="P142" s="7">
        <v>8.5554000000000001E-4</v>
      </c>
      <c r="R142" s="8">
        <v>7565</v>
      </c>
      <c r="S142" s="7">
        <v>6.8290000000000007E-4</v>
      </c>
      <c r="U142" s="8">
        <v>7565</v>
      </c>
      <c r="V142" s="7">
        <v>6.9351999999999999E-4</v>
      </c>
      <c r="X142" s="8">
        <v>7565</v>
      </c>
      <c r="Y142" s="7">
        <v>8.0560000000000007E-4</v>
      </c>
      <c r="AA142" s="8">
        <v>7565</v>
      </c>
      <c r="AB142" s="7">
        <v>7.3803999999999992E-4</v>
      </c>
      <c r="AD142" s="8">
        <v>7565</v>
      </c>
      <c r="AE142" s="7">
        <v>5.8653999999999998E-4</v>
      </c>
      <c r="AG142" s="8">
        <v>7565</v>
      </c>
      <c r="AH142" s="7">
        <v>6.1070999999999999E-4</v>
      </c>
      <c r="AJ142" s="8">
        <v>7565</v>
      </c>
      <c r="AK142" s="7">
        <v>7.0081000000000006E-4</v>
      </c>
      <c r="AM142" s="8">
        <v>7565</v>
      </c>
      <c r="AN142" s="7">
        <v>8.6294999999999992E-4</v>
      </c>
    </row>
    <row r="143" spans="2:40" x14ac:dyDescent="0.15">
      <c r="B143" s="8"/>
      <c r="C143" s="8"/>
      <c r="D143" s="8"/>
      <c r="F143" s="8"/>
      <c r="G143" s="8"/>
      <c r="I143" s="8"/>
      <c r="J143" s="8"/>
      <c r="L143" s="8"/>
      <c r="M143" s="8"/>
      <c r="O143" s="8"/>
      <c r="P143" s="8"/>
      <c r="R143" s="8"/>
      <c r="S143" s="8"/>
      <c r="U143" s="8"/>
      <c r="V143" s="8"/>
      <c r="X143" s="8"/>
      <c r="Y143" s="8"/>
      <c r="AA143" s="8"/>
      <c r="AB143" s="8"/>
      <c r="AD143" s="8"/>
      <c r="AE143" s="8"/>
      <c r="AG143" s="8"/>
      <c r="AH143" s="8"/>
      <c r="AJ143" s="8"/>
      <c r="AK143" s="8"/>
      <c r="AM143" s="8"/>
      <c r="AN143" s="8"/>
    </row>
    <row r="144" spans="2:40" ht="14" x14ac:dyDescent="0.15">
      <c r="B144" s="10" t="s">
        <v>100</v>
      </c>
      <c r="C144" s="11">
        <v>-3374290.6556000002</v>
      </c>
      <c r="D144" s="12">
        <v>-2.7660730000000001E-2</v>
      </c>
      <c r="F144" s="11">
        <v>-2306058.9728999999</v>
      </c>
      <c r="G144" s="12">
        <v>-0.31851258999999998</v>
      </c>
      <c r="I144" s="11">
        <v>-1784813.9343999999</v>
      </c>
      <c r="J144" s="12">
        <v>-0.21465387</v>
      </c>
      <c r="L144" s="11">
        <v>-153484.13020000001</v>
      </c>
      <c r="M144" s="12">
        <v>-1.380432E-2</v>
      </c>
      <c r="O144" s="11">
        <v>-1160558.9683000001</v>
      </c>
      <c r="P144" s="12">
        <v>-0.13124901999999999</v>
      </c>
      <c r="R144" s="11">
        <v>544144.21380000003</v>
      </c>
      <c r="S144" s="12">
        <v>4.9120789999999998E-2</v>
      </c>
      <c r="U144" s="11">
        <v>109574.9053</v>
      </c>
      <c r="V144" s="12">
        <v>1.004526E-2</v>
      </c>
      <c r="X144" s="11">
        <v>-334042.8835</v>
      </c>
      <c r="Y144" s="12">
        <v>-3.5572180000000002E-2</v>
      </c>
      <c r="AA144" s="11">
        <v>192960.35709999999</v>
      </c>
      <c r="AB144" s="12">
        <v>1.8825120000000001E-2</v>
      </c>
      <c r="AD144" s="11">
        <v>1614012.1651999999</v>
      </c>
      <c r="AE144" s="12">
        <v>0.12513977000000001</v>
      </c>
      <c r="AG144" s="11">
        <v>1359896.3295</v>
      </c>
      <c r="AH144" s="12">
        <v>0.10978216</v>
      </c>
      <c r="AJ144" s="11">
        <v>-137237.01180000001</v>
      </c>
      <c r="AK144" s="12">
        <v>-1.271335E-2</v>
      </c>
      <c r="AM144" s="11">
        <v>-1318682.7254000001</v>
      </c>
      <c r="AN144" s="12">
        <v>-0.15042422999999999</v>
      </c>
    </row>
    <row r="145" spans="2:40" ht="14" x14ac:dyDescent="0.15">
      <c r="B145" s="5" t="s">
        <v>101</v>
      </c>
      <c r="C145" s="8">
        <v>0</v>
      </c>
      <c r="D145" s="7">
        <v>0</v>
      </c>
      <c r="F145" s="8">
        <v>0</v>
      </c>
      <c r="G145" s="7">
        <v>0</v>
      </c>
      <c r="I145" s="8">
        <v>0</v>
      </c>
      <c r="J145" s="7">
        <v>0</v>
      </c>
      <c r="L145" s="8">
        <v>0</v>
      </c>
      <c r="M145" s="7">
        <v>0</v>
      </c>
      <c r="O145" s="8">
        <v>0</v>
      </c>
      <c r="P145" s="7">
        <v>0</v>
      </c>
      <c r="R145" s="8">
        <v>0</v>
      </c>
      <c r="S145" s="7">
        <v>0</v>
      </c>
      <c r="U145" s="8">
        <v>0</v>
      </c>
      <c r="V145" s="7">
        <v>0</v>
      </c>
      <c r="X145" s="8">
        <v>0</v>
      </c>
      <c r="Y145" s="7">
        <v>0</v>
      </c>
      <c r="AA145" s="8">
        <v>0</v>
      </c>
      <c r="AB145" s="7">
        <v>0</v>
      </c>
      <c r="AD145" s="8">
        <v>0</v>
      </c>
      <c r="AE145" s="7">
        <v>0</v>
      </c>
      <c r="AG145" s="8">
        <v>0</v>
      </c>
      <c r="AH145" s="7">
        <v>0</v>
      </c>
      <c r="AJ145" s="8">
        <v>0</v>
      </c>
      <c r="AK145" s="7">
        <v>0</v>
      </c>
      <c r="AM145" s="8">
        <v>0</v>
      </c>
      <c r="AN145" s="7">
        <v>0</v>
      </c>
    </row>
    <row r="146" spans="2:40" x14ac:dyDescent="0.15">
      <c r="B146" s="8"/>
      <c r="C146" s="8"/>
      <c r="D146" s="8"/>
      <c r="F146" s="8"/>
      <c r="G146" s="8"/>
      <c r="I146" s="8"/>
      <c r="J146" s="8"/>
      <c r="L146" s="8"/>
      <c r="M146" s="8"/>
      <c r="O146" s="8"/>
      <c r="P146" s="8"/>
      <c r="R146" s="8"/>
      <c r="S146" s="8"/>
      <c r="U146" s="8"/>
      <c r="V146" s="8"/>
      <c r="X146" s="8"/>
      <c r="Y146" s="8"/>
      <c r="AA146" s="8"/>
      <c r="AB146" s="8"/>
      <c r="AD146" s="8"/>
      <c r="AE146" s="8"/>
      <c r="AG146" s="8"/>
      <c r="AH146" s="8"/>
      <c r="AJ146" s="8"/>
      <c r="AK146" s="8"/>
      <c r="AM146" s="8"/>
      <c r="AN146" s="8"/>
    </row>
    <row r="147" spans="2:40" ht="28" x14ac:dyDescent="0.15">
      <c r="B147" s="10" t="s">
        <v>102</v>
      </c>
      <c r="C147" s="11">
        <v>-3374290.6556000002</v>
      </c>
      <c r="D147" s="12">
        <v>-2.7660730000000001E-2</v>
      </c>
      <c r="F147" s="11">
        <v>-2306058.9728999999</v>
      </c>
      <c r="G147" s="12">
        <v>-0.31851258999999998</v>
      </c>
      <c r="I147" s="11">
        <v>-1784813.9343999999</v>
      </c>
      <c r="J147" s="12">
        <v>-0.21465387</v>
      </c>
      <c r="L147" s="11">
        <v>-153484.13020000001</v>
      </c>
      <c r="M147" s="12">
        <v>-1.380432E-2</v>
      </c>
      <c r="O147" s="11">
        <v>-1160558.9683000001</v>
      </c>
      <c r="P147" s="12">
        <v>-0.13124901999999999</v>
      </c>
      <c r="R147" s="11">
        <v>544144.21380000003</v>
      </c>
      <c r="S147" s="12">
        <v>4.9120789999999998E-2</v>
      </c>
      <c r="U147" s="11">
        <v>109574.9053</v>
      </c>
      <c r="V147" s="12">
        <v>1.004526E-2</v>
      </c>
      <c r="X147" s="11">
        <v>-334042.8835</v>
      </c>
      <c r="Y147" s="12">
        <v>-3.5572180000000002E-2</v>
      </c>
      <c r="AA147" s="11">
        <v>192960.35709999999</v>
      </c>
      <c r="AB147" s="12">
        <v>1.8825120000000001E-2</v>
      </c>
      <c r="AD147" s="11">
        <v>1614012.1651999999</v>
      </c>
      <c r="AE147" s="12">
        <v>0.12513977000000001</v>
      </c>
      <c r="AG147" s="11">
        <v>1359896.3295</v>
      </c>
      <c r="AH147" s="12">
        <v>0.10978216</v>
      </c>
      <c r="AJ147" s="11">
        <v>-137237.01180000001</v>
      </c>
      <c r="AK147" s="12">
        <v>-1.271335E-2</v>
      </c>
      <c r="AM147" s="11">
        <v>-1318682.7254000001</v>
      </c>
      <c r="AN147" s="12">
        <v>-0.15042422999999999</v>
      </c>
    </row>
    <row r="148" spans="2:40" ht="14" x14ac:dyDescent="0.15">
      <c r="B148" s="5" t="s">
        <v>103</v>
      </c>
      <c r="C148" s="8">
        <v>0</v>
      </c>
      <c r="D148" s="7">
        <v>0</v>
      </c>
      <c r="F148" s="8">
        <v>0</v>
      </c>
      <c r="G148" s="7">
        <v>0</v>
      </c>
      <c r="I148" s="8">
        <v>0</v>
      </c>
      <c r="J148" s="7">
        <v>0</v>
      </c>
      <c r="L148" s="8">
        <v>0</v>
      </c>
      <c r="M148" s="7">
        <v>0</v>
      </c>
      <c r="O148" s="8">
        <v>0</v>
      </c>
      <c r="P148" s="7">
        <v>0</v>
      </c>
      <c r="R148" s="8">
        <v>0</v>
      </c>
      <c r="S148" s="7">
        <v>0</v>
      </c>
      <c r="U148" s="8">
        <v>0</v>
      </c>
      <c r="V148" s="7">
        <v>0</v>
      </c>
      <c r="X148" s="8">
        <v>0</v>
      </c>
      <c r="Y148" s="7">
        <v>0</v>
      </c>
      <c r="AA148" s="8">
        <v>0</v>
      </c>
      <c r="AB148" s="7">
        <v>0</v>
      </c>
      <c r="AD148" s="8">
        <v>0</v>
      </c>
      <c r="AE148" s="7">
        <v>0</v>
      </c>
      <c r="AG148" s="8">
        <v>0</v>
      </c>
      <c r="AH148" s="7">
        <v>0</v>
      </c>
      <c r="AJ148" s="8">
        <v>0</v>
      </c>
      <c r="AK148" s="7">
        <v>0</v>
      </c>
      <c r="AM148" s="8">
        <v>0</v>
      </c>
      <c r="AN148" s="7">
        <v>0</v>
      </c>
    </row>
    <row r="149" spans="2:40" x14ac:dyDescent="0.15">
      <c r="B149" s="8"/>
      <c r="C149" s="8"/>
      <c r="D149" s="8"/>
      <c r="F149" s="8"/>
      <c r="G149" s="8"/>
      <c r="I149" s="8"/>
      <c r="J149" s="8"/>
      <c r="L149" s="8"/>
      <c r="M149" s="8"/>
      <c r="O149" s="8"/>
      <c r="P149" s="8"/>
      <c r="R149" s="8"/>
      <c r="S149" s="8"/>
      <c r="U149" s="8"/>
      <c r="V149" s="8"/>
      <c r="X149" s="8"/>
      <c r="Y149" s="8"/>
      <c r="AA149" s="8"/>
      <c r="AB149" s="8"/>
      <c r="AD149" s="8"/>
      <c r="AE149" s="8"/>
      <c r="AG149" s="8"/>
      <c r="AH149" s="8"/>
      <c r="AJ149" s="8"/>
      <c r="AK149" s="8"/>
      <c r="AM149" s="8"/>
      <c r="AN149" s="8"/>
    </row>
    <row r="150" spans="2:40" ht="14" x14ac:dyDescent="0.15">
      <c r="B150" s="10" t="s">
        <v>104</v>
      </c>
      <c r="C150" s="11">
        <v>-3374290.6556000002</v>
      </c>
      <c r="D150" s="12">
        <v>-2.7660730000000001E-2</v>
      </c>
      <c r="F150" s="11">
        <v>-2306058.9728999999</v>
      </c>
      <c r="G150" s="12">
        <v>-0.31851258999999998</v>
      </c>
      <c r="I150" s="11">
        <v>-1784813.9343999999</v>
      </c>
      <c r="J150" s="12">
        <v>-0.21465387</v>
      </c>
      <c r="L150" s="11">
        <v>-153484.13020000001</v>
      </c>
      <c r="M150" s="12">
        <v>-1.380432E-2</v>
      </c>
      <c r="O150" s="11">
        <v>-1160558.9683000001</v>
      </c>
      <c r="P150" s="12">
        <v>-0.13124901999999999</v>
      </c>
      <c r="R150" s="11">
        <v>544144.21380000003</v>
      </c>
      <c r="S150" s="12">
        <v>4.9120789999999998E-2</v>
      </c>
      <c r="U150" s="11">
        <v>109574.9053</v>
      </c>
      <c r="V150" s="12">
        <v>1.004526E-2</v>
      </c>
      <c r="X150" s="11">
        <v>-334042.8835</v>
      </c>
      <c r="Y150" s="12">
        <v>-3.5572180000000002E-2</v>
      </c>
      <c r="AA150" s="11">
        <v>192960.35709999999</v>
      </c>
      <c r="AB150" s="12">
        <v>1.8825120000000001E-2</v>
      </c>
      <c r="AD150" s="11">
        <v>1614012.1651999999</v>
      </c>
      <c r="AE150" s="12">
        <v>0.12513977000000001</v>
      </c>
      <c r="AG150" s="11">
        <v>1359896.3295</v>
      </c>
      <c r="AH150" s="12">
        <v>0.10978216</v>
      </c>
      <c r="AJ150" s="11">
        <v>-137237.01180000001</v>
      </c>
      <c r="AK150" s="12">
        <v>-1.271335E-2</v>
      </c>
      <c r="AM150" s="11">
        <v>-1318682.7254000001</v>
      </c>
      <c r="AN150" s="12">
        <v>-0.15042422999999999</v>
      </c>
    </row>
    <row r="151" spans="2:40" x14ac:dyDescent="0.15">
      <c r="B151" s="8"/>
      <c r="C151" s="8"/>
      <c r="D151" s="8"/>
      <c r="F151" s="8"/>
      <c r="G151" s="8"/>
      <c r="I151" s="8"/>
      <c r="J151" s="8"/>
      <c r="L151" s="8"/>
      <c r="M151" s="8"/>
      <c r="O151" s="8"/>
      <c r="P151" s="8"/>
      <c r="R151" s="8"/>
      <c r="S151" s="8"/>
      <c r="U151" s="8"/>
      <c r="V151" s="8"/>
      <c r="X151" s="8"/>
      <c r="Y151" s="8"/>
      <c r="AA151" s="8"/>
      <c r="AB151" s="8"/>
      <c r="AD151" s="8"/>
      <c r="AE151" s="8"/>
      <c r="AG151" s="8"/>
      <c r="AH151" s="8"/>
      <c r="AJ151" s="8"/>
      <c r="AK151" s="8"/>
      <c r="AM151" s="8"/>
      <c r="AN151" s="8"/>
    </row>
    <row r="152" spans="2:40" ht="14" x14ac:dyDescent="0.15">
      <c r="B152" s="13" t="s">
        <v>105</v>
      </c>
      <c r="C152" s="14"/>
      <c r="D152" s="14"/>
      <c r="F152" s="14"/>
      <c r="G152" s="14"/>
      <c r="I152" s="14"/>
      <c r="J152" s="14"/>
      <c r="L152" s="14"/>
      <c r="M152" s="14"/>
      <c r="O152" s="14"/>
      <c r="P152" s="14"/>
      <c r="R152" s="14"/>
      <c r="S152" s="14"/>
      <c r="U152" s="14"/>
      <c r="V152" s="14"/>
      <c r="X152" s="14"/>
      <c r="Y152" s="14"/>
      <c r="AA152" s="14"/>
      <c r="AB152" s="14"/>
      <c r="AD152" s="14"/>
      <c r="AE152" s="14"/>
      <c r="AG152" s="14"/>
      <c r="AH152" s="14"/>
      <c r="AJ152" s="14"/>
      <c r="AK152" s="14"/>
      <c r="AM152" s="14"/>
      <c r="AN152" s="14"/>
    </row>
    <row r="153" spans="2:40" ht="14" x14ac:dyDescent="0.15">
      <c r="B153" s="5" t="s">
        <v>106</v>
      </c>
      <c r="C153" s="6">
        <v>-3120046.0556000001</v>
      </c>
      <c r="D153" s="7">
        <v>-2.5576560000000002E-2</v>
      </c>
      <c r="F153" s="8">
        <v>-2284871.9229000001</v>
      </c>
      <c r="G153" s="7">
        <v>-0.31558624000000002</v>
      </c>
      <c r="I153" s="8">
        <v>-1763626.8844000001</v>
      </c>
      <c r="J153" s="7">
        <v>-0.21210577</v>
      </c>
      <c r="L153" s="8">
        <v>-132297.0802</v>
      </c>
      <c r="M153" s="7">
        <v>-1.189876E-2</v>
      </c>
      <c r="O153" s="8">
        <v>-1139371.9183</v>
      </c>
      <c r="P153" s="7">
        <v>-0.12885294999999999</v>
      </c>
      <c r="R153" s="8">
        <v>565331.26379999996</v>
      </c>
      <c r="S153" s="7">
        <v>5.1033380000000003E-2</v>
      </c>
      <c r="U153" s="8">
        <v>130761.9553</v>
      </c>
      <c r="V153" s="7">
        <v>1.1987579999999999E-2</v>
      </c>
      <c r="X153" s="8">
        <v>-312855.83350000001</v>
      </c>
      <c r="Y153" s="7">
        <v>-3.331597E-2</v>
      </c>
      <c r="AA153" s="8">
        <v>214147.40710000001</v>
      </c>
      <c r="AB153" s="7">
        <v>2.089212E-2</v>
      </c>
      <c r="AD153" s="8">
        <v>1635199.2152</v>
      </c>
      <c r="AE153" s="7">
        <v>0.12678247000000001</v>
      </c>
      <c r="AG153" s="8">
        <v>1381083.3795</v>
      </c>
      <c r="AH153" s="7">
        <v>0.11149255</v>
      </c>
      <c r="AJ153" s="8">
        <v>-116049.9618</v>
      </c>
      <c r="AK153" s="7">
        <v>-1.0750620000000001E-2</v>
      </c>
      <c r="AM153" s="8">
        <v>-1297495.6754000001</v>
      </c>
      <c r="AN153" s="7">
        <v>-0.14800738999999999</v>
      </c>
    </row>
    <row r="154" spans="2:40" ht="14" x14ac:dyDescent="0.15">
      <c r="B154" s="5" t="s">
        <v>107</v>
      </c>
      <c r="C154" s="6">
        <v>-3845110.0556000001</v>
      </c>
      <c r="D154" s="7">
        <v>-3.1520270000000003E-2</v>
      </c>
      <c r="F154" s="8">
        <v>-2345293.9229000001</v>
      </c>
      <c r="G154" s="7">
        <v>-0.32393171999999998</v>
      </c>
      <c r="I154" s="8">
        <v>-1824048.8844000001</v>
      </c>
      <c r="J154" s="7">
        <v>-0.21937253000000001</v>
      </c>
      <c r="L154" s="8">
        <v>-192719.0802</v>
      </c>
      <c r="M154" s="7">
        <v>-1.7333100000000001E-2</v>
      </c>
      <c r="O154" s="8">
        <v>-1199793.9183</v>
      </c>
      <c r="P154" s="7">
        <v>-0.13568615000000001</v>
      </c>
      <c r="R154" s="8">
        <v>504909.26380000002</v>
      </c>
      <c r="S154" s="7">
        <v>4.5578979999999998E-2</v>
      </c>
      <c r="U154" s="8">
        <v>70339.955300000001</v>
      </c>
      <c r="V154" s="7">
        <v>6.4484E-3</v>
      </c>
      <c r="X154" s="8">
        <v>-373277.83350000001</v>
      </c>
      <c r="Y154" s="7">
        <v>-3.9750300000000002E-2</v>
      </c>
      <c r="AA154" s="8">
        <v>153725.40710000001</v>
      </c>
      <c r="AB154" s="7">
        <v>1.4997379999999999E-2</v>
      </c>
      <c r="AD154" s="8">
        <v>1574777.2152</v>
      </c>
      <c r="AE154" s="7">
        <v>0.12209775</v>
      </c>
      <c r="AG154" s="8">
        <v>1320661.3795</v>
      </c>
      <c r="AH154" s="7">
        <v>0.10661479</v>
      </c>
      <c r="AJ154" s="8">
        <v>-176471.96179999999</v>
      </c>
      <c r="AK154" s="7">
        <v>-1.634799E-2</v>
      </c>
      <c r="AM154" s="8">
        <v>-1357917.6754000001</v>
      </c>
      <c r="AN154" s="7">
        <v>-0.15489981999999999</v>
      </c>
    </row>
    <row r="155" spans="2:40" ht="14" x14ac:dyDescent="0.15">
      <c r="B155" s="10" t="s">
        <v>108</v>
      </c>
      <c r="C155" s="15">
        <v>4160395.4879000001</v>
      </c>
      <c r="D155" s="12">
        <v>3.4104820000000001E-2</v>
      </c>
      <c r="F155" s="11">
        <v>254149.81529999999</v>
      </c>
      <c r="G155" s="12">
        <v>3.5103139999999998E-2</v>
      </c>
      <c r="I155" s="11">
        <v>294153.17450000002</v>
      </c>
      <c r="J155" s="12">
        <v>3.5376860000000003E-2</v>
      </c>
      <c r="L155" s="11">
        <v>391859.55589999998</v>
      </c>
      <c r="M155" s="12">
        <v>3.5243730000000001E-2</v>
      </c>
      <c r="O155" s="11">
        <v>307497.56469999999</v>
      </c>
      <c r="P155" s="12">
        <v>3.4775269999999997E-2</v>
      </c>
      <c r="R155" s="11">
        <v>379857.78080000001</v>
      </c>
      <c r="S155" s="12">
        <v>3.4290380000000002E-2</v>
      </c>
      <c r="U155" s="11">
        <v>361279.7585</v>
      </c>
      <c r="V155" s="12">
        <v>3.3120249999999997E-2</v>
      </c>
      <c r="X155" s="11">
        <v>297345.39449999999</v>
      </c>
      <c r="Y155" s="12">
        <v>3.1664270000000001E-2</v>
      </c>
      <c r="AA155" s="11">
        <v>331319.20929999999</v>
      </c>
      <c r="AB155" s="12">
        <v>3.2323350000000001E-2</v>
      </c>
      <c r="AD155" s="11">
        <v>435788.14049999998</v>
      </c>
      <c r="AE155" s="12">
        <v>3.3788110000000003E-2</v>
      </c>
      <c r="AG155" s="11">
        <v>431239.46519999998</v>
      </c>
      <c r="AH155" s="12">
        <v>3.4813240000000002E-2</v>
      </c>
      <c r="AJ155" s="11">
        <v>383534.5624</v>
      </c>
      <c r="AK155" s="12">
        <v>3.5529829999999998E-2</v>
      </c>
      <c r="AM155" s="11">
        <v>292371.06630000001</v>
      </c>
      <c r="AN155" s="12">
        <v>3.3351230000000003E-2</v>
      </c>
    </row>
    <row r="156" spans="2:40" ht="14" x14ac:dyDescent="0.15">
      <c r="B156" s="5" t="s">
        <v>109</v>
      </c>
      <c r="C156" s="6">
        <v>0</v>
      </c>
      <c r="D156" s="7">
        <v>0</v>
      </c>
      <c r="F156" s="8">
        <v>0</v>
      </c>
      <c r="G156" s="7">
        <v>0</v>
      </c>
      <c r="I156" s="8">
        <v>0</v>
      </c>
      <c r="J156" s="7">
        <v>0</v>
      </c>
      <c r="L156" s="8">
        <v>0</v>
      </c>
      <c r="M156" s="7">
        <v>0</v>
      </c>
      <c r="O156" s="8">
        <v>0</v>
      </c>
      <c r="P156" s="7">
        <v>0</v>
      </c>
      <c r="R156" s="8">
        <v>0</v>
      </c>
      <c r="S156" s="7">
        <v>0</v>
      </c>
      <c r="U156" s="8">
        <v>0</v>
      </c>
      <c r="V156" s="7">
        <v>0</v>
      </c>
      <c r="X156" s="8">
        <v>0</v>
      </c>
      <c r="Y156" s="7">
        <v>0</v>
      </c>
      <c r="AA156" s="8">
        <v>0</v>
      </c>
      <c r="AB156" s="7">
        <v>0</v>
      </c>
      <c r="AD156" s="8">
        <v>0</v>
      </c>
      <c r="AE156" s="7">
        <v>0</v>
      </c>
      <c r="AG156" s="8">
        <v>0</v>
      </c>
      <c r="AH156" s="7">
        <v>0</v>
      </c>
      <c r="AJ156" s="8">
        <v>0</v>
      </c>
      <c r="AK156" s="7">
        <v>0</v>
      </c>
      <c r="AM156" s="8">
        <v>0</v>
      </c>
      <c r="AN156" s="7">
        <v>0</v>
      </c>
    </row>
    <row r="157" spans="2:40" ht="14" x14ac:dyDescent="0.15">
      <c r="B157" s="5" t="s">
        <v>110</v>
      </c>
      <c r="C157" s="6">
        <v>0</v>
      </c>
      <c r="D157" s="7">
        <v>0</v>
      </c>
      <c r="F157" s="8">
        <v>0</v>
      </c>
      <c r="G157" s="7">
        <v>0</v>
      </c>
      <c r="I157" s="8">
        <v>0</v>
      </c>
      <c r="J157" s="7">
        <v>0</v>
      </c>
      <c r="L157" s="8">
        <v>0</v>
      </c>
      <c r="M157" s="7">
        <v>0</v>
      </c>
      <c r="O157" s="8">
        <v>0</v>
      </c>
      <c r="P157" s="7">
        <v>0</v>
      </c>
      <c r="R157" s="8">
        <v>0</v>
      </c>
      <c r="S157" s="7">
        <v>0</v>
      </c>
      <c r="U157" s="8">
        <v>0</v>
      </c>
      <c r="V157" s="7">
        <v>0</v>
      </c>
      <c r="X157" s="8">
        <v>0</v>
      </c>
      <c r="Y157" s="7">
        <v>0</v>
      </c>
      <c r="AA157" s="8">
        <v>0</v>
      </c>
      <c r="AB157" s="7">
        <v>0</v>
      </c>
      <c r="AD157" s="8">
        <v>0</v>
      </c>
      <c r="AE157" s="7">
        <v>0</v>
      </c>
      <c r="AG157" s="8">
        <v>0</v>
      </c>
      <c r="AH157" s="7">
        <v>0</v>
      </c>
      <c r="AJ157" s="8">
        <v>0</v>
      </c>
      <c r="AK157" s="7">
        <v>0</v>
      </c>
      <c r="AM157" s="8">
        <v>0</v>
      </c>
      <c r="AN157" s="7">
        <v>0</v>
      </c>
    </row>
    <row r="158" spans="2:40" ht="14" x14ac:dyDescent="0.15">
      <c r="B158" s="5" t="s">
        <v>111</v>
      </c>
      <c r="C158" s="6">
        <v>1033052.7971</v>
      </c>
      <c r="D158" s="7">
        <v>8.4684499999999989E-3</v>
      </c>
      <c r="F158" s="8">
        <v>63797.548799999997</v>
      </c>
      <c r="G158" s="7">
        <v>8.8117100000000004E-3</v>
      </c>
      <c r="I158" s="8">
        <v>73127.054499999998</v>
      </c>
      <c r="J158" s="7">
        <v>8.7947600000000004E-3</v>
      </c>
      <c r="L158" s="8">
        <v>97560.515899999999</v>
      </c>
      <c r="M158" s="7">
        <v>8.7745600000000007E-3</v>
      </c>
      <c r="O158" s="8">
        <v>76822.732000000004</v>
      </c>
      <c r="P158" s="7">
        <v>8.6879799999999997E-3</v>
      </c>
      <c r="R158" s="8">
        <v>94280.077300000004</v>
      </c>
      <c r="S158" s="7">
        <v>8.5108200000000005E-3</v>
      </c>
      <c r="U158" s="8">
        <v>89524.496700000003</v>
      </c>
      <c r="V158" s="7">
        <v>8.2071399999999999E-3</v>
      </c>
      <c r="X158" s="8">
        <v>73869.464900000006</v>
      </c>
      <c r="Y158" s="7">
        <v>7.8663499999999994E-3</v>
      </c>
      <c r="AA158" s="8">
        <v>82613.762000000002</v>
      </c>
      <c r="AB158" s="7">
        <v>8.0597600000000009E-3</v>
      </c>
      <c r="AD158" s="8">
        <v>106454.5512</v>
      </c>
      <c r="AE158" s="7">
        <v>8.2537799999999988E-3</v>
      </c>
      <c r="AG158" s="8">
        <v>106889.50629999999</v>
      </c>
      <c r="AH158" s="7">
        <v>8.6290099999999995E-3</v>
      </c>
      <c r="AJ158" s="8">
        <v>94884.040699999998</v>
      </c>
      <c r="AK158" s="7">
        <v>8.78986E-3</v>
      </c>
      <c r="AM158" s="8">
        <v>73229.046799999996</v>
      </c>
      <c r="AN158" s="7">
        <v>8.3533500000000007E-3</v>
      </c>
    </row>
    <row r="159" spans="2:40" ht="14" x14ac:dyDescent="0.15">
      <c r="B159" s="5" t="s">
        <v>112</v>
      </c>
      <c r="C159" s="6">
        <v>2418669.0238000001</v>
      </c>
      <c r="D159" s="7">
        <v>1.9827029999999999E-2</v>
      </c>
      <c r="F159" s="8">
        <v>150337.35329999999</v>
      </c>
      <c r="G159" s="7">
        <v>2.0764580000000001E-2</v>
      </c>
      <c r="I159" s="8">
        <v>171866.75409999999</v>
      </c>
      <c r="J159" s="7">
        <v>2.066987E-2</v>
      </c>
      <c r="L159" s="8">
        <v>230236.8841</v>
      </c>
      <c r="M159" s="7">
        <v>2.0707440000000001E-2</v>
      </c>
      <c r="O159" s="8">
        <v>177410.19149999999</v>
      </c>
      <c r="P159" s="7">
        <v>2.006353E-2</v>
      </c>
      <c r="R159" s="8">
        <v>219844.9534</v>
      </c>
      <c r="S159" s="7">
        <v>1.984576E-2</v>
      </c>
      <c r="U159" s="8">
        <v>207896.75529999999</v>
      </c>
      <c r="V159" s="7">
        <v>1.90589E-2</v>
      </c>
      <c r="X159" s="8">
        <v>169280.7035</v>
      </c>
      <c r="Y159" s="7">
        <v>1.802668E-2</v>
      </c>
      <c r="AA159" s="8">
        <v>188180.58780000001</v>
      </c>
      <c r="AB159" s="7">
        <v>1.835881E-2</v>
      </c>
      <c r="AD159" s="8">
        <v>252314.79370000001</v>
      </c>
      <c r="AE159" s="7">
        <v>1.956281E-2</v>
      </c>
      <c r="AG159" s="8">
        <v>252575.04209999999</v>
      </c>
      <c r="AH159" s="7">
        <v>2.0389959999999999E-2</v>
      </c>
      <c r="AJ159" s="8">
        <v>227133.1023</v>
      </c>
      <c r="AK159" s="7">
        <v>2.1041130000000002E-2</v>
      </c>
      <c r="AM159" s="8">
        <v>171591.90270000001</v>
      </c>
      <c r="AN159" s="7">
        <v>1.9573759999999999E-2</v>
      </c>
    </row>
    <row r="160" spans="2:40" ht="14" x14ac:dyDescent="0.15">
      <c r="B160" s="5" t="s">
        <v>113</v>
      </c>
      <c r="C160" s="6">
        <v>3127342.6905999999</v>
      </c>
      <c r="D160" s="7">
        <v>2.563638E-2</v>
      </c>
      <c r="F160" s="8">
        <v>190352.26629999999</v>
      </c>
      <c r="G160" s="7">
        <v>2.6291430000000001E-2</v>
      </c>
      <c r="I160" s="8">
        <v>221026.11989999999</v>
      </c>
      <c r="J160" s="7">
        <v>2.6582109999999999E-2</v>
      </c>
      <c r="L160" s="8">
        <v>294299.03989999997</v>
      </c>
      <c r="M160" s="7">
        <v>2.646917E-2</v>
      </c>
      <c r="O160" s="8">
        <v>230674.83249999999</v>
      </c>
      <c r="P160" s="7">
        <v>2.6087300000000001E-2</v>
      </c>
      <c r="R160" s="8">
        <v>285577.7035</v>
      </c>
      <c r="S160" s="7">
        <v>2.5779570000000002E-2</v>
      </c>
      <c r="U160" s="8">
        <v>271755.26179999998</v>
      </c>
      <c r="V160" s="7">
        <v>2.4913109999999999E-2</v>
      </c>
      <c r="X160" s="8">
        <v>223475.9295</v>
      </c>
      <c r="Y160" s="7">
        <v>2.379792E-2</v>
      </c>
      <c r="AA160" s="8">
        <v>248705.44769999999</v>
      </c>
      <c r="AB160" s="7">
        <v>2.4263590000000002E-2</v>
      </c>
      <c r="AD160" s="8">
        <v>329333.5894</v>
      </c>
      <c r="AE160" s="7">
        <v>2.5534339999999999E-2</v>
      </c>
      <c r="AG160" s="8">
        <v>324349.95909999998</v>
      </c>
      <c r="AH160" s="7">
        <v>2.6184229999999999E-2</v>
      </c>
      <c r="AJ160" s="8">
        <v>288650.52159999998</v>
      </c>
      <c r="AK160" s="7">
        <v>2.673998E-2</v>
      </c>
      <c r="AM160" s="8">
        <v>219142.01939999999</v>
      </c>
      <c r="AN160" s="7">
        <v>2.499788E-2</v>
      </c>
    </row>
    <row r="161" spans="2:40" ht="14" x14ac:dyDescent="0.15">
      <c r="B161" s="5" t="s">
        <v>114</v>
      </c>
      <c r="C161" s="6">
        <v>0</v>
      </c>
      <c r="D161" s="7">
        <v>0</v>
      </c>
      <c r="F161" s="8">
        <v>0</v>
      </c>
      <c r="G161" s="7">
        <v>0</v>
      </c>
      <c r="I161" s="8">
        <v>0</v>
      </c>
      <c r="J161" s="7">
        <v>0</v>
      </c>
      <c r="L161" s="8">
        <v>0</v>
      </c>
      <c r="M161" s="7">
        <v>0</v>
      </c>
      <c r="O161" s="8">
        <v>0</v>
      </c>
      <c r="P161" s="7">
        <v>0</v>
      </c>
      <c r="R161" s="8">
        <v>0</v>
      </c>
      <c r="S161" s="7">
        <v>0</v>
      </c>
      <c r="U161" s="8">
        <v>0</v>
      </c>
      <c r="V161" s="7">
        <v>0</v>
      </c>
      <c r="X161" s="8">
        <v>0</v>
      </c>
      <c r="Y161" s="7">
        <v>0</v>
      </c>
      <c r="AA161" s="8">
        <v>0</v>
      </c>
      <c r="AB161" s="7">
        <v>0</v>
      </c>
      <c r="AD161" s="8">
        <v>0</v>
      </c>
      <c r="AE161" s="7">
        <v>0</v>
      </c>
      <c r="AG161" s="8">
        <v>0</v>
      </c>
      <c r="AH161" s="7">
        <v>0</v>
      </c>
      <c r="AJ161" s="8">
        <v>0</v>
      </c>
      <c r="AK161" s="7">
        <v>0</v>
      </c>
      <c r="AM161" s="8">
        <v>0</v>
      </c>
      <c r="AN161" s="7">
        <v>0</v>
      </c>
    </row>
    <row r="162" spans="2:40" ht="14" x14ac:dyDescent="0.15">
      <c r="B162" s="10" t="s">
        <v>115</v>
      </c>
      <c r="C162" s="15">
        <v>5421528.3071999997</v>
      </c>
      <c r="D162" s="12">
        <v>4.4442950000000002E-2</v>
      </c>
      <c r="F162" s="11">
        <v>321800.78100000002</v>
      </c>
      <c r="G162" s="12">
        <v>4.4447089999999988E-2</v>
      </c>
      <c r="I162" s="11">
        <v>370816.67839999998</v>
      </c>
      <c r="J162" s="12">
        <v>4.4596940000000002E-2</v>
      </c>
      <c r="L162" s="11">
        <v>508313.2303</v>
      </c>
      <c r="M162" s="12">
        <v>4.5717540000000001E-2</v>
      </c>
      <c r="O162" s="11">
        <v>396081.39390000002</v>
      </c>
      <c r="P162" s="12">
        <v>4.4793319999999998E-2</v>
      </c>
      <c r="R162" s="11">
        <v>509182.45970000001</v>
      </c>
      <c r="S162" s="12">
        <v>4.5964730000000002E-2</v>
      </c>
      <c r="U162" s="11">
        <v>469049.60749999998</v>
      </c>
      <c r="V162" s="12">
        <v>4.3000030000000002E-2</v>
      </c>
      <c r="X162" s="11">
        <v>398502.1655</v>
      </c>
      <c r="Y162" s="12">
        <v>4.2436439999999999E-2</v>
      </c>
      <c r="AA162" s="11">
        <v>442441.45130000002</v>
      </c>
      <c r="AB162" s="12">
        <v>4.3164380000000002E-2</v>
      </c>
      <c r="AD162" s="11">
        <v>559171.65119999996</v>
      </c>
      <c r="AE162" s="12">
        <v>4.3354450000000003E-2</v>
      </c>
      <c r="AG162" s="11">
        <v>572548.69310000003</v>
      </c>
      <c r="AH162" s="12">
        <v>4.6220900000000002E-2</v>
      </c>
      <c r="AJ162" s="11">
        <v>490725.74449999997</v>
      </c>
      <c r="AK162" s="12">
        <v>4.5459800000000002E-2</v>
      </c>
      <c r="AM162" s="11">
        <v>382894.45079999999</v>
      </c>
      <c r="AN162" s="12">
        <v>4.3677380000000002E-2</v>
      </c>
    </row>
    <row r="163" spans="2:40" ht="14" x14ac:dyDescent="0.15">
      <c r="B163" s="5" t="s">
        <v>116</v>
      </c>
      <c r="C163" s="6">
        <v>2502065.3531999998</v>
      </c>
      <c r="D163" s="7">
        <v>2.0510670000000002E-2</v>
      </c>
      <c r="F163" s="8">
        <v>144249.6324</v>
      </c>
      <c r="G163" s="7">
        <v>1.9923739999999999E-2</v>
      </c>
      <c r="I163" s="8">
        <v>167507.98199999999</v>
      </c>
      <c r="J163" s="7">
        <v>2.0145650000000001E-2</v>
      </c>
      <c r="L163" s="8">
        <v>237601.2395</v>
      </c>
      <c r="M163" s="7">
        <v>2.1369780000000001E-2</v>
      </c>
      <c r="O163" s="8">
        <v>179874.04180000001</v>
      </c>
      <c r="P163" s="7">
        <v>2.034217E-2</v>
      </c>
      <c r="R163" s="8">
        <v>235614.09349999999</v>
      </c>
      <c r="S163" s="7">
        <v>2.126927E-2</v>
      </c>
      <c r="U163" s="8">
        <v>217667.42389999999</v>
      </c>
      <c r="V163" s="7">
        <v>1.9954619999999999E-2</v>
      </c>
      <c r="X163" s="8">
        <v>183219.5269</v>
      </c>
      <c r="Y163" s="7">
        <v>1.951102E-2</v>
      </c>
      <c r="AA163" s="8">
        <v>204950.99609999999</v>
      </c>
      <c r="AB163" s="7">
        <v>1.9994919999999999E-2</v>
      </c>
      <c r="AD163" s="8">
        <v>261490.61489999999</v>
      </c>
      <c r="AE163" s="7">
        <v>2.0274239999999999E-2</v>
      </c>
      <c r="AG163" s="8">
        <v>270150.91230000003</v>
      </c>
      <c r="AH163" s="7">
        <v>2.1808830000000001E-2</v>
      </c>
      <c r="AJ163" s="8">
        <v>226947.76240000001</v>
      </c>
      <c r="AK163" s="7">
        <v>2.1023960000000001E-2</v>
      </c>
      <c r="AM163" s="8">
        <v>172791.1275</v>
      </c>
      <c r="AN163" s="7">
        <v>1.9710559999999998E-2</v>
      </c>
    </row>
    <row r="164" spans="2:40" ht="14" x14ac:dyDescent="0.15">
      <c r="B164" s="5" t="s">
        <v>117</v>
      </c>
      <c r="C164" s="6">
        <v>1755859.2709999999</v>
      </c>
      <c r="D164" s="7">
        <v>1.4393649999999999E-2</v>
      </c>
      <c r="F164" s="8">
        <v>102437.7404</v>
      </c>
      <c r="G164" s="7">
        <v>1.414869E-2</v>
      </c>
      <c r="I164" s="8">
        <v>119315.4513</v>
      </c>
      <c r="J164" s="7">
        <v>1.434969E-2</v>
      </c>
      <c r="L164" s="8">
        <v>167411.33689999999</v>
      </c>
      <c r="M164" s="7">
        <v>1.505693E-2</v>
      </c>
      <c r="O164" s="8">
        <v>126269.8051</v>
      </c>
      <c r="P164" s="7">
        <v>1.4280009999999999E-2</v>
      </c>
      <c r="R164" s="8">
        <v>164536.08199999999</v>
      </c>
      <c r="S164" s="7">
        <v>1.485294E-2</v>
      </c>
      <c r="U164" s="8">
        <v>151240.5533</v>
      </c>
      <c r="V164" s="7">
        <v>1.3864949999999999E-2</v>
      </c>
      <c r="X164" s="8">
        <v>126618.88069999999</v>
      </c>
      <c r="Y164" s="7">
        <v>1.348363E-2</v>
      </c>
      <c r="AA164" s="8">
        <v>141832.37330000001</v>
      </c>
      <c r="AB164" s="7">
        <v>1.38371E-2</v>
      </c>
      <c r="AD164" s="8">
        <v>183333.52290000001</v>
      </c>
      <c r="AE164" s="7">
        <v>1.421446E-2</v>
      </c>
      <c r="AG164" s="8">
        <v>189808.1385</v>
      </c>
      <c r="AH164" s="7">
        <v>1.532289E-2</v>
      </c>
      <c r="AJ164" s="8">
        <v>160826.73800000001</v>
      </c>
      <c r="AK164" s="7">
        <v>1.4898649999999999E-2</v>
      </c>
      <c r="AM164" s="8">
        <v>122228.6486</v>
      </c>
      <c r="AN164" s="7">
        <v>1.394282E-2</v>
      </c>
    </row>
    <row r="165" spans="2:40" ht="14" x14ac:dyDescent="0.15">
      <c r="B165" s="5" t="s">
        <v>118</v>
      </c>
      <c r="C165" s="6">
        <v>592089.2746</v>
      </c>
      <c r="D165" s="7">
        <v>4.8536500000000002E-3</v>
      </c>
      <c r="F165" s="8">
        <v>41108.1466</v>
      </c>
      <c r="G165" s="7">
        <v>5.6778499999999999E-3</v>
      </c>
      <c r="I165" s="8">
        <v>43713.8151</v>
      </c>
      <c r="J165" s="7">
        <v>5.2573199999999994E-3</v>
      </c>
      <c r="L165" s="8">
        <v>50105.742200000001</v>
      </c>
      <c r="M165" s="7">
        <v>4.5065000000000001E-3</v>
      </c>
      <c r="O165" s="8">
        <v>47175.474999999999</v>
      </c>
      <c r="P165" s="7">
        <v>5.3351300000000004E-3</v>
      </c>
      <c r="R165" s="8">
        <v>56055.0746</v>
      </c>
      <c r="S165" s="7">
        <v>5.0601800000000001E-3</v>
      </c>
      <c r="U165" s="8">
        <v>50117.468500000003</v>
      </c>
      <c r="V165" s="7">
        <v>4.5945099999999996E-3</v>
      </c>
      <c r="X165" s="8">
        <v>47691.346299999997</v>
      </c>
      <c r="Y165" s="7">
        <v>5.0786399999999997E-3</v>
      </c>
      <c r="AA165" s="8">
        <v>51111.215300000003</v>
      </c>
      <c r="AB165" s="7">
        <v>4.9863900000000003E-3</v>
      </c>
      <c r="AD165" s="8">
        <v>54698.928200000002</v>
      </c>
      <c r="AE165" s="7">
        <v>4.24099E-3</v>
      </c>
      <c r="AG165" s="8">
        <v>53294.206700000002</v>
      </c>
      <c r="AH165" s="7">
        <v>4.3023499999999999E-3</v>
      </c>
      <c r="AJ165" s="8">
        <v>50259.500399999997</v>
      </c>
      <c r="AK165" s="7">
        <v>4.65593E-3</v>
      </c>
      <c r="AM165" s="8">
        <v>46758.3557</v>
      </c>
      <c r="AN165" s="7">
        <v>5.3337999999999997E-3</v>
      </c>
    </row>
    <row r="166" spans="2:40" ht="14" x14ac:dyDescent="0.15">
      <c r="B166" s="5" t="s">
        <v>119</v>
      </c>
      <c r="C166" s="6">
        <v>571514.40899999999</v>
      </c>
      <c r="D166" s="7">
        <v>4.68499E-3</v>
      </c>
      <c r="F166" s="8">
        <v>34005.2618</v>
      </c>
      <c r="G166" s="7">
        <v>4.6968000000000001E-3</v>
      </c>
      <c r="I166" s="8">
        <v>40279.430200000003</v>
      </c>
      <c r="J166" s="7">
        <v>4.8442800000000003E-3</v>
      </c>
      <c r="L166" s="8">
        <v>53194.911800000002</v>
      </c>
      <c r="M166" s="7">
        <v>4.7843299999999998E-3</v>
      </c>
      <c r="O166" s="8">
        <v>42762.072</v>
      </c>
      <c r="P166" s="7">
        <v>4.83601E-3</v>
      </c>
      <c r="R166" s="8">
        <v>52977.209600000002</v>
      </c>
      <c r="S166" s="7">
        <v>4.7823400000000004E-3</v>
      </c>
      <c r="U166" s="8">
        <v>50024.161800000002</v>
      </c>
      <c r="V166" s="7">
        <v>4.58596E-3</v>
      </c>
      <c r="X166" s="8">
        <v>40972.411599999999</v>
      </c>
      <c r="Y166" s="7">
        <v>4.3631499999999997E-3</v>
      </c>
      <c r="AA166" s="8">
        <v>44546.866699999999</v>
      </c>
      <c r="AB166" s="7">
        <v>4.3459700000000002E-3</v>
      </c>
      <c r="AD166" s="8">
        <v>59648.585099999997</v>
      </c>
      <c r="AE166" s="7">
        <v>4.6247500000000004E-3</v>
      </c>
      <c r="AG166" s="8">
        <v>59295.435599999997</v>
      </c>
      <c r="AH166" s="7">
        <v>4.7868199999999998E-3</v>
      </c>
      <c r="AJ166" s="8">
        <v>52691.743699999999</v>
      </c>
      <c r="AK166" s="7">
        <v>4.8812500000000002E-3</v>
      </c>
      <c r="AM166" s="8">
        <v>41116.319100000001</v>
      </c>
      <c r="AN166" s="7">
        <v>4.6902000000000003E-3</v>
      </c>
    </row>
    <row r="168" spans="2:40" ht="14" x14ac:dyDescent="0.15">
      <c r="B168" t="s">
        <v>120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R10:S10"/>
    <mergeCell ref="C10:D10"/>
    <mergeCell ref="F10:G10"/>
    <mergeCell ref="I10:J10"/>
    <mergeCell ref="L10:M10"/>
    <mergeCell ref="O10:P10"/>
    <mergeCell ref="AM10:AN10"/>
    <mergeCell ref="U10:V10"/>
    <mergeCell ref="X10:Y10"/>
    <mergeCell ref="AA10:AB10"/>
    <mergeCell ref="AD10:AE10"/>
    <mergeCell ref="AG10:AH10"/>
    <mergeCell ref="AJ10:AK10"/>
  </mergeCells>
  <pageMargins left="0.5" right="0.5" top="0.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C525-E5F6-4809-ADA8-3F606BB14B0D}">
  <sheetPr>
    <tabColor rgb="FF92D050"/>
    <pageSetUpPr fitToPage="1"/>
  </sheetPr>
  <dimension ref="A1:AF80"/>
  <sheetViews>
    <sheetView zoomScale="80" zoomScaleNormal="80" workbookViewId="0">
      <pane xSplit="1" ySplit="4" topLeftCell="K5" activePane="bottomRight" state="frozen"/>
      <selection pane="topRight"/>
      <selection pane="bottomLeft"/>
      <selection pane="bottomRight" activeCell="B2" sqref="B2:D2"/>
    </sheetView>
  </sheetViews>
  <sheetFormatPr baseColWidth="10" defaultColWidth="9.1640625" defaultRowHeight="14" outlineLevelRow="1" x14ac:dyDescent="0.15"/>
  <cols>
    <col min="1" max="1" width="49" style="103" customWidth="1"/>
    <col min="2" max="2" width="12.1640625" customWidth="1"/>
    <col min="3" max="3" width="12.1640625" style="33" customWidth="1"/>
    <col min="4" max="4" width="12.1640625" customWidth="1"/>
    <col min="5" max="5" width="1.1640625" customWidth="1"/>
    <col min="6" max="6" width="12.1640625" customWidth="1"/>
    <col min="7" max="7" width="12.1640625" style="33" customWidth="1"/>
    <col min="8" max="8" width="12.1640625" customWidth="1"/>
    <col min="9" max="9" width="1.1640625" customWidth="1"/>
    <col min="10" max="10" width="12.1640625" customWidth="1"/>
    <col min="11" max="11" width="12.1640625" style="33" customWidth="1"/>
    <col min="12" max="12" width="12.1640625" customWidth="1"/>
    <col min="13" max="13" width="1.1640625" customWidth="1"/>
    <col min="14" max="14" width="12.1640625" customWidth="1"/>
    <col min="15" max="15" width="12.1640625" style="33" customWidth="1"/>
    <col min="16" max="16" width="12.1640625" customWidth="1"/>
    <col min="17" max="17" width="1.1640625" customWidth="1"/>
    <col min="18" max="18" width="12.1640625" customWidth="1"/>
    <col min="19" max="19" width="12.1640625" style="33" customWidth="1"/>
    <col min="20" max="20" width="12.1640625" customWidth="1"/>
    <col min="21" max="21" width="1.1640625" customWidth="1"/>
    <col min="22" max="22" width="12.1640625" customWidth="1"/>
    <col min="23" max="23" width="12.1640625" style="33" customWidth="1"/>
    <col min="24" max="24" width="12.1640625" customWidth="1"/>
    <col min="25" max="25" width="1.1640625" customWidth="1"/>
    <col min="26" max="26" width="12.1640625" customWidth="1"/>
    <col min="27" max="27" width="12.1640625" style="33" customWidth="1"/>
    <col min="28" max="28" width="12.1640625" customWidth="1"/>
    <col min="29" max="29" width="1.1640625" customWidth="1"/>
    <col min="30" max="30" width="12.1640625" customWidth="1"/>
    <col min="31" max="31" width="2.5" customWidth="1"/>
  </cols>
  <sheetData>
    <row r="1" spans="1:32" ht="35.5" customHeight="1" thickBot="1" x14ac:dyDescent="0.2">
      <c r="A1" s="269" t="s">
        <v>413</v>
      </c>
      <c r="B1" s="346">
        <v>45800</v>
      </c>
      <c r="C1" s="346"/>
      <c r="G1"/>
      <c r="K1"/>
      <c r="O1"/>
      <c r="S1"/>
      <c r="W1"/>
      <c r="AA1"/>
    </row>
    <row r="2" spans="1:32" ht="24" customHeight="1" x14ac:dyDescent="0.15">
      <c r="A2" s="221" t="s">
        <v>123</v>
      </c>
      <c r="B2" s="345" t="s">
        <v>326</v>
      </c>
      <c r="C2" s="345"/>
      <c r="D2" s="345"/>
      <c r="E2" s="47"/>
      <c r="F2" s="345" t="s">
        <v>322</v>
      </c>
      <c r="G2" s="345"/>
      <c r="H2" s="345"/>
      <c r="I2" s="47"/>
      <c r="J2" s="345" t="s">
        <v>323</v>
      </c>
      <c r="K2" s="345"/>
      <c r="L2" s="345"/>
      <c r="M2" s="47"/>
      <c r="N2" s="345" t="s">
        <v>324</v>
      </c>
      <c r="O2" s="345"/>
      <c r="P2" s="345"/>
      <c r="Q2" s="47"/>
      <c r="R2" s="345" t="s">
        <v>307</v>
      </c>
      <c r="S2" s="345"/>
      <c r="T2" s="345"/>
      <c r="U2" s="47"/>
      <c r="V2" s="345" t="s">
        <v>312</v>
      </c>
      <c r="W2" s="345"/>
      <c r="X2" s="345"/>
      <c r="Y2" s="47"/>
      <c r="Z2" s="345" t="s">
        <v>325</v>
      </c>
      <c r="AA2" s="345"/>
      <c r="AB2" s="345"/>
      <c r="AC2" s="47"/>
      <c r="AD2" s="184" t="s">
        <v>390</v>
      </c>
    </row>
    <row r="3" spans="1:32" ht="24" customHeight="1" x14ac:dyDescent="0.15">
      <c r="A3" s="221"/>
      <c r="B3" s="266" t="s">
        <v>410</v>
      </c>
      <c r="C3" s="267" t="s">
        <v>411</v>
      </c>
      <c r="D3" s="266" t="s">
        <v>412</v>
      </c>
      <c r="E3" s="47"/>
      <c r="F3" s="266" t="s">
        <v>410</v>
      </c>
      <c r="G3" s="267" t="s">
        <v>411</v>
      </c>
      <c r="H3" s="266" t="s">
        <v>412</v>
      </c>
      <c r="I3" s="47"/>
      <c r="J3" s="266" t="s">
        <v>410</v>
      </c>
      <c r="K3" s="267" t="s">
        <v>411</v>
      </c>
      <c r="L3" s="266" t="s">
        <v>412</v>
      </c>
      <c r="M3" s="47"/>
      <c r="N3" s="266" t="s">
        <v>410</v>
      </c>
      <c r="O3" s="267" t="s">
        <v>411</v>
      </c>
      <c r="P3" s="266" t="s">
        <v>412</v>
      </c>
      <c r="Q3" s="47"/>
      <c r="R3" s="266" t="s">
        <v>410</v>
      </c>
      <c r="S3" s="267" t="s">
        <v>411</v>
      </c>
      <c r="T3" s="266" t="s">
        <v>412</v>
      </c>
      <c r="U3" s="47"/>
      <c r="V3" s="266" t="s">
        <v>410</v>
      </c>
      <c r="W3" s="267" t="s">
        <v>411</v>
      </c>
      <c r="X3" s="266" t="s">
        <v>412</v>
      </c>
      <c r="Y3" s="47"/>
      <c r="Z3" s="266" t="s">
        <v>410</v>
      </c>
      <c r="AA3" s="267" t="s">
        <v>411</v>
      </c>
      <c r="AB3" s="266" t="s">
        <v>412</v>
      </c>
      <c r="AC3" s="47"/>
      <c r="AD3" s="266" t="s">
        <v>412</v>
      </c>
    </row>
    <row r="4" spans="1:32" ht="6" customHeight="1" x14ac:dyDescent="0.15">
      <c r="A4" s="268"/>
      <c r="AD4" s="47"/>
    </row>
    <row r="5" spans="1:32" x14ac:dyDescent="0.15">
      <c r="A5" s="187" t="s">
        <v>327</v>
      </c>
      <c r="B5" s="177">
        <f>Dezember24!R4</f>
        <v>3000000</v>
      </c>
      <c r="C5" s="238">
        <v>3000000</v>
      </c>
      <c r="D5" s="177">
        <f>B5-'Exec.Summary_Liquiplanung ORG'!B4</f>
        <v>0</v>
      </c>
      <c r="F5" s="177">
        <f>Januar!B4</f>
        <v>3442499.73</v>
      </c>
      <c r="G5" s="238">
        <v>4761468.75</v>
      </c>
      <c r="H5" s="177">
        <f>F5-'Exec.Summary_Liquiplanung ORG'!C4</f>
        <v>-1318969.02</v>
      </c>
      <c r="J5" s="177">
        <f>Februar!B4</f>
        <v>4095387.8299999991</v>
      </c>
      <c r="K5" s="238">
        <v>6114525.220346326</v>
      </c>
      <c r="L5" s="177">
        <f>J5-'Exec.Summary_Liquiplanung ORG'!D4</f>
        <v>-2019137.3903463269</v>
      </c>
      <c r="N5" s="177">
        <f>März!B6</f>
        <v>4710438.2096599992</v>
      </c>
      <c r="O5" s="238">
        <v>6704388.8984827874</v>
      </c>
      <c r="P5" s="177">
        <f>N5-'Exec.Summary_Liquiplanung ORG'!E4</f>
        <v>-1993950.6888227882</v>
      </c>
      <c r="R5" s="177">
        <f>April!B4</f>
        <v>8081456.306072792</v>
      </c>
      <c r="S5" s="238">
        <v>5525812.7764416113</v>
      </c>
      <c r="T5" s="177">
        <f>R5-'Exec.Summary_Liquiplanung ORG'!F4</f>
        <v>2555643.5296311807</v>
      </c>
      <c r="V5" s="177">
        <f>Mai!B4</f>
        <v>10995169.233803123</v>
      </c>
      <c r="W5" s="238">
        <v>4526136.1668738313</v>
      </c>
      <c r="X5" s="177">
        <f>V5-'Exec.Summary_Liquiplanung ORG'!G4</f>
        <v>6469033.0669292919</v>
      </c>
      <c r="Z5" s="177">
        <f>Juni!B4</f>
        <v>9104878.2504321374</v>
      </c>
      <c r="AA5" s="238">
        <v>4258286.875068251</v>
      </c>
      <c r="AB5" s="177">
        <f>Z5-'Exec.Summary_Liquiplanung ORG'!H4</f>
        <v>4846591.3753638864</v>
      </c>
    </row>
    <row r="6" spans="1:32" ht="15.75" hidden="1" customHeight="1" thickBot="1" x14ac:dyDescent="0.2">
      <c r="A6" s="189" t="s">
        <v>262</v>
      </c>
      <c r="B6" s="178">
        <f>Dezember24!AH5</f>
        <v>0</v>
      </c>
      <c r="C6" s="240">
        <v>0</v>
      </c>
      <c r="D6" s="177">
        <f>B6-'Exec.Summary_Liquiplanung ORG'!B5</f>
        <v>0</v>
      </c>
      <c r="F6" s="178">
        <f>Januar!AH5</f>
        <v>0</v>
      </c>
      <c r="G6" s="240">
        <v>0</v>
      </c>
      <c r="H6" s="177">
        <f>F6-'Exec.Summary_Liquiplanung ORG'!C5</f>
        <v>0</v>
      </c>
      <c r="J6" s="178">
        <f>Februar!AH5</f>
        <v>0</v>
      </c>
      <c r="K6" s="240">
        <v>0</v>
      </c>
      <c r="L6" s="177">
        <f>J6-'Exec.Summary_Liquiplanung ORG'!D5</f>
        <v>0</v>
      </c>
      <c r="N6" s="178">
        <f>März!AH5</f>
        <v>0</v>
      </c>
      <c r="O6" s="240">
        <v>0</v>
      </c>
      <c r="P6" s="177">
        <f>N6-'Exec.Summary_Liquiplanung ORG'!E5</f>
        <v>0</v>
      </c>
      <c r="R6" s="178">
        <f>April!AH5</f>
        <v>0</v>
      </c>
      <c r="S6" s="240">
        <v>0</v>
      </c>
      <c r="T6" s="177">
        <f>R6-'Exec.Summary_Liquiplanung ORG'!F5</f>
        <v>0</v>
      </c>
      <c r="V6" s="178">
        <f>Mai!AH5</f>
        <v>0</v>
      </c>
      <c r="W6" s="240">
        <v>0</v>
      </c>
      <c r="X6" s="177">
        <f>V6-'Exec.Summary_Liquiplanung ORG'!G5</f>
        <v>0</v>
      </c>
      <c r="Z6" s="178">
        <f>Juni!AH5</f>
        <v>0</v>
      </c>
      <c r="AA6" s="240">
        <v>0</v>
      </c>
      <c r="AB6" s="177">
        <f>Z6-'Exec.Summary_Liquiplanung ORG'!H5</f>
        <v>0</v>
      </c>
    </row>
    <row r="7" spans="1:32" ht="15" hidden="1" customHeight="1" x14ac:dyDescent="0.15">
      <c r="A7" s="191" t="s">
        <v>261</v>
      </c>
      <c r="B7" s="177">
        <f>Dezember24!AH6</f>
        <v>0</v>
      </c>
      <c r="C7" s="238">
        <v>0</v>
      </c>
      <c r="D7" s="177">
        <f>B7-'Exec.Summary_Liquiplanung ORG'!B6</f>
        <v>0</v>
      </c>
      <c r="F7" s="177">
        <f>Januar!AH6</f>
        <v>3442499.73</v>
      </c>
      <c r="G7" s="238">
        <v>4761468.75</v>
      </c>
      <c r="H7" s="177">
        <f>F7-'Exec.Summary_Liquiplanung ORG'!C6</f>
        <v>-1318969.02</v>
      </c>
      <c r="J7" s="177">
        <f>Februar!AH6</f>
        <v>4095387.8299999991</v>
      </c>
      <c r="K7" s="238">
        <v>6114525.220346326</v>
      </c>
      <c r="L7" s="177">
        <f>J7-'Exec.Summary_Liquiplanung ORG'!D6</f>
        <v>-2019137.3903463269</v>
      </c>
      <c r="N7" s="177">
        <f>März!AH6</f>
        <v>4710438.2096599992</v>
      </c>
      <c r="O7" s="238">
        <v>6704388.8984827874</v>
      </c>
      <c r="P7" s="177">
        <f>N7-'Exec.Summary_Liquiplanung ORG'!E6</f>
        <v>-1993950.6888227882</v>
      </c>
      <c r="R7" s="177">
        <f>April!AH6</f>
        <v>8081456.306072792</v>
      </c>
      <c r="S7" s="238">
        <v>5525812.7764416113</v>
      </c>
      <c r="T7" s="177">
        <f>R7-'Exec.Summary_Liquiplanung ORG'!F6</f>
        <v>2555643.5296311807</v>
      </c>
      <c r="V7" s="177">
        <f>Mai!AH6</f>
        <v>10995169.233803123</v>
      </c>
      <c r="W7" s="238">
        <v>4526136.1668738313</v>
      </c>
      <c r="X7" s="177">
        <f>V7-'Exec.Summary_Liquiplanung ORG'!G6</f>
        <v>6469033.0669292919</v>
      </c>
      <c r="Z7" s="177">
        <f>Juni!AH6</f>
        <v>9104878.2504321374</v>
      </c>
      <c r="AA7" s="238">
        <v>4258286.875068251</v>
      </c>
      <c r="AB7" s="177">
        <f>Z7-'Exec.Summary_Liquiplanung ORG'!H6</f>
        <v>4846591.3753638864</v>
      </c>
    </row>
    <row r="8" spans="1:32" x14ac:dyDescent="0.15">
      <c r="A8" s="192" t="s">
        <v>260</v>
      </c>
      <c r="B8" s="193"/>
      <c r="C8" s="242"/>
      <c r="D8" s="193"/>
      <c r="F8" s="193"/>
      <c r="G8" s="242"/>
      <c r="H8" s="193"/>
      <c r="J8" s="193"/>
      <c r="K8" s="242"/>
      <c r="L8" s="193"/>
      <c r="N8" s="193"/>
      <c r="O8" s="242"/>
      <c r="P8" s="193"/>
      <c r="R8" s="193"/>
      <c r="S8" s="242"/>
      <c r="T8" s="193"/>
      <c r="V8" s="193" t="str">
        <f>Mai!AH7</f>
        <v xml:space="preserve"> </v>
      </c>
      <c r="W8" s="242" t="s">
        <v>219</v>
      </c>
      <c r="X8" s="193"/>
      <c r="Z8" s="193" t="str">
        <f>Juni!AH7</f>
        <v xml:space="preserve"> </v>
      </c>
      <c r="AA8" s="242" t="s">
        <v>219</v>
      </c>
      <c r="AB8" s="193"/>
      <c r="AD8" s="257"/>
    </row>
    <row r="9" spans="1:32" ht="14.5" customHeight="1" x14ac:dyDescent="0.15">
      <c r="A9" s="195" t="s">
        <v>259</v>
      </c>
      <c r="B9" s="177">
        <f>Dezember24!AH8</f>
        <v>0</v>
      </c>
      <c r="C9" s="238">
        <v>0</v>
      </c>
      <c r="D9" s="177">
        <f>B9-'Exec.Summary_Liquiplanung ORG'!B8</f>
        <v>0</v>
      </c>
      <c r="F9" s="177">
        <f>Januar!AH8</f>
        <v>1336978.3400000001</v>
      </c>
      <c r="G9" s="238">
        <v>1985625.6100959999</v>
      </c>
      <c r="H9" s="177">
        <f>F9-'Exec.Summary_Liquiplanung ORG'!C8</f>
        <v>-648647.27009599982</v>
      </c>
      <c r="J9" s="177">
        <f>Februar!AH8</f>
        <v>-227726.59999999998</v>
      </c>
      <c r="K9" s="238">
        <v>0</v>
      </c>
      <c r="L9" s="177">
        <f>J9-'Exec.Summary_Liquiplanung ORG'!D8</f>
        <v>-227726.59999999998</v>
      </c>
      <c r="N9" s="177">
        <f>März!AH8</f>
        <v>1756520.38</v>
      </c>
      <c r="O9" s="238">
        <v>2155965.0853739991</v>
      </c>
      <c r="P9" s="177">
        <f>N9-'Exec.Summary_Liquiplanung ORG'!E8</f>
        <v>-399444.7053739992</v>
      </c>
      <c r="R9" s="177">
        <f>April!AH8</f>
        <v>2715108</v>
      </c>
      <c r="S9" s="238">
        <v>1910266.6056409997</v>
      </c>
      <c r="T9" s="177">
        <f>R9-'Exec.Summary_Liquiplanung ORG'!F8</f>
        <v>804841.39435900026</v>
      </c>
      <c r="V9" s="177">
        <f>Mai!AH8</f>
        <v>3884517</v>
      </c>
      <c r="W9" s="238">
        <v>2025043.0844159995</v>
      </c>
      <c r="X9" s="177">
        <f>V9-'Exec.Summary_Liquiplanung ORG'!G8</f>
        <v>1859473.9155840005</v>
      </c>
      <c r="Z9" s="177">
        <f>Juni!AH8</f>
        <v>0</v>
      </c>
      <c r="AA9" s="238">
        <v>1910725.9401669998</v>
      </c>
      <c r="AB9" s="177">
        <f>Z9-'Exec.Summary_Liquiplanung ORG'!H8</f>
        <v>-1910725.9401669998</v>
      </c>
      <c r="AD9" s="177">
        <v>-621610.88243199978</v>
      </c>
      <c r="AF9" s="270" t="s">
        <v>414</v>
      </c>
    </row>
    <row r="10" spans="1:32" ht="14.25" hidden="1" customHeight="1" x14ac:dyDescent="0.15">
      <c r="A10" s="196" t="s">
        <v>258</v>
      </c>
      <c r="B10" s="177">
        <f>Dezember24!AH9</f>
        <v>0</v>
      </c>
      <c r="C10" s="238">
        <v>0</v>
      </c>
      <c r="D10" s="177">
        <f>B10-'Exec.Summary_Liquiplanung ORG'!B9</f>
        <v>0</v>
      </c>
      <c r="F10" s="177">
        <f>Januar!AH9</f>
        <v>0</v>
      </c>
      <c r="G10" s="238">
        <v>0</v>
      </c>
      <c r="H10" s="177">
        <f>F10-'Exec.Summary_Liquiplanung ORG'!C9</f>
        <v>0</v>
      </c>
      <c r="J10" s="177">
        <f>Februar!AH9</f>
        <v>0</v>
      </c>
      <c r="K10" s="238">
        <v>0</v>
      </c>
      <c r="L10" s="177">
        <f>J10-'Exec.Summary_Liquiplanung ORG'!D9</f>
        <v>0</v>
      </c>
      <c r="N10" s="177">
        <f>März!AH9</f>
        <v>0</v>
      </c>
      <c r="O10" s="238">
        <v>0</v>
      </c>
      <c r="P10" s="177">
        <f>N10-'Exec.Summary_Liquiplanung ORG'!E9</f>
        <v>0</v>
      </c>
      <c r="R10" s="177">
        <f>April!AH9</f>
        <v>0</v>
      </c>
      <c r="S10" s="238">
        <v>0</v>
      </c>
      <c r="T10" s="177">
        <f>R10-'Exec.Summary_Liquiplanung ORG'!F9</f>
        <v>0</v>
      </c>
      <c r="V10" s="177">
        <f>Mai!AH9</f>
        <v>0</v>
      </c>
      <c r="W10" s="238">
        <v>0</v>
      </c>
      <c r="X10" s="177">
        <f>V10-'Exec.Summary_Liquiplanung ORG'!G9</f>
        <v>0</v>
      </c>
      <c r="Z10" s="177">
        <f>Juni!AH9</f>
        <v>0</v>
      </c>
      <c r="AA10" s="238">
        <v>0</v>
      </c>
      <c r="AB10" s="177">
        <f>Z10-'Exec.Summary_Liquiplanung ORG'!H9</f>
        <v>0</v>
      </c>
      <c r="AD10" s="177">
        <v>0</v>
      </c>
      <c r="AF10" s="212"/>
    </row>
    <row r="11" spans="1:32" x14ac:dyDescent="0.15">
      <c r="A11" s="195" t="s">
        <v>257</v>
      </c>
      <c r="B11" s="177">
        <f>Dezember24!AH10</f>
        <v>65390</v>
      </c>
      <c r="C11" s="238">
        <v>1250000</v>
      </c>
      <c r="D11" s="177">
        <f>B11-'Exec.Summary_Liquiplanung ORG'!B10</f>
        <v>-1184610</v>
      </c>
      <c r="F11" s="177">
        <f>Januar!AH10</f>
        <v>2712411.0500000003</v>
      </c>
      <c r="G11" s="238">
        <v>4050000</v>
      </c>
      <c r="H11" s="177">
        <f>F11-'Exec.Summary_Liquiplanung ORG'!C10</f>
        <v>-1337588.9499999997</v>
      </c>
      <c r="J11" s="177">
        <f>Februar!AH10</f>
        <v>5020228.13</v>
      </c>
      <c r="K11" s="238">
        <v>5142904.9284360018</v>
      </c>
      <c r="L11" s="177">
        <f>J11-'Exec.Summary_Liquiplanung ORG'!D10</f>
        <v>-122676.79843600187</v>
      </c>
      <c r="N11" s="177">
        <f>März!AH10</f>
        <v>3209571.6125159995</v>
      </c>
      <c r="O11" s="238">
        <v>6097028.2576802382</v>
      </c>
      <c r="P11" s="177">
        <f>N11-'Exec.Summary_Liquiplanung ORG'!E10</f>
        <v>-2887456.6451642388</v>
      </c>
      <c r="R11" s="177">
        <f>April!AH10</f>
        <v>1978234.1950539998</v>
      </c>
      <c r="S11" s="238">
        <v>4826493.0656050798</v>
      </c>
      <c r="T11" s="177">
        <f>R11-'Exec.Summary_Liquiplanung ORG'!F10</f>
        <v>-2848258.87055108</v>
      </c>
      <c r="V11" s="177">
        <f>Mai!AH10</f>
        <v>4806304.9566627517</v>
      </c>
      <c r="W11" s="238">
        <v>5720424.9335143156</v>
      </c>
      <c r="X11" s="177">
        <f>V11-'Exec.Summary_Liquiplanung ORG'!G10</f>
        <v>-914119.9768515639</v>
      </c>
      <c r="Z11" s="177">
        <f>Juni!AH10</f>
        <v>5122538.2009776663</v>
      </c>
      <c r="AA11" s="238">
        <v>6099134.1216166541</v>
      </c>
      <c r="AB11" s="177">
        <f>Z11-'Exec.Summary_Liquiplanung ORG'!H10</f>
        <v>-976595.92063898779</v>
      </c>
      <c r="AD11" s="177">
        <v>-1397337.4066643268</v>
      </c>
      <c r="AF11" s="270" t="s">
        <v>418</v>
      </c>
    </row>
    <row r="12" spans="1:32" ht="14.25" hidden="1" customHeight="1" outlineLevel="1" x14ac:dyDescent="0.15">
      <c r="A12" s="195" t="s">
        <v>256</v>
      </c>
      <c r="B12" s="177">
        <f>Dezember24!AH11</f>
        <v>0</v>
      </c>
      <c r="C12" s="238">
        <v>0</v>
      </c>
      <c r="D12" s="177">
        <f>B12-'Exec.Summary_Liquiplanung ORG'!B11</f>
        <v>0</v>
      </c>
      <c r="F12" s="177">
        <f>Januar!AH11</f>
        <v>80069</v>
      </c>
      <c r="G12" s="238">
        <v>0</v>
      </c>
      <c r="H12" s="177">
        <f>F12-'Exec.Summary_Liquiplanung ORG'!C11</f>
        <v>80069</v>
      </c>
      <c r="J12" s="177">
        <f>Februar!AH11</f>
        <v>0</v>
      </c>
      <c r="K12" s="238">
        <v>0</v>
      </c>
      <c r="L12" s="177">
        <f>J12-'Exec.Summary_Liquiplanung ORG'!D11</f>
        <v>0</v>
      </c>
      <c r="N12" s="177">
        <f>März!AH11</f>
        <v>0</v>
      </c>
      <c r="O12" s="238">
        <v>0</v>
      </c>
      <c r="P12" s="177">
        <f>N12-'Exec.Summary_Liquiplanung ORG'!E11</f>
        <v>0</v>
      </c>
      <c r="R12" s="177">
        <f>April!AH11</f>
        <v>0</v>
      </c>
      <c r="S12" s="238">
        <v>0</v>
      </c>
      <c r="T12" s="177">
        <f>R12-'Exec.Summary_Liquiplanung ORG'!F11</f>
        <v>0</v>
      </c>
      <c r="V12" s="177">
        <f>Mai!AH11</f>
        <v>0</v>
      </c>
      <c r="W12" s="238">
        <v>0</v>
      </c>
      <c r="X12" s="177">
        <f>V12-'Exec.Summary_Liquiplanung ORG'!G11</f>
        <v>0</v>
      </c>
      <c r="Z12" s="177">
        <f>Juni!AH11</f>
        <v>0</v>
      </c>
      <c r="AA12" s="238">
        <v>0</v>
      </c>
      <c r="AB12" s="177">
        <f>Z12-'Exec.Summary_Liquiplanung ORG'!H11</f>
        <v>0</v>
      </c>
      <c r="AD12" s="177">
        <v>80069</v>
      </c>
      <c r="AF12" s="212"/>
    </row>
    <row r="13" spans="1:32" ht="14.25" hidden="1" customHeight="1" outlineLevel="1" x14ac:dyDescent="0.15">
      <c r="A13" s="195" t="s">
        <v>255</v>
      </c>
      <c r="B13" s="177">
        <f>Dezember24!AH12</f>
        <v>0</v>
      </c>
      <c r="C13" s="238">
        <v>0</v>
      </c>
      <c r="D13" s="177">
        <f>B13-'Exec.Summary_Liquiplanung ORG'!B12</f>
        <v>0</v>
      </c>
      <c r="F13" s="177">
        <f>Januar!AH12</f>
        <v>541051.79</v>
      </c>
      <c r="G13" s="238">
        <v>0</v>
      </c>
      <c r="H13" s="177">
        <f>F13-'Exec.Summary_Liquiplanung ORG'!C12</f>
        <v>541051.79</v>
      </c>
      <c r="J13" s="177">
        <f>Februar!AH12</f>
        <v>0</v>
      </c>
      <c r="K13" s="238">
        <v>0</v>
      </c>
      <c r="L13" s="177">
        <f>J13-'Exec.Summary_Liquiplanung ORG'!D12</f>
        <v>0</v>
      </c>
      <c r="N13" s="177">
        <f>März!AH12</f>
        <v>0</v>
      </c>
      <c r="O13" s="238">
        <v>0</v>
      </c>
      <c r="P13" s="177">
        <f>N13-'Exec.Summary_Liquiplanung ORG'!E12</f>
        <v>0</v>
      </c>
      <c r="R13" s="177">
        <f>April!AH12</f>
        <v>0</v>
      </c>
      <c r="S13" s="238">
        <v>0</v>
      </c>
      <c r="T13" s="177">
        <f>R13-'Exec.Summary_Liquiplanung ORG'!F12</f>
        <v>0</v>
      </c>
      <c r="V13" s="177">
        <f>Mai!AH12</f>
        <v>0</v>
      </c>
      <c r="W13" s="238">
        <v>0</v>
      </c>
      <c r="X13" s="177">
        <f>V13-'Exec.Summary_Liquiplanung ORG'!G12</f>
        <v>0</v>
      </c>
      <c r="Z13" s="177">
        <f>Juni!AH12</f>
        <v>0</v>
      </c>
      <c r="AA13" s="238">
        <v>0</v>
      </c>
      <c r="AB13" s="177">
        <f>Z13-'Exec.Summary_Liquiplanung ORG'!H12</f>
        <v>0</v>
      </c>
      <c r="AD13" s="177">
        <v>541051.79</v>
      </c>
      <c r="AF13" s="212"/>
    </row>
    <row r="14" spans="1:32" ht="14.25" hidden="1" customHeight="1" outlineLevel="1" x14ac:dyDescent="0.15">
      <c r="A14" s="195" t="s">
        <v>254</v>
      </c>
      <c r="B14" s="177">
        <f>Dezember24!AH13</f>
        <v>0</v>
      </c>
      <c r="C14" s="238">
        <v>0</v>
      </c>
      <c r="D14" s="177">
        <f>B14-'Exec.Summary_Liquiplanung ORG'!B13</f>
        <v>0</v>
      </c>
      <c r="F14" s="177">
        <f>Januar!AH13</f>
        <v>148000</v>
      </c>
      <c r="G14" s="238">
        <v>0</v>
      </c>
      <c r="H14" s="177">
        <f>F14-'Exec.Summary_Liquiplanung ORG'!C13</f>
        <v>148000</v>
      </c>
      <c r="J14" s="177">
        <f>Februar!AH13</f>
        <v>0</v>
      </c>
      <c r="K14" s="238">
        <v>0</v>
      </c>
      <c r="L14" s="177">
        <f>J14-'Exec.Summary_Liquiplanung ORG'!D13</f>
        <v>0</v>
      </c>
      <c r="N14" s="177">
        <f>März!AH13</f>
        <v>0</v>
      </c>
      <c r="O14" s="238">
        <v>0</v>
      </c>
      <c r="P14" s="177">
        <f>N14-'Exec.Summary_Liquiplanung ORG'!E13</f>
        <v>0</v>
      </c>
      <c r="R14" s="177">
        <f>April!AH13</f>
        <v>0</v>
      </c>
      <c r="S14" s="238">
        <v>0</v>
      </c>
      <c r="T14" s="177">
        <f>R14-'Exec.Summary_Liquiplanung ORG'!F13</f>
        <v>0</v>
      </c>
      <c r="V14" s="177">
        <f>Mai!AH13</f>
        <v>0</v>
      </c>
      <c r="W14" s="238">
        <v>0</v>
      </c>
      <c r="X14" s="177">
        <f>V14-'Exec.Summary_Liquiplanung ORG'!G13</f>
        <v>0</v>
      </c>
      <c r="Z14" s="177">
        <f>Juni!AH13</f>
        <v>0</v>
      </c>
      <c r="AA14" s="238">
        <v>0</v>
      </c>
      <c r="AB14" s="177">
        <f>Z14-'Exec.Summary_Liquiplanung ORG'!H13</f>
        <v>0</v>
      </c>
      <c r="AD14" s="177">
        <v>148000</v>
      </c>
      <c r="AF14" s="212"/>
    </row>
    <row r="15" spans="1:32" ht="14.25" hidden="1" customHeight="1" outlineLevel="1" x14ac:dyDescent="0.15">
      <c r="A15" s="195" t="s">
        <v>253</v>
      </c>
      <c r="B15" s="177">
        <f>Dezember24!AH14</f>
        <v>0</v>
      </c>
      <c r="C15" s="238">
        <v>0</v>
      </c>
      <c r="D15" s="177">
        <f>B15-'Exec.Summary_Liquiplanung ORG'!B14</f>
        <v>0</v>
      </c>
      <c r="F15" s="177">
        <f>Januar!AH14</f>
        <v>393051.79</v>
      </c>
      <c r="G15" s="238">
        <v>0</v>
      </c>
      <c r="H15" s="177">
        <f>F15-'Exec.Summary_Liquiplanung ORG'!C14</f>
        <v>393051.79</v>
      </c>
      <c r="J15" s="177">
        <f>Februar!AH14</f>
        <v>0</v>
      </c>
      <c r="K15" s="238">
        <v>0</v>
      </c>
      <c r="L15" s="177">
        <f>J15-'Exec.Summary_Liquiplanung ORG'!D14</f>
        <v>0</v>
      </c>
      <c r="N15" s="177">
        <f>März!AH14</f>
        <v>0</v>
      </c>
      <c r="O15" s="238">
        <v>0</v>
      </c>
      <c r="P15" s="177">
        <f>N15-'Exec.Summary_Liquiplanung ORG'!E14</f>
        <v>0</v>
      </c>
      <c r="R15" s="177">
        <f>April!AH14</f>
        <v>0</v>
      </c>
      <c r="S15" s="238">
        <v>0</v>
      </c>
      <c r="T15" s="177">
        <f>R15-'Exec.Summary_Liquiplanung ORG'!F14</f>
        <v>0</v>
      </c>
      <c r="V15" s="177">
        <f>Mai!AH14</f>
        <v>0</v>
      </c>
      <c r="W15" s="238">
        <v>0</v>
      </c>
      <c r="X15" s="177">
        <f>V15-'Exec.Summary_Liquiplanung ORG'!G14</f>
        <v>0</v>
      </c>
      <c r="Z15" s="177">
        <f>Juni!AH14</f>
        <v>0</v>
      </c>
      <c r="AA15" s="238">
        <v>0</v>
      </c>
      <c r="AB15" s="177">
        <f>Z15-'Exec.Summary_Liquiplanung ORG'!H14</f>
        <v>0</v>
      </c>
      <c r="AD15" s="177">
        <v>393051.79</v>
      </c>
      <c r="AF15" s="212"/>
    </row>
    <row r="16" spans="1:32" ht="14.25" hidden="1" customHeight="1" outlineLevel="1" x14ac:dyDescent="0.15">
      <c r="A16" s="195" t="s">
        <v>252</v>
      </c>
      <c r="B16" s="177">
        <f>Dezember24!AH15</f>
        <v>0</v>
      </c>
      <c r="C16" s="238">
        <v>0</v>
      </c>
      <c r="D16" s="177">
        <f>B16-'Exec.Summary_Liquiplanung ORG'!B15</f>
        <v>0</v>
      </c>
      <c r="F16" s="177">
        <f>Januar!AH15</f>
        <v>0</v>
      </c>
      <c r="G16" s="238">
        <v>0</v>
      </c>
      <c r="H16" s="177">
        <f>F16-'Exec.Summary_Liquiplanung ORG'!C15</f>
        <v>0</v>
      </c>
      <c r="J16" s="177">
        <f>Februar!AH15</f>
        <v>0</v>
      </c>
      <c r="K16" s="238">
        <v>0</v>
      </c>
      <c r="L16" s="177">
        <f>J16-'Exec.Summary_Liquiplanung ORG'!D15</f>
        <v>0</v>
      </c>
      <c r="N16" s="177">
        <f>März!AH15</f>
        <v>0</v>
      </c>
      <c r="O16" s="238">
        <v>0</v>
      </c>
      <c r="P16" s="177">
        <f>N16-'Exec.Summary_Liquiplanung ORG'!E15</f>
        <v>0</v>
      </c>
      <c r="R16" s="177">
        <f>April!AH15</f>
        <v>0</v>
      </c>
      <c r="S16" s="238">
        <v>0</v>
      </c>
      <c r="T16" s="177">
        <f>R16-'Exec.Summary_Liquiplanung ORG'!F15</f>
        <v>0</v>
      </c>
      <c r="V16" s="177">
        <f>Mai!AH15</f>
        <v>0</v>
      </c>
      <c r="W16" s="238">
        <v>0</v>
      </c>
      <c r="X16" s="177">
        <f>V16-'Exec.Summary_Liquiplanung ORG'!G15</f>
        <v>0</v>
      </c>
      <c r="Z16" s="177">
        <f>Juni!AH15</f>
        <v>0</v>
      </c>
      <c r="AA16" s="238">
        <v>0</v>
      </c>
      <c r="AB16" s="177">
        <f>Z16-'Exec.Summary_Liquiplanung ORG'!H15</f>
        <v>0</v>
      </c>
      <c r="AD16" s="177">
        <v>0</v>
      </c>
      <c r="AF16" s="212"/>
    </row>
    <row r="17" spans="1:32" ht="14.25" hidden="1" customHeight="1" outlineLevel="1" x14ac:dyDescent="0.15">
      <c r="A17" s="195" t="s">
        <v>251</v>
      </c>
      <c r="B17" s="177">
        <f>Dezember24!AH16</f>
        <v>0</v>
      </c>
      <c r="C17" s="238">
        <v>0</v>
      </c>
      <c r="D17" s="177">
        <f>B17-'Exec.Summary_Liquiplanung ORG'!B16</f>
        <v>0</v>
      </c>
      <c r="F17" s="177">
        <f>Januar!AH16</f>
        <v>0</v>
      </c>
      <c r="G17" s="238">
        <v>0</v>
      </c>
      <c r="H17" s="177">
        <f>F17-'Exec.Summary_Liquiplanung ORG'!C16</f>
        <v>0</v>
      </c>
      <c r="J17" s="177">
        <f>Februar!AH16</f>
        <v>0</v>
      </c>
      <c r="K17" s="238">
        <v>0</v>
      </c>
      <c r="L17" s="177">
        <f>J17-'Exec.Summary_Liquiplanung ORG'!D16</f>
        <v>0</v>
      </c>
      <c r="N17" s="177">
        <f>März!AH16</f>
        <v>0</v>
      </c>
      <c r="O17" s="238">
        <v>0</v>
      </c>
      <c r="P17" s="177">
        <f>N17-'Exec.Summary_Liquiplanung ORG'!E16</f>
        <v>0</v>
      </c>
      <c r="R17" s="177">
        <f>April!AH16</f>
        <v>0</v>
      </c>
      <c r="S17" s="238">
        <v>0</v>
      </c>
      <c r="T17" s="177">
        <f>R17-'Exec.Summary_Liquiplanung ORG'!F16</f>
        <v>0</v>
      </c>
      <c r="V17" s="177">
        <f>Mai!AH16</f>
        <v>0</v>
      </c>
      <c r="W17" s="238">
        <v>0</v>
      </c>
      <c r="X17" s="177">
        <f>V17-'Exec.Summary_Liquiplanung ORG'!G16</f>
        <v>0</v>
      </c>
      <c r="Z17" s="177">
        <f>Juni!AH16</f>
        <v>0</v>
      </c>
      <c r="AA17" s="238">
        <v>0</v>
      </c>
      <c r="AB17" s="177">
        <f>Z17-'Exec.Summary_Liquiplanung ORG'!H16</f>
        <v>0</v>
      </c>
      <c r="AD17" s="177">
        <v>0</v>
      </c>
      <c r="AF17" s="212"/>
    </row>
    <row r="18" spans="1:32" ht="14.25" hidden="1" customHeight="1" outlineLevel="1" x14ac:dyDescent="0.15">
      <c r="A18" s="195" t="s">
        <v>250</v>
      </c>
      <c r="B18" s="177">
        <f>Dezember24!AH17</f>
        <v>0</v>
      </c>
      <c r="C18" s="238">
        <v>0</v>
      </c>
      <c r="D18" s="177">
        <f>B18-'Exec.Summary_Liquiplanung ORG'!B17</f>
        <v>0</v>
      </c>
      <c r="F18" s="177">
        <f>Januar!AH17</f>
        <v>0</v>
      </c>
      <c r="G18" s="238">
        <v>0</v>
      </c>
      <c r="H18" s="177">
        <f>F18-'Exec.Summary_Liquiplanung ORG'!C17</f>
        <v>0</v>
      </c>
      <c r="J18" s="177">
        <f>Februar!AH17</f>
        <v>0</v>
      </c>
      <c r="K18" s="238">
        <v>0</v>
      </c>
      <c r="L18" s="177">
        <f>J18-'Exec.Summary_Liquiplanung ORG'!D17</f>
        <v>0</v>
      </c>
      <c r="N18" s="177">
        <f>März!AH17</f>
        <v>0</v>
      </c>
      <c r="O18" s="238">
        <v>0</v>
      </c>
      <c r="P18" s="177">
        <f>N18-'Exec.Summary_Liquiplanung ORG'!E17</f>
        <v>0</v>
      </c>
      <c r="R18" s="177">
        <f>April!AH17</f>
        <v>0</v>
      </c>
      <c r="S18" s="238">
        <v>0</v>
      </c>
      <c r="T18" s="177">
        <f>R18-'Exec.Summary_Liquiplanung ORG'!F17</f>
        <v>0</v>
      </c>
      <c r="V18" s="177">
        <f>Mai!AH17</f>
        <v>0</v>
      </c>
      <c r="W18" s="238">
        <v>0</v>
      </c>
      <c r="X18" s="177">
        <f>V18-'Exec.Summary_Liquiplanung ORG'!G17</f>
        <v>0</v>
      </c>
      <c r="Z18" s="177">
        <f>Juni!AH17</f>
        <v>0</v>
      </c>
      <c r="AA18" s="238">
        <v>0</v>
      </c>
      <c r="AB18" s="177">
        <f>Z18-'Exec.Summary_Liquiplanung ORG'!H17</f>
        <v>0</v>
      </c>
      <c r="AD18" s="177">
        <v>0</v>
      </c>
      <c r="AF18" s="212"/>
    </row>
    <row r="19" spans="1:32" ht="14.25" hidden="1" customHeight="1" outlineLevel="1" x14ac:dyDescent="0.15">
      <c r="A19" s="195" t="s">
        <v>249</v>
      </c>
      <c r="B19" s="177">
        <f>Dezember24!AH18</f>
        <v>0</v>
      </c>
      <c r="C19" s="238">
        <v>0</v>
      </c>
      <c r="D19" s="177">
        <f>B19-'Exec.Summary_Liquiplanung ORG'!B18</f>
        <v>0</v>
      </c>
      <c r="F19" s="177">
        <f>Januar!AH18</f>
        <v>0</v>
      </c>
      <c r="G19" s="238">
        <v>0</v>
      </c>
      <c r="H19" s="177">
        <f>F19-'Exec.Summary_Liquiplanung ORG'!C18</f>
        <v>0</v>
      </c>
      <c r="J19" s="177">
        <f>Februar!AH18</f>
        <v>0</v>
      </c>
      <c r="K19" s="238">
        <v>0</v>
      </c>
      <c r="L19" s="177">
        <f>J19-'Exec.Summary_Liquiplanung ORG'!D18</f>
        <v>0</v>
      </c>
      <c r="N19" s="177">
        <f>März!AH18</f>
        <v>0</v>
      </c>
      <c r="O19" s="238">
        <v>0</v>
      </c>
      <c r="P19" s="177">
        <f>N19-'Exec.Summary_Liquiplanung ORG'!E18</f>
        <v>0</v>
      </c>
      <c r="R19" s="177">
        <f>April!AH18</f>
        <v>0</v>
      </c>
      <c r="S19" s="238">
        <v>0</v>
      </c>
      <c r="T19" s="177">
        <f>R19-'Exec.Summary_Liquiplanung ORG'!F18</f>
        <v>0</v>
      </c>
      <c r="V19" s="177">
        <f>Mai!AH18</f>
        <v>0</v>
      </c>
      <c r="W19" s="238">
        <v>0</v>
      </c>
      <c r="X19" s="177">
        <f>V19-'Exec.Summary_Liquiplanung ORG'!G18</f>
        <v>0</v>
      </c>
      <c r="Z19" s="177">
        <f>Juni!AH18</f>
        <v>0</v>
      </c>
      <c r="AA19" s="238">
        <v>0</v>
      </c>
      <c r="AB19" s="177">
        <f>Z19-'Exec.Summary_Liquiplanung ORG'!H18</f>
        <v>0</v>
      </c>
      <c r="AD19" s="177">
        <v>0</v>
      </c>
      <c r="AF19" s="212"/>
    </row>
    <row r="20" spans="1:32" ht="14.25" hidden="1" customHeight="1" outlineLevel="1" x14ac:dyDescent="0.15">
      <c r="A20" s="195" t="s">
        <v>248</v>
      </c>
      <c r="B20" s="177">
        <f>Dezember24!AH19</f>
        <v>0</v>
      </c>
      <c r="C20" s="238">
        <v>0</v>
      </c>
      <c r="D20" s="177">
        <f>B20-'Exec.Summary_Liquiplanung ORG'!B19</f>
        <v>0</v>
      </c>
      <c r="F20" s="177">
        <f>Januar!AH19</f>
        <v>0</v>
      </c>
      <c r="G20" s="238">
        <v>0</v>
      </c>
      <c r="H20" s="177">
        <f>F20-'Exec.Summary_Liquiplanung ORG'!C19</f>
        <v>0</v>
      </c>
      <c r="J20" s="177">
        <f>Februar!AH19</f>
        <v>0</v>
      </c>
      <c r="K20" s="238">
        <v>0</v>
      </c>
      <c r="L20" s="177">
        <f>J20-'Exec.Summary_Liquiplanung ORG'!D19</f>
        <v>0</v>
      </c>
      <c r="N20" s="177">
        <f>März!AH19</f>
        <v>0</v>
      </c>
      <c r="O20" s="238">
        <v>0</v>
      </c>
      <c r="P20" s="177">
        <f>N20-'Exec.Summary_Liquiplanung ORG'!E19</f>
        <v>0</v>
      </c>
      <c r="R20" s="177">
        <f>April!AH19</f>
        <v>0</v>
      </c>
      <c r="S20" s="238">
        <v>0</v>
      </c>
      <c r="T20" s="177">
        <f>R20-'Exec.Summary_Liquiplanung ORG'!F19</f>
        <v>0</v>
      </c>
      <c r="V20" s="177">
        <f>Mai!AH19</f>
        <v>0</v>
      </c>
      <c r="W20" s="238">
        <v>0</v>
      </c>
      <c r="X20" s="177">
        <f>V20-'Exec.Summary_Liquiplanung ORG'!G19</f>
        <v>0</v>
      </c>
      <c r="Z20" s="177">
        <f>Juni!AH19</f>
        <v>0</v>
      </c>
      <c r="AA20" s="238">
        <v>0</v>
      </c>
      <c r="AB20" s="177">
        <f>Z20-'Exec.Summary_Liquiplanung ORG'!H19</f>
        <v>0</v>
      </c>
      <c r="AD20" s="177">
        <v>0</v>
      </c>
      <c r="AF20" s="212"/>
    </row>
    <row r="21" spans="1:32" ht="14.25" hidden="1" customHeight="1" outlineLevel="1" x14ac:dyDescent="0.15">
      <c r="A21" s="195" t="s">
        <v>247</v>
      </c>
      <c r="B21" s="177">
        <f>Dezember24!AH20</f>
        <v>0</v>
      </c>
      <c r="C21" s="238">
        <v>0</v>
      </c>
      <c r="D21" s="177">
        <f>B21-'Exec.Summary_Liquiplanung ORG'!B20</f>
        <v>0</v>
      </c>
      <c r="F21" s="177">
        <f>Januar!AH20</f>
        <v>0</v>
      </c>
      <c r="G21" s="238">
        <v>0</v>
      </c>
      <c r="H21" s="177">
        <f>F21-'Exec.Summary_Liquiplanung ORG'!C20</f>
        <v>0</v>
      </c>
      <c r="J21" s="177">
        <f>Februar!AH20</f>
        <v>0</v>
      </c>
      <c r="K21" s="238">
        <v>0</v>
      </c>
      <c r="L21" s="177">
        <f>J21-'Exec.Summary_Liquiplanung ORG'!D20</f>
        <v>0</v>
      </c>
      <c r="N21" s="177">
        <f>März!AH20</f>
        <v>0</v>
      </c>
      <c r="O21" s="238">
        <v>0</v>
      </c>
      <c r="P21" s="177">
        <f>N21-'Exec.Summary_Liquiplanung ORG'!E20</f>
        <v>0</v>
      </c>
      <c r="R21" s="177">
        <f>April!AH20</f>
        <v>0</v>
      </c>
      <c r="S21" s="238">
        <v>0</v>
      </c>
      <c r="T21" s="177">
        <f>R21-'Exec.Summary_Liquiplanung ORG'!F20</f>
        <v>0</v>
      </c>
      <c r="V21" s="177">
        <f>Mai!AH20</f>
        <v>0</v>
      </c>
      <c r="W21" s="238">
        <v>0</v>
      </c>
      <c r="X21" s="177">
        <f>V21-'Exec.Summary_Liquiplanung ORG'!G20</f>
        <v>0</v>
      </c>
      <c r="Z21" s="177">
        <f>Juni!AH20</f>
        <v>0</v>
      </c>
      <c r="AA21" s="238">
        <v>0</v>
      </c>
      <c r="AB21" s="177">
        <f>Z21-'Exec.Summary_Liquiplanung ORG'!H20</f>
        <v>0</v>
      </c>
      <c r="AD21" s="177">
        <v>0</v>
      </c>
      <c r="AF21" s="212"/>
    </row>
    <row r="22" spans="1:32" ht="14.25" hidden="1" customHeight="1" outlineLevel="1" x14ac:dyDescent="0.15">
      <c r="A22" s="195" t="s">
        <v>246</v>
      </c>
      <c r="B22" s="177">
        <f>Dezember24!AH21</f>
        <v>0</v>
      </c>
      <c r="C22" s="238">
        <v>0</v>
      </c>
      <c r="D22" s="177">
        <f>B22-'Exec.Summary_Liquiplanung ORG'!B21</f>
        <v>0</v>
      </c>
      <c r="F22" s="177">
        <f>Januar!AH21</f>
        <v>0</v>
      </c>
      <c r="G22" s="238">
        <v>0</v>
      </c>
      <c r="H22" s="177">
        <f>F22-'Exec.Summary_Liquiplanung ORG'!C21</f>
        <v>0</v>
      </c>
      <c r="J22" s="177">
        <f>Februar!AH21</f>
        <v>0</v>
      </c>
      <c r="K22" s="238">
        <v>0</v>
      </c>
      <c r="L22" s="177">
        <f>J22-'Exec.Summary_Liquiplanung ORG'!D21</f>
        <v>0</v>
      </c>
      <c r="N22" s="177">
        <f>März!AH21</f>
        <v>0</v>
      </c>
      <c r="O22" s="238">
        <v>0</v>
      </c>
      <c r="P22" s="177">
        <f>N22-'Exec.Summary_Liquiplanung ORG'!E21</f>
        <v>0</v>
      </c>
      <c r="R22" s="177">
        <f>April!AH21</f>
        <v>0</v>
      </c>
      <c r="S22" s="238">
        <v>0</v>
      </c>
      <c r="T22" s="177">
        <f>R22-'Exec.Summary_Liquiplanung ORG'!F21</f>
        <v>0</v>
      </c>
      <c r="V22" s="177">
        <f>Mai!AH21</f>
        <v>0</v>
      </c>
      <c r="W22" s="238">
        <v>0</v>
      </c>
      <c r="X22" s="177">
        <f>V22-'Exec.Summary_Liquiplanung ORG'!G21</f>
        <v>0</v>
      </c>
      <c r="Z22" s="177">
        <f>Juni!AH21</f>
        <v>0</v>
      </c>
      <c r="AA22" s="238">
        <v>0</v>
      </c>
      <c r="AB22" s="177">
        <f>Z22-'Exec.Summary_Liquiplanung ORG'!H21</f>
        <v>0</v>
      </c>
      <c r="AD22" s="177">
        <v>0</v>
      </c>
      <c r="AF22" s="212"/>
    </row>
    <row r="23" spans="1:32" ht="14.25" hidden="1" customHeight="1" outlineLevel="1" x14ac:dyDescent="0.15">
      <c r="A23" s="195" t="s">
        <v>245</v>
      </c>
      <c r="B23" s="177">
        <f>Dezember24!AH22</f>
        <v>0</v>
      </c>
      <c r="C23" s="238">
        <v>0</v>
      </c>
      <c r="D23" s="177">
        <f>B23-'Exec.Summary_Liquiplanung ORG'!B22</f>
        <v>0</v>
      </c>
      <c r="F23" s="177">
        <f>Januar!AH22</f>
        <v>0</v>
      </c>
      <c r="G23" s="238">
        <v>0</v>
      </c>
      <c r="H23" s="177">
        <f>F23-'Exec.Summary_Liquiplanung ORG'!C22</f>
        <v>0</v>
      </c>
      <c r="J23" s="177">
        <f>Februar!AH22</f>
        <v>0</v>
      </c>
      <c r="K23" s="238">
        <v>0</v>
      </c>
      <c r="L23" s="177">
        <f>J23-'Exec.Summary_Liquiplanung ORG'!D22</f>
        <v>0</v>
      </c>
      <c r="N23" s="177">
        <f>März!AH22</f>
        <v>0</v>
      </c>
      <c r="O23" s="238">
        <v>0</v>
      </c>
      <c r="P23" s="177">
        <f>N23-'Exec.Summary_Liquiplanung ORG'!E22</f>
        <v>0</v>
      </c>
      <c r="R23" s="177">
        <f>April!AH22</f>
        <v>0</v>
      </c>
      <c r="S23" s="238">
        <v>0</v>
      </c>
      <c r="T23" s="177">
        <f>R23-'Exec.Summary_Liquiplanung ORG'!F22</f>
        <v>0</v>
      </c>
      <c r="V23" s="177">
        <f>Mai!AH22</f>
        <v>0</v>
      </c>
      <c r="W23" s="238">
        <v>0</v>
      </c>
      <c r="X23" s="177">
        <f>V23-'Exec.Summary_Liquiplanung ORG'!G22</f>
        <v>0</v>
      </c>
      <c r="Z23" s="177">
        <f>Juni!AH22</f>
        <v>0</v>
      </c>
      <c r="AA23" s="238">
        <v>0</v>
      </c>
      <c r="AB23" s="177">
        <f>Z23-'Exec.Summary_Liquiplanung ORG'!H22</f>
        <v>0</v>
      </c>
      <c r="AD23" s="177">
        <v>0</v>
      </c>
      <c r="AF23" s="212"/>
    </row>
    <row r="24" spans="1:32" collapsed="1" x14ac:dyDescent="0.15">
      <c r="A24" s="195" t="s">
        <v>244</v>
      </c>
      <c r="B24" s="177">
        <f>Dezember24!AH23</f>
        <v>0</v>
      </c>
      <c r="C24" s="238">
        <v>0</v>
      </c>
      <c r="D24" s="177">
        <f>B24-'Exec.Summary_Liquiplanung ORG'!B23</f>
        <v>0</v>
      </c>
      <c r="F24" s="177">
        <f>Januar!AH23</f>
        <v>0</v>
      </c>
      <c r="G24" s="238">
        <v>60000</v>
      </c>
      <c r="H24" s="177">
        <f>F24-'Exec.Summary_Liquiplanung ORG'!C23</f>
        <v>-60000</v>
      </c>
      <c r="J24" s="177">
        <f>Februar!AH23</f>
        <v>0</v>
      </c>
      <c r="K24" s="238">
        <v>0</v>
      </c>
      <c r="L24" s="177">
        <f>J24-'Exec.Summary_Liquiplanung ORG'!D23</f>
        <v>0</v>
      </c>
      <c r="N24" s="177">
        <f>März!AH23</f>
        <v>60000</v>
      </c>
      <c r="O24" s="238">
        <v>60000</v>
      </c>
      <c r="P24" s="177">
        <f>N24-'Exec.Summary_Liquiplanung ORG'!E23</f>
        <v>0</v>
      </c>
      <c r="R24" s="177">
        <f>April!AH23</f>
        <v>0</v>
      </c>
      <c r="S24" s="238">
        <v>0</v>
      </c>
      <c r="T24" s="177">
        <f>R24-'Exec.Summary_Liquiplanung ORG'!F23</f>
        <v>0</v>
      </c>
      <c r="V24" s="177">
        <f>Mai!AH23</f>
        <v>60000</v>
      </c>
      <c r="W24" s="238">
        <v>60000</v>
      </c>
      <c r="X24" s="177">
        <f>V24-'Exec.Summary_Liquiplanung ORG'!G23</f>
        <v>0</v>
      </c>
      <c r="Z24" s="177">
        <f>Juni!AH23</f>
        <v>0</v>
      </c>
      <c r="AA24" s="238">
        <v>0</v>
      </c>
      <c r="AB24" s="177">
        <f>Z24-'Exec.Summary_Liquiplanung ORG'!H23</f>
        <v>0</v>
      </c>
      <c r="AD24" s="177">
        <v>-60000</v>
      </c>
      <c r="AF24" s="212"/>
    </row>
    <row r="25" spans="1:32" x14ac:dyDescent="0.15">
      <c r="A25" s="195" t="s">
        <v>232</v>
      </c>
      <c r="B25" s="177">
        <f>Dezember24!AH24</f>
        <v>0</v>
      </c>
      <c r="C25" s="238">
        <v>0</v>
      </c>
      <c r="D25" s="177">
        <f>B25-'Exec.Summary_Liquiplanung ORG'!B24</f>
        <v>0</v>
      </c>
      <c r="F25" s="177">
        <f>Januar!AH24</f>
        <v>0</v>
      </c>
      <c r="G25" s="238">
        <v>100000</v>
      </c>
      <c r="H25" s="177">
        <f>F25-'Exec.Summary_Liquiplanung ORG'!C24</f>
        <v>-100000</v>
      </c>
      <c r="J25" s="177">
        <f>Februar!AH24</f>
        <v>0</v>
      </c>
      <c r="K25" s="238">
        <v>100000</v>
      </c>
      <c r="L25" s="177">
        <f>J25-'Exec.Summary_Liquiplanung ORG'!D24</f>
        <v>-100000</v>
      </c>
      <c r="N25" s="177">
        <f>März!AH24</f>
        <v>0</v>
      </c>
      <c r="O25" s="238">
        <v>100000</v>
      </c>
      <c r="P25" s="177">
        <f>N25-'Exec.Summary_Liquiplanung ORG'!E24</f>
        <v>-100000</v>
      </c>
      <c r="R25" s="177">
        <f>April!AH24</f>
        <v>50000</v>
      </c>
      <c r="S25" s="238">
        <v>100000</v>
      </c>
      <c r="T25" s="177">
        <f>R25-'Exec.Summary_Liquiplanung ORG'!F24</f>
        <v>-50000</v>
      </c>
      <c r="V25" s="177">
        <f>Mai!AH24</f>
        <v>50000</v>
      </c>
      <c r="W25" s="238">
        <v>100000</v>
      </c>
      <c r="X25" s="177">
        <f>V25-'Exec.Summary_Liquiplanung ORG'!G24</f>
        <v>-50000</v>
      </c>
      <c r="Z25" s="177">
        <f>Juni!AH24</f>
        <v>50000</v>
      </c>
      <c r="AA25" s="238">
        <v>100000</v>
      </c>
      <c r="AB25" s="177">
        <f>Z25-'Exec.Summary_Liquiplanung ORG'!H24</f>
        <v>-50000</v>
      </c>
      <c r="AD25" s="177">
        <v>-300000</v>
      </c>
      <c r="AF25" s="271" t="s">
        <v>415</v>
      </c>
    </row>
    <row r="26" spans="1:32" x14ac:dyDescent="0.15">
      <c r="A26" s="195" t="s">
        <v>243</v>
      </c>
      <c r="B26" s="177">
        <f>Dezember24!AH25</f>
        <v>0</v>
      </c>
      <c r="C26" s="238">
        <v>0</v>
      </c>
      <c r="D26" s="177">
        <f>B26-'Exec.Summary_Liquiplanung ORG'!B25</f>
        <v>0</v>
      </c>
      <c r="F26" s="177">
        <f>Januar!AH25</f>
        <v>0</v>
      </c>
      <c r="G26" s="238">
        <v>180000</v>
      </c>
      <c r="H26" s="177">
        <f>F26-'Exec.Summary_Liquiplanung ORG'!C25</f>
        <v>-180000</v>
      </c>
      <c r="J26" s="177">
        <f>Februar!AH25</f>
        <v>0</v>
      </c>
      <c r="K26" s="238">
        <v>10000</v>
      </c>
      <c r="L26" s="177">
        <f>J26-'Exec.Summary_Liquiplanung ORG'!D25</f>
        <v>-10000</v>
      </c>
      <c r="N26" s="177">
        <f>März!AH25</f>
        <v>0</v>
      </c>
      <c r="O26" s="238">
        <v>10000</v>
      </c>
      <c r="P26" s="177">
        <f>N26-'Exec.Summary_Liquiplanung ORG'!E25</f>
        <v>-10000</v>
      </c>
      <c r="R26" s="177">
        <f>April!AH25</f>
        <v>250000</v>
      </c>
      <c r="S26" s="238">
        <v>250000</v>
      </c>
      <c r="T26" s="177">
        <f>R26-'Exec.Summary_Liquiplanung ORG'!F25</f>
        <v>0</v>
      </c>
      <c r="V26" s="177">
        <f>Mai!AH25</f>
        <v>265000</v>
      </c>
      <c r="W26" s="238">
        <v>20000</v>
      </c>
      <c r="X26" s="177">
        <f>V26-'Exec.Summary_Liquiplanung ORG'!G25</f>
        <v>245000</v>
      </c>
      <c r="Z26" s="177">
        <f>Juni!AH25</f>
        <v>0</v>
      </c>
      <c r="AA26" s="238">
        <v>0</v>
      </c>
      <c r="AB26" s="177">
        <f>Z26-'Exec.Summary_Liquiplanung ORG'!H25</f>
        <v>0</v>
      </c>
      <c r="AD26" s="177">
        <v>-50000</v>
      </c>
      <c r="AF26" s="270" t="s">
        <v>416</v>
      </c>
    </row>
    <row r="27" spans="1:32" x14ac:dyDescent="0.15">
      <c r="A27" s="195" t="s">
        <v>242</v>
      </c>
      <c r="B27" s="177">
        <f>Dezember24!AH26</f>
        <v>0</v>
      </c>
      <c r="C27" s="238">
        <v>170000</v>
      </c>
      <c r="D27" s="177">
        <f>B27-'Exec.Summary_Liquiplanung ORG'!B26</f>
        <v>-170000</v>
      </c>
      <c r="F27" s="177">
        <f>Januar!AH26</f>
        <v>42140</v>
      </c>
      <c r="G27" s="238">
        <v>170000</v>
      </c>
      <c r="H27" s="177">
        <f>F27-'Exec.Summary_Liquiplanung ORG'!C26</f>
        <v>-127860</v>
      </c>
      <c r="J27" s="177">
        <f>Februar!AH26</f>
        <v>170000</v>
      </c>
      <c r="K27" s="238">
        <v>170000</v>
      </c>
      <c r="L27" s="177">
        <f>J27-'Exec.Summary_Liquiplanung ORG'!D26</f>
        <v>0</v>
      </c>
      <c r="N27" s="177">
        <f>März!AH26</f>
        <v>1429283.49</v>
      </c>
      <c r="O27" s="238">
        <v>1550000</v>
      </c>
      <c r="P27" s="177">
        <f>N27-'Exec.Summary_Liquiplanung ORG'!E26</f>
        <v>-120716.51000000001</v>
      </c>
      <c r="R27" s="177">
        <f>April!AH26</f>
        <v>1500000</v>
      </c>
      <c r="S27" s="238">
        <v>1550000</v>
      </c>
      <c r="T27" s="177">
        <f>R27-'Exec.Summary_Liquiplanung ORG'!F26</f>
        <v>-50000</v>
      </c>
      <c r="V27" s="177">
        <f>Mai!AH26</f>
        <v>1500000</v>
      </c>
      <c r="W27" s="238">
        <v>1550000</v>
      </c>
      <c r="X27" s="177">
        <f>V27-'Exec.Summary_Liquiplanung ORG'!G26</f>
        <v>-50000</v>
      </c>
      <c r="Z27" s="177">
        <f>Juni!AH26</f>
        <v>1500000</v>
      </c>
      <c r="AA27" s="238">
        <v>1550000</v>
      </c>
      <c r="AB27" s="177">
        <f>Z27-'Exec.Summary_Liquiplanung ORG'!H26</f>
        <v>-50000</v>
      </c>
      <c r="AD27" s="177">
        <v>-359860</v>
      </c>
      <c r="AF27" s="270" t="s">
        <v>416</v>
      </c>
    </row>
    <row r="28" spans="1:32" x14ac:dyDescent="0.15">
      <c r="A28" s="195" t="s">
        <v>241</v>
      </c>
      <c r="B28" s="177">
        <f>Dezember24!AH27</f>
        <v>0</v>
      </c>
      <c r="C28" s="238">
        <v>0</v>
      </c>
      <c r="D28" s="177">
        <f>B28-'Exec.Summary_Liquiplanung ORG'!B27</f>
        <v>0</v>
      </c>
      <c r="F28" s="177">
        <f>Januar!AH27</f>
        <v>0</v>
      </c>
      <c r="G28" s="238">
        <v>0</v>
      </c>
      <c r="H28" s="177">
        <f>F28-'Exec.Summary_Liquiplanung ORG'!C27</f>
        <v>0</v>
      </c>
      <c r="J28" s="177">
        <f>Februar!AH27</f>
        <v>0</v>
      </c>
      <c r="K28" s="238">
        <v>0</v>
      </c>
      <c r="L28" s="177">
        <f>J28-'Exec.Summary_Liquiplanung ORG'!D27</f>
        <v>0</v>
      </c>
      <c r="N28" s="177">
        <f>März!AH27</f>
        <v>805613.08</v>
      </c>
      <c r="O28" s="238">
        <v>850000</v>
      </c>
      <c r="P28" s="177">
        <f>N28-'Exec.Summary_Liquiplanung ORG'!E27</f>
        <v>-44386.920000000042</v>
      </c>
      <c r="R28" s="177">
        <f>April!AH27</f>
        <v>850000</v>
      </c>
      <c r="S28" s="238">
        <v>850000</v>
      </c>
      <c r="T28" s="177">
        <f>R28-'Exec.Summary_Liquiplanung ORG'!F27</f>
        <v>0</v>
      </c>
      <c r="V28" s="177">
        <f>Mai!AH27</f>
        <v>850000</v>
      </c>
      <c r="W28" s="238">
        <v>850000</v>
      </c>
      <c r="X28" s="177">
        <f>V28-'Exec.Summary_Liquiplanung ORG'!G27</f>
        <v>0</v>
      </c>
      <c r="Z28" s="177">
        <f>Juni!AH27</f>
        <v>850000</v>
      </c>
      <c r="AA28" s="238">
        <v>850000</v>
      </c>
      <c r="AB28" s="177">
        <f>Z28-'Exec.Summary_Liquiplanung ORG'!H27</f>
        <v>0</v>
      </c>
      <c r="AD28" s="177">
        <v>0</v>
      </c>
      <c r="AF28" s="212"/>
    </row>
    <row r="29" spans="1:32" x14ac:dyDescent="0.15">
      <c r="A29" s="195" t="s">
        <v>240</v>
      </c>
      <c r="B29" s="177">
        <f>Dezember24!AH28</f>
        <v>0</v>
      </c>
      <c r="C29" s="238">
        <v>0</v>
      </c>
      <c r="D29" s="177">
        <f>B29-'Exec.Summary_Liquiplanung ORG'!B28</f>
        <v>0</v>
      </c>
      <c r="F29" s="177">
        <f>Januar!AH28</f>
        <v>0</v>
      </c>
      <c r="G29" s="238">
        <v>0</v>
      </c>
      <c r="H29" s="177">
        <f>F29-'Exec.Summary_Liquiplanung ORG'!C28</f>
        <v>0</v>
      </c>
      <c r="J29" s="177">
        <f>Februar!AH28</f>
        <v>0</v>
      </c>
      <c r="K29" s="238">
        <v>0</v>
      </c>
      <c r="L29" s="177">
        <f>J29-'Exec.Summary_Liquiplanung ORG'!D28</f>
        <v>0</v>
      </c>
      <c r="N29" s="177">
        <f>März!AH28</f>
        <v>551000</v>
      </c>
      <c r="O29" s="238">
        <v>350000</v>
      </c>
      <c r="P29" s="177">
        <f>N29-'Exec.Summary_Liquiplanung ORG'!E28</f>
        <v>201000</v>
      </c>
      <c r="R29" s="177">
        <f>April!AH28</f>
        <v>350000</v>
      </c>
      <c r="S29" s="238">
        <v>350000</v>
      </c>
      <c r="T29" s="177">
        <f>R29-'Exec.Summary_Liquiplanung ORG'!F28</f>
        <v>0</v>
      </c>
      <c r="V29" s="177">
        <f>Mai!AH28</f>
        <v>350000</v>
      </c>
      <c r="W29" s="238">
        <v>350000</v>
      </c>
      <c r="X29" s="177">
        <f>V29-'Exec.Summary_Liquiplanung ORG'!G28</f>
        <v>0</v>
      </c>
      <c r="Z29" s="177">
        <f>Juni!AH28</f>
        <v>350000</v>
      </c>
      <c r="AA29" s="238">
        <v>350000</v>
      </c>
      <c r="AB29" s="177">
        <f>Z29-'Exec.Summary_Liquiplanung ORG'!H28</f>
        <v>0</v>
      </c>
      <c r="AD29" s="177">
        <v>230000</v>
      </c>
      <c r="AF29" s="270" t="s">
        <v>416</v>
      </c>
    </row>
    <row r="30" spans="1:32" x14ac:dyDescent="0.15">
      <c r="A30" s="195" t="s">
        <v>239</v>
      </c>
      <c r="B30" s="177">
        <f>Dezember24!AH29</f>
        <v>0</v>
      </c>
      <c r="C30" s="238">
        <v>0</v>
      </c>
      <c r="D30" s="177">
        <f>B30-'Exec.Summary_Liquiplanung ORG'!B29</f>
        <v>0</v>
      </c>
      <c r="F30" s="177">
        <f>Januar!AH29</f>
        <v>0</v>
      </c>
      <c r="G30" s="238">
        <v>-350314.98791062587</v>
      </c>
      <c r="H30" s="177">
        <f>F30-'Exec.Summary_Liquiplanung ORG'!C29</f>
        <v>350314.98791062587</v>
      </c>
      <c r="J30" s="177">
        <f>Februar!AH29</f>
        <v>0</v>
      </c>
      <c r="K30" s="238">
        <v>-73565.065378302475</v>
      </c>
      <c r="L30" s="177">
        <f>J30-'Exec.Summary_Liquiplanung ORG'!D29</f>
        <v>73565.065378302475</v>
      </c>
      <c r="N30" s="177">
        <f>März!AH29</f>
        <v>0</v>
      </c>
      <c r="O30" s="238">
        <v>-327098.9827555333</v>
      </c>
      <c r="P30" s="177">
        <f>N30-'Exec.Summary_Liquiplanung ORG'!E29</f>
        <v>327098.9827555333</v>
      </c>
      <c r="R30" s="177">
        <f>April!AH29</f>
        <v>166115.03</v>
      </c>
      <c r="S30" s="238">
        <v>-318831.0093025259</v>
      </c>
      <c r="T30" s="177">
        <f>R30-'Exec.Summary_Liquiplanung ORG'!F29</f>
        <v>484946.03930252593</v>
      </c>
      <c r="V30" s="177">
        <f>Mai!AH29</f>
        <v>150000</v>
      </c>
      <c r="W30" s="238">
        <v>-251345.76061425859</v>
      </c>
      <c r="X30" s="177">
        <f>V30-'Exec.Summary_Liquiplanung ORG'!G29</f>
        <v>401345.76061425859</v>
      </c>
      <c r="Z30" s="177">
        <f>Juni!AH29</f>
        <v>150000</v>
      </c>
      <c r="AA30" s="238">
        <v>-296063.42623497063</v>
      </c>
      <c r="AB30" s="177">
        <f>Z30-'Exec.Summary_Liquiplanung ORG'!H29</f>
        <v>446063.42623497063</v>
      </c>
      <c r="AD30" s="177">
        <v>750980.2321962167</v>
      </c>
      <c r="AF30" s="262" t="s">
        <v>409</v>
      </c>
    </row>
    <row r="31" spans="1:32" x14ac:dyDescent="0.15">
      <c r="A31" s="195" t="s">
        <v>365</v>
      </c>
      <c r="B31" s="177">
        <f>Dezember24!AH30</f>
        <v>0</v>
      </c>
      <c r="C31" s="238">
        <v>0</v>
      </c>
      <c r="D31" s="177">
        <f>B31-'Exec.Summary_Liquiplanung ORG'!B30</f>
        <v>0</v>
      </c>
      <c r="F31" s="177">
        <f>Januar!AH30</f>
        <v>0</v>
      </c>
      <c r="G31" s="238">
        <v>0</v>
      </c>
      <c r="H31" s="177">
        <f>F31-'Exec.Summary_Liquiplanung ORG'!C30</f>
        <v>0</v>
      </c>
      <c r="J31" s="177">
        <f>Februar!AH30</f>
        <v>1500000</v>
      </c>
      <c r="K31" s="238">
        <v>1500000</v>
      </c>
      <c r="L31" s="177">
        <f>J31-'Exec.Summary_Liquiplanung ORG'!D30</f>
        <v>0</v>
      </c>
      <c r="N31" s="177">
        <f>März!AH30</f>
        <v>0</v>
      </c>
      <c r="O31" s="238">
        <v>0</v>
      </c>
      <c r="P31" s="177">
        <f>N31-'Exec.Summary_Liquiplanung ORG'!E30</f>
        <v>0</v>
      </c>
      <c r="R31" s="177">
        <f>April!AH30</f>
        <v>0</v>
      </c>
      <c r="S31" s="238">
        <v>0</v>
      </c>
      <c r="T31" s="177">
        <f>R31-'Exec.Summary_Liquiplanung ORG'!F30</f>
        <v>0</v>
      </c>
      <c r="V31" s="177">
        <f>Mai!AH30</f>
        <v>0</v>
      </c>
      <c r="W31" s="238">
        <v>0</v>
      </c>
      <c r="X31" s="177">
        <f>V31-'Exec.Summary_Liquiplanung ORG'!G30</f>
        <v>0</v>
      </c>
      <c r="Z31" s="177">
        <f>Juni!AH30</f>
        <v>0</v>
      </c>
      <c r="AA31" s="238">
        <v>2400000</v>
      </c>
      <c r="AB31" s="177">
        <f>Z31-'Exec.Summary_Liquiplanung ORG'!H30</f>
        <v>-2400000</v>
      </c>
      <c r="AD31" s="177">
        <v>0</v>
      </c>
      <c r="AF31" s="212"/>
    </row>
    <row r="32" spans="1:32" x14ac:dyDescent="0.15">
      <c r="A32" s="195" t="s">
        <v>238</v>
      </c>
      <c r="B32" s="177">
        <f>Dezember24!AH31</f>
        <v>0</v>
      </c>
      <c r="C32" s="238">
        <v>0</v>
      </c>
      <c r="D32" s="177">
        <f>B32-'Exec.Summary_Liquiplanung ORG'!B31</f>
        <v>0</v>
      </c>
      <c r="F32" s="177">
        <f>Januar!AH31</f>
        <v>0</v>
      </c>
      <c r="G32" s="238">
        <v>0</v>
      </c>
      <c r="H32" s="177">
        <f>F32-'Exec.Summary_Liquiplanung ORG'!C31</f>
        <v>0</v>
      </c>
      <c r="J32" s="177">
        <f>Februar!AH31</f>
        <v>98500</v>
      </c>
      <c r="K32" s="238">
        <v>0</v>
      </c>
      <c r="L32" s="177">
        <f>J32-'Exec.Summary_Liquiplanung ORG'!D31</f>
        <v>98500</v>
      </c>
      <c r="N32" s="177">
        <f>März!AH31</f>
        <v>0</v>
      </c>
      <c r="O32" s="238">
        <v>0</v>
      </c>
      <c r="P32" s="177">
        <f>N32-'Exec.Summary_Liquiplanung ORG'!E31</f>
        <v>0</v>
      </c>
      <c r="R32" s="177">
        <f>April!AH31</f>
        <v>0</v>
      </c>
      <c r="S32" s="238">
        <v>0</v>
      </c>
      <c r="T32" s="177">
        <f>R32-'Exec.Summary_Liquiplanung ORG'!F31</f>
        <v>0</v>
      </c>
      <c r="V32" s="177">
        <f>Mai!AH31</f>
        <v>0</v>
      </c>
      <c r="W32" s="238">
        <v>0</v>
      </c>
      <c r="X32" s="177">
        <f>V32-'Exec.Summary_Liquiplanung ORG'!G31</f>
        <v>0</v>
      </c>
      <c r="Z32" s="177">
        <f>Juni!AH31</f>
        <v>0</v>
      </c>
      <c r="AA32" s="238">
        <v>0</v>
      </c>
      <c r="AB32" s="177">
        <f>Z32-'Exec.Summary_Liquiplanung ORG'!H31</f>
        <v>0</v>
      </c>
      <c r="AD32" s="177">
        <v>0</v>
      </c>
      <c r="AF32" s="212"/>
    </row>
    <row r="33" spans="1:32" x14ac:dyDescent="0.15">
      <c r="A33" s="198" t="s">
        <v>237</v>
      </c>
      <c r="B33" s="181">
        <f>Dezember24!AH32</f>
        <v>65390</v>
      </c>
      <c r="C33" s="245">
        <v>1420000</v>
      </c>
      <c r="D33" s="202">
        <f>B33-'Exec.Summary_Liquiplanung ORG'!B32</f>
        <v>-1354610</v>
      </c>
      <c r="F33" s="181">
        <f>Januar!AH32</f>
        <v>4712650.1800000006</v>
      </c>
      <c r="G33" s="245">
        <v>6195310.6221853746</v>
      </c>
      <c r="H33" s="202">
        <f>F33-'Exec.Summary_Liquiplanung ORG'!C32</f>
        <v>-1482660.442185374</v>
      </c>
      <c r="J33" s="181">
        <f>Februar!AH32</f>
        <v>6561001.5300000003</v>
      </c>
      <c r="K33" s="245">
        <v>6849339.8630576991</v>
      </c>
      <c r="L33" s="202">
        <f>J33-'Exec.Summary_Liquiplanung ORG'!D32</f>
        <v>-288338.33305769879</v>
      </c>
      <c r="N33" s="181">
        <f>März!AH32</f>
        <v>7811988.5625159992</v>
      </c>
      <c r="O33" s="245">
        <v>10845894.360298704</v>
      </c>
      <c r="P33" s="202">
        <f>N33-'Exec.Summary_Liquiplanung ORG'!E32</f>
        <v>-3033905.7977827052</v>
      </c>
      <c r="R33" s="181">
        <f>April!AH32</f>
        <v>7859457.2250540005</v>
      </c>
      <c r="S33" s="245">
        <v>9517928.661943553</v>
      </c>
      <c r="T33" s="202">
        <f>R33-'Exec.Summary_Liquiplanung ORG'!F32</f>
        <v>-1658471.4368895525</v>
      </c>
      <c r="V33" s="181">
        <f>Mai!AH32</f>
        <v>11915821.956662752</v>
      </c>
      <c r="W33" s="245">
        <v>10424122.257316055</v>
      </c>
      <c r="X33" s="202">
        <f>V33-'Exec.Summary_Liquiplanung ORG'!G32</f>
        <v>1491699.699346697</v>
      </c>
      <c r="Z33" s="181">
        <f>Juni!AH32</f>
        <v>8022538.2009776663</v>
      </c>
      <c r="AA33" s="245">
        <v>12963796.635548683</v>
      </c>
      <c r="AB33" s="202">
        <f>Z33-'Exec.Summary_Liquiplanung ORG'!H32</f>
        <v>-4941258.4345710166</v>
      </c>
      <c r="AD33" s="202">
        <v>-1186707.2669001063</v>
      </c>
      <c r="AF33" s="212"/>
    </row>
    <row r="34" spans="1:32" x14ac:dyDescent="0.15">
      <c r="A34" s="200"/>
      <c r="B34" s="177"/>
      <c r="C34" s="238"/>
      <c r="D34" s="177">
        <f>B34-'Exec.Summary_Liquiplanung ORG'!B33</f>
        <v>0</v>
      </c>
      <c r="F34" s="177"/>
      <c r="G34" s="238"/>
      <c r="H34" s="177">
        <f>F34-'Exec.Summary_Liquiplanung ORG'!C33</f>
        <v>0</v>
      </c>
      <c r="J34" s="177"/>
      <c r="K34" s="238"/>
      <c r="L34" s="177">
        <f>J34-'Exec.Summary_Liquiplanung ORG'!D33</f>
        <v>0</v>
      </c>
      <c r="N34" s="177"/>
      <c r="O34" s="238"/>
      <c r="P34" s="177">
        <f>N34-'Exec.Summary_Liquiplanung ORG'!E33</f>
        <v>0</v>
      </c>
      <c r="R34" s="177"/>
      <c r="S34" s="238"/>
      <c r="T34" s="177">
        <f>R34-'Exec.Summary_Liquiplanung ORG'!F33</f>
        <v>0</v>
      </c>
      <c r="V34" s="177"/>
      <c r="W34" s="238"/>
      <c r="X34" s="177">
        <f>V34-'Exec.Summary_Liquiplanung ORG'!G33</f>
        <v>0</v>
      </c>
      <c r="Z34" s="177"/>
      <c r="AA34" s="238"/>
      <c r="AB34" s="177">
        <f>Z34-'Exec.Summary_Liquiplanung ORG'!H33</f>
        <v>0</v>
      </c>
      <c r="AD34" s="177">
        <v>0</v>
      </c>
      <c r="AF34" s="212"/>
    </row>
    <row r="35" spans="1:32" x14ac:dyDescent="0.15">
      <c r="A35" s="201" t="s">
        <v>236</v>
      </c>
      <c r="B35" s="202"/>
      <c r="C35" s="247"/>
      <c r="D35" s="193"/>
      <c r="F35" s="202"/>
      <c r="G35" s="247"/>
      <c r="H35" s="193"/>
      <c r="J35" s="202"/>
      <c r="K35" s="247"/>
      <c r="L35" s="193"/>
      <c r="N35" s="202"/>
      <c r="O35" s="247"/>
      <c r="P35" s="193"/>
      <c r="R35" s="202"/>
      <c r="S35" s="247"/>
      <c r="T35" s="193"/>
      <c r="V35" s="202"/>
      <c r="W35" s="247"/>
      <c r="X35" s="193"/>
      <c r="Z35" s="202"/>
      <c r="AA35" s="247"/>
      <c r="AB35" s="193"/>
      <c r="AD35" s="193"/>
      <c r="AF35" s="212"/>
    </row>
    <row r="36" spans="1:32" ht="15" hidden="1" customHeight="1" outlineLevel="1" x14ac:dyDescent="0.15">
      <c r="A36" s="200" t="s">
        <v>235</v>
      </c>
      <c r="B36" s="177">
        <f>Dezember24!AH35</f>
        <v>0</v>
      </c>
      <c r="C36" s="238">
        <v>0</v>
      </c>
      <c r="D36" s="177">
        <f>B36-'Exec.Summary_Liquiplanung ORG'!B35</f>
        <v>0</v>
      </c>
      <c r="F36" s="177">
        <f>Januar!AH35</f>
        <v>0</v>
      </c>
      <c r="G36" s="238">
        <v>0</v>
      </c>
      <c r="H36" s="177">
        <f>F36-'Exec.Summary_Liquiplanung ORG'!C35</f>
        <v>0</v>
      </c>
      <c r="J36" s="177">
        <f>Februar!AH35</f>
        <v>0</v>
      </c>
      <c r="K36" s="238">
        <v>0</v>
      </c>
      <c r="L36" s="177">
        <f>J36-'Exec.Summary_Liquiplanung ORG'!D35</f>
        <v>0</v>
      </c>
      <c r="N36" s="177">
        <f>März!AH35</f>
        <v>0</v>
      </c>
      <c r="O36" s="238">
        <v>0</v>
      </c>
      <c r="P36" s="177">
        <f>N36-'Exec.Summary_Liquiplanung ORG'!E35</f>
        <v>0</v>
      </c>
      <c r="R36" s="177">
        <f>April!AH35</f>
        <v>0</v>
      </c>
      <c r="S36" s="238">
        <v>0</v>
      </c>
      <c r="T36" s="177">
        <f>R36-'Exec.Summary_Liquiplanung ORG'!F35</f>
        <v>0</v>
      </c>
      <c r="V36" s="177">
        <f>Mai!AH35</f>
        <v>0</v>
      </c>
      <c r="W36" s="238">
        <v>0</v>
      </c>
      <c r="X36" s="177">
        <f>V36-'Exec.Summary_Liquiplanung ORG'!G35</f>
        <v>0</v>
      </c>
      <c r="Z36" s="177">
        <f>Juni!AH35</f>
        <v>0</v>
      </c>
      <c r="AA36" s="238">
        <v>0</v>
      </c>
      <c r="AB36" s="177">
        <f>Z36-'Exec.Summary_Liquiplanung ORG'!H35</f>
        <v>0</v>
      </c>
      <c r="AD36" s="177">
        <v>0</v>
      </c>
      <c r="AF36" s="212"/>
    </row>
    <row r="37" spans="1:32" ht="15" hidden="1" customHeight="1" outlineLevel="1" x14ac:dyDescent="0.15">
      <c r="A37" s="200" t="s">
        <v>234</v>
      </c>
      <c r="B37" s="177">
        <f>Dezember24!AH36</f>
        <v>0</v>
      </c>
      <c r="C37" s="238">
        <v>0</v>
      </c>
      <c r="D37" s="177">
        <f>B37-'Exec.Summary_Liquiplanung ORG'!B36</f>
        <v>0</v>
      </c>
      <c r="F37" s="177">
        <f>Januar!AH36</f>
        <v>0</v>
      </c>
      <c r="G37" s="238">
        <v>0</v>
      </c>
      <c r="H37" s="177">
        <f>F37-'Exec.Summary_Liquiplanung ORG'!C36</f>
        <v>0</v>
      </c>
      <c r="J37" s="177">
        <f>Februar!AH36</f>
        <v>0</v>
      </c>
      <c r="K37" s="238">
        <v>0</v>
      </c>
      <c r="L37" s="177">
        <f>J37-'Exec.Summary_Liquiplanung ORG'!D36</f>
        <v>0</v>
      </c>
      <c r="N37" s="177">
        <f>März!AH36</f>
        <v>0</v>
      </c>
      <c r="O37" s="238">
        <v>0</v>
      </c>
      <c r="P37" s="177">
        <f>N37-'Exec.Summary_Liquiplanung ORG'!E36</f>
        <v>0</v>
      </c>
      <c r="R37" s="177">
        <f>April!AH36</f>
        <v>0</v>
      </c>
      <c r="S37" s="238">
        <v>0</v>
      </c>
      <c r="T37" s="177">
        <f>R37-'Exec.Summary_Liquiplanung ORG'!F36</f>
        <v>0</v>
      </c>
      <c r="V37" s="177">
        <f>Mai!AH36</f>
        <v>0</v>
      </c>
      <c r="W37" s="238">
        <v>0</v>
      </c>
      <c r="X37" s="177">
        <f>V37-'Exec.Summary_Liquiplanung ORG'!G36</f>
        <v>0</v>
      </c>
      <c r="Z37" s="177">
        <f>Juni!AH36</f>
        <v>0</v>
      </c>
      <c r="AA37" s="238">
        <v>0</v>
      </c>
      <c r="AB37" s="177">
        <f>Z37-'Exec.Summary_Liquiplanung ORG'!H36</f>
        <v>0</v>
      </c>
      <c r="AD37" s="177">
        <v>0</v>
      </c>
      <c r="AF37" s="212"/>
    </row>
    <row r="38" spans="1:32" ht="15" hidden="1" customHeight="1" outlineLevel="1" x14ac:dyDescent="0.15">
      <c r="A38" s="200" t="s">
        <v>233</v>
      </c>
      <c r="B38" s="177">
        <f>Dezember24!AH37</f>
        <v>0</v>
      </c>
      <c r="C38" s="238">
        <v>0</v>
      </c>
      <c r="D38" s="177">
        <f>B38-'Exec.Summary_Liquiplanung ORG'!B37</f>
        <v>0</v>
      </c>
      <c r="F38" s="177">
        <f>Januar!AH37</f>
        <v>0</v>
      </c>
      <c r="G38" s="238">
        <v>0</v>
      </c>
      <c r="H38" s="177">
        <f>F38-'Exec.Summary_Liquiplanung ORG'!C37</f>
        <v>0</v>
      </c>
      <c r="J38" s="177">
        <f>Februar!AH37</f>
        <v>0</v>
      </c>
      <c r="K38" s="238">
        <v>0</v>
      </c>
      <c r="L38" s="177">
        <f>J38-'Exec.Summary_Liquiplanung ORG'!D37</f>
        <v>0</v>
      </c>
      <c r="N38" s="177">
        <f>März!AH37</f>
        <v>0</v>
      </c>
      <c r="O38" s="238">
        <v>0</v>
      </c>
      <c r="P38" s="177">
        <f>N38-'Exec.Summary_Liquiplanung ORG'!E37</f>
        <v>0</v>
      </c>
      <c r="R38" s="177">
        <f>April!AH37</f>
        <v>0</v>
      </c>
      <c r="S38" s="238">
        <v>0</v>
      </c>
      <c r="T38" s="177">
        <f>R38-'Exec.Summary_Liquiplanung ORG'!F37</f>
        <v>0</v>
      </c>
      <c r="V38" s="177">
        <f>Mai!AH37</f>
        <v>0</v>
      </c>
      <c r="W38" s="238">
        <v>0</v>
      </c>
      <c r="X38" s="177">
        <f>V38-'Exec.Summary_Liquiplanung ORG'!G37</f>
        <v>0</v>
      </c>
      <c r="Z38" s="177">
        <f>Juni!AH37</f>
        <v>0</v>
      </c>
      <c r="AA38" s="238">
        <v>0</v>
      </c>
      <c r="AB38" s="177">
        <f>Z38-'Exec.Summary_Liquiplanung ORG'!H37</f>
        <v>0</v>
      </c>
      <c r="AD38" s="177">
        <v>0</v>
      </c>
      <c r="AF38" s="212"/>
    </row>
    <row r="39" spans="1:32" ht="15" hidden="1" customHeight="1" outlineLevel="1" x14ac:dyDescent="0.15">
      <c r="A39" s="200" t="s">
        <v>232</v>
      </c>
      <c r="B39" s="177">
        <f>Dezember24!AH38</f>
        <v>0</v>
      </c>
      <c r="C39" s="238">
        <v>0</v>
      </c>
      <c r="D39" s="177">
        <f>B39-'Exec.Summary_Liquiplanung ORG'!B38</f>
        <v>0</v>
      </c>
      <c r="F39" s="177">
        <f>Januar!AH38</f>
        <v>0</v>
      </c>
      <c r="G39" s="238">
        <v>0</v>
      </c>
      <c r="H39" s="177">
        <f>F39-'Exec.Summary_Liquiplanung ORG'!C38</f>
        <v>0</v>
      </c>
      <c r="J39" s="177">
        <f>Februar!AH38</f>
        <v>0</v>
      </c>
      <c r="K39" s="238">
        <v>0</v>
      </c>
      <c r="L39" s="177">
        <f>J39-'Exec.Summary_Liquiplanung ORG'!D38</f>
        <v>0</v>
      </c>
      <c r="N39" s="177">
        <f>März!AH38</f>
        <v>0</v>
      </c>
      <c r="O39" s="238">
        <v>0</v>
      </c>
      <c r="P39" s="177">
        <f>N39-'Exec.Summary_Liquiplanung ORG'!E38</f>
        <v>0</v>
      </c>
      <c r="R39" s="177">
        <f>April!AH38</f>
        <v>0</v>
      </c>
      <c r="S39" s="238">
        <v>0</v>
      </c>
      <c r="T39" s="177">
        <f>R39-'Exec.Summary_Liquiplanung ORG'!F38</f>
        <v>0</v>
      </c>
      <c r="V39" s="177">
        <f>Mai!AH38</f>
        <v>0</v>
      </c>
      <c r="W39" s="238">
        <v>0</v>
      </c>
      <c r="X39" s="177">
        <f>V39-'Exec.Summary_Liquiplanung ORG'!G38</f>
        <v>0</v>
      </c>
      <c r="Z39" s="177">
        <f>Juni!AH38</f>
        <v>0</v>
      </c>
      <c r="AA39" s="238">
        <v>0</v>
      </c>
      <c r="AB39" s="177">
        <f>Z39-'Exec.Summary_Liquiplanung ORG'!H38</f>
        <v>0</v>
      </c>
      <c r="AD39" s="177">
        <v>0</v>
      </c>
      <c r="AF39" s="212"/>
    </row>
    <row r="40" spans="1:32" collapsed="1" x14ac:dyDescent="0.15">
      <c r="A40" s="204" t="s">
        <v>231</v>
      </c>
      <c r="B40" s="177">
        <f>Dezember24!AH39</f>
        <v>0</v>
      </c>
      <c r="C40" s="238">
        <v>0</v>
      </c>
      <c r="D40" s="177">
        <f>B40-'Exec.Summary_Liquiplanung ORG'!B39</f>
        <v>0</v>
      </c>
      <c r="F40" s="177">
        <f>Januar!AH39</f>
        <v>0</v>
      </c>
      <c r="G40" s="238">
        <v>0</v>
      </c>
      <c r="H40" s="177">
        <f>F40-'Exec.Summary_Liquiplanung ORG'!C39</f>
        <v>0</v>
      </c>
      <c r="J40" s="177">
        <f>Februar!AH39</f>
        <v>20889.36</v>
      </c>
      <c r="K40" s="238">
        <v>0</v>
      </c>
      <c r="L40" s="177">
        <f>J40-'Exec.Summary_Liquiplanung ORG'!D39</f>
        <v>20889.36</v>
      </c>
      <c r="N40" s="177">
        <f>März!AH39</f>
        <v>2229727.34</v>
      </c>
      <c r="O40" s="238">
        <v>0</v>
      </c>
      <c r="P40" s="177">
        <f>N40-'Exec.Summary_Liquiplanung ORG'!E39</f>
        <v>2229727.34</v>
      </c>
      <c r="R40" s="177">
        <f>April!AH39</f>
        <v>0</v>
      </c>
      <c r="S40" s="238">
        <v>0</v>
      </c>
      <c r="T40" s="177">
        <f>R40-'Exec.Summary_Liquiplanung ORG'!F39</f>
        <v>0</v>
      </c>
      <c r="V40" s="177">
        <f>Mai!AH39</f>
        <v>0</v>
      </c>
      <c r="W40" s="238">
        <v>0</v>
      </c>
      <c r="X40" s="177">
        <f>V40-'Exec.Summary_Liquiplanung ORG'!G39</f>
        <v>0</v>
      </c>
      <c r="Z40" s="177">
        <f>Juni!AH39</f>
        <v>0</v>
      </c>
      <c r="AA40" s="238">
        <v>0</v>
      </c>
      <c r="AB40" s="177">
        <f>Z40-'Exec.Summary_Liquiplanung ORG'!H39</f>
        <v>0</v>
      </c>
      <c r="AD40" s="177">
        <v>0</v>
      </c>
      <c r="AF40" s="212"/>
    </row>
    <row r="41" spans="1:32" x14ac:dyDescent="0.15">
      <c r="A41" s="204" t="s">
        <v>230</v>
      </c>
      <c r="B41" s="177">
        <f>Dezember24!AH40</f>
        <v>475599.89</v>
      </c>
      <c r="C41" s="238">
        <v>967750</v>
      </c>
      <c r="D41" s="177">
        <f>B41-'Exec.Summary_Liquiplanung ORG'!B40</f>
        <v>-492150.11</v>
      </c>
      <c r="F41" s="177">
        <f>Januar!AH40</f>
        <v>3810010.5900000003</v>
      </c>
      <c r="G41" s="238">
        <v>4370953.061687801</v>
      </c>
      <c r="H41" s="177">
        <f>F41-'Exec.Summary_Liquiplanung ORG'!C40</f>
        <v>-560942.47168780072</v>
      </c>
      <c r="J41" s="177">
        <f>Februar!AH40</f>
        <v>4298434.4028699994</v>
      </c>
      <c r="K41" s="238">
        <v>3908393.5171814733</v>
      </c>
      <c r="L41" s="177">
        <f>J41-'Exec.Summary_Liquiplanung ORG'!D40</f>
        <v>390040.88568852609</v>
      </c>
      <c r="N41" s="177">
        <f>März!AH40</f>
        <v>4815059.794674837</v>
      </c>
      <c r="O41" s="238">
        <v>5226279.3956934735</v>
      </c>
      <c r="P41" s="177">
        <f>N41-'Exec.Summary_Liquiplanung ORG'!E40</f>
        <v>-411219.60101863649</v>
      </c>
      <c r="R41" s="177">
        <f>April!AH40</f>
        <v>6380242.6540693343</v>
      </c>
      <c r="S41" s="238">
        <v>4156379.5494380267</v>
      </c>
      <c r="T41" s="177">
        <f>R41-'Exec.Summary_Liquiplanung ORG'!F40</f>
        <v>2223863.1046313075</v>
      </c>
      <c r="V41" s="177">
        <f>Mai!AH40</f>
        <v>4908414.5320567749</v>
      </c>
      <c r="W41" s="238">
        <v>5207062.1528183995</v>
      </c>
      <c r="X41" s="177">
        <f>V41-'Exec.Summary_Liquiplanung ORG'!G40</f>
        <v>-298647.62076162454</v>
      </c>
      <c r="Z41" s="177">
        <f>Juni!AH40</f>
        <v>5222355.1802243255</v>
      </c>
      <c r="AA41" s="238">
        <v>5127362.7539968407</v>
      </c>
      <c r="AB41" s="177">
        <f>Z41-'Exec.Summary_Liquiplanung ORG'!H40</f>
        <v>94992.42622748483</v>
      </c>
      <c r="AD41" s="177">
        <v>307359.75555977633</v>
      </c>
      <c r="AF41" s="212"/>
    </row>
    <row r="42" spans="1:32" ht="15" thickBot="1" x14ac:dyDescent="0.2">
      <c r="A42" s="205" t="s">
        <v>229</v>
      </c>
      <c r="B42" s="178">
        <f>Dezember24!AH41</f>
        <v>32289.84</v>
      </c>
      <c r="C42" s="240">
        <v>2213718.75</v>
      </c>
      <c r="D42" s="177">
        <f>B42-'Exec.Summary_Liquiplanung ORG'!B41</f>
        <v>-2181428.91</v>
      </c>
      <c r="F42" s="178">
        <f>Januar!AH41</f>
        <v>1555527.69</v>
      </c>
      <c r="G42" s="240">
        <v>3177414.0308438982</v>
      </c>
      <c r="H42" s="177">
        <f>F42-'Exec.Summary_Liquiplanung ORG'!C41</f>
        <v>-1621886.3408438982</v>
      </c>
      <c r="J42" s="178">
        <f>Februar!AH41</f>
        <v>2856728.1467900006</v>
      </c>
      <c r="K42" s="240">
        <v>3530810.0240126872</v>
      </c>
      <c r="L42" s="177">
        <f>J42-'Exec.Summary_Liquiplanung ORG'!D41</f>
        <v>-674081.87722268654</v>
      </c>
      <c r="N42" s="178">
        <f>März!AH41</f>
        <v>4138219.5242539509</v>
      </c>
      <c r="O42" s="240">
        <v>4441038.8425640566</v>
      </c>
      <c r="P42" s="177">
        <f>N42-'Exec.Summary_Liquiplanung ORG'!E41</f>
        <v>-302819.31831010571</v>
      </c>
      <c r="R42" s="178">
        <f>April!AH41</f>
        <v>4392927.4987149974</v>
      </c>
      <c r="S42" s="240">
        <v>4361872.502937749</v>
      </c>
      <c r="T42" s="177">
        <f>R42-'Exec.Summary_Liquiplanung ORG'!F41</f>
        <v>31054.995777248405</v>
      </c>
      <c r="V42" s="178">
        <f>Mai!AH41</f>
        <v>5117116.4412350012</v>
      </c>
      <c r="W42" s="240">
        <v>4949210.812692075</v>
      </c>
      <c r="X42" s="177">
        <f>V42-'Exec.Summary_Liquiplanung ORG'!G41</f>
        <v>167905.62854292616</v>
      </c>
      <c r="Z42" s="178">
        <f>Juni!AH41</f>
        <v>4920793.1105034798</v>
      </c>
      <c r="AA42" s="240">
        <v>4904541.8025625264</v>
      </c>
      <c r="AB42" s="177">
        <f>Z42-'Exec.Summary_Liquiplanung ORG'!H41</f>
        <v>16251.307940953411</v>
      </c>
      <c r="AD42" s="177">
        <v>-1519478.4312364864</v>
      </c>
      <c r="AF42" s="270" t="s">
        <v>419</v>
      </c>
    </row>
    <row r="43" spans="1:32" x14ac:dyDescent="0.15">
      <c r="A43" s="201" t="s">
        <v>227</v>
      </c>
      <c r="B43" s="202">
        <f>Dezember24!AH42</f>
        <v>507889.73000000004</v>
      </c>
      <c r="C43" s="247">
        <v>3181468.75</v>
      </c>
      <c r="D43" s="202">
        <f>B43-'Exec.Summary_Liquiplanung ORG'!B42</f>
        <v>-2673579.02</v>
      </c>
      <c r="F43" s="202">
        <f>Januar!AH42</f>
        <v>5365538.2799999993</v>
      </c>
      <c r="G43" s="247">
        <v>7548367.0925316997</v>
      </c>
      <c r="H43" s="202">
        <f>F43-'Exec.Summary_Liquiplanung ORG'!C42</f>
        <v>-2182828.8125317004</v>
      </c>
      <c r="J43" s="202">
        <f>Februar!AH42</f>
        <v>7176051.9096600013</v>
      </c>
      <c r="K43" s="247">
        <v>7439203.5411941605</v>
      </c>
      <c r="L43" s="202">
        <f>J43-'Exec.Summary_Liquiplanung ORG'!D42</f>
        <v>-263151.63153415918</v>
      </c>
      <c r="N43" s="202">
        <f>März!AH42</f>
        <v>11183006.658928789</v>
      </c>
      <c r="O43" s="247">
        <v>9667318.2382575292</v>
      </c>
      <c r="P43" s="202">
        <f>N43-'Exec.Summary_Liquiplanung ORG'!E42</f>
        <v>1515688.42067126</v>
      </c>
      <c r="R43" s="202">
        <f>April!AH42</f>
        <v>10773170.152784331</v>
      </c>
      <c r="S43" s="247">
        <v>8518252.0523757748</v>
      </c>
      <c r="T43" s="202">
        <f>R43-'Exec.Summary_Liquiplanung ORG'!F42</f>
        <v>2254918.1004085559</v>
      </c>
      <c r="V43" s="202">
        <f>Mai!AH42</f>
        <v>10025530.973291773</v>
      </c>
      <c r="W43" s="247">
        <v>10156272.965510478</v>
      </c>
      <c r="X43" s="202">
        <f>V43-'Exec.Summary_Liquiplanung ORG'!G42</f>
        <v>-130741.99221870489</v>
      </c>
      <c r="Z43" s="202">
        <f>Juni!AH42</f>
        <v>10143148.290727803</v>
      </c>
      <c r="AA43" s="247">
        <v>10031904.556559365</v>
      </c>
      <c r="AB43" s="202">
        <f>Z43-'Exec.Summary_Liquiplanung ORG'!H42</f>
        <v>111243.73416843824</v>
      </c>
      <c r="AD43" s="202">
        <v>-1212118.6756767128</v>
      </c>
      <c r="AF43" s="270" t="s">
        <v>417</v>
      </c>
    </row>
    <row r="44" spans="1:32" ht="6" customHeight="1" x14ac:dyDescent="0.15">
      <c r="A44" s="200" t="s">
        <v>219</v>
      </c>
      <c r="B44" s="177"/>
      <c r="C44" s="238"/>
      <c r="D44" s="177"/>
      <c r="F44" s="177" t="str">
        <f>Januar!AH43</f>
        <v xml:space="preserve"> </v>
      </c>
      <c r="G44" s="238" t="s">
        <v>219</v>
      </c>
      <c r="H44" s="177"/>
      <c r="J44" s="177" t="str">
        <f>Februar!AH43</f>
        <v xml:space="preserve"> </v>
      </c>
      <c r="K44" s="238" t="s">
        <v>219</v>
      </c>
      <c r="L44" s="177"/>
      <c r="N44" s="177"/>
      <c r="O44" s="238"/>
      <c r="P44" s="177"/>
      <c r="R44" s="177" t="str">
        <f>April!AH43</f>
        <v xml:space="preserve"> </v>
      </c>
      <c r="S44" s="238" t="s">
        <v>219</v>
      </c>
      <c r="T44" s="177"/>
      <c r="V44" s="177" t="str">
        <f>Mai!AH43</f>
        <v xml:space="preserve"> </v>
      </c>
      <c r="W44" s="238" t="s">
        <v>219</v>
      </c>
      <c r="X44" s="177"/>
      <c r="Z44" s="177" t="str">
        <f>Juni!AH43</f>
        <v xml:space="preserve"> </v>
      </c>
      <c r="AA44" s="238" t="s">
        <v>219</v>
      </c>
      <c r="AB44" s="177"/>
      <c r="AD44" s="177"/>
      <c r="AF44" s="212"/>
    </row>
    <row r="45" spans="1:32" x14ac:dyDescent="0.15">
      <c r="A45" s="200" t="s">
        <v>224</v>
      </c>
      <c r="B45" s="177">
        <f>Dezember24!AH44</f>
        <v>442499.73000000004</v>
      </c>
      <c r="C45" s="238">
        <v>1761468.75</v>
      </c>
      <c r="D45" s="177">
        <f>B45-'Exec.Summary_Liquiplanung ORG'!B44</f>
        <v>-1318969.02</v>
      </c>
      <c r="F45" s="177">
        <f>Januar!AH44</f>
        <v>652888.0999999987</v>
      </c>
      <c r="G45" s="238">
        <v>1353056.4703463251</v>
      </c>
      <c r="H45" s="177">
        <f>F45-'Exec.Summary_Liquiplanung ORG'!C44</f>
        <v>-700168.37034632638</v>
      </c>
      <c r="J45" s="177">
        <f>Februar!AH44</f>
        <v>615050.37966000102</v>
      </c>
      <c r="K45" s="238">
        <v>589863.67813646141</v>
      </c>
      <c r="L45" s="177">
        <f>J45-'Exec.Summary_Liquiplanung ORG'!D44</f>
        <v>25186.70152353961</v>
      </c>
      <c r="N45" s="177">
        <f>März!AH44</f>
        <v>3371018.0964127886</v>
      </c>
      <c r="O45" s="238">
        <v>-1178576.1220411737</v>
      </c>
      <c r="P45" s="177">
        <f>N45-'Exec.Summary_Liquiplanung ORG'!E44</f>
        <v>4549594.2184539624</v>
      </c>
      <c r="R45" s="177">
        <f>April!AH44</f>
        <v>2913712.9277303303</v>
      </c>
      <c r="S45" s="238">
        <v>-999676.60956777819</v>
      </c>
      <c r="T45" s="177">
        <f>R45-'Exec.Summary_Liquiplanung ORG'!F44</f>
        <v>3913389.5372981085</v>
      </c>
      <c r="V45" s="177">
        <f>Mai!AH44</f>
        <v>-1890290.9833709784</v>
      </c>
      <c r="W45" s="238">
        <v>-267849.29180557653</v>
      </c>
      <c r="X45" s="177">
        <f>V45-'Exec.Summary_Liquiplanung ORG'!G44</f>
        <v>-1622441.6915654019</v>
      </c>
      <c r="Z45" s="177">
        <f>Juni!AH44</f>
        <v>2120610.0897501372</v>
      </c>
      <c r="AA45" s="238">
        <v>-2931892.0789893176</v>
      </c>
      <c r="AB45" s="177">
        <f>Z45-'Exec.Summary_Liquiplanung ORG'!H44</f>
        <v>5052502.1687394548</v>
      </c>
      <c r="AD45" s="177">
        <v>-25411.408776605036</v>
      </c>
      <c r="AF45" s="212"/>
    </row>
    <row r="46" spans="1:32" ht="15" hidden="1" customHeight="1" outlineLevel="1" x14ac:dyDescent="0.15">
      <c r="A46" s="200"/>
      <c r="B46" s="177"/>
      <c r="C46" s="238"/>
      <c r="D46" s="177">
        <f>B46-'Exec.Summary_Liquiplanung ORG'!B45</f>
        <v>0</v>
      </c>
      <c r="F46" s="177"/>
      <c r="G46" s="238"/>
      <c r="H46" s="177">
        <f>F46-'Exec.Summary_Liquiplanung ORG'!C45</f>
        <v>0</v>
      </c>
      <c r="J46" s="177"/>
      <c r="K46" s="238"/>
      <c r="L46" s="177">
        <f>J46-'Exec.Summary_Liquiplanung ORG'!D45</f>
        <v>0</v>
      </c>
      <c r="N46" s="177"/>
      <c r="O46" s="238"/>
      <c r="P46" s="177">
        <f>N46-'Exec.Summary_Liquiplanung ORG'!E45</f>
        <v>0</v>
      </c>
      <c r="R46" s="177"/>
      <c r="S46" s="238"/>
      <c r="T46" s="177">
        <f>R46-'Exec.Summary_Liquiplanung ORG'!F45</f>
        <v>0</v>
      </c>
      <c r="V46" s="177"/>
      <c r="W46" s="238"/>
      <c r="X46" s="177">
        <f>V46-'Exec.Summary_Liquiplanung ORG'!G45</f>
        <v>0</v>
      </c>
      <c r="Z46" s="177"/>
      <c r="AA46" s="238"/>
      <c r="AB46" s="177">
        <f>Z46-'Exec.Summary_Liquiplanung ORG'!H45</f>
        <v>0</v>
      </c>
      <c r="AD46" s="177">
        <v>0</v>
      </c>
      <c r="AF46" s="212"/>
    </row>
    <row r="47" spans="1:32" ht="15" hidden="1" customHeight="1" outlineLevel="1" x14ac:dyDescent="0.15">
      <c r="A47" s="200" t="s">
        <v>223</v>
      </c>
      <c r="B47" s="177"/>
      <c r="C47" s="238"/>
      <c r="D47" s="177">
        <f>B47-'Exec.Summary_Liquiplanung ORG'!B46</f>
        <v>0</v>
      </c>
      <c r="F47" s="177"/>
      <c r="G47" s="238"/>
      <c r="H47" s="177">
        <f>F47-'Exec.Summary_Liquiplanung ORG'!C46</f>
        <v>0</v>
      </c>
      <c r="J47" s="177"/>
      <c r="K47" s="238"/>
      <c r="L47" s="177">
        <f>J47-'Exec.Summary_Liquiplanung ORG'!D46</f>
        <v>0</v>
      </c>
      <c r="N47" s="177"/>
      <c r="O47" s="238"/>
      <c r="P47" s="177">
        <f>N47-'Exec.Summary_Liquiplanung ORG'!E46</f>
        <v>0</v>
      </c>
      <c r="R47" s="177"/>
      <c r="S47" s="238"/>
      <c r="T47" s="177">
        <f>R47-'Exec.Summary_Liquiplanung ORG'!F46</f>
        <v>0</v>
      </c>
      <c r="V47" s="177"/>
      <c r="W47" s="238"/>
      <c r="X47" s="177">
        <f>V47-'Exec.Summary_Liquiplanung ORG'!G46</f>
        <v>0</v>
      </c>
      <c r="Z47" s="177"/>
      <c r="AA47" s="238"/>
      <c r="AB47" s="177">
        <f>Z47-'Exec.Summary_Liquiplanung ORG'!H46</f>
        <v>0</v>
      </c>
      <c r="AD47" s="177">
        <v>0</v>
      </c>
      <c r="AF47" s="212"/>
    </row>
    <row r="48" spans="1:32" ht="15" hidden="1" customHeight="1" outlineLevel="1" x14ac:dyDescent="0.15">
      <c r="A48" s="200" t="s">
        <v>219</v>
      </c>
      <c r="B48" s="177"/>
      <c r="C48" s="238"/>
      <c r="D48" s="177">
        <f>B48-'Exec.Summary_Liquiplanung ORG'!B47</f>
        <v>0</v>
      </c>
      <c r="F48" s="177"/>
      <c r="G48" s="238"/>
      <c r="H48" s="177">
        <f>F48-'Exec.Summary_Liquiplanung ORG'!C47</f>
        <v>0</v>
      </c>
      <c r="J48" s="177"/>
      <c r="K48" s="238"/>
      <c r="L48" s="177">
        <f>J48-'Exec.Summary_Liquiplanung ORG'!D47</f>
        <v>0</v>
      </c>
      <c r="N48" s="177"/>
      <c r="O48" s="238"/>
      <c r="P48" s="177">
        <f>N48-'Exec.Summary_Liquiplanung ORG'!E47</f>
        <v>0</v>
      </c>
      <c r="R48" s="177"/>
      <c r="S48" s="238"/>
      <c r="T48" s="177">
        <f>R48-'Exec.Summary_Liquiplanung ORG'!F47</f>
        <v>0</v>
      </c>
      <c r="V48" s="177"/>
      <c r="W48" s="238"/>
      <c r="X48" s="177">
        <f>V48-'Exec.Summary_Liquiplanung ORG'!G47</f>
        <v>0</v>
      </c>
      <c r="Z48" s="177"/>
      <c r="AA48" s="238"/>
      <c r="AB48" s="177">
        <f>Z48-'Exec.Summary_Liquiplanung ORG'!H47</f>
        <v>0</v>
      </c>
      <c r="AD48" s="177">
        <v>0</v>
      </c>
      <c r="AF48" s="212"/>
    </row>
    <row r="49" spans="1:32" ht="15" hidden="1" customHeight="1" outlineLevel="1" x14ac:dyDescent="0.15">
      <c r="A49" s="200" t="s">
        <v>219</v>
      </c>
      <c r="B49" s="177"/>
      <c r="C49" s="238"/>
      <c r="D49" s="177">
        <f>B49-'Exec.Summary_Liquiplanung ORG'!B48</f>
        <v>0</v>
      </c>
      <c r="F49" s="177"/>
      <c r="G49" s="238"/>
      <c r="H49" s="177">
        <f>F49-'Exec.Summary_Liquiplanung ORG'!C48</f>
        <v>0</v>
      </c>
      <c r="J49" s="177"/>
      <c r="K49" s="238"/>
      <c r="L49" s="177">
        <f>J49-'Exec.Summary_Liquiplanung ORG'!D48</f>
        <v>0</v>
      </c>
      <c r="N49" s="177"/>
      <c r="O49" s="238"/>
      <c r="P49" s="177">
        <f>N49-'Exec.Summary_Liquiplanung ORG'!E48</f>
        <v>0</v>
      </c>
      <c r="R49" s="177"/>
      <c r="S49" s="238"/>
      <c r="T49" s="177">
        <f>R49-'Exec.Summary_Liquiplanung ORG'!F48</f>
        <v>0</v>
      </c>
      <c r="V49" s="177"/>
      <c r="W49" s="238"/>
      <c r="X49" s="177">
        <f>V49-'Exec.Summary_Liquiplanung ORG'!G48</f>
        <v>0</v>
      </c>
      <c r="Z49" s="177"/>
      <c r="AA49" s="238"/>
      <c r="AB49" s="177">
        <f>Z49-'Exec.Summary_Liquiplanung ORG'!H48</f>
        <v>0</v>
      </c>
      <c r="AD49" s="177">
        <v>0</v>
      </c>
      <c r="AF49" s="212"/>
    </row>
    <row r="50" spans="1:32" ht="2.5" customHeight="1" collapsed="1" x14ac:dyDescent="0.15">
      <c r="A50" s="206"/>
      <c r="B50" s="177"/>
      <c r="C50" s="238"/>
      <c r="D50" s="177">
        <f>B50-'Exec.Summary_Liquiplanung ORG'!B49</f>
        <v>0</v>
      </c>
      <c r="F50" s="177"/>
      <c r="G50" s="238"/>
      <c r="H50" s="177">
        <f>F50-'Exec.Summary_Liquiplanung ORG'!C49</f>
        <v>0</v>
      </c>
      <c r="J50" s="177"/>
      <c r="K50" s="238"/>
      <c r="L50" s="177">
        <f>J50-'Exec.Summary_Liquiplanung ORG'!D49</f>
        <v>0</v>
      </c>
      <c r="N50" s="177"/>
      <c r="O50" s="238"/>
      <c r="P50" s="177">
        <f>N50-'Exec.Summary_Liquiplanung ORG'!E49</f>
        <v>0</v>
      </c>
      <c r="R50" s="177"/>
      <c r="S50" s="238"/>
      <c r="T50" s="177">
        <f>R50-'Exec.Summary_Liquiplanung ORG'!F49</f>
        <v>0</v>
      </c>
      <c r="V50" s="177"/>
      <c r="W50" s="238"/>
      <c r="X50" s="177">
        <f>V50-'Exec.Summary_Liquiplanung ORG'!G49</f>
        <v>0</v>
      </c>
      <c r="Z50" s="177"/>
      <c r="AA50" s="238"/>
      <c r="AB50" s="177">
        <f>Z50-'Exec.Summary_Liquiplanung ORG'!H49</f>
        <v>0</v>
      </c>
      <c r="AD50" s="177">
        <v>0</v>
      </c>
      <c r="AF50" s="212"/>
    </row>
    <row r="51" spans="1:32" ht="15" thickBot="1" x14ac:dyDescent="0.2">
      <c r="A51" s="207" t="s">
        <v>328</v>
      </c>
      <c r="B51" s="182">
        <f>Dezember24!AG50</f>
        <v>3442499.73</v>
      </c>
      <c r="C51" s="249">
        <v>4761468.75</v>
      </c>
      <c r="D51" s="249">
        <f>B51-'Exec.Summary_Liquiplanung ORG'!B50</f>
        <v>-1318969.02</v>
      </c>
      <c r="F51" s="182">
        <f>Januar!AH50</f>
        <v>4095387.8299999987</v>
      </c>
      <c r="G51" s="249">
        <v>6114525.2203463251</v>
      </c>
      <c r="H51" s="202">
        <f>F51-'Exec.Summary_Liquiplanung ORG'!C50</f>
        <v>-2019137.3903463264</v>
      </c>
      <c r="J51" s="182">
        <f>Februar!AH50</f>
        <v>4710438.2096600002</v>
      </c>
      <c r="K51" s="249">
        <v>6704388.8984827874</v>
      </c>
      <c r="L51" s="202">
        <f>J51-'Exec.Summary_Liquiplanung ORG'!D50</f>
        <v>-1993950.6888227873</v>
      </c>
      <c r="N51" s="182">
        <f>März!AG50</f>
        <v>8081456.306072792</v>
      </c>
      <c r="O51" s="249">
        <v>5525812.7764416113</v>
      </c>
      <c r="P51" s="202">
        <f>N51-'Exec.Summary_Liquiplanung ORG'!E50</f>
        <v>2555643.5296311807</v>
      </c>
      <c r="R51" s="182">
        <f>April!AH50</f>
        <v>10995169.233803123</v>
      </c>
      <c r="S51" s="249">
        <v>4526136.1668738332</v>
      </c>
      <c r="T51" s="202">
        <f>R51-'Exec.Summary_Liquiplanung ORG'!F50</f>
        <v>6469033.0669292901</v>
      </c>
      <c r="V51" s="182">
        <f>Mai!AH50</f>
        <v>9104878.2504321449</v>
      </c>
      <c r="W51" s="249">
        <v>4258286.8750682548</v>
      </c>
      <c r="X51" s="202">
        <f>V51-'Exec.Summary_Liquiplanung ORG'!G50</f>
        <v>4846591.3753638901</v>
      </c>
      <c r="Z51" s="182">
        <f>Juni!AH50</f>
        <v>11225488.340182275</v>
      </c>
      <c r="AA51" s="249">
        <v>1326394.7960789334</v>
      </c>
      <c r="AB51" s="202">
        <f>Z51-'Exec.Summary_Liquiplanung ORG'!H50</f>
        <v>9899093.5441033412</v>
      </c>
      <c r="AD51" s="180"/>
      <c r="AF51" s="212"/>
    </row>
    <row r="52" spans="1:32" ht="15.75" hidden="1" customHeight="1" outlineLevel="1" thickBot="1" x14ac:dyDescent="0.2">
      <c r="A52" s="207" t="s">
        <v>328</v>
      </c>
      <c r="B52" s="182">
        <v>4761468.75</v>
      </c>
      <c r="C52" s="238"/>
      <c r="F52" s="182">
        <v>6114525.2203463251</v>
      </c>
      <c r="G52" s="238"/>
      <c r="H52" s="177"/>
      <c r="J52" s="182">
        <v>6704388.8984827874</v>
      </c>
      <c r="K52" s="238"/>
      <c r="L52" s="177"/>
      <c r="N52" s="182">
        <v>5525812.7764416113</v>
      </c>
      <c r="P52" s="177"/>
      <c r="R52" s="182">
        <v>4526136.1668738332</v>
      </c>
      <c r="T52" s="177"/>
      <c r="V52" s="182">
        <v>4258286.8750682548</v>
      </c>
      <c r="X52" s="177"/>
      <c r="Z52" s="182">
        <v>1326394.7960789334</v>
      </c>
      <c r="AB52" s="177"/>
    </row>
    <row r="53" spans="1:32" ht="12.75" hidden="1" customHeight="1" outlineLevel="1" x14ac:dyDescent="0.15">
      <c r="A53"/>
      <c r="B53" s="177">
        <f t="shared" ref="B53:Z53" si="0">B51-B52</f>
        <v>-1318969.02</v>
      </c>
      <c r="C53" s="238"/>
      <c r="F53" s="177">
        <f t="shared" si="0"/>
        <v>-2019137.3903463264</v>
      </c>
      <c r="G53" s="238"/>
      <c r="J53" s="177">
        <f t="shared" si="0"/>
        <v>-1993950.6888227873</v>
      </c>
      <c r="N53" s="177">
        <f t="shared" si="0"/>
        <v>2555643.5296311807</v>
      </c>
      <c r="R53" s="177">
        <f t="shared" si="0"/>
        <v>6469033.0669292901</v>
      </c>
      <c r="V53" s="177">
        <f t="shared" si="0"/>
        <v>4846591.3753638901</v>
      </c>
      <c r="Z53" s="177">
        <f t="shared" si="0"/>
        <v>9899093.5441033412</v>
      </c>
    </row>
    <row r="54" spans="1:32" ht="13" collapsed="1" x14ac:dyDescent="0.15">
      <c r="A54"/>
      <c r="B54" s="177"/>
      <c r="F54" s="177"/>
      <c r="G54" s="252"/>
      <c r="J54" s="177"/>
      <c r="K54" s="252"/>
      <c r="N54" s="177"/>
      <c r="O54" s="252"/>
      <c r="R54" s="177"/>
      <c r="S54" s="252"/>
      <c r="V54" s="177"/>
      <c r="W54" s="252"/>
      <c r="Z54" s="177"/>
      <c r="AA54" s="252"/>
    </row>
    <row r="55" spans="1:32" x14ac:dyDescent="0.15">
      <c r="A55" s="219" t="s">
        <v>407</v>
      </c>
      <c r="C55"/>
      <c r="D55" s="74"/>
      <c r="E55" s="74"/>
      <c r="F55" s="347"/>
      <c r="G55" s="347"/>
      <c r="H55" s="347"/>
      <c r="I55" s="74"/>
      <c r="J55" s="74"/>
      <c r="K55"/>
      <c r="L55" s="74"/>
      <c r="M55" s="74"/>
      <c r="N55" s="74"/>
      <c r="O55"/>
      <c r="P55" s="74"/>
      <c r="Q55" s="74"/>
      <c r="R55" s="74"/>
      <c r="S55"/>
      <c r="T55" s="74"/>
      <c r="U55" s="74"/>
      <c r="V55" s="74"/>
      <c r="W55"/>
      <c r="X55" s="74"/>
      <c r="Y55" s="74"/>
      <c r="Z55" s="74"/>
      <c r="AA55"/>
      <c r="AB55" s="74"/>
      <c r="AC55" s="74"/>
      <c r="AD55" s="74"/>
    </row>
    <row r="56" spans="1:32" ht="26" customHeight="1" x14ac:dyDescent="0.15">
      <c r="A56" s="258" t="s">
        <v>392</v>
      </c>
      <c r="B56" s="258" t="s">
        <v>393</v>
      </c>
      <c r="C56"/>
      <c r="D56" s="255"/>
      <c r="E56" s="255"/>
      <c r="F56" s="255"/>
      <c r="G56"/>
      <c r="H56" s="255"/>
      <c r="I56" s="255"/>
      <c r="J56" s="255"/>
      <c r="K56"/>
      <c r="L56" s="255"/>
      <c r="M56" s="255"/>
      <c r="N56" s="255"/>
      <c r="O56"/>
      <c r="P56" s="255"/>
      <c r="Q56" s="255"/>
      <c r="R56" s="255"/>
      <c r="S56"/>
      <c r="T56" s="255"/>
      <c r="U56" s="255"/>
      <c r="V56" s="255"/>
      <c r="W56"/>
      <c r="X56" s="255"/>
      <c r="Y56" s="255"/>
      <c r="Z56" s="255"/>
      <c r="AA56"/>
      <c r="AB56" s="255"/>
      <c r="AC56" s="255"/>
      <c r="AD56" s="255"/>
    </row>
    <row r="57" spans="1:32" ht="13" x14ac:dyDescent="0.15">
      <c r="A57" s="261"/>
      <c r="B57" s="48"/>
      <c r="C57"/>
      <c r="D57" s="255"/>
      <c r="E57" s="255"/>
      <c r="F57" s="264"/>
      <c r="G57"/>
      <c r="H57" s="255"/>
      <c r="I57" s="255"/>
      <c r="J57" s="264"/>
      <c r="K57"/>
      <c r="L57" s="255"/>
      <c r="M57" s="255"/>
      <c r="N57" s="264"/>
      <c r="O57"/>
      <c r="P57" s="255"/>
      <c r="Q57" s="255"/>
      <c r="R57" s="264"/>
      <c r="S57"/>
      <c r="T57" s="255"/>
      <c r="U57" s="255"/>
      <c r="V57" s="264"/>
      <c r="W57"/>
      <c r="X57" s="255"/>
      <c r="Y57" s="255"/>
      <c r="Z57" s="264"/>
      <c r="AA57"/>
      <c r="AB57" s="255"/>
      <c r="AC57" s="255"/>
      <c r="AD57" s="255"/>
    </row>
    <row r="58" spans="1:32" ht="13" x14ac:dyDescent="0.15">
      <c r="A58" s="261"/>
      <c r="B58" s="48"/>
      <c r="C58"/>
      <c r="D58" s="255"/>
      <c r="E58" s="255"/>
      <c r="F58" s="262"/>
      <c r="G58"/>
      <c r="H58" s="255"/>
      <c r="I58" s="255"/>
      <c r="J58" s="255"/>
      <c r="K58"/>
      <c r="L58" s="255"/>
      <c r="M58" s="255"/>
      <c r="N58" s="255"/>
      <c r="O58"/>
      <c r="P58" s="255"/>
      <c r="Q58" s="255"/>
      <c r="R58" s="255"/>
      <c r="S58"/>
      <c r="T58" s="255"/>
      <c r="U58" s="255"/>
      <c r="V58" s="255"/>
      <c r="W58"/>
      <c r="X58" s="255"/>
      <c r="Y58" s="255"/>
      <c r="Z58" s="255"/>
      <c r="AA58"/>
      <c r="AB58" s="255"/>
      <c r="AC58" s="255"/>
      <c r="AD58" s="255"/>
    </row>
    <row r="59" spans="1:32" ht="13" x14ac:dyDescent="0.15">
      <c r="A59" s="254"/>
      <c r="B59" s="48"/>
      <c r="C59"/>
      <c r="D59" s="255"/>
      <c r="E59" s="255"/>
      <c r="F59" s="255"/>
      <c r="G59"/>
      <c r="H59" s="255"/>
      <c r="I59" s="255"/>
      <c r="J59" s="255"/>
      <c r="K59"/>
      <c r="L59" s="255"/>
      <c r="M59" s="255"/>
      <c r="N59" s="255"/>
      <c r="O59"/>
      <c r="P59" s="255"/>
      <c r="Q59" s="255"/>
      <c r="R59" s="255"/>
      <c r="S59"/>
      <c r="T59" s="255"/>
      <c r="U59" s="255"/>
      <c r="V59" s="255"/>
      <c r="W59"/>
      <c r="X59" s="255"/>
      <c r="Y59" s="255"/>
      <c r="Z59" s="255"/>
      <c r="AA59"/>
      <c r="AB59" s="255"/>
      <c r="AC59" s="255"/>
      <c r="AD59" s="255"/>
    </row>
    <row r="60" spans="1:32" ht="25.25" customHeight="1" x14ac:dyDescent="0.15">
      <c r="A60" s="258" t="s">
        <v>394</v>
      </c>
      <c r="B60" s="258" t="s">
        <v>393</v>
      </c>
      <c r="C60"/>
      <c r="D60" s="255"/>
      <c r="E60" s="255"/>
      <c r="F60" s="255"/>
      <c r="G60"/>
      <c r="H60" s="255"/>
      <c r="I60" s="255"/>
      <c r="J60" s="255"/>
      <c r="K60"/>
      <c r="L60" s="255"/>
      <c r="M60" s="255"/>
      <c r="N60" s="255"/>
      <c r="O60"/>
      <c r="P60" s="255"/>
      <c r="Q60" s="255"/>
      <c r="R60" s="255"/>
      <c r="S60"/>
      <c r="T60" s="255"/>
      <c r="U60" s="255"/>
      <c r="V60" s="255"/>
      <c r="W60"/>
      <c r="X60" s="255"/>
      <c r="Y60" s="255"/>
      <c r="Z60" s="255"/>
      <c r="AA60"/>
      <c r="AB60" s="255"/>
      <c r="AC60" s="255"/>
      <c r="AD60" s="255"/>
    </row>
    <row r="61" spans="1:32" ht="13" x14ac:dyDescent="0.15">
      <c r="A61" s="254"/>
      <c r="B61" s="256"/>
      <c r="C61"/>
      <c r="D61" s="255"/>
      <c r="E61" s="255"/>
      <c r="F61" s="262"/>
      <c r="G61"/>
      <c r="H61" s="255"/>
      <c r="I61" s="255"/>
      <c r="J61" s="255"/>
      <c r="K61"/>
      <c r="L61" s="255"/>
      <c r="M61" s="255"/>
      <c r="N61" s="255"/>
      <c r="O61"/>
      <c r="P61" s="255"/>
      <c r="Q61" s="255"/>
      <c r="R61" s="255"/>
      <c r="S61"/>
      <c r="T61" s="255"/>
      <c r="U61" s="255"/>
      <c r="V61" s="255"/>
      <c r="W61"/>
      <c r="X61" s="255"/>
      <c r="Y61" s="255"/>
      <c r="Z61" s="255"/>
      <c r="AA61"/>
      <c r="AB61" s="255"/>
      <c r="AC61" s="255"/>
      <c r="AD61" s="255"/>
    </row>
    <row r="62" spans="1:32" ht="12.75" customHeight="1" x14ac:dyDescent="0.15">
      <c r="A62" s="261"/>
      <c r="B62" s="256"/>
      <c r="C62"/>
      <c r="D62" s="255"/>
      <c r="E62" s="255"/>
      <c r="F62" s="265"/>
      <c r="G62"/>
      <c r="H62" s="255"/>
      <c r="I62" s="255"/>
      <c r="J62" s="265"/>
      <c r="K62"/>
      <c r="L62" s="255"/>
      <c r="M62" s="255"/>
      <c r="N62" s="265"/>
      <c r="O62"/>
      <c r="P62" s="255"/>
      <c r="Q62" s="255"/>
      <c r="R62" s="265"/>
      <c r="S62"/>
      <c r="T62" s="255"/>
      <c r="U62" s="255"/>
      <c r="V62" s="265"/>
      <c r="W62"/>
      <c r="X62" s="255"/>
      <c r="Y62" s="255"/>
      <c r="Z62" s="265"/>
      <c r="AA62"/>
      <c r="AB62" s="255"/>
      <c r="AC62" s="255"/>
      <c r="AD62" s="255"/>
    </row>
    <row r="63" spans="1:32" ht="13" x14ac:dyDescent="0.15">
      <c r="A63" s="254"/>
      <c r="B63" s="255"/>
      <c r="C63"/>
      <c r="D63" s="255"/>
      <c r="E63" s="255"/>
      <c r="F63" s="255"/>
      <c r="G63"/>
      <c r="H63" s="255"/>
      <c r="I63" s="255"/>
      <c r="J63" s="255"/>
      <c r="K63"/>
      <c r="L63" s="255"/>
      <c r="M63" s="255"/>
      <c r="N63" s="255"/>
      <c r="O63"/>
      <c r="P63" s="255"/>
      <c r="Q63" s="255"/>
      <c r="R63" s="255"/>
      <c r="S63"/>
      <c r="T63" s="255"/>
      <c r="U63" s="255"/>
      <c r="V63" s="255"/>
      <c r="W63"/>
      <c r="X63" s="255"/>
      <c r="Y63" s="255"/>
      <c r="Z63" s="255"/>
      <c r="AA63"/>
      <c r="AB63" s="255"/>
      <c r="AC63" s="255"/>
      <c r="AD63" s="255"/>
    </row>
    <row r="64" spans="1:32" ht="20" customHeight="1" x14ac:dyDescent="0.15">
      <c r="A64" s="258" t="s">
        <v>391</v>
      </c>
      <c r="B64" s="259">
        <f>SUM(B57:B63)</f>
        <v>0</v>
      </c>
      <c r="C64"/>
      <c r="D64" s="255"/>
      <c r="E64" s="255"/>
      <c r="F64" s="255"/>
      <c r="G64"/>
      <c r="H64" s="255"/>
      <c r="I64" s="255"/>
      <c r="J64" s="255"/>
      <c r="K64"/>
      <c r="L64" s="255"/>
      <c r="M64" s="255"/>
      <c r="N64" s="255"/>
      <c r="O64"/>
      <c r="P64" s="255"/>
      <c r="Q64" s="255"/>
      <c r="R64" s="255"/>
      <c r="S64"/>
      <c r="T64" s="255"/>
      <c r="U64" s="255"/>
      <c r="V64" s="255"/>
      <c r="W64"/>
      <c r="X64" s="255"/>
      <c r="Y64" s="255"/>
      <c r="Z64" s="255"/>
      <c r="AA64"/>
      <c r="AB64" s="255"/>
      <c r="AC64" s="255"/>
      <c r="AD64" s="255"/>
    </row>
    <row r="65" spans="1:30" ht="13" x14ac:dyDescent="0.15">
      <c r="A65" s="255"/>
      <c r="B65" s="255"/>
      <c r="C65"/>
      <c r="D65" s="255"/>
      <c r="E65" s="255"/>
      <c r="F65" s="255"/>
      <c r="G65"/>
      <c r="H65" s="255"/>
      <c r="I65" s="255"/>
      <c r="J65" s="255"/>
      <c r="K65"/>
      <c r="L65" s="255"/>
      <c r="M65" s="255"/>
      <c r="N65" s="255"/>
      <c r="O65"/>
      <c r="P65" s="255"/>
      <c r="Q65" s="255"/>
      <c r="R65" s="255"/>
      <c r="S65"/>
      <c r="T65" s="255"/>
      <c r="U65" s="255"/>
      <c r="V65" s="255"/>
      <c r="W65"/>
      <c r="X65" s="255"/>
      <c r="Y65" s="255"/>
      <c r="Z65" s="255"/>
      <c r="AA65"/>
      <c r="AB65" s="255"/>
      <c r="AC65" s="255"/>
      <c r="AD65" s="255"/>
    </row>
    <row r="66" spans="1:30" ht="27.75" customHeight="1" x14ac:dyDescent="0.15">
      <c r="A66" s="255"/>
      <c r="B66" s="255"/>
      <c r="C66"/>
      <c r="D66" s="255"/>
      <c r="E66" s="255"/>
      <c r="F66" s="255"/>
      <c r="G66"/>
      <c r="H66" s="255"/>
      <c r="I66" s="255"/>
      <c r="J66" s="255"/>
      <c r="K66"/>
      <c r="L66" s="255"/>
      <c r="M66" s="255"/>
      <c r="N66" s="255"/>
      <c r="O66"/>
      <c r="P66" s="255"/>
      <c r="Q66" s="255"/>
      <c r="R66" s="255"/>
      <c r="S66"/>
      <c r="T66" s="255"/>
      <c r="U66" s="255"/>
      <c r="V66" s="255"/>
      <c r="W66"/>
      <c r="X66" s="255"/>
      <c r="Y66" s="255"/>
      <c r="Z66" s="255"/>
      <c r="AA66"/>
      <c r="AB66" s="255"/>
      <c r="AC66" s="255"/>
      <c r="AD66" s="255"/>
    </row>
    <row r="67" spans="1:30" ht="13" x14ac:dyDescent="0.15">
      <c r="A67" s="254"/>
      <c r="B67" s="255"/>
      <c r="C67"/>
      <c r="D67" s="255"/>
      <c r="E67" s="255"/>
      <c r="F67" s="255"/>
      <c r="G67"/>
      <c r="H67" s="255"/>
      <c r="I67" s="255"/>
      <c r="J67" s="255"/>
      <c r="K67"/>
      <c r="L67" s="255"/>
      <c r="M67" s="255"/>
      <c r="N67" s="255"/>
      <c r="O67"/>
      <c r="P67" s="255"/>
      <c r="Q67" s="255"/>
      <c r="R67" s="255"/>
      <c r="S67"/>
      <c r="T67" s="255"/>
      <c r="U67" s="255"/>
      <c r="V67" s="255"/>
      <c r="W67"/>
      <c r="X67" s="255"/>
      <c r="Y67" s="255"/>
      <c r="Z67" s="255"/>
      <c r="AA67"/>
      <c r="AB67" s="255"/>
      <c r="AC67" s="255"/>
      <c r="AD67" s="255"/>
    </row>
    <row r="68" spans="1:30" ht="13" x14ac:dyDescent="0.15">
      <c r="A68" s="254"/>
      <c r="B68" s="255"/>
      <c r="C68"/>
      <c r="D68" s="255"/>
      <c r="E68" s="255"/>
      <c r="F68" s="255"/>
      <c r="G68"/>
      <c r="H68" s="255"/>
      <c r="I68" s="255"/>
      <c r="J68" s="255"/>
      <c r="K68"/>
      <c r="L68" s="255"/>
      <c r="M68" s="255"/>
      <c r="N68" s="255"/>
      <c r="O68"/>
      <c r="P68" s="255"/>
      <c r="Q68" s="255"/>
      <c r="R68" s="255"/>
      <c r="S68"/>
      <c r="T68" s="255"/>
      <c r="U68" s="255"/>
      <c r="V68" s="255"/>
      <c r="W68"/>
      <c r="X68" s="255"/>
      <c r="Y68" s="255"/>
      <c r="Z68" s="255"/>
      <c r="AA68"/>
      <c r="AB68" s="255"/>
      <c r="AC68" s="255"/>
      <c r="AD68" s="255"/>
    </row>
    <row r="69" spans="1:30" ht="13" x14ac:dyDescent="0.15">
      <c r="A69"/>
      <c r="C69"/>
      <c r="G69"/>
      <c r="K69"/>
      <c r="O69"/>
      <c r="S69"/>
      <c r="W69"/>
      <c r="AA69"/>
    </row>
    <row r="70" spans="1:30" ht="13" x14ac:dyDescent="0.15">
      <c r="A70" s="265"/>
      <c r="B70" s="265"/>
      <c r="C70"/>
      <c r="D70" s="265"/>
      <c r="E70" s="265"/>
      <c r="F70" s="265"/>
      <c r="G70"/>
      <c r="H70" s="265"/>
      <c r="I70" s="265"/>
      <c r="J70" s="265"/>
      <c r="K70"/>
      <c r="L70" s="265"/>
      <c r="M70" s="265"/>
      <c r="N70" s="265"/>
      <c r="O70"/>
      <c r="P70" s="265"/>
      <c r="Q70" s="265"/>
      <c r="R70" s="265"/>
      <c r="S70"/>
      <c r="T70" s="265"/>
      <c r="U70" s="265"/>
      <c r="V70" s="265"/>
      <c r="W70"/>
      <c r="X70" s="265"/>
      <c r="Y70" s="265"/>
      <c r="Z70" s="265"/>
      <c r="AA70"/>
      <c r="AB70" s="265"/>
      <c r="AC70" s="265"/>
    </row>
    <row r="71" spans="1:30" ht="13" x14ac:dyDescent="0.15">
      <c r="A71"/>
    </row>
    <row r="72" spans="1:30" ht="13" x14ac:dyDescent="0.15">
      <c r="A72"/>
      <c r="C72"/>
      <c r="G72"/>
      <c r="K72"/>
      <c r="O72"/>
      <c r="S72"/>
      <c r="W72"/>
      <c r="AA72"/>
    </row>
    <row r="73" spans="1:30" ht="13" x14ac:dyDescent="0.15">
      <c r="A73"/>
    </row>
    <row r="74" spans="1:30" ht="13" x14ac:dyDescent="0.15">
      <c r="A74"/>
    </row>
    <row r="75" spans="1:30" ht="13" x14ac:dyDescent="0.15">
      <c r="A75"/>
    </row>
    <row r="76" spans="1:30" ht="13" x14ac:dyDescent="0.15">
      <c r="A76"/>
    </row>
    <row r="77" spans="1:30" ht="13" x14ac:dyDescent="0.15">
      <c r="A77"/>
    </row>
    <row r="78" spans="1:30" ht="13" x14ac:dyDescent="0.15">
      <c r="A78"/>
    </row>
    <row r="80" spans="1:30" x14ac:dyDescent="0.15">
      <c r="A80" s="104"/>
    </row>
  </sheetData>
  <mergeCells count="9">
    <mergeCell ref="F55:H55"/>
    <mergeCell ref="V2:X2"/>
    <mergeCell ref="Z2:AB2"/>
    <mergeCell ref="B2:D2"/>
    <mergeCell ref="F2:H2"/>
    <mergeCell ref="B1:C1"/>
    <mergeCell ref="J2:L2"/>
    <mergeCell ref="N2:P2"/>
    <mergeCell ref="R2:T2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Footer>&amp;L&amp;F/&amp;A&amp;R&amp;D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9656-EB00-44ED-AEBB-7EB39F2D7D32}">
  <sheetPr>
    <tabColor rgb="FF92D050"/>
    <pageSetUpPr fitToPage="1"/>
  </sheetPr>
  <dimension ref="A1:AP79"/>
  <sheetViews>
    <sheetView tabSelected="1" zoomScale="70" zoomScaleNormal="70" workbookViewId="0">
      <pane xSplit="1" ySplit="3" topLeftCell="B4" activePane="bottomRight" state="frozen"/>
      <selection pane="topRight"/>
      <selection pane="bottomLeft"/>
      <selection pane="bottomRight" activeCell="D50" sqref="D50"/>
    </sheetView>
  </sheetViews>
  <sheetFormatPr baseColWidth="10" defaultColWidth="9.1640625" defaultRowHeight="14" outlineLevelRow="1" outlineLevelCol="1" x14ac:dyDescent="0.15"/>
  <cols>
    <col min="1" max="1" width="49" style="103" customWidth="1"/>
    <col min="2" max="9" width="11.5" customWidth="1"/>
    <col min="10" max="10" width="11" customWidth="1"/>
    <col min="11" max="11" width="10.6640625" customWidth="1"/>
    <col min="12" max="12" width="10.1640625" customWidth="1"/>
    <col min="13" max="13" width="10.5" customWidth="1" outlineLevel="1"/>
    <col min="14" max="20" width="12" customWidth="1" outlineLevel="1"/>
    <col min="21" max="21" width="5.33203125" customWidth="1"/>
    <col min="22" max="26" width="10.6640625" bestFit="1" customWidth="1"/>
    <col min="27" max="27" width="10.6640625" customWidth="1"/>
    <col min="28" max="30" width="10.33203125" bestFit="1" customWidth="1"/>
    <col min="31" max="31" width="10.6640625" bestFit="1" customWidth="1"/>
    <col min="33" max="41" width="11.5" customWidth="1" outlineLevel="1"/>
    <col min="42" max="42" width="10.6640625" bestFit="1" customWidth="1" outlineLevel="1"/>
  </cols>
  <sheetData>
    <row r="1" spans="1:42" ht="35.5" customHeight="1" thickBot="1" x14ac:dyDescent="0.2">
      <c r="A1" s="105" t="s">
        <v>367</v>
      </c>
      <c r="M1" s="348" t="s">
        <v>408</v>
      </c>
      <c r="N1" s="348"/>
      <c r="O1" s="348"/>
      <c r="P1" s="348"/>
      <c r="Q1" s="348"/>
      <c r="R1" s="348"/>
      <c r="S1" s="348"/>
      <c r="T1" s="348"/>
      <c r="V1" s="348" t="s">
        <v>617</v>
      </c>
      <c r="W1" s="348"/>
      <c r="X1" s="348"/>
      <c r="Y1" s="348"/>
      <c r="Z1" s="348"/>
      <c r="AA1" s="348"/>
      <c r="AB1" s="348"/>
      <c r="AC1" s="348"/>
      <c r="AD1" s="348"/>
      <c r="AE1" s="348"/>
      <c r="AG1" s="348" t="s">
        <v>510</v>
      </c>
      <c r="AH1" s="348"/>
      <c r="AI1" s="348"/>
      <c r="AJ1" s="348"/>
      <c r="AK1" s="348"/>
      <c r="AL1" s="348"/>
      <c r="AM1" s="348"/>
      <c r="AN1" s="348"/>
      <c r="AO1" s="348"/>
      <c r="AP1" s="348"/>
    </row>
    <row r="2" spans="1:42" ht="24" customHeight="1" x14ac:dyDescent="0.15">
      <c r="A2" s="221"/>
      <c r="B2" s="183" t="s">
        <v>326</v>
      </c>
      <c r="C2" s="183" t="s">
        <v>322</v>
      </c>
      <c r="D2" s="183" t="s">
        <v>323</v>
      </c>
      <c r="E2" s="183" t="s">
        <v>324</v>
      </c>
      <c r="F2" s="183" t="s">
        <v>307</v>
      </c>
      <c r="G2" s="183" t="s">
        <v>312</v>
      </c>
      <c r="H2" s="183" t="s">
        <v>325</v>
      </c>
      <c r="I2" s="183" t="s">
        <v>537</v>
      </c>
      <c r="J2" s="183" t="s">
        <v>535</v>
      </c>
      <c r="K2" s="183" t="s">
        <v>536</v>
      </c>
      <c r="L2" s="47"/>
      <c r="M2" s="183" t="s">
        <v>20</v>
      </c>
      <c r="N2" s="183" t="s">
        <v>322</v>
      </c>
      <c r="O2" s="183" t="s">
        <v>323</v>
      </c>
      <c r="P2" s="183" t="s">
        <v>324</v>
      </c>
      <c r="Q2" s="183" t="s">
        <v>307</v>
      </c>
      <c r="R2" s="183" t="s">
        <v>312</v>
      </c>
      <c r="S2" s="184" t="s">
        <v>325</v>
      </c>
      <c r="T2" s="184" t="s">
        <v>390</v>
      </c>
      <c r="V2" s="183" t="s">
        <v>20</v>
      </c>
      <c r="W2" s="183" t="s">
        <v>322</v>
      </c>
      <c r="X2" s="183" t="s">
        <v>323</v>
      </c>
      <c r="Y2" s="183" t="s">
        <v>324</v>
      </c>
      <c r="Z2" s="183" t="s">
        <v>307</v>
      </c>
      <c r="AA2" s="183" t="s">
        <v>312</v>
      </c>
      <c r="AB2" s="184" t="s">
        <v>325</v>
      </c>
      <c r="AC2" s="183" t="s">
        <v>537</v>
      </c>
      <c r="AD2" s="183" t="s">
        <v>535</v>
      </c>
      <c r="AE2" s="184" t="s">
        <v>390</v>
      </c>
      <c r="AG2" s="183" t="s">
        <v>20</v>
      </c>
      <c r="AH2" s="183" t="s">
        <v>322</v>
      </c>
      <c r="AI2" s="183" t="s">
        <v>323</v>
      </c>
      <c r="AJ2" s="183" t="s">
        <v>324</v>
      </c>
      <c r="AK2" s="183" t="s">
        <v>307</v>
      </c>
      <c r="AL2" s="183" t="s">
        <v>312</v>
      </c>
      <c r="AM2" s="184" t="s">
        <v>325</v>
      </c>
      <c r="AN2" s="183" t="s">
        <v>537</v>
      </c>
      <c r="AO2" s="183" t="s">
        <v>535</v>
      </c>
      <c r="AP2" s="184" t="s">
        <v>390</v>
      </c>
    </row>
    <row r="3" spans="1:42" ht="6" customHeight="1" x14ac:dyDescent="0.15">
      <c r="A3" s="185"/>
    </row>
    <row r="4" spans="1:42" x14ac:dyDescent="0.15">
      <c r="A4" s="187" t="s">
        <v>327</v>
      </c>
      <c r="B4" s="177">
        <f>Dezember24!R4</f>
        <v>3000000</v>
      </c>
      <c r="C4" s="177">
        <f>Januar!B4</f>
        <v>3442499.73</v>
      </c>
      <c r="D4" s="177">
        <f>Februar!B4</f>
        <v>4095387.8299999991</v>
      </c>
      <c r="E4" s="177">
        <f>März!B6</f>
        <v>4710438.2096599992</v>
      </c>
      <c r="F4" s="177">
        <f>April!B4</f>
        <v>8081456.306072792</v>
      </c>
      <c r="G4" s="177">
        <f>Mai!B4</f>
        <v>10995169.233803123</v>
      </c>
      <c r="H4" s="177">
        <f>Juni!B4</f>
        <v>9104878.2504321374</v>
      </c>
      <c r="I4" s="177">
        <f>Juli!B4</f>
        <v>11225488.340182269</v>
      </c>
      <c r="J4" s="177">
        <f>August!B4</f>
        <v>8492524.3017065302</v>
      </c>
      <c r="K4" s="188">
        <f>September!B4</f>
        <v>5940023.1068721823</v>
      </c>
      <c r="M4" s="177">
        <f>B4-'Exec.Summary_Liquiplanung ORG'!B4</f>
        <v>0</v>
      </c>
      <c r="N4" s="177">
        <f>C4-'Exec.Summary_Liquiplanung ORG'!C4</f>
        <v>-1318969.02</v>
      </c>
      <c r="O4" s="177">
        <f>D4-'Exec.Summary_Liquiplanung ORG'!D4</f>
        <v>-2019137.3903463269</v>
      </c>
      <c r="P4" s="177">
        <f>E4-'Exec.Summary_Liquiplanung ORG'!E4</f>
        <v>-1993950.6888227882</v>
      </c>
      <c r="Q4" s="177">
        <f>F4-'Exec.Summary_Liquiplanung ORG'!F4</f>
        <v>2555643.5296311807</v>
      </c>
      <c r="R4" s="177">
        <f>G4-'Exec.Summary_Liquiplanung ORG'!G4</f>
        <v>6469033.0669292919</v>
      </c>
      <c r="S4" s="177">
        <f>H4-'Exec.Summary_Liquiplanung ORG'!H4</f>
        <v>4846591.3753638864</v>
      </c>
      <c r="V4" s="177">
        <f t="shared" ref="V4:AD4" si="0">B4-AG4</f>
        <v>0</v>
      </c>
      <c r="W4" s="177">
        <f t="shared" si="0"/>
        <v>0</v>
      </c>
      <c r="X4" s="177">
        <f t="shared" si="0"/>
        <v>0</v>
      </c>
      <c r="Y4" s="177">
        <f t="shared" si="0"/>
        <v>-29437.151825000532</v>
      </c>
      <c r="Z4" s="177">
        <f t="shared" si="0"/>
        <v>173104.08297943603</v>
      </c>
      <c r="AA4" s="177">
        <f t="shared" si="0"/>
        <v>465581.90639276989</v>
      </c>
      <c r="AB4" s="177">
        <f t="shared" si="0"/>
        <v>-1091568.7298267763</v>
      </c>
      <c r="AC4" s="177">
        <f t="shared" si="0"/>
        <v>0.43404664285480976</v>
      </c>
      <c r="AD4" s="177">
        <f t="shared" si="0"/>
        <v>495887.20358691365</v>
      </c>
      <c r="AG4" s="177">
        <v>3000000</v>
      </c>
      <c r="AH4" s="177">
        <v>3442499.73</v>
      </c>
      <c r="AI4" s="177">
        <v>4095387.8299999991</v>
      </c>
      <c r="AJ4" s="177">
        <v>4739875.3614849998</v>
      </c>
      <c r="AK4" s="177">
        <v>7908352.223093356</v>
      </c>
      <c r="AL4" s="177">
        <v>10529587.327410353</v>
      </c>
      <c r="AM4" s="177">
        <v>10196446.980258914</v>
      </c>
      <c r="AN4" s="177">
        <v>11225487.906135626</v>
      </c>
      <c r="AO4" s="177">
        <v>7996637.0981196165</v>
      </c>
    </row>
    <row r="5" spans="1:42" ht="15" hidden="1" thickBot="1" x14ac:dyDescent="0.2">
      <c r="A5" s="189" t="s">
        <v>262</v>
      </c>
      <c r="B5" s="178">
        <f>Dezember24!AH5</f>
        <v>0</v>
      </c>
      <c r="C5" s="178">
        <f>Januar!AH5</f>
        <v>0</v>
      </c>
      <c r="D5" s="178">
        <f>Februar!AH5</f>
        <v>0</v>
      </c>
      <c r="E5" s="178">
        <f>März!AH5</f>
        <v>0</v>
      </c>
      <c r="F5" s="178">
        <f>April!AH5</f>
        <v>0</v>
      </c>
      <c r="G5" s="178">
        <f>Mai!AH5</f>
        <v>0</v>
      </c>
      <c r="H5" s="178">
        <f>Juni!AH5</f>
        <v>0</v>
      </c>
      <c r="I5" s="178">
        <f>Juli!AH5</f>
        <v>0</v>
      </c>
      <c r="J5" s="178">
        <f>August!AH5</f>
        <v>0</v>
      </c>
      <c r="K5" s="190">
        <f>September!AH5</f>
        <v>0</v>
      </c>
      <c r="M5" s="177">
        <f>B5-'Exec.Summary_Liquiplanung ORG'!B5</f>
        <v>0</v>
      </c>
      <c r="N5" s="177">
        <f>C5-'Exec.Summary_Liquiplanung ORG'!C5</f>
        <v>0</v>
      </c>
      <c r="O5" s="177">
        <f>D5-'Exec.Summary_Liquiplanung ORG'!D5</f>
        <v>0</v>
      </c>
      <c r="P5" s="177">
        <f>E5-'Exec.Summary_Liquiplanung ORG'!E5</f>
        <v>0</v>
      </c>
      <c r="Q5" s="177">
        <f>F5-'Exec.Summary_Liquiplanung ORG'!F5</f>
        <v>0</v>
      </c>
      <c r="R5" s="177">
        <f>G5-'Exec.Summary_Liquiplanung ORG'!G5</f>
        <v>0</v>
      </c>
      <c r="S5" s="177">
        <f>H5-'Exec.Summary_Liquiplanung ORG'!H5</f>
        <v>0</v>
      </c>
      <c r="V5" s="177">
        <v>0</v>
      </c>
      <c r="W5" s="177">
        <v>0</v>
      </c>
      <c r="X5" s="177">
        <v>0</v>
      </c>
      <c r="Y5" s="177">
        <v>0</v>
      </c>
      <c r="Z5" s="177">
        <v>0</v>
      </c>
      <c r="AA5" s="177">
        <v>0</v>
      </c>
      <c r="AB5" s="177">
        <v>0</v>
      </c>
      <c r="AC5" s="177">
        <v>0</v>
      </c>
      <c r="AD5" s="177">
        <v>0</v>
      </c>
      <c r="AG5" s="177">
        <v>0</v>
      </c>
      <c r="AH5" s="177">
        <v>0</v>
      </c>
      <c r="AI5" s="177">
        <v>0</v>
      </c>
      <c r="AJ5" s="177">
        <v>0</v>
      </c>
      <c r="AK5" s="177">
        <v>0</v>
      </c>
      <c r="AL5" s="177">
        <v>0</v>
      </c>
      <c r="AM5" s="177">
        <v>0</v>
      </c>
      <c r="AN5" s="178">
        <v>0</v>
      </c>
      <c r="AO5" s="178">
        <v>0</v>
      </c>
    </row>
    <row r="6" spans="1:42" hidden="1" x14ac:dyDescent="0.15">
      <c r="A6" s="191" t="s">
        <v>261</v>
      </c>
      <c r="B6" s="177">
        <f>Dezember24!AH6</f>
        <v>0</v>
      </c>
      <c r="C6" s="177">
        <f>Januar!AH6</f>
        <v>3442499.73</v>
      </c>
      <c r="D6" s="177">
        <f>Februar!AH6</f>
        <v>4095387.8299999991</v>
      </c>
      <c r="E6" s="177">
        <f>März!AH6</f>
        <v>4710438.2096599992</v>
      </c>
      <c r="F6" s="177">
        <f>April!AH6</f>
        <v>8081456.306072792</v>
      </c>
      <c r="G6" s="177">
        <f>Mai!AH6</f>
        <v>10995169.233803123</v>
      </c>
      <c r="H6" s="177">
        <f>Juni!AH6</f>
        <v>9104878.2504321374</v>
      </c>
      <c r="I6" s="177">
        <f>Juli!AH6</f>
        <v>11225488.340182269</v>
      </c>
      <c r="J6" s="177">
        <f>August!AH6</f>
        <v>8492524.3017065302</v>
      </c>
      <c r="K6" s="188">
        <f>September!AH6</f>
        <v>5940023.1068721823</v>
      </c>
      <c r="M6" s="177">
        <f>B6-'Exec.Summary_Liquiplanung ORG'!B6</f>
        <v>0</v>
      </c>
      <c r="N6" s="177">
        <f>C6-'Exec.Summary_Liquiplanung ORG'!C6</f>
        <v>-1318969.02</v>
      </c>
      <c r="O6" s="177">
        <f>D6-'Exec.Summary_Liquiplanung ORG'!D6</f>
        <v>-2019137.3903463269</v>
      </c>
      <c r="P6" s="177">
        <f>E6-'Exec.Summary_Liquiplanung ORG'!E6</f>
        <v>-1993950.6888227882</v>
      </c>
      <c r="Q6" s="177">
        <f>F6-'Exec.Summary_Liquiplanung ORG'!F6</f>
        <v>2555643.5296311807</v>
      </c>
      <c r="R6" s="177">
        <f>G6-'Exec.Summary_Liquiplanung ORG'!G6</f>
        <v>6469033.0669292919</v>
      </c>
      <c r="S6" s="177">
        <f>H6-'Exec.Summary_Liquiplanung ORG'!H6</f>
        <v>4846591.3753638864</v>
      </c>
      <c r="V6" s="177">
        <v>-1318969.02</v>
      </c>
      <c r="W6" s="177">
        <v>-3360685.9316349225</v>
      </c>
      <c r="X6" s="177">
        <v>-3301536.4112143442</v>
      </c>
      <c r="Y6" s="177">
        <v>-1284799.0534797767</v>
      </c>
      <c r="Z6" s="177">
        <v>-790865.99843713641</v>
      </c>
      <c r="AA6" s="177">
        <v>-390733.17463275604</v>
      </c>
      <c r="AB6" s="177">
        <v>0</v>
      </c>
      <c r="AC6" s="177">
        <v>0</v>
      </c>
      <c r="AD6" s="177">
        <v>0</v>
      </c>
      <c r="AG6" s="177">
        <v>0</v>
      </c>
      <c r="AH6" s="177">
        <v>3442499.73</v>
      </c>
      <c r="AI6" s="177">
        <v>4095387.8299999991</v>
      </c>
      <c r="AJ6" s="177">
        <v>4739875.3614849998</v>
      </c>
      <c r="AK6" s="177">
        <v>7908352.223093356</v>
      </c>
      <c r="AL6" s="177">
        <v>10529587.327410353</v>
      </c>
      <c r="AM6" s="177">
        <v>10196446.980258914</v>
      </c>
      <c r="AN6" s="177">
        <v>11225487.906135626</v>
      </c>
      <c r="AO6" s="177">
        <v>7996637.0981196165</v>
      </c>
    </row>
    <row r="7" spans="1:42" x14ac:dyDescent="0.15">
      <c r="A7" s="192" t="s">
        <v>260</v>
      </c>
      <c r="B7" s="193"/>
      <c r="C7" s="193"/>
      <c r="D7" s="193"/>
      <c r="E7" s="193"/>
      <c r="F7" s="193"/>
      <c r="G7" s="193" t="str">
        <f>Mai!AH7</f>
        <v xml:space="preserve"> </v>
      </c>
      <c r="H7" s="193" t="str">
        <f>Juni!AH7</f>
        <v xml:space="preserve"> </v>
      </c>
      <c r="I7" s="193" t="str">
        <f>Juli!AH7</f>
        <v xml:space="preserve"> </v>
      </c>
      <c r="J7" s="193" t="str">
        <f>August!AH7</f>
        <v xml:space="preserve"> </v>
      </c>
      <c r="K7" s="194" t="str">
        <f>September!AH7</f>
        <v xml:space="preserve"> </v>
      </c>
      <c r="M7" s="193"/>
      <c r="N7" s="193"/>
      <c r="O7" s="193"/>
      <c r="P7" s="193"/>
      <c r="Q7" s="193"/>
      <c r="R7" s="193"/>
      <c r="S7" s="193"/>
      <c r="T7" s="257"/>
      <c r="V7" s="193"/>
      <c r="W7" s="193"/>
      <c r="X7" s="193"/>
      <c r="Y7" s="193"/>
      <c r="Z7" s="193"/>
      <c r="AA7" s="193"/>
      <c r="AB7" s="193"/>
      <c r="AC7" s="193"/>
      <c r="AD7" s="193"/>
      <c r="AE7" s="257"/>
      <c r="AG7" s="193"/>
      <c r="AH7" s="193"/>
      <c r="AI7" s="193"/>
      <c r="AJ7" s="193"/>
      <c r="AK7" s="193"/>
      <c r="AL7" s="193" t="s">
        <v>219</v>
      </c>
      <c r="AM7" s="193" t="s">
        <v>219</v>
      </c>
      <c r="AN7" s="193" t="s">
        <v>219</v>
      </c>
      <c r="AO7" s="193" t="s">
        <v>219</v>
      </c>
      <c r="AP7" s="257"/>
    </row>
    <row r="8" spans="1:42" ht="14.5" customHeight="1" x14ac:dyDescent="0.15">
      <c r="A8" s="195" t="s">
        <v>259</v>
      </c>
      <c r="B8" s="177">
        <f>Dezember24!AH8</f>
        <v>0</v>
      </c>
      <c r="C8" s="177">
        <f>Januar!AH8</f>
        <v>1336978.3400000001</v>
      </c>
      <c r="D8" s="177">
        <f>Februar!AH8</f>
        <v>-227726.59999999998</v>
      </c>
      <c r="E8" s="177">
        <f>März!AH8</f>
        <v>1756520.38</v>
      </c>
      <c r="F8" s="177">
        <f>April!AH8</f>
        <v>2715108</v>
      </c>
      <c r="G8" s="177">
        <f>Mai!AH8</f>
        <v>3884517</v>
      </c>
      <c r="H8" s="177">
        <f>Juni!AH8</f>
        <v>0</v>
      </c>
      <c r="I8" s="177">
        <f>Juli!AH8</f>
        <v>1723513</v>
      </c>
      <c r="J8" s="177">
        <f>August!AH8</f>
        <v>1723513</v>
      </c>
      <c r="K8" s="188">
        <f>September!AH8</f>
        <v>1723513</v>
      </c>
      <c r="M8" s="177">
        <f>B8-'Exec.Summary_Liquiplanung ORG'!B8</f>
        <v>0</v>
      </c>
      <c r="N8" s="177">
        <f>C8-'Exec.Summary_Liquiplanung ORG'!C8</f>
        <v>-648647.27009599982</v>
      </c>
      <c r="O8" s="177">
        <f>D8-'Exec.Summary_Liquiplanung ORG'!D8</f>
        <v>-227726.59999999998</v>
      </c>
      <c r="P8" s="177">
        <f>E8-'Exec.Summary_Liquiplanung ORG'!E8</f>
        <v>-399444.7053739992</v>
      </c>
      <c r="Q8" s="177">
        <f>F8-'Exec.Summary_Liquiplanung ORG'!F8</f>
        <v>804841.39435900026</v>
      </c>
      <c r="R8" s="177">
        <f>G8-'Exec.Summary_Liquiplanung ORG'!G8</f>
        <v>1859473.9155840005</v>
      </c>
      <c r="S8" s="177">
        <f>H8-'Exec.Summary_Liquiplanung ORG'!H8</f>
        <v>-1910725.9401669998</v>
      </c>
      <c r="T8" s="177">
        <f>SUM(M8:S8)</f>
        <v>-522229.20569399814</v>
      </c>
      <c r="V8" s="177">
        <f t="shared" ref="V8:V30" si="1">B8-AG8</f>
        <v>0</v>
      </c>
      <c r="W8" s="177">
        <f t="shared" ref="W8:W30" si="2">C8-AH8</f>
        <v>0</v>
      </c>
      <c r="X8" s="177">
        <f t="shared" ref="X8:X30" si="3">D8-AI8</f>
        <v>0</v>
      </c>
      <c r="Y8" s="177">
        <f t="shared" ref="Y8:Y30" si="4">E8-AJ8</f>
        <v>0</v>
      </c>
      <c r="Z8" s="177">
        <f t="shared" ref="Z8:Z30" si="5">F8-AK8</f>
        <v>0</v>
      </c>
      <c r="AA8" s="177">
        <f t="shared" ref="AA8:AA30" si="6">G8-AL8</f>
        <v>0</v>
      </c>
      <c r="AB8" s="177">
        <f t="shared" ref="AB8:AB30" si="7">H8-AM8</f>
        <v>0</v>
      </c>
      <c r="AC8" s="177">
        <f t="shared" ref="AC8:AC30" si="8">I8-AN8</f>
        <v>0</v>
      </c>
      <c r="AD8" s="177">
        <f t="shared" ref="AD8:AD30" si="9">J8-AO8</f>
        <v>0</v>
      </c>
      <c r="AE8" s="177">
        <f t="shared" ref="AE8:AE30" si="10">SUM(V8:AD8)</f>
        <v>0</v>
      </c>
      <c r="AG8" s="177">
        <v>0</v>
      </c>
      <c r="AH8" s="177">
        <v>1336978.3400000001</v>
      </c>
      <c r="AI8" s="177">
        <v>-227726.59999999998</v>
      </c>
      <c r="AJ8" s="177">
        <v>1756520.38</v>
      </c>
      <c r="AK8" s="177">
        <v>2715108</v>
      </c>
      <c r="AL8" s="177">
        <v>3884517</v>
      </c>
      <c r="AM8" s="177">
        <v>0</v>
      </c>
      <c r="AN8" s="177">
        <v>1723513</v>
      </c>
      <c r="AO8" s="177">
        <v>1723513</v>
      </c>
      <c r="AP8" s="177">
        <f t="shared" ref="AP8:AP30" si="11">SUM(AG8:AO8)</f>
        <v>12912423.120000001</v>
      </c>
    </row>
    <row r="9" spans="1:42" hidden="1" x14ac:dyDescent="0.15">
      <c r="A9" s="196" t="s">
        <v>258</v>
      </c>
      <c r="B9" s="177">
        <f>Dezember24!AH9</f>
        <v>0</v>
      </c>
      <c r="C9" s="177">
        <f>Januar!AH9</f>
        <v>0</v>
      </c>
      <c r="D9" s="177">
        <f>Februar!AH9</f>
        <v>0</v>
      </c>
      <c r="E9" s="177">
        <f>März!AH9</f>
        <v>0</v>
      </c>
      <c r="F9" s="177">
        <f>April!AH9</f>
        <v>0</v>
      </c>
      <c r="G9" s="177">
        <f>Mai!AH9</f>
        <v>0</v>
      </c>
      <c r="H9" s="177">
        <f>Juni!AH9</f>
        <v>0</v>
      </c>
      <c r="I9" s="177">
        <f>Juli!AH9</f>
        <v>0</v>
      </c>
      <c r="J9" s="177">
        <f>August!AH9</f>
        <v>0</v>
      </c>
      <c r="K9" s="188">
        <f>September!AH9</f>
        <v>0</v>
      </c>
      <c r="M9" s="177">
        <f>B9-'Exec.Summary_Liquiplanung ORG'!B9</f>
        <v>0</v>
      </c>
      <c r="N9" s="177">
        <f>C9-'Exec.Summary_Liquiplanung ORG'!C9</f>
        <v>0</v>
      </c>
      <c r="O9" s="177">
        <f>D9-'Exec.Summary_Liquiplanung ORG'!D9</f>
        <v>0</v>
      </c>
      <c r="P9" s="177">
        <f>E9-'Exec.Summary_Liquiplanung ORG'!E9</f>
        <v>0</v>
      </c>
      <c r="Q9" s="177">
        <f>F9-'Exec.Summary_Liquiplanung ORG'!F9</f>
        <v>0</v>
      </c>
      <c r="R9" s="177">
        <f>G9-'Exec.Summary_Liquiplanung ORG'!G9</f>
        <v>0</v>
      </c>
      <c r="S9" s="177">
        <f>H9-'Exec.Summary_Liquiplanung ORG'!H9</f>
        <v>0</v>
      </c>
      <c r="T9" s="177">
        <f t="shared" ref="T9:T49" si="12">SUM(M9:S9)</f>
        <v>0</v>
      </c>
      <c r="V9" s="177">
        <f t="shared" si="1"/>
        <v>0</v>
      </c>
      <c r="W9" s="177">
        <f t="shared" si="2"/>
        <v>0</v>
      </c>
      <c r="X9" s="177">
        <f t="shared" si="3"/>
        <v>0</v>
      </c>
      <c r="Y9" s="177">
        <f t="shared" si="4"/>
        <v>0</v>
      </c>
      <c r="Z9" s="177">
        <f t="shared" si="5"/>
        <v>0</v>
      </c>
      <c r="AA9" s="177">
        <f t="shared" si="6"/>
        <v>0</v>
      </c>
      <c r="AB9" s="177">
        <f t="shared" si="7"/>
        <v>0</v>
      </c>
      <c r="AC9" s="177">
        <f t="shared" si="8"/>
        <v>0</v>
      </c>
      <c r="AD9" s="177">
        <f t="shared" si="9"/>
        <v>0</v>
      </c>
      <c r="AE9" s="177">
        <f t="shared" si="10"/>
        <v>0</v>
      </c>
      <c r="AG9" s="177">
        <v>0</v>
      </c>
      <c r="AH9" s="177">
        <v>0</v>
      </c>
      <c r="AI9" s="177">
        <v>0</v>
      </c>
      <c r="AJ9" s="177">
        <v>0</v>
      </c>
      <c r="AK9" s="177">
        <v>0</v>
      </c>
      <c r="AL9" s="177">
        <v>0</v>
      </c>
      <c r="AM9" s="177">
        <v>0</v>
      </c>
      <c r="AN9" s="177">
        <v>0</v>
      </c>
      <c r="AO9" s="177">
        <v>0</v>
      </c>
      <c r="AP9" s="177">
        <f t="shared" si="11"/>
        <v>0</v>
      </c>
    </row>
    <row r="10" spans="1:42" x14ac:dyDescent="0.15">
      <c r="A10" s="195" t="s">
        <v>257</v>
      </c>
      <c r="B10" s="177">
        <f>Dezember24!AH10</f>
        <v>65390</v>
      </c>
      <c r="C10" s="177">
        <f>Januar!AH10</f>
        <v>2712411.0500000003</v>
      </c>
      <c r="D10" s="177">
        <f>Februar!AH10</f>
        <v>5020228.13</v>
      </c>
      <c r="E10" s="177">
        <f>März!AH10</f>
        <v>3209571.6125159995</v>
      </c>
      <c r="F10" s="177">
        <f>April!AH10</f>
        <v>1978234.1950539998</v>
      </c>
      <c r="G10" s="177">
        <f>Mai!AH10</f>
        <v>4806304.9566627517</v>
      </c>
      <c r="H10" s="177">
        <f>Juni!AH10</f>
        <v>5122538.2009776663</v>
      </c>
      <c r="I10" s="177">
        <f>Juli!AH10</f>
        <v>7476262.0193707515</v>
      </c>
      <c r="J10" s="177">
        <f>August!AH10</f>
        <v>7048256.5963756666</v>
      </c>
      <c r="K10" s="188">
        <f>September!AH10</f>
        <v>6664395.2384679383</v>
      </c>
      <c r="M10" s="177">
        <f>B10-'Exec.Summary_Liquiplanung ORG'!B10</f>
        <v>-1184610</v>
      </c>
      <c r="N10" s="177">
        <f>C10-'Exec.Summary_Liquiplanung ORG'!C10</f>
        <v>-1337588.9499999997</v>
      </c>
      <c r="O10" s="177">
        <f>D10-'Exec.Summary_Liquiplanung ORG'!D10</f>
        <v>-122676.79843600187</v>
      </c>
      <c r="P10" s="177">
        <f>E10-'Exec.Summary_Liquiplanung ORG'!E10</f>
        <v>-2887456.6451642388</v>
      </c>
      <c r="Q10" s="177">
        <f>F10-'Exec.Summary_Liquiplanung ORG'!F10</f>
        <v>-2848258.87055108</v>
      </c>
      <c r="R10" s="177">
        <f>G10-'Exec.Summary_Liquiplanung ORG'!G10</f>
        <v>-914119.9768515639</v>
      </c>
      <c r="S10" s="177">
        <f>H10-'Exec.Summary_Liquiplanung ORG'!H10</f>
        <v>-976595.92063898779</v>
      </c>
      <c r="T10" s="177">
        <f t="shared" si="12"/>
        <v>-10271307.161641872</v>
      </c>
      <c r="V10" s="177">
        <f t="shared" si="1"/>
        <v>0</v>
      </c>
      <c r="W10" s="177">
        <f t="shared" si="2"/>
        <v>0</v>
      </c>
      <c r="X10" s="177">
        <f t="shared" si="3"/>
        <v>0</v>
      </c>
      <c r="Y10" s="177">
        <f t="shared" si="4"/>
        <v>0</v>
      </c>
      <c r="Z10" s="177">
        <f t="shared" si="5"/>
        <v>0</v>
      </c>
      <c r="AA10" s="177">
        <f t="shared" si="6"/>
        <v>486672.08773050271</v>
      </c>
      <c r="AB10" s="177">
        <f t="shared" si="7"/>
        <v>-1222670.3769846056</v>
      </c>
      <c r="AC10" s="177">
        <f t="shared" si="8"/>
        <v>-861381.26867499761</v>
      </c>
      <c r="AD10" s="177">
        <f t="shared" si="9"/>
        <v>-155637.16211074591</v>
      </c>
      <c r="AE10" s="177">
        <f t="shared" si="10"/>
        <v>-1753016.7200398464</v>
      </c>
      <c r="AG10" s="177">
        <v>65390</v>
      </c>
      <c r="AH10" s="177">
        <v>2712411.0500000003</v>
      </c>
      <c r="AI10" s="177">
        <v>5020228.13</v>
      </c>
      <c r="AJ10" s="177">
        <v>3209571.6125159995</v>
      </c>
      <c r="AK10" s="177">
        <v>1978234.195054</v>
      </c>
      <c r="AL10" s="177">
        <v>4319632.868932249</v>
      </c>
      <c r="AM10" s="177">
        <v>6345208.5779622719</v>
      </c>
      <c r="AN10" s="177">
        <v>8337643.2880457491</v>
      </c>
      <c r="AO10" s="177">
        <v>7203893.7584864125</v>
      </c>
      <c r="AP10" s="177">
        <f t="shared" si="11"/>
        <v>39192213.480996683</v>
      </c>
    </row>
    <row r="11" spans="1:42" hidden="1" outlineLevel="1" x14ac:dyDescent="0.15">
      <c r="A11" s="195" t="s">
        <v>256</v>
      </c>
      <c r="B11" s="177">
        <f>Dezember24!AH11</f>
        <v>0</v>
      </c>
      <c r="C11" s="177">
        <f>Januar!AH11</f>
        <v>80069</v>
      </c>
      <c r="D11" s="177">
        <f>Februar!AH11</f>
        <v>0</v>
      </c>
      <c r="E11" s="177">
        <f>März!AH11</f>
        <v>0</v>
      </c>
      <c r="F11" s="177">
        <f>April!AH11</f>
        <v>0</v>
      </c>
      <c r="G11" s="177">
        <f>Mai!AH11</f>
        <v>0</v>
      </c>
      <c r="H11" s="177">
        <f>Juni!AH11</f>
        <v>0</v>
      </c>
      <c r="I11" s="177">
        <f>Juli!AH11</f>
        <v>0</v>
      </c>
      <c r="J11" s="177">
        <f>August!AH11</f>
        <v>0</v>
      </c>
      <c r="K11" s="188">
        <f>September!AH11</f>
        <v>0</v>
      </c>
      <c r="M11" s="177">
        <f>B11-'Exec.Summary_Liquiplanung ORG'!B11</f>
        <v>0</v>
      </c>
      <c r="N11" s="177">
        <f>C11-'Exec.Summary_Liquiplanung ORG'!C11</f>
        <v>80069</v>
      </c>
      <c r="O11" s="177">
        <f>D11-'Exec.Summary_Liquiplanung ORG'!D11</f>
        <v>0</v>
      </c>
      <c r="P11" s="177">
        <f>E11-'Exec.Summary_Liquiplanung ORG'!E11</f>
        <v>0</v>
      </c>
      <c r="Q11" s="177">
        <f>F11-'Exec.Summary_Liquiplanung ORG'!F11</f>
        <v>0</v>
      </c>
      <c r="R11" s="177">
        <f>G11-'Exec.Summary_Liquiplanung ORG'!G11</f>
        <v>0</v>
      </c>
      <c r="S11" s="177">
        <f>H11-'Exec.Summary_Liquiplanung ORG'!H11</f>
        <v>0</v>
      </c>
      <c r="T11" s="177">
        <f t="shared" si="12"/>
        <v>80069</v>
      </c>
      <c r="V11" s="177">
        <f t="shared" si="1"/>
        <v>0</v>
      </c>
      <c r="W11" s="177">
        <f t="shared" si="2"/>
        <v>0</v>
      </c>
      <c r="X11" s="177">
        <f t="shared" si="3"/>
        <v>0</v>
      </c>
      <c r="Y11" s="177">
        <f t="shared" si="4"/>
        <v>0</v>
      </c>
      <c r="Z11" s="177">
        <f t="shared" si="5"/>
        <v>0</v>
      </c>
      <c r="AA11" s="177">
        <f t="shared" si="6"/>
        <v>0</v>
      </c>
      <c r="AB11" s="177">
        <f t="shared" si="7"/>
        <v>0</v>
      </c>
      <c r="AC11" s="177">
        <f t="shared" si="8"/>
        <v>0</v>
      </c>
      <c r="AD11" s="177">
        <f t="shared" si="9"/>
        <v>0</v>
      </c>
      <c r="AE11" s="177">
        <f t="shared" si="10"/>
        <v>0</v>
      </c>
      <c r="AG11" s="177">
        <v>0</v>
      </c>
      <c r="AH11" s="177">
        <v>80069</v>
      </c>
      <c r="AI11" s="177">
        <v>0</v>
      </c>
      <c r="AJ11" s="177">
        <v>0</v>
      </c>
      <c r="AK11" s="177">
        <v>0</v>
      </c>
      <c r="AL11" s="177">
        <v>0</v>
      </c>
      <c r="AM11" s="177">
        <v>0</v>
      </c>
      <c r="AN11" s="177">
        <v>0</v>
      </c>
      <c r="AO11" s="177">
        <v>0</v>
      </c>
      <c r="AP11" s="177">
        <f t="shared" si="11"/>
        <v>80069</v>
      </c>
    </row>
    <row r="12" spans="1:42" hidden="1" outlineLevel="1" x14ac:dyDescent="0.15">
      <c r="A12" s="195" t="s">
        <v>255</v>
      </c>
      <c r="B12" s="177">
        <f>Dezember24!AH12</f>
        <v>0</v>
      </c>
      <c r="C12" s="177">
        <f>Januar!AH12</f>
        <v>541051.79</v>
      </c>
      <c r="D12" s="177">
        <f>Februar!AH12</f>
        <v>0</v>
      </c>
      <c r="E12" s="177">
        <f>März!AH12</f>
        <v>0</v>
      </c>
      <c r="F12" s="177">
        <f>April!AH12</f>
        <v>0</v>
      </c>
      <c r="G12" s="177">
        <f>Mai!AH12</f>
        <v>0</v>
      </c>
      <c r="H12" s="177">
        <f>Juni!AH12</f>
        <v>0</v>
      </c>
      <c r="I12" s="177">
        <f>Juli!AH12</f>
        <v>0</v>
      </c>
      <c r="J12" s="177">
        <f>August!AH12</f>
        <v>0</v>
      </c>
      <c r="K12" s="188">
        <f>September!AH12</f>
        <v>0</v>
      </c>
      <c r="M12" s="177">
        <f>B12-'Exec.Summary_Liquiplanung ORG'!B12</f>
        <v>0</v>
      </c>
      <c r="N12" s="177">
        <f>C12-'Exec.Summary_Liquiplanung ORG'!C12</f>
        <v>541051.79</v>
      </c>
      <c r="O12" s="177">
        <f>D12-'Exec.Summary_Liquiplanung ORG'!D12</f>
        <v>0</v>
      </c>
      <c r="P12" s="177">
        <f>E12-'Exec.Summary_Liquiplanung ORG'!E12</f>
        <v>0</v>
      </c>
      <c r="Q12" s="177">
        <f>F12-'Exec.Summary_Liquiplanung ORG'!F12</f>
        <v>0</v>
      </c>
      <c r="R12" s="177">
        <f>G12-'Exec.Summary_Liquiplanung ORG'!G12</f>
        <v>0</v>
      </c>
      <c r="S12" s="177">
        <f>H12-'Exec.Summary_Liquiplanung ORG'!H12</f>
        <v>0</v>
      </c>
      <c r="T12" s="177">
        <f t="shared" si="12"/>
        <v>541051.79</v>
      </c>
      <c r="V12" s="177">
        <f t="shared" si="1"/>
        <v>0</v>
      </c>
      <c r="W12" s="177">
        <f t="shared" si="2"/>
        <v>0</v>
      </c>
      <c r="X12" s="177">
        <f t="shared" si="3"/>
        <v>0</v>
      </c>
      <c r="Y12" s="177">
        <f t="shared" si="4"/>
        <v>0</v>
      </c>
      <c r="Z12" s="177">
        <f t="shared" si="5"/>
        <v>0</v>
      </c>
      <c r="AA12" s="177">
        <f t="shared" si="6"/>
        <v>0</v>
      </c>
      <c r="AB12" s="177">
        <f t="shared" si="7"/>
        <v>0</v>
      </c>
      <c r="AC12" s="177">
        <f t="shared" si="8"/>
        <v>0</v>
      </c>
      <c r="AD12" s="177">
        <f t="shared" si="9"/>
        <v>0</v>
      </c>
      <c r="AE12" s="177">
        <f t="shared" si="10"/>
        <v>0</v>
      </c>
      <c r="AG12" s="177">
        <v>0</v>
      </c>
      <c r="AH12" s="177">
        <v>541051.79</v>
      </c>
      <c r="AI12" s="177">
        <v>0</v>
      </c>
      <c r="AJ12" s="177">
        <v>0</v>
      </c>
      <c r="AK12" s="177">
        <v>0</v>
      </c>
      <c r="AL12" s="177">
        <v>0</v>
      </c>
      <c r="AM12" s="177">
        <v>0</v>
      </c>
      <c r="AN12" s="177">
        <v>0</v>
      </c>
      <c r="AO12" s="177">
        <v>0</v>
      </c>
      <c r="AP12" s="177">
        <f t="shared" si="11"/>
        <v>541051.79</v>
      </c>
    </row>
    <row r="13" spans="1:42" hidden="1" outlineLevel="1" x14ac:dyDescent="0.15">
      <c r="A13" s="195" t="s">
        <v>254</v>
      </c>
      <c r="B13" s="177">
        <f>Dezember24!AH13</f>
        <v>0</v>
      </c>
      <c r="C13" s="177">
        <f>Januar!AH13</f>
        <v>148000</v>
      </c>
      <c r="D13" s="177">
        <f>Februar!AH13</f>
        <v>0</v>
      </c>
      <c r="E13" s="177">
        <f>März!AH13</f>
        <v>0</v>
      </c>
      <c r="F13" s="177">
        <f>April!AH13</f>
        <v>0</v>
      </c>
      <c r="G13" s="177">
        <f>Mai!AH13</f>
        <v>0</v>
      </c>
      <c r="H13" s="177">
        <f>Juni!AH13</f>
        <v>0</v>
      </c>
      <c r="I13" s="177">
        <f>Juli!AH13</f>
        <v>0</v>
      </c>
      <c r="J13" s="177">
        <f>August!AH13</f>
        <v>0</v>
      </c>
      <c r="K13" s="188">
        <f>September!AH13</f>
        <v>0</v>
      </c>
      <c r="M13" s="177">
        <f>B13-'Exec.Summary_Liquiplanung ORG'!B13</f>
        <v>0</v>
      </c>
      <c r="N13" s="177">
        <f>C13-'Exec.Summary_Liquiplanung ORG'!C13</f>
        <v>148000</v>
      </c>
      <c r="O13" s="177">
        <f>D13-'Exec.Summary_Liquiplanung ORG'!D13</f>
        <v>0</v>
      </c>
      <c r="P13" s="177">
        <f>E13-'Exec.Summary_Liquiplanung ORG'!E13</f>
        <v>0</v>
      </c>
      <c r="Q13" s="177">
        <f>F13-'Exec.Summary_Liquiplanung ORG'!F13</f>
        <v>0</v>
      </c>
      <c r="R13" s="177">
        <f>G13-'Exec.Summary_Liquiplanung ORG'!G13</f>
        <v>0</v>
      </c>
      <c r="S13" s="177">
        <f>H13-'Exec.Summary_Liquiplanung ORG'!H13</f>
        <v>0</v>
      </c>
      <c r="T13" s="177">
        <f t="shared" si="12"/>
        <v>148000</v>
      </c>
      <c r="V13" s="177">
        <f t="shared" si="1"/>
        <v>0</v>
      </c>
      <c r="W13" s="177">
        <f t="shared" si="2"/>
        <v>0</v>
      </c>
      <c r="X13" s="177">
        <f t="shared" si="3"/>
        <v>0</v>
      </c>
      <c r="Y13" s="177">
        <f t="shared" si="4"/>
        <v>0</v>
      </c>
      <c r="Z13" s="177">
        <f t="shared" si="5"/>
        <v>0</v>
      </c>
      <c r="AA13" s="177">
        <f t="shared" si="6"/>
        <v>0</v>
      </c>
      <c r="AB13" s="177">
        <f t="shared" si="7"/>
        <v>0</v>
      </c>
      <c r="AC13" s="177">
        <f t="shared" si="8"/>
        <v>0</v>
      </c>
      <c r="AD13" s="177">
        <f t="shared" si="9"/>
        <v>0</v>
      </c>
      <c r="AE13" s="177">
        <f t="shared" si="10"/>
        <v>0</v>
      </c>
      <c r="AG13" s="177">
        <v>0</v>
      </c>
      <c r="AH13" s="177">
        <v>148000</v>
      </c>
      <c r="AI13" s="177">
        <v>0</v>
      </c>
      <c r="AJ13" s="177">
        <v>0</v>
      </c>
      <c r="AK13" s="177">
        <v>0</v>
      </c>
      <c r="AL13" s="177">
        <v>0</v>
      </c>
      <c r="AM13" s="177">
        <v>0</v>
      </c>
      <c r="AN13" s="177">
        <v>0</v>
      </c>
      <c r="AO13" s="177">
        <v>0</v>
      </c>
      <c r="AP13" s="177">
        <f t="shared" si="11"/>
        <v>148000</v>
      </c>
    </row>
    <row r="14" spans="1:42" hidden="1" outlineLevel="1" x14ac:dyDescent="0.15">
      <c r="A14" s="195" t="s">
        <v>253</v>
      </c>
      <c r="B14" s="177">
        <f>Dezember24!AH14</f>
        <v>0</v>
      </c>
      <c r="C14" s="177">
        <f>Januar!AH14</f>
        <v>393051.79</v>
      </c>
      <c r="D14" s="177">
        <f>Februar!AH14</f>
        <v>0</v>
      </c>
      <c r="E14" s="177">
        <f>März!AH14</f>
        <v>0</v>
      </c>
      <c r="F14" s="177">
        <f>April!AH14</f>
        <v>0</v>
      </c>
      <c r="G14" s="177">
        <f>Mai!AH14</f>
        <v>0</v>
      </c>
      <c r="H14" s="177">
        <f>Juni!AH14</f>
        <v>0</v>
      </c>
      <c r="I14" s="177">
        <f>Juli!AH14</f>
        <v>0</v>
      </c>
      <c r="J14" s="177">
        <f>August!AH14</f>
        <v>0</v>
      </c>
      <c r="K14" s="188">
        <f>September!AH14</f>
        <v>0</v>
      </c>
      <c r="M14" s="177">
        <f>B14-'Exec.Summary_Liquiplanung ORG'!B14</f>
        <v>0</v>
      </c>
      <c r="N14" s="177">
        <f>C14-'Exec.Summary_Liquiplanung ORG'!C14</f>
        <v>393051.79</v>
      </c>
      <c r="O14" s="177">
        <f>D14-'Exec.Summary_Liquiplanung ORG'!D14</f>
        <v>0</v>
      </c>
      <c r="P14" s="177">
        <f>E14-'Exec.Summary_Liquiplanung ORG'!E14</f>
        <v>0</v>
      </c>
      <c r="Q14" s="177">
        <f>F14-'Exec.Summary_Liquiplanung ORG'!F14</f>
        <v>0</v>
      </c>
      <c r="R14" s="177">
        <f>G14-'Exec.Summary_Liquiplanung ORG'!G14</f>
        <v>0</v>
      </c>
      <c r="S14" s="177">
        <f>H14-'Exec.Summary_Liquiplanung ORG'!H14</f>
        <v>0</v>
      </c>
      <c r="T14" s="177">
        <f t="shared" si="12"/>
        <v>393051.79</v>
      </c>
      <c r="V14" s="177">
        <f t="shared" si="1"/>
        <v>0</v>
      </c>
      <c r="W14" s="177">
        <f t="shared" si="2"/>
        <v>0</v>
      </c>
      <c r="X14" s="177">
        <f t="shared" si="3"/>
        <v>0</v>
      </c>
      <c r="Y14" s="177">
        <f t="shared" si="4"/>
        <v>0</v>
      </c>
      <c r="Z14" s="177">
        <f t="shared" si="5"/>
        <v>0</v>
      </c>
      <c r="AA14" s="177">
        <f t="shared" si="6"/>
        <v>0</v>
      </c>
      <c r="AB14" s="177">
        <f t="shared" si="7"/>
        <v>0</v>
      </c>
      <c r="AC14" s="177">
        <f t="shared" si="8"/>
        <v>0</v>
      </c>
      <c r="AD14" s="177">
        <f t="shared" si="9"/>
        <v>0</v>
      </c>
      <c r="AE14" s="177">
        <f t="shared" si="10"/>
        <v>0</v>
      </c>
      <c r="AG14" s="177">
        <v>0</v>
      </c>
      <c r="AH14" s="177">
        <v>393051.79</v>
      </c>
      <c r="AI14" s="177">
        <v>0</v>
      </c>
      <c r="AJ14" s="177">
        <v>0</v>
      </c>
      <c r="AK14" s="177">
        <v>0</v>
      </c>
      <c r="AL14" s="177">
        <v>0</v>
      </c>
      <c r="AM14" s="177">
        <v>0</v>
      </c>
      <c r="AN14" s="177">
        <v>0</v>
      </c>
      <c r="AO14" s="177">
        <v>0</v>
      </c>
      <c r="AP14" s="177">
        <f t="shared" si="11"/>
        <v>393051.79</v>
      </c>
    </row>
    <row r="15" spans="1:42" hidden="1" outlineLevel="1" x14ac:dyDescent="0.15">
      <c r="A15" s="195" t="s">
        <v>252</v>
      </c>
      <c r="B15" s="177">
        <f>Dezember24!AH15</f>
        <v>0</v>
      </c>
      <c r="C15" s="177">
        <f>Januar!AH15</f>
        <v>0</v>
      </c>
      <c r="D15" s="177">
        <f>Februar!AH15</f>
        <v>0</v>
      </c>
      <c r="E15" s="177">
        <f>März!AH15</f>
        <v>0</v>
      </c>
      <c r="F15" s="177">
        <f>April!AH15</f>
        <v>0</v>
      </c>
      <c r="G15" s="177">
        <f>Mai!AH15</f>
        <v>0</v>
      </c>
      <c r="H15" s="177">
        <f>Juni!AH15</f>
        <v>0</v>
      </c>
      <c r="I15" s="177">
        <f>Juli!AH15</f>
        <v>0</v>
      </c>
      <c r="J15" s="177">
        <f>August!AH15</f>
        <v>0</v>
      </c>
      <c r="K15" s="188">
        <f>September!AH15</f>
        <v>0</v>
      </c>
      <c r="M15" s="177">
        <f>B15-'Exec.Summary_Liquiplanung ORG'!B15</f>
        <v>0</v>
      </c>
      <c r="N15" s="177">
        <f>C15-'Exec.Summary_Liquiplanung ORG'!C15</f>
        <v>0</v>
      </c>
      <c r="O15" s="177">
        <f>D15-'Exec.Summary_Liquiplanung ORG'!D15</f>
        <v>0</v>
      </c>
      <c r="P15" s="177">
        <f>E15-'Exec.Summary_Liquiplanung ORG'!E15</f>
        <v>0</v>
      </c>
      <c r="Q15" s="177">
        <f>F15-'Exec.Summary_Liquiplanung ORG'!F15</f>
        <v>0</v>
      </c>
      <c r="R15" s="177">
        <f>G15-'Exec.Summary_Liquiplanung ORG'!G15</f>
        <v>0</v>
      </c>
      <c r="S15" s="177">
        <f>H15-'Exec.Summary_Liquiplanung ORG'!H15</f>
        <v>0</v>
      </c>
      <c r="T15" s="177">
        <f t="shared" si="12"/>
        <v>0</v>
      </c>
      <c r="V15" s="177">
        <f t="shared" si="1"/>
        <v>0</v>
      </c>
      <c r="W15" s="177">
        <f t="shared" si="2"/>
        <v>0</v>
      </c>
      <c r="X15" s="177">
        <f t="shared" si="3"/>
        <v>0</v>
      </c>
      <c r="Y15" s="177">
        <f t="shared" si="4"/>
        <v>0</v>
      </c>
      <c r="Z15" s="177">
        <f t="shared" si="5"/>
        <v>0</v>
      </c>
      <c r="AA15" s="177">
        <f t="shared" si="6"/>
        <v>0</v>
      </c>
      <c r="AB15" s="177">
        <f t="shared" si="7"/>
        <v>0</v>
      </c>
      <c r="AC15" s="177">
        <f t="shared" si="8"/>
        <v>0</v>
      </c>
      <c r="AD15" s="177">
        <f t="shared" si="9"/>
        <v>0</v>
      </c>
      <c r="AE15" s="177">
        <f t="shared" si="10"/>
        <v>0</v>
      </c>
      <c r="AG15" s="177">
        <v>0</v>
      </c>
      <c r="AH15" s="177">
        <v>0</v>
      </c>
      <c r="AI15" s="177">
        <v>0</v>
      </c>
      <c r="AJ15" s="177">
        <v>0</v>
      </c>
      <c r="AK15" s="177">
        <v>0</v>
      </c>
      <c r="AL15" s="177">
        <v>0</v>
      </c>
      <c r="AM15" s="177">
        <v>0</v>
      </c>
      <c r="AN15" s="177">
        <v>0</v>
      </c>
      <c r="AO15" s="177">
        <v>0</v>
      </c>
      <c r="AP15" s="177">
        <f t="shared" si="11"/>
        <v>0</v>
      </c>
    </row>
    <row r="16" spans="1:42" hidden="1" outlineLevel="1" x14ac:dyDescent="0.15">
      <c r="A16" s="195" t="s">
        <v>251</v>
      </c>
      <c r="B16" s="177">
        <f>Dezember24!AH16</f>
        <v>0</v>
      </c>
      <c r="C16" s="177">
        <f>Januar!AH16</f>
        <v>0</v>
      </c>
      <c r="D16" s="177">
        <f>Februar!AH16</f>
        <v>0</v>
      </c>
      <c r="E16" s="177">
        <f>März!AH16</f>
        <v>0</v>
      </c>
      <c r="F16" s="177">
        <f>April!AH16</f>
        <v>0</v>
      </c>
      <c r="G16" s="177">
        <f>Mai!AH16</f>
        <v>0</v>
      </c>
      <c r="H16" s="177">
        <f>Juni!AH16</f>
        <v>0</v>
      </c>
      <c r="I16" s="177">
        <f>Juli!AH16</f>
        <v>0</v>
      </c>
      <c r="J16" s="177">
        <f>August!AH16</f>
        <v>0</v>
      </c>
      <c r="K16" s="188">
        <f>September!AH16</f>
        <v>0</v>
      </c>
      <c r="M16" s="177">
        <f>B16-'Exec.Summary_Liquiplanung ORG'!B16</f>
        <v>0</v>
      </c>
      <c r="N16" s="177">
        <f>C16-'Exec.Summary_Liquiplanung ORG'!C16</f>
        <v>0</v>
      </c>
      <c r="O16" s="177">
        <f>D16-'Exec.Summary_Liquiplanung ORG'!D16</f>
        <v>0</v>
      </c>
      <c r="P16" s="177">
        <f>E16-'Exec.Summary_Liquiplanung ORG'!E16</f>
        <v>0</v>
      </c>
      <c r="Q16" s="177">
        <f>F16-'Exec.Summary_Liquiplanung ORG'!F16</f>
        <v>0</v>
      </c>
      <c r="R16" s="177">
        <f>G16-'Exec.Summary_Liquiplanung ORG'!G16</f>
        <v>0</v>
      </c>
      <c r="S16" s="177">
        <f>H16-'Exec.Summary_Liquiplanung ORG'!H16</f>
        <v>0</v>
      </c>
      <c r="T16" s="177">
        <f t="shared" si="12"/>
        <v>0</v>
      </c>
      <c r="V16" s="177">
        <f t="shared" si="1"/>
        <v>0</v>
      </c>
      <c r="W16" s="177">
        <f t="shared" si="2"/>
        <v>0</v>
      </c>
      <c r="X16" s="177">
        <f t="shared" si="3"/>
        <v>0</v>
      </c>
      <c r="Y16" s="177">
        <f t="shared" si="4"/>
        <v>0</v>
      </c>
      <c r="Z16" s="177">
        <f t="shared" si="5"/>
        <v>0</v>
      </c>
      <c r="AA16" s="177">
        <f t="shared" si="6"/>
        <v>0</v>
      </c>
      <c r="AB16" s="177">
        <f t="shared" si="7"/>
        <v>0</v>
      </c>
      <c r="AC16" s="177">
        <f t="shared" si="8"/>
        <v>0</v>
      </c>
      <c r="AD16" s="177">
        <f t="shared" si="9"/>
        <v>0</v>
      </c>
      <c r="AE16" s="177">
        <f t="shared" si="10"/>
        <v>0</v>
      </c>
      <c r="AG16" s="177">
        <v>0</v>
      </c>
      <c r="AH16" s="177">
        <v>0</v>
      </c>
      <c r="AI16" s="177">
        <v>0</v>
      </c>
      <c r="AJ16" s="177">
        <v>0</v>
      </c>
      <c r="AK16" s="177">
        <v>0</v>
      </c>
      <c r="AL16" s="177">
        <v>0</v>
      </c>
      <c r="AM16" s="177">
        <v>0</v>
      </c>
      <c r="AN16" s="177">
        <v>0</v>
      </c>
      <c r="AO16" s="177">
        <v>0</v>
      </c>
      <c r="AP16" s="177">
        <f t="shared" si="11"/>
        <v>0</v>
      </c>
    </row>
    <row r="17" spans="1:42" hidden="1" outlineLevel="1" x14ac:dyDescent="0.15">
      <c r="A17" s="195" t="s">
        <v>250</v>
      </c>
      <c r="B17" s="177">
        <f>Dezember24!AH17</f>
        <v>0</v>
      </c>
      <c r="C17" s="177">
        <f>Januar!AH17</f>
        <v>0</v>
      </c>
      <c r="D17" s="177">
        <f>Februar!AH17</f>
        <v>0</v>
      </c>
      <c r="E17" s="177">
        <f>März!AH17</f>
        <v>0</v>
      </c>
      <c r="F17" s="177">
        <f>April!AH17</f>
        <v>0</v>
      </c>
      <c r="G17" s="177">
        <f>Mai!AH17</f>
        <v>0</v>
      </c>
      <c r="H17" s="177">
        <f>Juni!AH17</f>
        <v>0</v>
      </c>
      <c r="I17" s="177">
        <f>Juli!AH17</f>
        <v>0</v>
      </c>
      <c r="J17" s="177">
        <f>August!AH17</f>
        <v>0</v>
      </c>
      <c r="K17" s="188">
        <f>September!AH17</f>
        <v>0</v>
      </c>
      <c r="M17" s="177">
        <f>B17-'Exec.Summary_Liquiplanung ORG'!B17</f>
        <v>0</v>
      </c>
      <c r="N17" s="177">
        <f>C17-'Exec.Summary_Liquiplanung ORG'!C17</f>
        <v>0</v>
      </c>
      <c r="O17" s="177">
        <f>D17-'Exec.Summary_Liquiplanung ORG'!D17</f>
        <v>0</v>
      </c>
      <c r="P17" s="177">
        <f>E17-'Exec.Summary_Liquiplanung ORG'!E17</f>
        <v>0</v>
      </c>
      <c r="Q17" s="177">
        <f>F17-'Exec.Summary_Liquiplanung ORG'!F17</f>
        <v>0</v>
      </c>
      <c r="R17" s="177">
        <f>G17-'Exec.Summary_Liquiplanung ORG'!G17</f>
        <v>0</v>
      </c>
      <c r="S17" s="177">
        <f>H17-'Exec.Summary_Liquiplanung ORG'!H17</f>
        <v>0</v>
      </c>
      <c r="T17" s="177">
        <f t="shared" si="12"/>
        <v>0</v>
      </c>
      <c r="V17" s="177">
        <f t="shared" si="1"/>
        <v>0</v>
      </c>
      <c r="W17" s="177">
        <f t="shared" si="2"/>
        <v>0</v>
      </c>
      <c r="X17" s="177">
        <f t="shared" si="3"/>
        <v>0</v>
      </c>
      <c r="Y17" s="177">
        <f t="shared" si="4"/>
        <v>0</v>
      </c>
      <c r="Z17" s="177">
        <f t="shared" si="5"/>
        <v>0</v>
      </c>
      <c r="AA17" s="177">
        <f t="shared" si="6"/>
        <v>0</v>
      </c>
      <c r="AB17" s="177">
        <f t="shared" si="7"/>
        <v>0</v>
      </c>
      <c r="AC17" s="177">
        <f t="shared" si="8"/>
        <v>0</v>
      </c>
      <c r="AD17" s="177">
        <f t="shared" si="9"/>
        <v>0</v>
      </c>
      <c r="AE17" s="177">
        <f t="shared" si="10"/>
        <v>0</v>
      </c>
      <c r="AG17" s="177">
        <v>0</v>
      </c>
      <c r="AH17" s="177">
        <v>0</v>
      </c>
      <c r="AI17" s="177">
        <v>0</v>
      </c>
      <c r="AJ17" s="177">
        <v>0</v>
      </c>
      <c r="AK17" s="177">
        <v>0</v>
      </c>
      <c r="AL17" s="177">
        <v>0</v>
      </c>
      <c r="AM17" s="177">
        <v>0</v>
      </c>
      <c r="AN17" s="177">
        <v>0</v>
      </c>
      <c r="AO17" s="177">
        <v>0</v>
      </c>
      <c r="AP17" s="177">
        <f t="shared" si="11"/>
        <v>0</v>
      </c>
    </row>
    <row r="18" spans="1:42" hidden="1" outlineLevel="1" x14ac:dyDescent="0.15">
      <c r="A18" s="195" t="s">
        <v>249</v>
      </c>
      <c r="B18" s="177">
        <f>Dezember24!AH18</f>
        <v>0</v>
      </c>
      <c r="C18" s="177">
        <f>Januar!AH18</f>
        <v>0</v>
      </c>
      <c r="D18" s="177">
        <f>Februar!AH18</f>
        <v>0</v>
      </c>
      <c r="E18" s="177">
        <f>März!AH18</f>
        <v>0</v>
      </c>
      <c r="F18" s="177">
        <f>April!AH18</f>
        <v>0</v>
      </c>
      <c r="G18" s="177">
        <f>Mai!AH18</f>
        <v>0</v>
      </c>
      <c r="H18" s="177">
        <f>Juni!AH18</f>
        <v>0</v>
      </c>
      <c r="I18" s="177">
        <f>Juli!AH18</f>
        <v>0</v>
      </c>
      <c r="J18" s="177">
        <f>August!AH18</f>
        <v>0</v>
      </c>
      <c r="K18" s="188">
        <f>September!AH18</f>
        <v>0</v>
      </c>
      <c r="M18" s="177">
        <f>B18-'Exec.Summary_Liquiplanung ORG'!B18</f>
        <v>0</v>
      </c>
      <c r="N18" s="177">
        <f>C18-'Exec.Summary_Liquiplanung ORG'!C18</f>
        <v>0</v>
      </c>
      <c r="O18" s="177">
        <f>D18-'Exec.Summary_Liquiplanung ORG'!D18</f>
        <v>0</v>
      </c>
      <c r="P18" s="177">
        <f>E18-'Exec.Summary_Liquiplanung ORG'!E18</f>
        <v>0</v>
      </c>
      <c r="Q18" s="177">
        <f>F18-'Exec.Summary_Liquiplanung ORG'!F18</f>
        <v>0</v>
      </c>
      <c r="R18" s="177">
        <f>G18-'Exec.Summary_Liquiplanung ORG'!G18</f>
        <v>0</v>
      </c>
      <c r="S18" s="177">
        <f>H18-'Exec.Summary_Liquiplanung ORG'!H18</f>
        <v>0</v>
      </c>
      <c r="T18" s="177">
        <f t="shared" si="12"/>
        <v>0</v>
      </c>
      <c r="V18" s="177">
        <f t="shared" si="1"/>
        <v>0</v>
      </c>
      <c r="W18" s="177">
        <f t="shared" si="2"/>
        <v>0</v>
      </c>
      <c r="X18" s="177">
        <f t="shared" si="3"/>
        <v>0</v>
      </c>
      <c r="Y18" s="177">
        <f t="shared" si="4"/>
        <v>0</v>
      </c>
      <c r="Z18" s="177">
        <f t="shared" si="5"/>
        <v>0</v>
      </c>
      <c r="AA18" s="177">
        <f t="shared" si="6"/>
        <v>0</v>
      </c>
      <c r="AB18" s="177">
        <f t="shared" si="7"/>
        <v>0</v>
      </c>
      <c r="AC18" s="177">
        <f t="shared" si="8"/>
        <v>0</v>
      </c>
      <c r="AD18" s="177">
        <f t="shared" si="9"/>
        <v>0</v>
      </c>
      <c r="AE18" s="177">
        <f t="shared" si="10"/>
        <v>0</v>
      </c>
      <c r="AG18" s="177">
        <v>0</v>
      </c>
      <c r="AH18" s="177">
        <v>0</v>
      </c>
      <c r="AI18" s="177">
        <v>0</v>
      </c>
      <c r="AJ18" s="177">
        <v>0</v>
      </c>
      <c r="AK18" s="177">
        <v>0</v>
      </c>
      <c r="AL18" s="177">
        <v>0</v>
      </c>
      <c r="AM18" s="177">
        <v>0</v>
      </c>
      <c r="AN18" s="177">
        <v>0</v>
      </c>
      <c r="AO18" s="177">
        <v>0</v>
      </c>
      <c r="AP18" s="177">
        <f t="shared" si="11"/>
        <v>0</v>
      </c>
    </row>
    <row r="19" spans="1:42" hidden="1" outlineLevel="1" x14ac:dyDescent="0.15">
      <c r="A19" s="195" t="s">
        <v>248</v>
      </c>
      <c r="B19" s="177">
        <f>Dezember24!AH19</f>
        <v>0</v>
      </c>
      <c r="C19" s="177">
        <f>Januar!AH19</f>
        <v>0</v>
      </c>
      <c r="D19" s="177">
        <f>Februar!AH19</f>
        <v>0</v>
      </c>
      <c r="E19" s="177">
        <f>März!AH19</f>
        <v>0</v>
      </c>
      <c r="F19" s="177">
        <f>April!AH19</f>
        <v>0</v>
      </c>
      <c r="G19" s="177">
        <f>Mai!AH19</f>
        <v>0</v>
      </c>
      <c r="H19" s="177">
        <f>Juni!AH19</f>
        <v>0</v>
      </c>
      <c r="I19" s="177">
        <f>Juli!AH19</f>
        <v>0</v>
      </c>
      <c r="J19" s="177">
        <f>August!AH19</f>
        <v>0</v>
      </c>
      <c r="K19" s="188">
        <f>September!AH19</f>
        <v>0</v>
      </c>
      <c r="M19" s="177">
        <f>B19-'Exec.Summary_Liquiplanung ORG'!B19</f>
        <v>0</v>
      </c>
      <c r="N19" s="177">
        <f>C19-'Exec.Summary_Liquiplanung ORG'!C19</f>
        <v>0</v>
      </c>
      <c r="O19" s="177">
        <f>D19-'Exec.Summary_Liquiplanung ORG'!D19</f>
        <v>0</v>
      </c>
      <c r="P19" s="177">
        <f>E19-'Exec.Summary_Liquiplanung ORG'!E19</f>
        <v>0</v>
      </c>
      <c r="Q19" s="177">
        <f>F19-'Exec.Summary_Liquiplanung ORG'!F19</f>
        <v>0</v>
      </c>
      <c r="R19" s="177">
        <f>G19-'Exec.Summary_Liquiplanung ORG'!G19</f>
        <v>0</v>
      </c>
      <c r="S19" s="177">
        <f>H19-'Exec.Summary_Liquiplanung ORG'!H19</f>
        <v>0</v>
      </c>
      <c r="T19" s="177">
        <f t="shared" si="12"/>
        <v>0</v>
      </c>
      <c r="V19" s="177">
        <f t="shared" si="1"/>
        <v>0</v>
      </c>
      <c r="W19" s="177">
        <f t="shared" si="2"/>
        <v>0</v>
      </c>
      <c r="X19" s="177">
        <f t="shared" si="3"/>
        <v>0</v>
      </c>
      <c r="Y19" s="177">
        <f t="shared" si="4"/>
        <v>0</v>
      </c>
      <c r="Z19" s="177">
        <f t="shared" si="5"/>
        <v>0</v>
      </c>
      <c r="AA19" s="177">
        <f t="shared" si="6"/>
        <v>0</v>
      </c>
      <c r="AB19" s="177">
        <f t="shared" si="7"/>
        <v>0</v>
      </c>
      <c r="AC19" s="177">
        <f t="shared" si="8"/>
        <v>0</v>
      </c>
      <c r="AD19" s="177">
        <f t="shared" si="9"/>
        <v>0</v>
      </c>
      <c r="AE19" s="177">
        <f t="shared" si="10"/>
        <v>0</v>
      </c>
      <c r="AG19" s="177">
        <v>0</v>
      </c>
      <c r="AH19" s="177">
        <v>0</v>
      </c>
      <c r="AI19" s="177">
        <v>0</v>
      </c>
      <c r="AJ19" s="177">
        <v>0</v>
      </c>
      <c r="AK19" s="177">
        <v>0</v>
      </c>
      <c r="AL19" s="177">
        <v>0</v>
      </c>
      <c r="AM19" s="177">
        <v>0</v>
      </c>
      <c r="AN19" s="177">
        <v>0</v>
      </c>
      <c r="AO19" s="177">
        <v>0</v>
      </c>
      <c r="AP19" s="177">
        <f t="shared" si="11"/>
        <v>0</v>
      </c>
    </row>
    <row r="20" spans="1:42" hidden="1" outlineLevel="1" x14ac:dyDescent="0.15">
      <c r="A20" s="195" t="s">
        <v>247</v>
      </c>
      <c r="B20" s="177">
        <f>Dezember24!AH20</f>
        <v>0</v>
      </c>
      <c r="C20" s="177">
        <f>Januar!AH20</f>
        <v>0</v>
      </c>
      <c r="D20" s="177">
        <f>Februar!AH20</f>
        <v>0</v>
      </c>
      <c r="E20" s="177">
        <f>März!AH20</f>
        <v>0</v>
      </c>
      <c r="F20" s="177">
        <f>April!AH20</f>
        <v>0</v>
      </c>
      <c r="G20" s="177">
        <f>Mai!AH20</f>
        <v>0</v>
      </c>
      <c r="H20" s="177">
        <f>Juni!AH20</f>
        <v>0</v>
      </c>
      <c r="I20" s="177">
        <f>Juli!AH20</f>
        <v>0</v>
      </c>
      <c r="J20" s="177">
        <f>August!AH20</f>
        <v>0</v>
      </c>
      <c r="K20" s="188">
        <f>September!AH20</f>
        <v>0</v>
      </c>
      <c r="M20" s="177">
        <f>B20-'Exec.Summary_Liquiplanung ORG'!B20</f>
        <v>0</v>
      </c>
      <c r="N20" s="177">
        <f>C20-'Exec.Summary_Liquiplanung ORG'!C20</f>
        <v>0</v>
      </c>
      <c r="O20" s="177">
        <f>D20-'Exec.Summary_Liquiplanung ORG'!D20</f>
        <v>0</v>
      </c>
      <c r="P20" s="177">
        <f>E20-'Exec.Summary_Liquiplanung ORG'!E20</f>
        <v>0</v>
      </c>
      <c r="Q20" s="177">
        <f>F20-'Exec.Summary_Liquiplanung ORG'!F20</f>
        <v>0</v>
      </c>
      <c r="R20" s="177">
        <f>G20-'Exec.Summary_Liquiplanung ORG'!G20</f>
        <v>0</v>
      </c>
      <c r="S20" s="177">
        <f>H20-'Exec.Summary_Liquiplanung ORG'!H20</f>
        <v>0</v>
      </c>
      <c r="T20" s="177">
        <f t="shared" si="12"/>
        <v>0</v>
      </c>
      <c r="V20" s="177">
        <f t="shared" si="1"/>
        <v>0</v>
      </c>
      <c r="W20" s="177">
        <f t="shared" si="2"/>
        <v>0</v>
      </c>
      <c r="X20" s="177">
        <f t="shared" si="3"/>
        <v>0</v>
      </c>
      <c r="Y20" s="177">
        <f t="shared" si="4"/>
        <v>0</v>
      </c>
      <c r="Z20" s="177">
        <f t="shared" si="5"/>
        <v>0</v>
      </c>
      <c r="AA20" s="177">
        <f t="shared" si="6"/>
        <v>0</v>
      </c>
      <c r="AB20" s="177">
        <f t="shared" si="7"/>
        <v>0</v>
      </c>
      <c r="AC20" s="177">
        <f t="shared" si="8"/>
        <v>0</v>
      </c>
      <c r="AD20" s="177">
        <f t="shared" si="9"/>
        <v>0</v>
      </c>
      <c r="AE20" s="177">
        <f t="shared" si="10"/>
        <v>0</v>
      </c>
      <c r="AG20" s="177">
        <v>0</v>
      </c>
      <c r="AH20" s="177">
        <v>0</v>
      </c>
      <c r="AI20" s="177">
        <v>0</v>
      </c>
      <c r="AJ20" s="177">
        <v>0</v>
      </c>
      <c r="AK20" s="177">
        <v>0</v>
      </c>
      <c r="AL20" s="177">
        <v>0</v>
      </c>
      <c r="AM20" s="177">
        <v>0</v>
      </c>
      <c r="AN20" s="177">
        <v>0</v>
      </c>
      <c r="AO20" s="177">
        <v>0</v>
      </c>
      <c r="AP20" s="177">
        <f t="shared" si="11"/>
        <v>0</v>
      </c>
    </row>
    <row r="21" spans="1:42" hidden="1" outlineLevel="1" x14ac:dyDescent="0.15">
      <c r="A21" s="195" t="s">
        <v>246</v>
      </c>
      <c r="B21" s="177">
        <f>Dezember24!AH21</f>
        <v>0</v>
      </c>
      <c r="C21" s="177">
        <f>Januar!AH21</f>
        <v>0</v>
      </c>
      <c r="D21" s="177">
        <f>Februar!AH21</f>
        <v>0</v>
      </c>
      <c r="E21" s="177">
        <f>März!AH21</f>
        <v>0</v>
      </c>
      <c r="F21" s="177">
        <f>April!AH21</f>
        <v>0</v>
      </c>
      <c r="G21" s="177">
        <f>Mai!AH21</f>
        <v>0</v>
      </c>
      <c r="H21" s="177">
        <f>Juni!AH21</f>
        <v>0</v>
      </c>
      <c r="I21" s="177">
        <f>Juli!AH21</f>
        <v>0</v>
      </c>
      <c r="J21" s="177">
        <f>August!AH21</f>
        <v>0</v>
      </c>
      <c r="K21" s="188">
        <f>September!AH21</f>
        <v>0</v>
      </c>
      <c r="M21" s="177">
        <f>B21-'Exec.Summary_Liquiplanung ORG'!B21</f>
        <v>0</v>
      </c>
      <c r="N21" s="177">
        <f>C21-'Exec.Summary_Liquiplanung ORG'!C21</f>
        <v>0</v>
      </c>
      <c r="O21" s="177">
        <f>D21-'Exec.Summary_Liquiplanung ORG'!D21</f>
        <v>0</v>
      </c>
      <c r="P21" s="177">
        <f>E21-'Exec.Summary_Liquiplanung ORG'!E21</f>
        <v>0</v>
      </c>
      <c r="Q21" s="177">
        <f>F21-'Exec.Summary_Liquiplanung ORG'!F21</f>
        <v>0</v>
      </c>
      <c r="R21" s="177">
        <f>G21-'Exec.Summary_Liquiplanung ORG'!G21</f>
        <v>0</v>
      </c>
      <c r="S21" s="177">
        <f>H21-'Exec.Summary_Liquiplanung ORG'!H21</f>
        <v>0</v>
      </c>
      <c r="T21" s="177">
        <f t="shared" si="12"/>
        <v>0</v>
      </c>
      <c r="V21" s="177">
        <f t="shared" si="1"/>
        <v>0</v>
      </c>
      <c r="W21" s="177">
        <f t="shared" si="2"/>
        <v>0</v>
      </c>
      <c r="X21" s="177">
        <f t="shared" si="3"/>
        <v>0</v>
      </c>
      <c r="Y21" s="177">
        <f t="shared" si="4"/>
        <v>0</v>
      </c>
      <c r="Z21" s="177">
        <f t="shared" si="5"/>
        <v>0</v>
      </c>
      <c r="AA21" s="177">
        <f t="shared" si="6"/>
        <v>0</v>
      </c>
      <c r="AB21" s="177">
        <f t="shared" si="7"/>
        <v>0</v>
      </c>
      <c r="AC21" s="177">
        <f t="shared" si="8"/>
        <v>0</v>
      </c>
      <c r="AD21" s="177">
        <f t="shared" si="9"/>
        <v>0</v>
      </c>
      <c r="AE21" s="177">
        <f t="shared" si="10"/>
        <v>0</v>
      </c>
      <c r="AG21" s="177">
        <v>0</v>
      </c>
      <c r="AH21" s="177">
        <v>0</v>
      </c>
      <c r="AI21" s="177">
        <v>0</v>
      </c>
      <c r="AJ21" s="177">
        <v>0</v>
      </c>
      <c r="AK21" s="177">
        <v>0</v>
      </c>
      <c r="AL21" s="177">
        <v>0</v>
      </c>
      <c r="AM21" s="177">
        <v>0</v>
      </c>
      <c r="AN21" s="177">
        <v>0</v>
      </c>
      <c r="AO21" s="177">
        <v>0</v>
      </c>
      <c r="AP21" s="177">
        <f t="shared" si="11"/>
        <v>0</v>
      </c>
    </row>
    <row r="22" spans="1:42" hidden="1" outlineLevel="1" x14ac:dyDescent="0.15">
      <c r="A22" s="195" t="s">
        <v>245</v>
      </c>
      <c r="B22" s="177">
        <f>Dezember24!AH22</f>
        <v>0</v>
      </c>
      <c r="C22" s="177">
        <f>Januar!AH22</f>
        <v>0</v>
      </c>
      <c r="D22" s="177">
        <f>Februar!AH22</f>
        <v>0</v>
      </c>
      <c r="E22" s="177">
        <f>März!AH22</f>
        <v>0</v>
      </c>
      <c r="F22" s="177">
        <f>April!AH22</f>
        <v>0</v>
      </c>
      <c r="G22" s="177">
        <f>Mai!AH22</f>
        <v>0</v>
      </c>
      <c r="H22" s="177">
        <f>Juni!AH22</f>
        <v>0</v>
      </c>
      <c r="I22" s="177">
        <f>Juli!AH22</f>
        <v>0</v>
      </c>
      <c r="J22" s="177">
        <f>August!AH22</f>
        <v>0</v>
      </c>
      <c r="K22" s="188">
        <f>September!AH22</f>
        <v>0</v>
      </c>
      <c r="M22" s="177">
        <f>B22-'Exec.Summary_Liquiplanung ORG'!B22</f>
        <v>0</v>
      </c>
      <c r="N22" s="177">
        <f>C22-'Exec.Summary_Liquiplanung ORG'!C22</f>
        <v>0</v>
      </c>
      <c r="O22" s="177">
        <f>D22-'Exec.Summary_Liquiplanung ORG'!D22</f>
        <v>0</v>
      </c>
      <c r="P22" s="177">
        <f>E22-'Exec.Summary_Liquiplanung ORG'!E22</f>
        <v>0</v>
      </c>
      <c r="Q22" s="177">
        <f>F22-'Exec.Summary_Liquiplanung ORG'!F22</f>
        <v>0</v>
      </c>
      <c r="R22" s="177">
        <f>G22-'Exec.Summary_Liquiplanung ORG'!G22</f>
        <v>0</v>
      </c>
      <c r="S22" s="177">
        <f>H22-'Exec.Summary_Liquiplanung ORG'!H22</f>
        <v>0</v>
      </c>
      <c r="T22" s="177">
        <f t="shared" si="12"/>
        <v>0</v>
      </c>
      <c r="V22" s="177">
        <f t="shared" si="1"/>
        <v>0</v>
      </c>
      <c r="W22" s="177">
        <f t="shared" si="2"/>
        <v>0</v>
      </c>
      <c r="X22" s="177">
        <f t="shared" si="3"/>
        <v>0</v>
      </c>
      <c r="Y22" s="177">
        <f t="shared" si="4"/>
        <v>0</v>
      </c>
      <c r="Z22" s="177">
        <f t="shared" si="5"/>
        <v>0</v>
      </c>
      <c r="AA22" s="177">
        <f t="shared" si="6"/>
        <v>0</v>
      </c>
      <c r="AB22" s="177">
        <f t="shared" si="7"/>
        <v>0</v>
      </c>
      <c r="AC22" s="177">
        <f t="shared" si="8"/>
        <v>0</v>
      </c>
      <c r="AD22" s="177">
        <f t="shared" si="9"/>
        <v>0</v>
      </c>
      <c r="AE22" s="177">
        <f t="shared" si="10"/>
        <v>0</v>
      </c>
      <c r="AG22" s="177">
        <v>0</v>
      </c>
      <c r="AH22" s="177">
        <v>0</v>
      </c>
      <c r="AI22" s="177">
        <v>0</v>
      </c>
      <c r="AJ22" s="177">
        <v>0</v>
      </c>
      <c r="AK22" s="177">
        <v>0</v>
      </c>
      <c r="AL22" s="177">
        <v>0</v>
      </c>
      <c r="AM22" s="177">
        <v>0</v>
      </c>
      <c r="AN22" s="177">
        <v>0</v>
      </c>
      <c r="AO22" s="177">
        <v>0</v>
      </c>
      <c r="AP22" s="177">
        <f t="shared" si="11"/>
        <v>0</v>
      </c>
    </row>
    <row r="23" spans="1:42" collapsed="1" x14ac:dyDescent="0.15">
      <c r="A23" s="195" t="s">
        <v>244</v>
      </c>
      <c r="B23" s="177">
        <f>Dezember24!AH23</f>
        <v>0</v>
      </c>
      <c r="C23" s="177">
        <f>Januar!AH23</f>
        <v>0</v>
      </c>
      <c r="D23" s="177">
        <f>Februar!AH23</f>
        <v>0</v>
      </c>
      <c r="E23" s="177">
        <f>März!AH23</f>
        <v>60000</v>
      </c>
      <c r="F23" s="177">
        <f>April!AH23</f>
        <v>0</v>
      </c>
      <c r="G23" s="177">
        <f>Mai!AH23</f>
        <v>60000</v>
      </c>
      <c r="H23" s="177">
        <f>Juni!AH23</f>
        <v>0</v>
      </c>
      <c r="I23" s="177">
        <f>Juli!AH23</f>
        <v>0</v>
      </c>
      <c r="J23" s="177">
        <f>August!AH23</f>
        <v>0</v>
      </c>
      <c r="K23" s="188">
        <f>September!AH23</f>
        <v>0</v>
      </c>
      <c r="M23" s="177">
        <f>B23-'Exec.Summary_Liquiplanung ORG'!B23</f>
        <v>0</v>
      </c>
      <c r="N23" s="177">
        <f>C23-'Exec.Summary_Liquiplanung ORG'!C23</f>
        <v>-60000</v>
      </c>
      <c r="O23" s="177">
        <f>D23-'Exec.Summary_Liquiplanung ORG'!D23</f>
        <v>0</v>
      </c>
      <c r="P23" s="177">
        <f>E23-'Exec.Summary_Liquiplanung ORG'!E23</f>
        <v>0</v>
      </c>
      <c r="Q23" s="177">
        <f>F23-'Exec.Summary_Liquiplanung ORG'!F23</f>
        <v>0</v>
      </c>
      <c r="R23" s="177">
        <f>G23-'Exec.Summary_Liquiplanung ORG'!G23</f>
        <v>0</v>
      </c>
      <c r="S23" s="177">
        <f>H23-'Exec.Summary_Liquiplanung ORG'!H23</f>
        <v>0</v>
      </c>
      <c r="T23" s="177">
        <f t="shared" si="12"/>
        <v>-60000</v>
      </c>
      <c r="V23" s="177">
        <f t="shared" si="1"/>
        <v>0</v>
      </c>
      <c r="W23" s="177">
        <f t="shared" si="2"/>
        <v>0</v>
      </c>
      <c r="X23" s="177">
        <f t="shared" si="3"/>
        <v>0</v>
      </c>
      <c r="Y23" s="177">
        <f t="shared" si="4"/>
        <v>0</v>
      </c>
      <c r="Z23" s="177">
        <f t="shared" si="5"/>
        <v>0</v>
      </c>
      <c r="AA23" s="177">
        <f t="shared" si="6"/>
        <v>0</v>
      </c>
      <c r="AB23" s="177">
        <f t="shared" si="7"/>
        <v>0</v>
      </c>
      <c r="AC23" s="177">
        <f t="shared" si="8"/>
        <v>0</v>
      </c>
      <c r="AD23" s="177">
        <f t="shared" si="9"/>
        <v>0</v>
      </c>
      <c r="AE23" s="177">
        <f t="shared" si="10"/>
        <v>0</v>
      </c>
      <c r="AG23" s="177">
        <v>0</v>
      </c>
      <c r="AH23" s="177">
        <v>0</v>
      </c>
      <c r="AI23" s="177">
        <v>0</v>
      </c>
      <c r="AJ23" s="177">
        <v>60000</v>
      </c>
      <c r="AK23" s="177">
        <v>0</v>
      </c>
      <c r="AL23" s="177">
        <v>60000</v>
      </c>
      <c r="AM23" s="177">
        <v>0</v>
      </c>
      <c r="AN23" s="177">
        <v>0</v>
      </c>
      <c r="AO23" s="177">
        <v>0</v>
      </c>
      <c r="AP23" s="177">
        <f t="shared" si="11"/>
        <v>120000</v>
      </c>
    </row>
    <row r="24" spans="1:42" x14ac:dyDescent="0.15">
      <c r="A24" s="195" t="s">
        <v>232</v>
      </c>
      <c r="B24" s="177">
        <f>Dezember24!AH24</f>
        <v>0</v>
      </c>
      <c r="C24" s="177">
        <f>Januar!AH24</f>
        <v>0</v>
      </c>
      <c r="D24" s="177">
        <f>Februar!AH24</f>
        <v>0</v>
      </c>
      <c r="E24" s="177">
        <f>März!AH24</f>
        <v>0</v>
      </c>
      <c r="F24" s="177">
        <f>April!AH24</f>
        <v>50000</v>
      </c>
      <c r="G24" s="177">
        <f>Mai!AH24</f>
        <v>50000</v>
      </c>
      <c r="H24" s="177">
        <f>Juni!AH24</f>
        <v>50000</v>
      </c>
      <c r="I24" s="177">
        <f>Juli!AH24</f>
        <v>50000</v>
      </c>
      <c r="J24" s="177">
        <f>August!AH24</f>
        <v>50000</v>
      </c>
      <c r="K24" s="188">
        <f>September!AH24</f>
        <v>50000</v>
      </c>
      <c r="M24" s="177">
        <f>B24-'Exec.Summary_Liquiplanung ORG'!B24</f>
        <v>0</v>
      </c>
      <c r="N24" s="177">
        <f>C24-'Exec.Summary_Liquiplanung ORG'!C24</f>
        <v>-100000</v>
      </c>
      <c r="O24" s="177">
        <f>D24-'Exec.Summary_Liquiplanung ORG'!D24</f>
        <v>-100000</v>
      </c>
      <c r="P24" s="177">
        <f>E24-'Exec.Summary_Liquiplanung ORG'!E24</f>
        <v>-100000</v>
      </c>
      <c r="Q24" s="177">
        <f>F24-'Exec.Summary_Liquiplanung ORG'!F24</f>
        <v>-50000</v>
      </c>
      <c r="R24" s="177">
        <f>G24-'Exec.Summary_Liquiplanung ORG'!G24</f>
        <v>-50000</v>
      </c>
      <c r="S24" s="177">
        <f>H24-'Exec.Summary_Liquiplanung ORG'!H24</f>
        <v>-50000</v>
      </c>
      <c r="T24" s="177">
        <f t="shared" si="12"/>
        <v>-450000</v>
      </c>
      <c r="V24" s="177">
        <f t="shared" si="1"/>
        <v>0</v>
      </c>
      <c r="W24" s="177">
        <f t="shared" si="2"/>
        <v>0</v>
      </c>
      <c r="X24" s="177">
        <f t="shared" si="3"/>
        <v>0</v>
      </c>
      <c r="Y24" s="177">
        <f t="shared" si="4"/>
        <v>0</v>
      </c>
      <c r="Z24" s="177">
        <f t="shared" si="5"/>
        <v>0</v>
      </c>
      <c r="AA24" s="177">
        <f t="shared" si="6"/>
        <v>0</v>
      </c>
      <c r="AB24" s="177">
        <f t="shared" si="7"/>
        <v>0</v>
      </c>
      <c r="AC24" s="177">
        <f t="shared" si="8"/>
        <v>0</v>
      </c>
      <c r="AD24" s="177">
        <f t="shared" si="9"/>
        <v>0</v>
      </c>
      <c r="AE24" s="177">
        <f t="shared" si="10"/>
        <v>0</v>
      </c>
      <c r="AG24" s="177">
        <v>0</v>
      </c>
      <c r="AH24" s="177">
        <v>0</v>
      </c>
      <c r="AI24" s="177">
        <v>0</v>
      </c>
      <c r="AJ24" s="177">
        <v>0</v>
      </c>
      <c r="AK24" s="177">
        <v>50000</v>
      </c>
      <c r="AL24" s="177">
        <v>50000</v>
      </c>
      <c r="AM24" s="177">
        <v>50000</v>
      </c>
      <c r="AN24" s="177">
        <v>50000</v>
      </c>
      <c r="AO24" s="177">
        <v>50000</v>
      </c>
      <c r="AP24" s="177">
        <f t="shared" si="11"/>
        <v>250000</v>
      </c>
    </row>
    <row r="25" spans="1:42" x14ac:dyDescent="0.15">
      <c r="A25" s="195" t="s">
        <v>243</v>
      </c>
      <c r="B25" s="177">
        <f>Dezember24!AH25</f>
        <v>0</v>
      </c>
      <c r="C25" s="177">
        <f>Januar!AH25</f>
        <v>0</v>
      </c>
      <c r="D25" s="177">
        <f>Februar!AH25</f>
        <v>0</v>
      </c>
      <c r="E25" s="177">
        <f>März!AH25</f>
        <v>0</v>
      </c>
      <c r="F25" s="177">
        <f>April!AH25</f>
        <v>250000</v>
      </c>
      <c r="G25" s="177">
        <f>Mai!AH25</f>
        <v>265000</v>
      </c>
      <c r="H25" s="177">
        <f>Juni!AH25</f>
        <v>0</v>
      </c>
      <c r="I25" s="177">
        <f>Juli!AH25</f>
        <v>0</v>
      </c>
      <c r="J25" s="177">
        <f>August!AH25</f>
        <v>0</v>
      </c>
      <c r="K25" s="188">
        <f>September!AH25</f>
        <v>0</v>
      </c>
      <c r="M25" s="177">
        <f>B25-'Exec.Summary_Liquiplanung ORG'!B25</f>
        <v>0</v>
      </c>
      <c r="N25" s="177">
        <f>C25-'Exec.Summary_Liquiplanung ORG'!C25</f>
        <v>-180000</v>
      </c>
      <c r="O25" s="177">
        <f>D25-'Exec.Summary_Liquiplanung ORG'!D25</f>
        <v>-10000</v>
      </c>
      <c r="P25" s="177">
        <f>E25-'Exec.Summary_Liquiplanung ORG'!E25</f>
        <v>-10000</v>
      </c>
      <c r="Q25" s="177">
        <f>F25-'Exec.Summary_Liquiplanung ORG'!F25</f>
        <v>0</v>
      </c>
      <c r="R25" s="177">
        <f>G25-'Exec.Summary_Liquiplanung ORG'!G25</f>
        <v>245000</v>
      </c>
      <c r="S25" s="177">
        <f>H25-'Exec.Summary_Liquiplanung ORG'!H25</f>
        <v>0</v>
      </c>
      <c r="T25" s="177">
        <f t="shared" si="12"/>
        <v>45000</v>
      </c>
      <c r="V25" s="177">
        <f t="shared" si="1"/>
        <v>0</v>
      </c>
      <c r="W25" s="177">
        <f t="shared" si="2"/>
        <v>0</v>
      </c>
      <c r="X25" s="177">
        <f t="shared" si="3"/>
        <v>0</v>
      </c>
      <c r="Y25" s="177">
        <f t="shared" si="4"/>
        <v>0</v>
      </c>
      <c r="Z25" s="177">
        <f t="shared" si="5"/>
        <v>0</v>
      </c>
      <c r="AA25" s="177">
        <f t="shared" si="6"/>
        <v>0</v>
      </c>
      <c r="AB25" s="177">
        <f t="shared" si="7"/>
        <v>0</v>
      </c>
      <c r="AC25" s="177">
        <f t="shared" si="8"/>
        <v>0</v>
      </c>
      <c r="AD25" s="177">
        <f t="shared" si="9"/>
        <v>0</v>
      </c>
      <c r="AE25" s="177">
        <f t="shared" si="10"/>
        <v>0</v>
      </c>
      <c r="AG25" s="177">
        <v>0</v>
      </c>
      <c r="AH25" s="177">
        <v>0</v>
      </c>
      <c r="AI25" s="177">
        <v>0</v>
      </c>
      <c r="AJ25" s="177">
        <v>0</v>
      </c>
      <c r="AK25" s="177">
        <v>250000</v>
      </c>
      <c r="AL25" s="177">
        <v>265000</v>
      </c>
      <c r="AM25" s="177">
        <v>0</v>
      </c>
      <c r="AN25" s="177">
        <v>0</v>
      </c>
      <c r="AO25" s="177">
        <v>0</v>
      </c>
      <c r="AP25" s="177">
        <f t="shared" si="11"/>
        <v>515000</v>
      </c>
    </row>
    <row r="26" spans="1:42" x14ac:dyDescent="0.15">
      <c r="A26" s="195" t="s">
        <v>242</v>
      </c>
      <c r="B26" s="177">
        <f>Dezember24!AH26</f>
        <v>0</v>
      </c>
      <c r="C26" s="177">
        <f>Januar!AH26</f>
        <v>42140</v>
      </c>
      <c r="D26" s="177">
        <f>Februar!AH26</f>
        <v>170000</v>
      </c>
      <c r="E26" s="177">
        <f>März!AH26</f>
        <v>1429283.49</v>
      </c>
      <c r="F26" s="177">
        <f>April!AH26</f>
        <v>1500000</v>
      </c>
      <c r="G26" s="177">
        <f>Mai!AH26</f>
        <v>1500000</v>
      </c>
      <c r="H26" s="177">
        <f>Juni!AH26</f>
        <v>1500000</v>
      </c>
      <c r="I26" s="177">
        <f>Juli!AH26</f>
        <v>1500000</v>
      </c>
      <c r="J26" s="177">
        <f>August!AH26</f>
        <v>1500000</v>
      </c>
      <c r="K26" s="188">
        <f>September!AH26</f>
        <v>1500000</v>
      </c>
      <c r="M26" s="177">
        <f>B26-'Exec.Summary_Liquiplanung ORG'!B26</f>
        <v>-170000</v>
      </c>
      <c r="N26" s="177">
        <f>C26-'Exec.Summary_Liquiplanung ORG'!C26</f>
        <v>-127860</v>
      </c>
      <c r="O26" s="177">
        <f>D26-'Exec.Summary_Liquiplanung ORG'!D26</f>
        <v>0</v>
      </c>
      <c r="P26" s="177">
        <f>E26-'Exec.Summary_Liquiplanung ORG'!E26</f>
        <v>-120716.51000000001</v>
      </c>
      <c r="Q26" s="177">
        <f>F26-'Exec.Summary_Liquiplanung ORG'!F26</f>
        <v>-50000</v>
      </c>
      <c r="R26" s="177">
        <f>G26-'Exec.Summary_Liquiplanung ORG'!G26</f>
        <v>-50000</v>
      </c>
      <c r="S26" s="177">
        <f>H26-'Exec.Summary_Liquiplanung ORG'!H26</f>
        <v>-50000</v>
      </c>
      <c r="T26" s="177">
        <f t="shared" si="12"/>
        <v>-568576.51</v>
      </c>
      <c r="V26" s="177">
        <f t="shared" si="1"/>
        <v>0</v>
      </c>
      <c r="W26" s="177">
        <f t="shared" si="2"/>
        <v>0</v>
      </c>
      <c r="X26" s="177">
        <f t="shared" si="3"/>
        <v>0</v>
      </c>
      <c r="Y26" s="177">
        <f t="shared" si="4"/>
        <v>0</v>
      </c>
      <c r="Z26" s="177">
        <f t="shared" si="5"/>
        <v>0</v>
      </c>
      <c r="AA26" s="177">
        <f t="shared" si="6"/>
        <v>0</v>
      </c>
      <c r="AB26" s="177">
        <f t="shared" si="7"/>
        <v>0</v>
      </c>
      <c r="AC26" s="177">
        <f t="shared" si="8"/>
        <v>0</v>
      </c>
      <c r="AD26" s="177">
        <f t="shared" si="9"/>
        <v>0</v>
      </c>
      <c r="AE26" s="177">
        <f t="shared" si="10"/>
        <v>0</v>
      </c>
      <c r="AG26" s="177">
        <v>0</v>
      </c>
      <c r="AH26" s="177">
        <v>42140</v>
      </c>
      <c r="AI26" s="177">
        <v>170000</v>
      </c>
      <c r="AJ26" s="177">
        <v>1429283.49</v>
      </c>
      <c r="AK26" s="177">
        <v>1500000</v>
      </c>
      <c r="AL26" s="177">
        <v>1500000</v>
      </c>
      <c r="AM26" s="177">
        <v>1500000</v>
      </c>
      <c r="AN26" s="177">
        <v>1500000</v>
      </c>
      <c r="AO26" s="177">
        <v>1500000</v>
      </c>
      <c r="AP26" s="177">
        <f t="shared" si="11"/>
        <v>9141423.4900000002</v>
      </c>
    </row>
    <row r="27" spans="1:42" x14ac:dyDescent="0.15">
      <c r="A27" s="195" t="s">
        <v>241</v>
      </c>
      <c r="B27" s="177">
        <f>Dezember24!AH27</f>
        <v>0</v>
      </c>
      <c r="C27" s="177">
        <f>Januar!AH27</f>
        <v>0</v>
      </c>
      <c r="D27" s="177">
        <f>Februar!AH27</f>
        <v>0</v>
      </c>
      <c r="E27" s="177">
        <f>März!AH27</f>
        <v>805613.08</v>
      </c>
      <c r="F27" s="177">
        <f>April!AH27</f>
        <v>850000</v>
      </c>
      <c r="G27" s="177">
        <f>Mai!AH27</f>
        <v>850000</v>
      </c>
      <c r="H27" s="177">
        <f>Juni!AH27</f>
        <v>850000</v>
      </c>
      <c r="I27" s="177">
        <f>Juli!AH27</f>
        <v>850000</v>
      </c>
      <c r="J27" s="177">
        <f>August!AH27</f>
        <v>850000</v>
      </c>
      <c r="K27" s="188">
        <f>September!AH27</f>
        <v>850000</v>
      </c>
      <c r="M27" s="177">
        <f>B27-'Exec.Summary_Liquiplanung ORG'!B27</f>
        <v>0</v>
      </c>
      <c r="N27" s="177">
        <f>C27-'Exec.Summary_Liquiplanung ORG'!C27</f>
        <v>0</v>
      </c>
      <c r="O27" s="177">
        <f>D27-'Exec.Summary_Liquiplanung ORG'!D27</f>
        <v>0</v>
      </c>
      <c r="P27" s="177">
        <f>E27-'Exec.Summary_Liquiplanung ORG'!E27</f>
        <v>-44386.920000000042</v>
      </c>
      <c r="Q27" s="177">
        <f>F27-'Exec.Summary_Liquiplanung ORG'!F27</f>
        <v>0</v>
      </c>
      <c r="R27" s="177">
        <f>G27-'Exec.Summary_Liquiplanung ORG'!G27</f>
        <v>0</v>
      </c>
      <c r="S27" s="177">
        <f>H27-'Exec.Summary_Liquiplanung ORG'!H27</f>
        <v>0</v>
      </c>
      <c r="T27" s="177">
        <f t="shared" si="12"/>
        <v>-44386.920000000042</v>
      </c>
      <c r="V27" s="177">
        <f t="shared" si="1"/>
        <v>0</v>
      </c>
      <c r="W27" s="177">
        <f t="shared" si="2"/>
        <v>0</v>
      </c>
      <c r="X27" s="177">
        <f t="shared" si="3"/>
        <v>0</v>
      </c>
      <c r="Y27" s="177">
        <f t="shared" si="4"/>
        <v>0</v>
      </c>
      <c r="Z27" s="177">
        <f t="shared" si="5"/>
        <v>0</v>
      </c>
      <c r="AA27" s="177">
        <f t="shared" si="6"/>
        <v>0</v>
      </c>
      <c r="AB27" s="177">
        <f t="shared" si="7"/>
        <v>0</v>
      </c>
      <c r="AC27" s="177">
        <f t="shared" si="8"/>
        <v>0</v>
      </c>
      <c r="AD27" s="177">
        <f t="shared" si="9"/>
        <v>0</v>
      </c>
      <c r="AE27" s="177">
        <f t="shared" si="10"/>
        <v>0</v>
      </c>
      <c r="AG27" s="177">
        <v>0</v>
      </c>
      <c r="AH27" s="177">
        <v>0</v>
      </c>
      <c r="AI27" s="177">
        <v>0</v>
      </c>
      <c r="AJ27" s="177">
        <v>805613.08</v>
      </c>
      <c r="AK27" s="177">
        <v>850000</v>
      </c>
      <c r="AL27" s="177">
        <v>850000</v>
      </c>
      <c r="AM27" s="177">
        <v>850000</v>
      </c>
      <c r="AN27" s="177">
        <v>850000</v>
      </c>
      <c r="AO27" s="177">
        <v>850000</v>
      </c>
      <c r="AP27" s="177">
        <f t="shared" si="11"/>
        <v>5055613.08</v>
      </c>
    </row>
    <row r="28" spans="1:42" x14ac:dyDescent="0.15">
      <c r="A28" s="195" t="s">
        <v>240</v>
      </c>
      <c r="B28" s="177">
        <f>Dezember24!AH28</f>
        <v>0</v>
      </c>
      <c r="C28" s="177">
        <f>Januar!AH28</f>
        <v>0</v>
      </c>
      <c r="D28" s="177">
        <f>Februar!AH28</f>
        <v>0</v>
      </c>
      <c r="E28" s="177">
        <f>März!AH28</f>
        <v>551000</v>
      </c>
      <c r="F28" s="177">
        <f>April!AH28</f>
        <v>350000</v>
      </c>
      <c r="G28" s="177">
        <f>Mai!AH28</f>
        <v>350000</v>
      </c>
      <c r="H28" s="177">
        <f>Juni!AH28</f>
        <v>350000</v>
      </c>
      <c r="I28" s="177">
        <f>Juli!AH28</f>
        <v>350000</v>
      </c>
      <c r="J28" s="177">
        <f>August!AH28</f>
        <v>350000</v>
      </c>
      <c r="K28" s="188">
        <f>September!AH28</f>
        <v>350000</v>
      </c>
      <c r="M28" s="177">
        <f>B28-'Exec.Summary_Liquiplanung ORG'!B28</f>
        <v>0</v>
      </c>
      <c r="N28" s="177">
        <f>C28-'Exec.Summary_Liquiplanung ORG'!C28</f>
        <v>0</v>
      </c>
      <c r="O28" s="177">
        <f>D28-'Exec.Summary_Liquiplanung ORG'!D28</f>
        <v>0</v>
      </c>
      <c r="P28" s="177">
        <f>E28-'Exec.Summary_Liquiplanung ORG'!E28</f>
        <v>201000</v>
      </c>
      <c r="Q28" s="177">
        <f>F28-'Exec.Summary_Liquiplanung ORG'!F28</f>
        <v>0</v>
      </c>
      <c r="R28" s="177">
        <f>G28-'Exec.Summary_Liquiplanung ORG'!G28</f>
        <v>0</v>
      </c>
      <c r="S28" s="177">
        <f>H28-'Exec.Summary_Liquiplanung ORG'!H28</f>
        <v>0</v>
      </c>
      <c r="T28" s="177">
        <f t="shared" si="12"/>
        <v>201000</v>
      </c>
      <c r="V28" s="177">
        <f t="shared" si="1"/>
        <v>0</v>
      </c>
      <c r="W28" s="177">
        <f t="shared" si="2"/>
        <v>0</v>
      </c>
      <c r="X28" s="177">
        <f t="shared" si="3"/>
        <v>0</v>
      </c>
      <c r="Y28" s="177">
        <f t="shared" si="4"/>
        <v>0</v>
      </c>
      <c r="Z28" s="177">
        <f t="shared" si="5"/>
        <v>0</v>
      </c>
      <c r="AA28" s="177">
        <f t="shared" si="6"/>
        <v>0</v>
      </c>
      <c r="AB28" s="177">
        <f t="shared" si="7"/>
        <v>0</v>
      </c>
      <c r="AC28" s="177">
        <f t="shared" si="8"/>
        <v>0</v>
      </c>
      <c r="AD28" s="177">
        <f t="shared" si="9"/>
        <v>0</v>
      </c>
      <c r="AE28" s="177">
        <f t="shared" si="10"/>
        <v>0</v>
      </c>
      <c r="AG28" s="177">
        <v>0</v>
      </c>
      <c r="AH28" s="177">
        <v>0</v>
      </c>
      <c r="AI28" s="177">
        <v>0</v>
      </c>
      <c r="AJ28" s="177">
        <v>551000</v>
      </c>
      <c r="AK28" s="177">
        <v>350000</v>
      </c>
      <c r="AL28" s="177">
        <v>350000</v>
      </c>
      <c r="AM28" s="177">
        <v>350000</v>
      </c>
      <c r="AN28" s="177">
        <v>350000</v>
      </c>
      <c r="AO28" s="177">
        <v>350000</v>
      </c>
      <c r="AP28" s="177">
        <f t="shared" si="11"/>
        <v>2301000</v>
      </c>
    </row>
    <row r="29" spans="1:42" x14ac:dyDescent="0.15">
      <c r="A29" s="195" t="s">
        <v>239</v>
      </c>
      <c r="B29" s="177">
        <f>Dezember24!AH29</f>
        <v>0</v>
      </c>
      <c r="C29" s="177">
        <f>Januar!AH29</f>
        <v>0</v>
      </c>
      <c r="D29" s="177">
        <f>Februar!AH29</f>
        <v>0</v>
      </c>
      <c r="E29" s="177">
        <f>März!AH29</f>
        <v>0</v>
      </c>
      <c r="F29" s="177">
        <f>April!AH29</f>
        <v>166115.03</v>
      </c>
      <c r="G29" s="177">
        <f>Mai!AH29</f>
        <v>150000</v>
      </c>
      <c r="H29" s="177">
        <f>Juni!AH29</f>
        <v>150000</v>
      </c>
      <c r="I29" s="177">
        <f>Juli!AH29</f>
        <v>150000</v>
      </c>
      <c r="J29" s="177">
        <f>August!AH29</f>
        <v>150000</v>
      </c>
      <c r="K29" s="188">
        <f>September!AH29</f>
        <v>150000</v>
      </c>
      <c r="M29" s="177">
        <f>B29-'Exec.Summary_Liquiplanung ORG'!B29</f>
        <v>0</v>
      </c>
      <c r="N29" s="177">
        <f>C29-'Exec.Summary_Liquiplanung ORG'!C29</f>
        <v>350314.98791062587</v>
      </c>
      <c r="O29" s="177">
        <f>D29-'Exec.Summary_Liquiplanung ORG'!D29</f>
        <v>73565.065378302475</v>
      </c>
      <c r="P29" s="177">
        <f>E29-'Exec.Summary_Liquiplanung ORG'!E29</f>
        <v>327098.9827555333</v>
      </c>
      <c r="Q29" s="177">
        <f>F29-'Exec.Summary_Liquiplanung ORG'!F29</f>
        <v>484946.03930252593</v>
      </c>
      <c r="R29" s="177">
        <f>G29-'Exec.Summary_Liquiplanung ORG'!G29</f>
        <v>401345.76061425859</v>
      </c>
      <c r="S29" s="177">
        <f>H29-'Exec.Summary_Liquiplanung ORG'!H29</f>
        <v>446063.42623497063</v>
      </c>
      <c r="T29" s="177">
        <f t="shared" si="12"/>
        <v>2083334.262196217</v>
      </c>
      <c r="V29" s="177">
        <f t="shared" si="1"/>
        <v>0</v>
      </c>
      <c r="W29" s="177">
        <f t="shared" si="2"/>
        <v>0</v>
      </c>
      <c r="X29" s="177">
        <f t="shared" si="3"/>
        <v>0</v>
      </c>
      <c r="Y29" s="177">
        <f t="shared" si="4"/>
        <v>0</v>
      </c>
      <c r="Z29" s="177">
        <f t="shared" si="5"/>
        <v>0</v>
      </c>
      <c r="AA29" s="177">
        <f t="shared" si="6"/>
        <v>0</v>
      </c>
      <c r="AB29" s="177">
        <f t="shared" si="7"/>
        <v>0</v>
      </c>
      <c r="AC29" s="177">
        <f t="shared" si="8"/>
        <v>0</v>
      </c>
      <c r="AD29" s="177">
        <f t="shared" si="9"/>
        <v>0</v>
      </c>
      <c r="AE29" s="177">
        <f t="shared" si="10"/>
        <v>0</v>
      </c>
      <c r="AG29" s="177">
        <v>0</v>
      </c>
      <c r="AH29" s="177">
        <v>0</v>
      </c>
      <c r="AI29" s="177">
        <v>0</v>
      </c>
      <c r="AJ29" s="177">
        <v>0</v>
      </c>
      <c r="AK29" s="177">
        <v>166115.03</v>
      </c>
      <c r="AL29" s="177">
        <v>150000</v>
      </c>
      <c r="AM29" s="177">
        <v>150000</v>
      </c>
      <c r="AN29" s="177">
        <v>150000</v>
      </c>
      <c r="AO29" s="177">
        <v>150000</v>
      </c>
      <c r="AP29" s="177">
        <f t="shared" si="11"/>
        <v>766115.03</v>
      </c>
    </row>
    <row r="30" spans="1:42" x14ac:dyDescent="0.15">
      <c r="A30" s="195" t="s">
        <v>365</v>
      </c>
      <c r="B30" s="177">
        <f>Dezember24!AH30</f>
        <v>0</v>
      </c>
      <c r="C30" s="177">
        <f>Januar!AH30</f>
        <v>0</v>
      </c>
      <c r="D30" s="177">
        <f>Februar!AH30</f>
        <v>1500000</v>
      </c>
      <c r="E30" s="177">
        <f>März!AH30</f>
        <v>0</v>
      </c>
      <c r="F30" s="177">
        <f>April!AH30</f>
        <v>0</v>
      </c>
      <c r="G30" s="177">
        <f>Mai!AH30</f>
        <v>0</v>
      </c>
      <c r="H30" s="177">
        <f>Juni!AH30</f>
        <v>0</v>
      </c>
      <c r="I30" s="177">
        <f>Juli!AH30</f>
        <v>0</v>
      </c>
      <c r="J30" s="177">
        <f>August!AH30</f>
        <v>0</v>
      </c>
      <c r="K30" s="188">
        <f>September!AH30</f>
        <v>2400000</v>
      </c>
      <c r="M30" s="177">
        <f>B30-'Exec.Summary_Liquiplanung ORG'!B30</f>
        <v>0</v>
      </c>
      <c r="N30" s="177">
        <f>C30-'Exec.Summary_Liquiplanung ORG'!C30</f>
        <v>0</v>
      </c>
      <c r="O30" s="177">
        <f>D30-'Exec.Summary_Liquiplanung ORG'!D30</f>
        <v>0</v>
      </c>
      <c r="P30" s="177">
        <f>E30-'Exec.Summary_Liquiplanung ORG'!E30</f>
        <v>0</v>
      </c>
      <c r="Q30" s="177">
        <f>F30-'Exec.Summary_Liquiplanung ORG'!F30</f>
        <v>0</v>
      </c>
      <c r="R30" s="177">
        <f>G30-'Exec.Summary_Liquiplanung ORG'!G30</f>
        <v>0</v>
      </c>
      <c r="S30" s="177">
        <f>H30-'Exec.Summary_Liquiplanung ORG'!H30</f>
        <v>-2400000</v>
      </c>
      <c r="T30" s="177">
        <f t="shared" si="12"/>
        <v>-2400000</v>
      </c>
      <c r="V30" s="177">
        <f t="shared" si="1"/>
        <v>0</v>
      </c>
      <c r="W30" s="177">
        <f t="shared" si="2"/>
        <v>0</v>
      </c>
      <c r="X30" s="177">
        <f t="shared" si="3"/>
        <v>0</v>
      </c>
      <c r="Y30" s="177">
        <f t="shared" si="4"/>
        <v>0</v>
      </c>
      <c r="Z30" s="177">
        <f t="shared" si="5"/>
        <v>0</v>
      </c>
      <c r="AA30" s="177">
        <f t="shared" si="6"/>
        <v>0</v>
      </c>
      <c r="AB30" s="177">
        <f t="shared" si="7"/>
        <v>0</v>
      </c>
      <c r="AC30" s="177">
        <f t="shared" si="8"/>
        <v>0</v>
      </c>
      <c r="AD30" s="177">
        <f t="shared" si="9"/>
        <v>-2400000</v>
      </c>
      <c r="AE30" s="177">
        <f t="shared" si="10"/>
        <v>-2400000</v>
      </c>
      <c r="AG30" s="177">
        <v>0</v>
      </c>
      <c r="AH30" s="177">
        <v>0</v>
      </c>
      <c r="AI30" s="177">
        <v>1500000</v>
      </c>
      <c r="AJ30" s="177">
        <v>0</v>
      </c>
      <c r="AK30" s="177">
        <v>0</v>
      </c>
      <c r="AL30" s="177">
        <v>0</v>
      </c>
      <c r="AM30" s="177">
        <v>0</v>
      </c>
      <c r="AN30" s="177">
        <v>0</v>
      </c>
      <c r="AO30" s="177">
        <v>2400000</v>
      </c>
      <c r="AP30" s="177">
        <f t="shared" si="11"/>
        <v>3900000</v>
      </c>
    </row>
    <row r="31" spans="1:42" x14ac:dyDescent="0.15">
      <c r="A31" s="195" t="s">
        <v>238</v>
      </c>
      <c r="B31" s="177">
        <f>Dezember24!AH31</f>
        <v>0</v>
      </c>
      <c r="C31" s="177">
        <f>Januar!AH31</f>
        <v>0</v>
      </c>
      <c r="D31" s="177">
        <f>Februar!AH31</f>
        <v>98500</v>
      </c>
      <c r="E31" s="177">
        <f>März!AH31</f>
        <v>0</v>
      </c>
      <c r="F31" s="177">
        <f>April!AH31</f>
        <v>0</v>
      </c>
      <c r="G31" s="177">
        <f>Mai!AH31</f>
        <v>0</v>
      </c>
      <c r="H31" s="177">
        <f>Juni!AH31</f>
        <v>0</v>
      </c>
      <c r="I31" s="177">
        <f>Juli!AH31</f>
        <v>0</v>
      </c>
      <c r="J31" s="177">
        <f>August!AH31</f>
        <v>0</v>
      </c>
      <c r="K31" s="188">
        <f>September!AH31</f>
        <v>0</v>
      </c>
      <c r="M31" s="177">
        <f>B31-'Exec.Summary_Liquiplanung ORG'!B31</f>
        <v>0</v>
      </c>
      <c r="N31" s="177">
        <f>C31-'Exec.Summary_Liquiplanung ORG'!C31</f>
        <v>0</v>
      </c>
      <c r="O31" s="177">
        <f>D31-'Exec.Summary_Liquiplanung ORG'!D31</f>
        <v>98500</v>
      </c>
      <c r="P31" s="177">
        <f>E31-'Exec.Summary_Liquiplanung ORG'!E31</f>
        <v>0</v>
      </c>
      <c r="Q31" s="177">
        <f>F31-'Exec.Summary_Liquiplanung ORG'!F31</f>
        <v>0</v>
      </c>
      <c r="R31" s="177">
        <f>G31-'Exec.Summary_Liquiplanung ORG'!G31</f>
        <v>0</v>
      </c>
      <c r="S31" s="177">
        <f>H31-'Exec.Summary_Liquiplanung ORG'!H31</f>
        <v>0</v>
      </c>
      <c r="T31" s="177">
        <f t="shared" si="12"/>
        <v>98500</v>
      </c>
      <c r="V31" s="177">
        <v>0</v>
      </c>
      <c r="W31" s="177">
        <v>0</v>
      </c>
      <c r="X31" s="177">
        <v>0</v>
      </c>
      <c r="Y31" s="177">
        <v>0</v>
      </c>
      <c r="Z31" s="177">
        <v>0</v>
      </c>
      <c r="AA31" s="177">
        <v>0</v>
      </c>
      <c r="AB31" s="177">
        <v>0</v>
      </c>
      <c r="AC31" s="177">
        <v>0</v>
      </c>
      <c r="AD31" s="177">
        <v>0</v>
      </c>
      <c r="AE31" s="177">
        <v>0</v>
      </c>
      <c r="AG31" s="177">
        <v>0</v>
      </c>
      <c r="AH31" s="177">
        <v>0</v>
      </c>
      <c r="AI31" s="177">
        <v>98500</v>
      </c>
      <c r="AJ31" s="177">
        <v>0</v>
      </c>
      <c r="AK31" s="177">
        <v>0</v>
      </c>
      <c r="AL31" s="177">
        <v>0</v>
      </c>
      <c r="AM31" s="177">
        <v>0</v>
      </c>
      <c r="AN31" s="177">
        <v>0</v>
      </c>
      <c r="AO31" s="177">
        <v>0</v>
      </c>
      <c r="AP31" s="177">
        <v>0</v>
      </c>
    </row>
    <row r="32" spans="1:42" x14ac:dyDescent="0.15">
      <c r="A32" s="198" t="s">
        <v>237</v>
      </c>
      <c r="B32" s="181">
        <f>Dezember24!AH32</f>
        <v>65390</v>
      </c>
      <c r="C32" s="181">
        <f>Januar!AH32</f>
        <v>4712650.1800000006</v>
      </c>
      <c r="D32" s="181">
        <f>Februar!AH32</f>
        <v>6561001.5300000003</v>
      </c>
      <c r="E32" s="181">
        <f>März!AH32</f>
        <v>7811988.5625159992</v>
      </c>
      <c r="F32" s="181">
        <f>April!AH32</f>
        <v>7859457.2250540005</v>
      </c>
      <c r="G32" s="181">
        <f>Mai!AH32</f>
        <v>11915821.956662752</v>
      </c>
      <c r="H32" s="181">
        <f>Juni!AH32</f>
        <v>8022538.2009776663</v>
      </c>
      <c r="I32" s="181">
        <f>Juli!AH32</f>
        <v>12099775.019370751</v>
      </c>
      <c r="J32" s="181">
        <f>August!AH32</f>
        <v>11671769.596375667</v>
      </c>
      <c r="K32" s="199">
        <f>September!AH32</f>
        <v>13687908.238467939</v>
      </c>
      <c r="M32" s="202">
        <f>B32-'Exec.Summary_Liquiplanung ORG'!B32</f>
        <v>-1354610</v>
      </c>
      <c r="N32" s="202">
        <f>C32-'Exec.Summary_Liquiplanung ORG'!C32</f>
        <v>-1482660.442185374</v>
      </c>
      <c r="O32" s="202">
        <f>D32-'Exec.Summary_Liquiplanung ORG'!D32</f>
        <v>-288338.33305769879</v>
      </c>
      <c r="P32" s="202">
        <f>E32-'Exec.Summary_Liquiplanung ORG'!E32</f>
        <v>-3033905.7977827052</v>
      </c>
      <c r="Q32" s="202">
        <f>F32-'Exec.Summary_Liquiplanung ORG'!F32</f>
        <v>-1658471.4368895525</v>
      </c>
      <c r="R32" s="202">
        <f>G32-'Exec.Summary_Liquiplanung ORG'!G32</f>
        <v>1491699.699346697</v>
      </c>
      <c r="S32" s="202">
        <f>H32-'Exec.Summary_Liquiplanung ORG'!H32</f>
        <v>-4941258.4345710166</v>
      </c>
      <c r="T32" s="202">
        <f t="shared" si="12"/>
        <v>-11267544.745139651</v>
      </c>
      <c r="V32" s="202">
        <f>SUM(V8:V30)</f>
        <v>0</v>
      </c>
      <c r="W32" s="202">
        <f t="shared" ref="W32:AB32" si="13">SUM(W8:W30)</f>
        <v>0</v>
      </c>
      <c r="X32" s="202">
        <f t="shared" si="13"/>
        <v>0</v>
      </c>
      <c r="Y32" s="202">
        <f t="shared" si="13"/>
        <v>0</v>
      </c>
      <c r="Z32" s="202">
        <f t="shared" si="13"/>
        <v>0</v>
      </c>
      <c r="AA32" s="202">
        <f t="shared" si="13"/>
        <v>486672.08773050271</v>
      </c>
      <c r="AB32" s="202">
        <f t="shared" si="13"/>
        <v>-1222670.3769846056</v>
      </c>
      <c r="AC32" s="202">
        <f t="shared" ref="AC32:AD32" si="14">SUM(AC8:AC30)</f>
        <v>-861381.26867499761</v>
      </c>
      <c r="AD32" s="202">
        <f t="shared" si="14"/>
        <v>-2555637.1621107459</v>
      </c>
      <c r="AE32" s="202">
        <f>SUM(V32:AD32)</f>
        <v>-4153016.7200398464</v>
      </c>
      <c r="AG32" s="202">
        <v>65390</v>
      </c>
      <c r="AH32" s="202">
        <v>4712650.1800000006</v>
      </c>
      <c r="AI32" s="202">
        <v>6561001.5300000003</v>
      </c>
      <c r="AJ32" s="202">
        <v>7811988.5625159992</v>
      </c>
      <c r="AK32" s="202">
        <v>7859457.2250540005</v>
      </c>
      <c r="AL32" s="202">
        <v>11429149.868932249</v>
      </c>
      <c r="AM32" s="202">
        <v>9245208.5779622719</v>
      </c>
      <c r="AN32" s="181">
        <v>12961156.288045749</v>
      </c>
      <c r="AO32" s="181">
        <v>14227406.758486412</v>
      </c>
      <c r="AP32" s="202">
        <f>SUM(AG32:AO32)</f>
        <v>74873408.990996689</v>
      </c>
    </row>
    <row r="33" spans="1:42" x14ac:dyDescent="0.15">
      <c r="A33" s="200"/>
      <c r="B33" s="177"/>
      <c r="C33" s="177"/>
      <c r="D33" s="177"/>
      <c r="E33" s="177"/>
      <c r="F33" s="177"/>
      <c r="G33" s="177"/>
      <c r="H33" s="177"/>
      <c r="I33" s="177"/>
      <c r="J33" s="177"/>
      <c r="K33" s="188"/>
      <c r="M33" s="177">
        <f>B33-'Exec.Summary_Liquiplanung ORG'!B33</f>
        <v>0</v>
      </c>
      <c r="N33" s="177">
        <f>C33-'Exec.Summary_Liquiplanung ORG'!C33</f>
        <v>0</v>
      </c>
      <c r="O33" s="177">
        <f>D33-'Exec.Summary_Liquiplanung ORG'!D33</f>
        <v>0</v>
      </c>
      <c r="P33" s="177">
        <f>E33-'Exec.Summary_Liquiplanung ORG'!E33</f>
        <v>0</v>
      </c>
      <c r="Q33" s="177">
        <f>F33-'Exec.Summary_Liquiplanung ORG'!F33</f>
        <v>0</v>
      </c>
      <c r="R33" s="177">
        <f>G33-'Exec.Summary_Liquiplanung ORG'!G33</f>
        <v>0</v>
      </c>
      <c r="S33" s="177">
        <f>H33-'Exec.Summary_Liquiplanung ORG'!H33</f>
        <v>0</v>
      </c>
      <c r="T33" s="177">
        <f t="shared" si="12"/>
        <v>0</v>
      </c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</row>
    <row r="34" spans="1:42" x14ac:dyDescent="0.15">
      <c r="A34" s="201" t="s">
        <v>236</v>
      </c>
      <c r="B34" s="202"/>
      <c r="C34" s="202"/>
      <c r="D34" s="202"/>
      <c r="E34" s="202"/>
      <c r="F34" s="202"/>
      <c r="G34" s="202"/>
      <c r="H34" s="202"/>
      <c r="I34" s="202"/>
      <c r="J34" s="202"/>
      <c r="K34" s="203"/>
      <c r="M34" s="193"/>
      <c r="N34" s="193"/>
      <c r="O34" s="193"/>
      <c r="P34" s="193"/>
      <c r="Q34" s="193"/>
      <c r="R34" s="193"/>
      <c r="S34" s="193"/>
      <c r="T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G34" s="193"/>
      <c r="AH34" s="193"/>
      <c r="AI34" s="193"/>
      <c r="AJ34" s="193"/>
      <c r="AK34" s="193"/>
      <c r="AL34" s="193"/>
      <c r="AM34" s="193"/>
      <c r="AN34" s="202"/>
      <c r="AO34" s="202"/>
      <c r="AP34" s="193"/>
    </row>
    <row r="35" spans="1:42" hidden="1" outlineLevel="1" x14ac:dyDescent="0.15">
      <c r="A35" s="200" t="s">
        <v>235</v>
      </c>
      <c r="B35" s="177">
        <f>Dezember24!AH35</f>
        <v>0</v>
      </c>
      <c r="C35" s="177">
        <f>Januar!AH35</f>
        <v>0</v>
      </c>
      <c r="D35" s="177">
        <f>Februar!AH35</f>
        <v>0</v>
      </c>
      <c r="E35" s="177">
        <f>März!AH35</f>
        <v>0</v>
      </c>
      <c r="F35" s="177">
        <f>April!AH35</f>
        <v>0</v>
      </c>
      <c r="G35" s="177">
        <f>Mai!AH35</f>
        <v>0</v>
      </c>
      <c r="H35" s="177">
        <f>Juni!AH35</f>
        <v>0</v>
      </c>
      <c r="I35" s="177">
        <f>Juli!AH35</f>
        <v>0</v>
      </c>
      <c r="J35" s="177">
        <f>August!AH35</f>
        <v>0</v>
      </c>
      <c r="K35" s="188">
        <f>September!AH35</f>
        <v>0</v>
      </c>
      <c r="M35" s="177">
        <f>B35-'Exec.Summary_Liquiplanung ORG'!B35</f>
        <v>0</v>
      </c>
      <c r="N35" s="177">
        <f>C35-'Exec.Summary_Liquiplanung ORG'!C35</f>
        <v>0</v>
      </c>
      <c r="O35" s="177">
        <f>D35-'Exec.Summary_Liquiplanung ORG'!D35</f>
        <v>0</v>
      </c>
      <c r="P35" s="177">
        <f>E35-'Exec.Summary_Liquiplanung ORG'!E35</f>
        <v>0</v>
      </c>
      <c r="Q35" s="177">
        <f>F35-'Exec.Summary_Liquiplanung ORG'!F35</f>
        <v>0</v>
      </c>
      <c r="R35" s="177">
        <f>G35-'Exec.Summary_Liquiplanung ORG'!G35</f>
        <v>0</v>
      </c>
      <c r="S35" s="177">
        <f>H35-'Exec.Summary_Liquiplanung ORG'!H35</f>
        <v>0</v>
      </c>
      <c r="T35" s="177">
        <f t="shared" si="12"/>
        <v>0</v>
      </c>
      <c r="V35" s="177">
        <v>0</v>
      </c>
      <c r="W35" s="177">
        <v>0</v>
      </c>
      <c r="X35" s="177">
        <v>0</v>
      </c>
      <c r="Y35" s="177">
        <v>0</v>
      </c>
      <c r="Z35" s="177">
        <v>0</v>
      </c>
      <c r="AA35" s="177">
        <v>0</v>
      </c>
      <c r="AB35" s="177">
        <v>0</v>
      </c>
      <c r="AC35" s="177">
        <v>0</v>
      </c>
      <c r="AD35" s="177">
        <v>0</v>
      </c>
      <c r="AE35" s="177">
        <v>0</v>
      </c>
      <c r="AG35" s="177">
        <v>0</v>
      </c>
      <c r="AH35" s="177">
        <v>0</v>
      </c>
      <c r="AI35" s="177">
        <v>0</v>
      </c>
      <c r="AJ35" s="177">
        <v>0</v>
      </c>
      <c r="AK35" s="177">
        <v>0</v>
      </c>
      <c r="AL35" s="177">
        <v>0</v>
      </c>
      <c r="AM35" s="177">
        <v>0</v>
      </c>
      <c r="AN35" s="177">
        <v>0</v>
      </c>
      <c r="AO35" s="177">
        <v>0</v>
      </c>
      <c r="AP35" s="177">
        <v>0</v>
      </c>
    </row>
    <row r="36" spans="1:42" hidden="1" outlineLevel="1" x14ac:dyDescent="0.15">
      <c r="A36" s="200" t="s">
        <v>234</v>
      </c>
      <c r="B36" s="177">
        <f>Dezember24!AH36</f>
        <v>0</v>
      </c>
      <c r="C36" s="177">
        <f>Januar!AH36</f>
        <v>0</v>
      </c>
      <c r="D36" s="177">
        <f>Februar!AH36</f>
        <v>0</v>
      </c>
      <c r="E36" s="177">
        <f>März!AH36</f>
        <v>0</v>
      </c>
      <c r="F36" s="177">
        <f>April!AH36</f>
        <v>0</v>
      </c>
      <c r="G36" s="177">
        <f>Mai!AH36</f>
        <v>0</v>
      </c>
      <c r="H36" s="177">
        <f>Juni!AH36</f>
        <v>0</v>
      </c>
      <c r="I36" s="177">
        <f>Juli!AH36</f>
        <v>0</v>
      </c>
      <c r="J36" s="177">
        <f>August!AH36</f>
        <v>0</v>
      </c>
      <c r="K36" s="188">
        <f>September!AH36</f>
        <v>0</v>
      </c>
      <c r="M36" s="177">
        <f>B36-'Exec.Summary_Liquiplanung ORG'!B36</f>
        <v>0</v>
      </c>
      <c r="N36" s="177">
        <f>C36-'Exec.Summary_Liquiplanung ORG'!C36</f>
        <v>0</v>
      </c>
      <c r="O36" s="177">
        <f>D36-'Exec.Summary_Liquiplanung ORG'!D36</f>
        <v>0</v>
      </c>
      <c r="P36" s="177">
        <f>E36-'Exec.Summary_Liquiplanung ORG'!E36</f>
        <v>0</v>
      </c>
      <c r="Q36" s="177">
        <f>F36-'Exec.Summary_Liquiplanung ORG'!F36</f>
        <v>0</v>
      </c>
      <c r="R36" s="177">
        <f>G36-'Exec.Summary_Liquiplanung ORG'!G36</f>
        <v>0</v>
      </c>
      <c r="S36" s="177">
        <f>H36-'Exec.Summary_Liquiplanung ORG'!H36</f>
        <v>0</v>
      </c>
      <c r="T36" s="177">
        <f t="shared" si="12"/>
        <v>0</v>
      </c>
      <c r="V36" s="177">
        <v>0</v>
      </c>
      <c r="W36" s="177">
        <v>0</v>
      </c>
      <c r="X36" s="177">
        <v>0</v>
      </c>
      <c r="Y36" s="177">
        <v>0</v>
      </c>
      <c r="Z36" s="177">
        <v>0</v>
      </c>
      <c r="AA36" s="177">
        <v>0</v>
      </c>
      <c r="AB36" s="177">
        <v>0</v>
      </c>
      <c r="AC36" s="177">
        <v>0</v>
      </c>
      <c r="AD36" s="177">
        <v>0</v>
      </c>
      <c r="AE36" s="177">
        <v>0</v>
      </c>
      <c r="AG36" s="177">
        <v>0</v>
      </c>
      <c r="AH36" s="177">
        <v>0</v>
      </c>
      <c r="AI36" s="177">
        <v>0</v>
      </c>
      <c r="AJ36" s="177">
        <v>0</v>
      </c>
      <c r="AK36" s="177">
        <v>0</v>
      </c>
      <c r="AL36" s="177">
        <v>0</v>
      </c>
      <c r="AM36" s="177">
        <v>0</v>
      </c>
      <c r="AN36" s="177">
        <v>0</v>
      </c>
      <c r="AO36" s="177">
        <v>0</v>
      </c>
      <c r="AP36" s="177">
        <v>0</v>
      </c>
    </row>
    <row r="37" spans="1:42" hidden="1" outlineLevel="1" x14ac:dyDescent="0.15">
      <c r="A37" s="200" t="s">
        <v>233</v>
      </c>
      <c r="B37" s="177">
        <f>Dezember24!AH37</f>
        <v>0</v>
      </c>
      <c r="C37" s="177">
        <f>Januar!AH37</f>
        <v>0</v>
      </c>
      <c r="D37" s="177">
        <f>Februar!AH37</f>
        <v>0</v>
      </c>
      <c r="E37" s="177">
        <f>März!AH37</f>
        <v>0</v>
      </c>
      <c r="F37" s="177">
        <f>April!AH37</f>
        <v>0</v>
      </c>
      <c r="G37" s="177">
        <f>Mai!AH37</f>
        <v>0</v>
      </c>
      <c r="H37" s="177">
        <f>Juni!AH37</f>
        <v>0</v>
      </c>
      <c r="I37" s="177">
        <f>Juli!AH37</f>
        <v>0</v>
      </c>
      <c r="J37" s="177">
        <f>August!AH37</f>
        <v>0</v>
      </c>
      <c r="K37" s="188">
        <f>September!AH37</f>
        <v>0</v>
      </c>
      <c r="M37" s="177">
        <f>B37-'Exec.Summary_Liquiplanung ORG'!B37</f>
        <v>0</v>
      </c>
      <c r="N37" s="177">
        <f>C37-'Exec.Summary_Liquiplanung ORG'!C37</f>
        <v>0</v>
      </c>
      <c r="O37" s="177">
        <f>D37-'Exec.Summary_Liquiplanung ORG'!D37</f>
        <v>0</v>
      </c>
      <c r="P37" s="177">
        <f>E37-'Exec.Summary_Liquiplanung ORG'!E37</f>
        <v>0</v>
      </c>
      <c r="Q37" s="177">
        <f>F37-'Exec.Summary_Liquiplanung ORG'!F37</f>
        <v>0</v>
      </c>
      <c r="R37" s="177">
        <f>G37-'Exec.Summary_Liquiplanung ORG'!G37</f>
        <v>0</v>
      </c>
      <c r="S37" s="177">
        <f>H37-'Exec.Summary_Liquiplanung ORG'!H37</f>
        <v>0</v>
      </c>
      <c r="T37" s="177">
        <f t="shared" si="12"/>
        <v>0</v>
      </c>
      <c r="V37" s="177">
        <v>0</v>
      </c>
      <c r="W37" s="177">
        <v>0</v>
      </c>
      <c r="X37" s="177">
        <v>0</v>
      </c>
      <c r="Y37" s="177">
        <v>0</v>
      </c>
      <c r="Z37" s="177">
        <v>0</v>
      </c>
      <c r="AA37" s="177">
        <v>0</v>
      </c>
      <c r="AB37" s="177">
        <v>0</v>
      </c>
      <c r="AC37" s="177">
        <v>0</v>
      </c>
      <c r="AD37" s="177">
        <v>0</v>
      </c>
      <c r="AE37" s="177">
        <v>0</v>
      </c>
      <c r="AG37" s="177">
        <v>0</v>
      </c>
      <c r="AH37" s="177">
        <v>0</v>
      </c>
      <c r="AI37" s="177">
        <v>0</v>
      </c>
      <c r="AJ37" s="177">
        <v>0</v>
      </c>
      <c r="AK37" s="177">
        <v>0</v>
      </c>
      <c r="AL37" s="177">
        <v>0</v>
      </c>
      <c r="AM37" s="177">
        <v>0</v>
      </c>
      <c r="AN37" s="177">
        <v>0</v>
      </c>
      <c r="AO37" s="177">
        <v>0</v>
      </c>
      <c r="AP37" s="177">
        <v>0</v>
      </c>
    </row>
    <row r="38" spans="1:42" hidden="1" outlineLevel="1" x14ac:dyDescent="0.15">
      <c r="A38" s="200" t="s">
        <v>232</v>
      </c>
      <c r="B38" s="177">
        <f>Dezember24!AH38</f>
        <v>0</v>
      </c>
      <c r="C38" s="177">
        <f>Januar!AH38</f>
        <v>0</v>
      </c>
      <c r="D38" s="177">
        <f>Februar!AH38</f>
        <v>0</v>
      </c>
      <c r="E38" s="177">
        <f>März!AH38</f>
        <v>0</v>
      </c>
      <c r="F38" s="177">
        <f>April!AH38</f>
        <v>0</v>
      </c>
      <c r="G38" s="177">
        <f>Mai!AH38</f>
        <v>0</v>
      </c>
      <c r="H38" s="177">
        <f>Juni!AH38</f>
        <v>0</v>
      </c>
      <c r="I38" s="177">
        <f>Juli!AH38</f>
        <v>0</v>
      </c>
      <c r="J38" s="177">
        <f>August!AH38</f>
        <v>0</v>
      </c>
      <c r="K38" s="188">
        <f>September!AH38</f>
        <v>0</v>
      </c>
      <c r="M38" s="177">
        <f>B38-'Exec.Summary_Liquiplanung ORG'!B38</f>
        <v>0</v>
      </c>
      <c r="N38" s="177">
        <f>C38-'Exec.Summary_Liquiplanung ORG'!C38</f>
        <v>0</v>
      </c>
      <c r="O38" s="177">
        <f>D38-'Exec.Summary_Liquiplanung ORG'!D38</f>
        <v>0</v>
      </c>
      <c r="P38" s="177">
        <f>E38-'Exec.Summary_Liquiplanung ORG'!E38</f>
        <v>0</v>
      </c>
      <c r="Q38" s="177">
        <f>F38-'Exec.Summary_Liquiplanung ORG'!F38</f>
        <v>0</v>
      </c>
      <c r="R38" s="177">
        <f>G38-'Exec.Summary_Liquiplanung ORG'!G38</f>
        <v>0</v>
      </c>
      <c r="S38" s="177">
        <f>H38-'Exec.Summary_Liquiplanung ORG'!H38</f>
        <v>0</v>
      </c>
      <c r="T38" s="177">
        <f t="shared" si="12"/>
        <v>0</v>
      </c>
      <c r="V38" s="177">
        <v>0</v>
      </c>
      <c r="W38" s="177">
        <v>0</v>
      </c>
      <c r="X38" s="177">
        <v>0</v>
      </c>
      <c r="Y38" s="177">
        <v>0</v>
      </c>
      <c r="Z38" s="177">
        <v>0</v>
      </c>
      <c r="AA38" s="177">
        <v>0</v>
      </c>
      <c r="AB38" s="177">
        <v>0</v>
      </c>
      <c r="AC38" s="177">
        <v>0</v>
      </c>
      <c r="AD38" s="177">
        <v>0</v>
      </c>
      <c r="AE38" s="177">
        <v>0</v>
      </c>
      <c r="AG38" s="177">
        <v>0</v>
      </c>
      <c r="AH38" s="177">
        <v>0</v>
      </c>
      <c r="AI38" s="177">
        <v>0</v>
      </c>
      <c r="AJ38" s="177">
        <v>0</v>
      </c>
      <c r="AK38" s="177">
        <v>0</v>
      </c>
      <c r="AL38" s="177">
        <v>0</v>
      </c>
      <c r="AM38" s="177">
        <v>0</v>
      </c>
      <c r="AN38" s="177">
        <v>0</v>
      </c>
      <c r="AO38" s="177">
        <v>0</v>
      </c>
      <c r="AP38" s="177">
        <v>0</v>
      </c>
    </row>
    <row r="39" spans="1:42" collapsed="1" x14ac:dyDescent="0.15">
      <c r="A39" s="204" t="s">
        <v>231</v>
      </c>
      <c r="B39" s="177">
        <f>Dezember24!AH39</f>
        <v>0</v>
      </c>
      <c r="C39" s="177">
        <f>Januar!AH39</f>
        <v>0</v>
      </c>
      <c r="D39" s="177">
        <f>Februar!AH39</f>
        <v>20889.36</v>
      </c>
      <c r="E39" s="177">
        <f>März!AH39</f>
        <v>2229727.34</v>
      </c>
      <c r="F39" s="177">
        <f>April!AH39</f>
        <v>0</v>
      </c>
      <c r="G39" s="177">
        <f>Mai!AH39</f>
        <v>0</v>
      </c>
      <c r="H39" s="177">
        <f>Juni!AH39</f>
        <v>0</v>
      </c>
      <c r="I39" s="177">
        <f>Juli!AH39</f>
        <v>0</v>
      </c>
      <c r="J39" s="177">
        <f>August!AH39</f>
        <v>0</v>
      </c>
      <c r="K39" s="188">
        <f>September!AH39</f>
        <v>0</v>
      </c>
      <c r="M39" s="177">
        <f>B39-'Exec.Summary_Liquiplanung ORG'!B39</f>
        <v>0</v>
      </c>
      <c r="N39" s="177">
        <f>C39-'Exec.Summary_Liquiplanung ORG'!C39</f>
        <v>0</v>
      </c>
      <c r="O39" s="177">
        <f>D39-'Exec.Summary_Liquiplanung ORG'!D39</f>
        <v>20889.36</v>
      </c>
      <c r="P39" s="177">
        <f>E39-'Exec.Summary_Liquiplanung ORG'!E39</f>
        <v>2229727.34</v>
      </c>
      <c r="Q39" s="177">
        <f>F39-'Exec.Summary_Liquiplanung ORG'!F39</f>
        <v>0</v>
      </c>
      <c r="R39" s="177">
        <f>G39-'Exec.Summary_Liquiplanung ORG'!G39</f>
        <v>0</v>
      </c>
      <c r="S39" s="177">
        <f>H39-'Exec.Summary_Liquiplanung ORG'!H39</f>
        <v>0</v>
      </c>
      <c r="T39" s="177">
        <f t="shared" si="12"/>
        <v>2250616.6999999997</v>
      </c>
      <c r="V39" s="177">
        <v>0</v>
      </c>
      <c r="W39" s="177">
        <v>0</v>
      </c>
      <c r="X39" s="177">
        <v>0</v>
      </c>
      <c r="Y39" s="177">
        <v>0</v>
      </c>
      <c r="Z39" s="177">
        <v>0</v>
      </c>
      <c r="AA39" s="177">
        <v>0</v>
      </c>
      <c r="AB39" s="177">
        <v>0</v>
      </c>
      <c r="AC39" s="177">
        <v>0</v>
      </c>
      <c r="AD39" s="177">
        <v>0</v>
      </c>
      <c r="AE39" s="177">
        <v>0</v>
      </c>
      <c r="AG39" s="177">
        <v>0</v>
      </c>
      <c r="AH39" s="177">
        <v>0</v>
      </c>
      <c r="AI39" s="177">
        <v>20889.36</v>
      </c>
      <c r="AJ39" s="177">
        <v>2229727.34</v>
      </c>
      <c r="AK39" s="177">
        <v>0</v>
      </c>
      <c r="AL39" s="177">
        <v>0</v>
      </c>
      <c r="AM39" s="177">
        <v>0</v>
      </c>
      <c r="AN39" s="177">
        <v>0</v>
      </c>
      <c r="AO39" s="177">
        <v>0</v>
      </c>
      <c r="AP39" s="177">
        <v>0</v>
      </c>
    </row>
    <row r="40" spans="1:42" x14ac:dyDescent="0.15">
      <c r="A40" s="204" t="s">
        <v>230</v>
      </c>
      <c r="B40" s="177">
        <f>Dezember24!AH40</f>
        <v>475599.89</v>
      </c>
      <c r="C40" s="177">
        <f>Januar!AH40</f>
        <v>3810010.5900000003</v>
      </c>
      <c r="D40" s="177">
        <f>Februar!AH40</f>
        <v>4298434.4028699994</v>
      </c>
      <c r="E40" s="177">
        <f>März!AH40</f>
        <v>4815059.794674837</v>
      </c>
      <c r="F40" s="177">
        <f>April!AH40</f>
        <v>6380242.6540693343</v>
      </c>
      <c r="G40" s="177">
        <f>Mai!AH40</f>
        <v>4908414.5320567749</v>
      </c>
      <c r="H40" s="177">
        <f>Juni!AH40</f>
        <v>5222355.1802243255</v>
      </c>
      <c r="I40" s="177">
        <f>Juli!AH40</f>
        <v>4421086.2184447031</v>
      </c>
      <c r="J40" s="177">
        <f>August!AH40</f>
        <v>4580229.6699193595</v>
      </c>
      <c r="K40" s="188">
        <f>September!AH40</f>
        <v>6659730.2246443918</v>
      </c>
      <c r="M40" s="177">
        <f>B40-'Exec.Summary_Liquiplanung ORG'!B40</f>
        <v>-492150.11</v>
      </c>
      <c r="N40" s="177">
        <f>C40-'Exec.Summary_Liquiplanung ORG'!C40</f>
        <v>-560942.47168780072</v>
      </c>
      <c r="O40" s="177">
        <f>D40-'Exec.Summary_Liquiplanung ORG'!D40</f>
        <v>390040.88568852609</v>
      </c>
      <c r="P40" s="177">
        <f>E40-'Exec.Summary_Liquiplanung ORG'!E40</f>
        <v>-411219.60101863649</v>
      </c>
      <c r="Q40" s="177">
        <f>F40-'Exec.Summary_Liquiplanung ORG'!F40</f>
        <v>2223863.1046313075</v>
      </c>
      <c r="R40" s="177">
        <f>G40-'Exec.Summary_Liquiplanung ORG'!G40</f>
        <v>-298647.62076162454</v>
      </c>
      <c r="S40" s="177">
        <f>H40-'Exec.Summary_Liquiplanung ORG'!H40</f>
        <v>94992.42622748483</v>
      </c>
      <c r="T40" s="177">
        <f t="shared" si="12"/>
        <v>945936.61307925684</v>
      </c>
      <c r="V40" s="177">
        <f t="shared" ref="V40:AD41" si="15">B40-AG40</f>
        <v>0</v>
      </c>
      <c r="W40" s="177">
        <f t="shared" si="15"/>
        <v>0</v>
      </c>
      <c r="X40" s="177">
        <f t="shared" si="15"/>
        <v>-19642.755130000412</v>
      </c>
      <c r="Y40" s="177">
        <f t="shared" si="15"/>
        <v>154508.37767354771</v>
      </c>
      <c r="Z40" s="177">
        <f t="shared" si="15"/>
        <v>305211.42261333298</v>
      </c>
      <c r="AA40" s="177">
        <f t="shared" si="15"/>
        <v>-1127310.6946300892</v>
      </c>
      <c r="AB40" s="177">
        <f t="shared" si="15"/>
        <v>-131101.21311118361</v>
      </c>
      <c r="AC40" s="177">
        <f t="shared" si="15"/>
        <v>-297951.81712705735</v>
      </c>
      <c r="AD40" s="177">
        <f t="shared" si="15"/>
        <v>-183826.53456810955</v>
      </c>
      <c r="AE40" s="177">
        <f>SUM(V40:AD40)</f>
        <v>-1300113.2142795594</v>
      </c>
      <c r="AG40" s="177">
        <v>475599.89</v>
      </c>
      <c r="AH40" s="177">
        <v>3810010.5900000003</v>
      </c>
      <c r="AI40" s="177">
        <v>4318077.1579999998</v>
      </c>
      <c r="AJ40" s="177">
        <v>4660551.4170012893</v>
      </c>
      <c r="AK40" s="177">
        <v>6075031.2314560013</v>
      </c>
      <c r="AL40" s="177">
        <v>6035725.2266868642</v>
      </c>
      <c r="AM40" s="177">
        <v>5353456.3933355091</v>
      </c>
      <c r="AN40" s="177">
        <v>4719038.0355717605</v>
      </c>
      <c r="AO40" s="177">
        <v>4764056.204487469</v>
      </c>
      <c r="AP40" s="177">
        <f>SUM(AG40:AO40)</f>
        <v>40211546.146538898</v>
      </c>
    </row>
    <row r="41" spans="1:42" ht="15" thickBot="1" x14ac:dyDescent="0.2">
      <c r="A41" s="205" t="s">
        <v>229</v>
      </c>
      <c r="B41" s="178">
        <f>Dezember24!AH41</f>
        <v>32289.84</v>
      </c>
      <c r="C41" s="178">
        <f>Januar!AH41</f>
        <v>1555527.69</v>
      </c>
      <c r="D41" s="178">
        <f>Februar!AH41</f>
        <v>2856728.1467900006</v>
      </c>
      <c r="E41" s="178">
        <f>März!AH41</f>
        <v>4138219.5242539509</v>
      </c>
      <c r="F41" s="178">
        <f>April!AH41</f>
        <v>4392927.4987149974</v>
      </c>
      <c r="G41" s="178">
        <f>Mai!AH41</f>
        <v>5117116.4412350012</v>
      </c>
      <c r="H41" s="178">
        <f>Juni!AH41</f>
        <v>4920793.1105034798</v>
      </c>
      <c r="I41" s="178">
        <f>Juli!AH41</f>
        <v>4945724.7624503095</v>
      </c>
      <c r="J41" s="178">
        <f>August!AH41</f>
        <v>4539038.7316219592</v>
      </c>
      <c r="K41" s="190">
        <f>September!AH41</f>
        <v>5557050.0049678246</v>
      </c>
      <c r="M41" s="177">
        <f>B41-'Exec.Summary_Liquiplanung ORG'!B41</f>
        <v>-2181428.91</v>
      </c>
      <c r="N41" s="177">
        <f>C41-'Exec.Summary_Liquiplanung ORG'!C41</f>
        <v>-1621886.3408438982</v>
      </c>
      <c r="O41" s="177">
        <f>D41-'Exec.Summary_Liquiplanung ORG'!D41</f>
        <v>-674081.87722268654</v>
      </c>
      <c r="P41" s="177">
        <f>E41-'Exec.Summary_Liquiplanung ORG'!E41</f>
        <v>-302819.31831010571</v>
      </c>
      <c r="Q41" s="177">
        <f>F41-'Exec.Summary_Liquiplanung ORG'!F41</f>
        <v>31054.995777248405</v>
      </c>
      <c r="R41" s="177">
        <f>G41-'Exec.Summary_Liquiplanung ORG'!G41</f>
        <v>167905.62854292616</v>
      </c>
      <c r="S41" s="177">
        <f>H41-'Exec.Summary_Liquiplanung ORG'!H41</f>
        <v>16251.307940953411</v>
      </c>
      <c r="T41" s="177">
        <f t="shared" si="12"/>
        <v>-4565004.5141155627</v>
      </c>
      <c r="V41" s="177">
        <f t="shared" si="15"/>
        <v>0</v>
      </c>
      <c r="W41" s="177">
        <f t="shared" si="15"/>
        <v>0</v>
      </c>
      <c r="X41" s="177">
        <f t="shared" si="15"/>
        <v>-9794.3966949991882</v>
      </c>
      <c r="Y41" s="177">
        <f t="shared" si="15"/>
        <v>48032.857130887918</v>
      </c>
      <c r="Z41" s="177">
        <f t="shared" si="15"/>
        <v>-12733.599200000055</v>
      </c>
      <c r="AA41" s="177">
        <f t="shared" si="15"/>
        <v>56832.146141052246</v>
      </c>
      <c r="AB41" s="177">
        <f t="shared" si="15"/>
        <v>0</v>
      </c>
      <c r="AC41" s="177">
        <f t="shared" si="15"/>
        <v>-67542.682007670403</v>
      </c>
      <c r="AD41" s="177">
        <f t="shared" si="15"/>
        <v>-129265.74512428138</v>
      </c>
      <c r="AE41" s="177">
        <f>SUM(V41:AD41)</f>
        <v>-114471.41975501087</v>
      </c>
      <c r="AG41" s="177">
        <v>32289.84</v>
      </c>
      <c r="AH41" s="177">
        <v>1555527.69</v>
      </c>
      <c r="AI41" s="177">
        <v>2866522.5434849998</v>
      </c>
      <c r="AJ41" s="177">
        <v>4090186.667123063</v>
      </c>
      <c r="AK41" s="177">
        <v>4405661.0979149975</v>
      </c>
      <c r="AL41" s="177">
        <v>5060284.295093949</v>
      </c>
      <c r="AM41" s="177">
        <v>4920793.1105034798</v>
      </c>
      <c r="AN41" s="178">
        <v>5013267.4444579799</v>
      </c>
      <c r="AO41" s="178">
        <v>4668304.4767462406</v>
      </c>
      <c r="AP41" s="177">
        <f>SUM(AG41:AO41)</f>
        <v>32612837.16532471</v>
      </c>
    </row>
    <row r="42" spans="1:42" x14ac:dyDescent="0.15">
      <c r="A42" s="201" t="s">
        <v>227</v>
      </c>
      <c r="B42" s="202">
        <f>Dezember24!AH42</f>
        <v>507889.73000000004</v>
      </c>
      <c r="C42" s="202">
        <f>Januar!AH42</f>
        <v>5365538.2799999993</v>
      </c>
      <c r="D42" s="202">
        <f>Februar!AH42</f>
        <v>7176051.9096600013</v>
      </c>
      <c r="E42" s="202">
        <f>März!AH42</f>
        <v>11183006.658928789</v>
      </c>
      <c r="F42" s="202">
        <f>April!AH42</f>
        <v>10773170.152784331</v>
      </c>
      <c r="G42" s="202">
        <f>Mai!AH42</f>
        <v>10025530.973291773</v>
      </c>
      <c r="H42" s="202">
        <f>Juni!AH42</f>
        <v>10143148.290727803</v>
      </c>
      <c r="I42" s="202">
        <f>Juli!AH42</f>
        <v>9366810.9808950126</v>
      </c>
      <c r="J42" s="202">
        <f>August!AH42</f>
        <v>9119268.4015413187</v>
      </c>
      <c r="K42" s="203">
        <f>September!AH42</f>
        <v>12216780.229612216</v>
      </c>
      <c r="M42" s="202">
        <f>B42-'Exec.Summary_Liquiplanung ORG'!B42</f>
        <v>-2673579.02</v>
      </c>
      <c r="N42" s="202">
        <f>C42-'Exec.Summary_Liquiplanung ORG'!C42</f>
        <v>-2182828.8125317004</v>
      </c>
      <c r="O42" s="202">
        <f>D42-'Exec.Summary_Liquiplanung ORG'!D42</f>
        <v>-263151.63153415918</v>
      </c>
      <c r="P42" s="202">
        <f>E42-'Exec.Summary_Liquiplanung ORG'!E42</f>
        <v>1515688.42067126</v>
      </c>
      <c r="Q42" s="202">
        <f>F42-'Exec.Summary_Liquiplanung ORG'!F42</f>
        <v>2254918.1004085559</v>
      </c>
      <c r="R42" s="202">
        <f>G42-'Exec.Summary_Liquiplanung ORG'!G42</f>
        <v>-130741.99221870489</v>
      </c>
      <c r="S42" s="202">
        <f>H42-'Exec.Summary_Liquiplanung ORG'!H42</f>
        <v>111243.73416843824</v>
      </c>
      <c r="T42" s="202">
        <f t="shared" si="12"/>
        <v>-1368451.2010363098</v>
      </c>
      <c r="V42" s="202">
        <f t="shared" ref="V42:AE42" si="16">SUM(V40:V41)</f>
        <v>0</v>
      </c>
      <c r="W42" s="202">
        <f t="shared" si="16"/>
        <v>0</v>
      </c>
      <c r="X42" s="202">
        <f t="shared" si="16"/>
        <v>-29437.151824999601</v>
      </c>
      <c r="Y42" s="202">
        <f t="shared" si="16"/>
        <v>202541.23480443563</v>
      </c>
      <c r="Z42" s="202">
        <f t="shared" si="16"/>
        <v>292477.82341333292</v>
      </c>
      <c r="AA42" s="202">
        <f t="shared" si="16"/>
        <v>-1070478.548489037</v>
      </c>
      <c r="AB42" s="202">
        <f t="shared" si="16"/>
        <v>-131101.21311118361</v>
      </c>
      <c r="AC42" s="202">
        <f t="shared" ref="AC42:AD42" si="17">SUM(AC40:AC41)</f>
        <v>-365494.49913472775</v>
      </c>
      <c r="AD42" s="202">
        <f t="shared" si="17"/>
        <v>-313092.27969239093</v>
      </c>
      <c r="AE42" s="202">
        <f t="shared" si="16"/>
        <v>-1414584.6340345703</v>
      </c>
      <c r="AG42" s="202">
        <v>507889.73000000004</v>
      </c>
      <c r="AH42" s="202">
        <v>5365538.2799999993</v>
      </c>
      <c r="AI42" s="202">
        <v>7205489.0614850009</v>
      </c>
      <c r="AJ42" s="202">
        <v>10980465.424124356</v>
      </c>
      <c r="AK42" s="202">
        <v>10480692.329371</v>
      </c>
      <c r="AL42" s="202">
        <v>11096009.521780813</v>
      </c>
      <c r="AM42" s="202">
        <v>10274249.503838986</v>
      </c>
      <c r="AN42" s="202">
        <v>9732305.4800297394</v>
      </c>
      <c r="AO42" s="202">
        <v>9432360.681233706</v>
      </c>
      <c r="AP42" s="202">
        <f t="shared" ref="AP42" si="18">SUM(AP40:AP41)</f>
        <v>72824383.311863601</v>
      </c>
    </row>
    <row r="43" spans="1:42" ht="6" customHeight="1" x14ac:dyDescent="0.15">
      <c r="A43" s="200" t="s">
        <v>219</v>
      </c>
      <c r="B43" s="177"/>
      <c r="C43" s="177" t="str">
        <f>Januar!AH43</f>
        <v xml:space="preserve"> </v>
      </c>
      <c r="D43" s="177" t="str">
        <f>Februar!AH43</f>
        <v xml:space="preserve"> </v>
      </c>
      <c r="E43" s="177"/>
      <c r="F43" s="177" t="str">
        <f>April!AH43</f>
        <v xml:space="preserve"> </v>
      </c>
      <c r="G43" s="177" t="str">
        <f>Mai!AH43</f>
        <v xml:space="preserve"> </v>
      </c>
      <c r="H43" s="177" t="str">
        <f>Juni!AH43</f>
        <v xml:space="preserve"> </v>
      </c>
      <c r="I43" s="177" t="str">
        <f>Juli!AH43</f>
        <v xml:space="preserve"> </v>
      </c>
      <c r="J43" s="177" t="str">
        <f>August!AH43</f>
        <v xml:space="preserve"> </v>
      </c>
      <c r="K43" s="188" t="str">
        <f>September!AH43</f>
        <v xml:space="preserve"> </v>
      </c>
      <c r="M43" s="177"/>
      <c r="N43" s="177"/>
      <c r="O43" s="177"/>
      <c r="P43" s="177"/>
      <c r="Q43" s="177"/>
      <c r="R43" s="177"/>
      <c r="S43" s="177"/>
      <c r="T43" s="177">
        <f t="shared" si="12"/>
        <v>0</v>
      </c>
      <c r="V43" s="177"/>
      <c r="W43" s="177"/>
      <c r="X43" s="177"/>
      <c r="Y43" s="177"/>
      <c r="Z43" s="177"/>
      <c r="AA43" s="177"/>
      <c r="AB43" s="177"/>
      <c r="AC43" s="177"/>
      <c r="AD43" s="177"/>
      <c r="AE43" s="177">
        <v>0</v>
      </c>
      <c r="AG43" s="177"/>
      <c r="AH43" s="177" t="s">
        <v>219</v>
      </c>
      <c r="AI43" s="177" t="s">
        <v>219</v>
      </c>
      <c r="AJ43" s="177"/>
      <c r="AK43" s="177" t="s">
        <v>219</v>
      </c>
      <c r="AL43" s="177" t="s">
        <v>219</v>
      </c>
      <c r="AM43" s="177" t="s">
        <v>219</v>
      </c>
      <c r="AN43" s="177" t="s">
        <v>219</v>
      </c>
      <c r="AO43" s="177" t="s">
        <v>219</v>
      </c>
      <c r="AP43" s="177">
        <v>0</v>
      </c>
    </row>
    <row r="44" spans="1:42" x14ac:dyDescent="0.15">
      <c r="A44" s="200" t="s">
        <v>224</v>
      </c>
      <c r="B44" s="177">
        <f>Dezember24!AH44</f>
        <v>442499.73000000004</v>
      </c>
      <c r="C44" s="177">
        <f>Januar!AH44</f>
        <v>652888.0999999987</v>
      </c>
      <c r="D44" s="177">
        <f>Februar!AH44</f>
        <v>615050.37966000102</v>
      </c>
      <c r="E44" s="177">
        <f>März!AH44</f>
        <v>3371018.0964127886</v>
      </c>
      <c r="F44" s="177">
        <f>April!AH44</f>
        <v>2913712.9277303303</v>
      </c>
      <c r="G44" s="177">
        <f>Mai!AH44</f>
        <v>-1890290.9833709784</v>
      </c>
      <c r="H44" s="177">
        <f>Juni!AH44</f>
        <v>2120610.0897501372</v>
      </c>
      <c r="I44" s="177">
        <f>Juli!AH44</f>
        <v>-2732964.0384757388</v>
      </c>
      <c r="J44" s="177">
        <f>August!AH44</f>
        <v>-2552501.1948343478</v>
      </c>
      <c r="K44" s="188">
        <f>September!AH44</f>
        <v>-1471128.0088557228</v>
      </c>
      <c r="M44" s="177">
        <f>B44-'Exec.Summary_Liquiplanung ORG'!B44</f>
        <v>-1318969.02</v>
      </c>
      <c r="N44" s="177">
        <f>C44-'Exec.Summary_Liquiplanung ORG'!C44</f>
        <v>-700168.37034632638</v>
      </c>
      <c r="O44" s="177">
        <f>D44-'Exec.Summary_Liquiplanung ORG'!D44</f>
        <v>25186.70152353961</v>
      </c>
      <c r="P44" s="177">
        <f>E44-'Exec.Summary_Liquiplanung ORG'!E44</f>
        <v>4549594.2184539624</v>
      </c>
      <c r="Q44" s="177">
        <f>F44-'Exec.Summary_Liquiplanung ORG'!F44</f>
        <v>3913389.5372981085</v>
      </c>
      <c r="R44" s="177">
        <f>G44-'Exec.Summary_Liquiplanung ORG'!G44</f>
        <v>-1622441.6915654019</v>
      </c>
      <c r="S44" s="177">
        <f>H44-'Exec.Summary_Liquiplanung ORG'!H44</f>
        <v>5052502.1687394548</v>
      </c>
      <c r="T44" s="177">
        <f t="shared" si="12"/>
        <v>9899093.5441033375</v>
      </c>
      <c r="V44" s="177">
        <f t="shared" ref="V44:AD44" si="19">B44-AG44</f>
        <v>0</v>
      </c>
      <c r="W44" s="177">
        <f t="shared" si="19"/>
        <v>0</v>
      </c>
      <c r="X44" s="177">
        <f t="shared" si="19"/>
        <v>-29437.151824999601</v>
      </c>
      <c r="Y44" s="177">
        <f t="shared" si="19"/>
        <v>202541.23480443424</v>
      </c>
      <c r="Z44" s="177">
        <f t="shared" si="19"/>
        <v>292477.82341333106</v>
      </c>
      <c r="AA44" s="177">
        <f t="shared" si="19"/>
        <v>-1557150.6362195425</v>
      </c>
      <c r="AB44" s="177">
        <f t="shared" si="19"/>
        <v>1091569.1638734229</v>
      </c>
      <c r="AC44" s="177">
        <f t="shared" si="19"/>
        <v>495886.76954027079</v>
      </c>
      <c r="AD44" s="177">
        <f t="shared" si="19"/>
        <v>2242544.8824183587</v>
      </c>
      <c r="AE44" s="177">
        <f>SUM(V44:AD44)</f>
        <v>2738432.0860052756</v>
      </c>
      <c r="AG44" s="177">
        <v>442499.73000000004</v>
      </c>
      <c r="AH44" s="177">
        <v>652888.0999999987</v>
      </c>
      <c r="AI44" s="177">
        <v>644487.53148500063</v>
      </c>
      <c r="AJ44" s="177">
        <v>3168476.8616083544</v>
      </c>
      <c r="AK44" s="177">
        <v>2621235.1043169992</v>
      </c>
      <c r="AL44" s="177">
        <v>-333140.34715143591</v>
      </c>
      <c r="AM44" s="177">
        <v>1029040.9258767143</v>
      </c>
      <c r="AN44" s="177">
        <v>-3228850.8080160096</v>
      </c>
      <c r="AO44" s="177">
        <v>-4795046.0772527065</v>
      </c>
      <c r="AP44" s="177">
        <f>SUM(AG44:AO44)</f>
        <v>201591.02086691465</v>
      </c>
    </row>
    <row r="45" spans="1:42" hidden="1" outlineLevel="1" x14ac:dyDescent="0.15">
      <c r="A45" s="200"/>
      <c r="B45" s="177"/>
      <c r="C45" s="177"/>
      <c r="D45" s="177"/>
      <c r="E45" s="177"/>
      <c r="F45" s="177"/>
      <c r="G45" s="177"/>
      <c r="H45" s="177"/>
      <c r="I45" s="177"/>
      <c r="J45" s="177"/>
      <c r="K45" s="188"/>
      <c r="M45" s="177">
        <f>B45-'Exec.Summary_Liquiplanung ORG'!B45</f>
        <v>0</v>
      </c>
      <c r="N45" s="177">
        <f>C45-'Exec.Summary_Liquiplanung ORG'!C45</f>
        <v>0</v>
      </c>
      <c r="O45" s="177">
        <f>D45-'Exec.Summary_Liquiplanung ORG'!D45</f>
        <v>0</v>
      </c>
      <c r="P45" s="177">
        <f>E45-'Exec.Summary_Liquiplanung ORG'!E45</f>
        <v>0</v>
      </c>
      <c r="Q45" s="177">
        <f>F45-'Exec.Summary_Liquiplanung ORG'!F45</f>
        <v>0</v>
      </c>
      <c r="R45" s="177">
        <f>G45-'Exec.Summary_Liquiplanung ORG'!G45</f>
        <v>0</v>
      </c>
      <c r="S45" s="177">
        <f>H45-'Exec.Summary_Liquiplanung ORG'!H45</f>
        <v>0</v>
      </c>
      <c r="T45" s="177">
        <f t="shared" si="12"/>
        <v>0</v>
      </c>
      <c r="V45" s="177">
        <v>0</v>
      </c>
      <c r="W45" s="177">
        <v>0</v>
      </c>
      <c r="X45" s="177">
        <v>0</v>
      </c>
      <c r="Y45" s="177">
        <v>0</v>
      </c>
      <c r="Z45" s="177">
        <v>0</v>
      </c>
      <c r="AA45" s="177">
        <v>0</v>
      </c>
      <c r="AB45" s="177">
        <v>0</v>
      </c>
      <c r="AC45" s="177">
        <v>0</v>
      </c>
      <c r="AD45" s="177">
        <v>0</v>
      </c>
      <c r="AE45" s="177">
        <v>0</v>
      </c>
      <c r="AG45" s="177"/>
      <c r="AH45" s="177"/>
      <c r="AI45" s="177"/>
      <c r="AJ45" s="177"/>
      <c r="AK45" s="177"/>
      <c r="AL45" s="177"/>
      <c r="AM45" s="177"/>
      <c r="AN45" s="177"/>
      <c r="AO45" s="177"/>
      <c r="AP45" s="177">
        <v>0</v>
      </c>
    </row>
    <row r="46" spans="1:42" hidden="1" outlineLevel="1" x14ac:dyDescent="0.15">
      <c r="A46" s="200" t="s">
        <v>223</v>
      </c>
      <c r="B46" s="177"/>
      <c r="C46" s="177"/>
      <c r="D46" s="177"/>
      <c r="E46" s="177"/>
      <c r="F46" s="177"/>
      <c r="G46" s="177"/>
      <c r="H46" s="177"/>
      <c r="I46" s="177"/>
      <c r="J46" s="177"/>
      <c r="K46" s="188"/>
      <c r="M46" s="177">
        <f>B46-'Exec.Summary_Liquiplanung ORG'!B46</f>
        <v>0</v>
      </c>
      <c r="N46" s="177">
        <f>C46-'Exec.Summary_Liquiplanung ORG'!C46</f>
        <v>0</v>
      </c>
      <c r="O46" s="177">
        <f>D46-'Exec.Summary_Liquiplanung ORG'!D46</f>
        <v>0</v>
      </c>
      <c r="P46" s="177">
        <f>E46-'Exec.Summary_Liquiplanung ORG'!E46</f>
        <v>0</v>
      </c>
      <c r="Q46" s="177">
        <f>F46-'Exec.Summary_Liquiplanung ORG'!F46</f>
        <v>0</v>
      </c>
      <c r="R46" s="177">
        <f>G46-'Exec.Summary_Liquiplanung ORG'!G46</f>
        <v>0</v>
      </c>
      <c r="S46" s="177">
        <f>H46-'Exec.Summary_Liquiplanung ORG'!H46</f>
        <v>0</v>
      </c>
      <c r="T46" s="177">
        <f t="shared" si="12"/>
        <v>0</v>
      </c>
      <c r="V46" s="177">
        <v>0</v>
      </c>
      <c r="W46" s="177">
        <v>0</v>
      </c>
      <c r="X46" s="177">
        <v>0</v>
      </c>
      <c r="Y46" s="177">
        <v>0</v>
      </c>
      <c r="Z46" s="177">
        <v>0</v>
      </c>
      <c r="AA46" s="177">
        <v>0</v>
      </c>
      <c r="AB46" s="177">
        <v>0</v>
      </c>
      <c r="AC46" s="177">
        <v>0</v>
      </c>
      <c r="AD46" s="177">
        <v>0</v>
      </c>
      <c r="AE46" s="177">
        <v>0</v>
      </c>
      <c r="AG46" s="177"/>
      <c r="AH46" s="177"/>
      <c r="AI46" s="177"/>
      <c r="AJ46" s="177"/>
      <c r="AK46" s="177"/>
      <c r="AL46" s="177"/>
      <c r="AM46" s="177"/>
      <c r="AN46" s="177"/>
      <c r="AO46" s="177"/>
      <c r="AP46" s="177">
        <v>0</v>
      </c>
    </row>
    <row r="47" spans="1:42" hidden="1" outlineLevel="1" x14ac:dyDescent="0.15">
      <c r="A47" s="200" t="s">
        <v>219</v>
      </c>
      <c r="B47" s="177"/>
      <c r="C47" s="177"/>
      <c r="D47" s="177"/>
      <c r="E47" s="177"/>
      <c r="F47" s="177"/>
      <c r="G47" s="177"/>
      <c r="H47" s="177"/>
      <c r="I47" s="177"/>
      <c r="J47" s="177"/>
      <c r="K47" s="188"/>
      <c r="M47" s="177">
        <f>B47-'Exec.Summary_Liquiplanung ORG'!B47</f>
        <v>0</v>
      </c>
      <c r="N47" s="177">
        <f>C47-'Exec.Summary_Liquiplanung ORG'!C47</f>
        <v>0</v>
      </c>
      <c r="O47" s="177">
        <f>D47-'Exec.Summary_Liquiplanung ORG'!D47</f>
        <v>0</v>
      </c>
      <c r="P47" s="177">
        <f>E47-'Exec.Summary_Liquiplanung ORG'!E47</f>
        <v>0</v>
      </c>
      <c r="Q47" s="177">
        <f>F47-'Exec.Summary_Liquiplanung ORG'!F47</f>
        <v>0</v>
      </c>
      <c r="R47" s="177">
        <f>G47-'Exec.Summary_Liquiplanung ORG'!G47</f>
        <v>0</v>
      </c>
      <c r="S47" s="177">
        <f>H47-'Exec.Summary_Liquiplanung ORG'!H47</f>
        <v>0</v>
      </c>
      <c r="T47" s="177">
        <f t="shared" si="12"/>
        <v>0</v>
      </c>
      <c r="V47" s="177">
        <v>0</v>
      </c>
      <c r="W47" s="177">
        <v>0</v>
      </c>
      <c r="X47" s="177">
        <v>0</v>
      </c>
      <c r="Y47" s="177">
        <v>0</v>
      </c>
      <c r="Z47" s="177">
        <v>0</v>
      </c>
      <c r="AA47" s="177">
        <v>0</v>
      </c>
      <c r="AB47" s="177">
        <v>0</v>
      </c>
      <c r="AC47" s="177">
        <v>0</v>
      </c>
      <c r="AD47" s="177">
        <v>0</v>
      </c>
      <c r="AE47" s="177">
        <v>0</v>
      </c>
      <c r="AG47" s="177"/>
      <c r="AH47" s="177"/>
      <c r="AI47" s="177"/>
      <c r="AJ47" s="177"/>
      <c r="AK47" s="177"/>
      <c r="AL47" s="177"/>
      <c r="AM47" s="177"/>
      <c r="AN47" s="177"/>
      <c r="AO47" s="177"/>
      <c r="AP47" s="177">
        <v>0</v>
      </c>
    </row>
    <row r="48" spans="1:42" hidden="1" outlineLevel="1" x14ac:dyDescent="0.15">
      <c r="A48" s="200" t="s">
        <v>219</v>
      </c>
      <c r="B48" s="177"/>
      <c r="C48" s="177"/>
      <c r="D48" s="177"/>
      <c r="E48" s="177"/>
      <c r="F48" s="177"/>
      <c r="G48" s="177"/>
      <c r="H48" s="177"/>
      <c r="I48" s="177"/>
      <c r="J48" s="177"/>
      <c r="K48" s="188"/>
      <c r="M48" s="177">
        <f>B48-'Exec.Summary_Liquiplanung ORG'!B48</f>
        <v>0</v>
      </c>
      <c r="N48" s="177">
        <f>C48-'Exec.Summary_Liquiplanung ORG'!C48</f>
        <v>0</v>
      </c>
      <c r="O48" s="177">
        <f>D48-'Exec.Summary_Liquiplanung ORG'!D48</f>
        <v>0</v>
      </c>
      <c r="P48" s="177">
        <f>E48-'Exec.Summary_Liquiplanung ORG'!E48</f>
        <v>0</v>
      </c>
      <c r="Q48" s="177">
        <f>F48-'Exec.Summary_Liquiplanung ORG'!F48</f>
        <v>0</v>
      </c>
      <c r="R48" s="177">
        <f>G48-'Exec.Summary_Liquiplanung ORG'!G48</f>
        <v>0</v>
      </c>
      <c r="S48" s="177">
        <f>H48-'Exec.Summary_Liquiplanung ORG'!H48</f>
        <v>0</v>
      </c>
      <c r="T48" s="177">
        <f t="shared" si="12"/>
        <v>0</v>
      </c>
      <c r="V48" s="177">
        <v>0</v>
      </c>
      <c r="W48" s="177">
        <v>0</v>
      </c>
      <c r="X48" s="177">
        <v>0</v>
      </c>
      <c r="Y48" s="177">
        <v>0</v>
      </c>
      <c r="Z48" s="177">
        <v>0</v>
      </c>
      <c r="AA48" s="177">
        <v>0</v>
      </c>
      <c r="AB48" s="177">
        <v>0</v>
      </c>
      <c r="AC48" s="177">
        <v>0</v>
      </c>
      <c r="AD48" s="177">
        <v>0</v>
      </c>
      <c r="AE48" s="177">
        <v>0</v>
      </c>
      <c r="AG48" s="177"/>
      <c r="AH48" s="177"/>
      <c r="AI48" s="177"/>
      <c r="AJ48" s="177"/>
      <c r="AK48" s="177"/>
      <c r="AL48" s="177"/>
      <c r="AM48" s="177"/>
      <c r="AN48" s="177"/>
      <c r="AO48" s="177"/>
      <c r="AP48" s="177">
        <v>0</v>
      </c>
    </row>
    <row r="49" spans="1:42" ht="2.5" customHeight="1" collapsed="1" x14ac:dyDescent="0.15">
      <c r="A49" s="206"/>
      <c r="B49" s="177"/>
      <c r="C49" s="177"/>
      <c r="D49" s="177"/>
      <c r="E49" s="177"/>
      <c r="F49" s="177"/>
      <c r="G49" s="177"/>
      <c r="H49" s="177"/>
      <c r="I49" s="177"/>
      <c r="J49" s="177"/>
      <c r="K49" s="188"/>
      <c r="M49" s="177">
        <f>B49-'Exec.Summary_Liquiplanung ORG'!B49</f>
        <v>0</v>
      </c>
      <c r="N49" s="177">
        <f>C49-'Exec.Summary_Liquiplanung ORG'!C49</f>
        <v>0</v>
      </c>
      <c r="O49" s="177">
        <f>D49-'Exec.Summary_Liquiplanung ORG'!D49</f>
        <v>0</v>
      </c>
      <c r="P49" s="177">
        <f>E49-'Exec.Summary_Liquiplanung ORG'!E49</f>
        <v>0</v>
      </c>
      <c r="Q49" s="177">
        <f>F49-'Exec.Summary_Liquiplanung ORG'!F49</f>
        <v>0</v>
      </c>
      <c r="R49" s="177">
        <f>G49-'Exec.Summary_Liquiplanung ORG'!G49</f>
        <v>0</v>
      </c>
      <c r="S49" s="177">
        <f>H49-'Exec.Summary_Liquiplanung ORG'!H49</f>
        <v>0</v>
      </c>
      <c r="T49" s="177">
        <f t="shared" si="12"/>
        <v>0</v>
      </c>
      <c r="V49" s="177">
        <v>0</v>
      </c>
      <c r="W49" s="177">
        <v>0</v>
      </c>
      <c r="X49" s="177">
        <v>0</v>
      </c>
      <c r="Y49" s="177">
        <v>0</v>
      </c>
      <c r="Z49" s="177">
        <v>0</v>
      </c>
      <c r="AA49" s="177">
        <v>0</v>
      </c>
      <c r="AB49" s="177">
        <v>0</v>
      </c>
      <c r="AC49" s="177">
        <v>0</v>
      </c>
      <c r="AD49" s="177">
        <v>0</v>
      </c>
      <c r="AE49" s="177">
        <v>0</v>
      </c>
      <c r="AG49" s="177"/>
      <c r="AH49" s="177"/>
      <c r="AI49" s="177"/>
      <c r="AJ49" s="177"/>
      <c r="AK49" s="177"/>
      <c r="AL49" s="177"/>
      <c r="AM49" s="177"/>
      <c r="AN49" s="177"/>
      <c r="AO49" s="177"/>
      <c r="AP49" s="177">
        <v>0</v>
      </c>
    </row>
    <row r="50" spans="1:42" s="20" customFormat="1" ht="21" customHeight="1" thickBot="1" x14ac:dyDescent="0.2">
      <c r="A50" s="294" t="s">
        <v>328</v>
      </c>
      <c r="B50" s="295">
        <f>Dezember24!AG50</f>
        <v>3442499.73</v>
      </c>
      <c r="C50" s="295">
        <f>Januar!AH50</f>
        <v>4095387.8299999987</v>
      </c>
      <c r="D50" s="295">
        <f>Februar!AH50</f>
        <v>4710438.2096600002</v>
      </c>
      <c r="E50" s="295">
        <f>März!AG50</f>
        <v>8081456.306072792</v>
      </c>
      <c r="F50" s="295">
        <f>April!AH50</f>
        <v>10995169.233803123</v>
      </c>
      <c r="G50" s="295">
        <f>Mai!AH50</f>
        <v>9104878.2504321449</v>
      </c>
      <c r="H50" s="295">
        <f>Juni!AH50</f>
        <v>11225488.340182275</v>
      </c>
      <c r="I50" s="295">
        <f>Juli!AH50</f>
        <v>8492524.3017065302</v>
      </c>
      <c r="J50" s="295">
        <f>August!AH50</f>
        <v>5940023.1068721823</v>
      </c>
      <c r="K50" s="296">
        <f>September!AH50</f>
        <v>4468895.0980164595</v>
      </c>
      <c r="M50" s="297">
        <f>B50-'Exec.Summary_Liquiplanung ORG'!B50</f>
        <v>-1318969.02</v>
      </c>
      <c r="N50" s="297">
        <f>C50-'Exec.Summary_Liquiplanung ORG'!C50</f>
        <v>-2019137.3903463264</v>
      </c>
      <c r="O50" s="297">
        <f>D50-'Exec.Summary_Liquiplanung ORG'!D50</f>
        <v>-1993950.6888227873</v>
      </c>
      <c r="P50" s="297">
        <f>E50-'Exec.Summary_Liquiplanung ORG'!E50</f>
        <v>2555643.5296311807</v>
      </c>
      <c r="Q50" s="297">
        <f>F50-'Exec.Summary_Liquiplanung ORG'!F50</f>
        <v>6469033.0669292901</v>
      </c>
      <c r="R50" s="297">
        <f>G50-'Exec.Summary_Liquiplanung ORG'!G50</f>
        <v>4846591.3753638901</v>
      </c>
      <c r="S50" s="297">
        <f>H50-'Exec.Summary_Liquiplanung ORG'!H50</f>
        <v>9899093.5441033412</v>
      </c>
      <c r="T50" s="298">
        <f>S50</f>
        <v>9899093.5441033412</v>
      </c>
      <c r="V50" s="297">
        <f t="shared" ref="V50:AD50" si="20">B50-AG50</f>
        <v>0</v>
      </c>
      <c r="W50" s="297">
        <f t="shared" si="20"/>
        <v>0</v>
      </c>
      <c r="X50" s="297">
        <f t="shared" si="20"/>
        <v>-29437.151824999601</v>
      </c>
      <c r="Y50" s="297">
        <f t="shared" si="20"/>
        <v>173104.08297943603</v>
      </c>
      <c r="Z50" s="297">
        <f t="shared" si="20"/>
        <v>465581.90639276803</v>
      </c>
      <c r="AA50" s="297">
        <f t="shared" si="20"/>
        <v>-1091568.7298267726</v>
      </c>
      <c r="AB50" s="298">
        <f t="shared" si="20"/>
        <v>0.43404664658010006</v>
      </c>
      <c r="AC50" s="297">
        <f t="shared" si="20"/>
        <v>495887.20358691365</v>
      </c>
      <c r="AD50" s="298">
        <f t="shared" si="20"/>
        <v>2738432.0860052723</v>
      </c>
      <c r="AE50" s="298">
        <f>AD50</f>
        <v>2738432.0860052723</v>
      </c>
      <c r="AG50" s="297">
        <v>3442499.73</v>
      </c>
      <c r="AH50" s="297">
        <v>4095387.8299999987</v>
      </c>
      <c r="AI50" s="297">
        <v>4739875.3614849998</v>
      </c>
      <c r="AJ50" s="297">
        <v>7908352.223093356</v>
      </c>
      <c r="AK50" s="297">
        <v>10529587.327410355</v>
      </c>
      <c r="AL50" s="297">
        <v>10196446.980258917</v>
      </c>
      <c r="AM50" s="298">
        <v>11225487.906135628</v>
      </c>
      <c r="AN50" s="295">
        <v>7996637.0981196165</v>
      </c>
      <c r="AO50" s="298">
        <v>3201591.02086691</v>
      </c>
      <c r="AP50" s="298">
        <f>AO50</f>
        <v>3201591.02086691</v>
      </c>
    </row>
    <row r="51" spans="1:42" ht="15" hidden="1" outlineLevel="1" thickBot="1" x14ac:dyDescent="0.2">
      <c r="A51" s="207" t="s">
        <v>328</v>
      </c>
      <c r="B51" s="182">
        <v>4761468.75</v>
      </c>
      <c r="C51" s="182">
        <v>6114525.2203463251</v>
      </c>
      <c r="D51" s="182">
        <v>6704388.8984827874</v>
      </c>
      <c r="E51" s="182">
        <v>5525812.7764416113</v>
      </c>
      <c r="F51" s="182">
        <v>4526136.1668738332</v>
      </c>
      <c r="G51" s="182">
        <v>4258286.8750682548</v>
      </c>
      <c r="H51" s="208">
        <v>1326394.7960789334</v>
      </c>
      <c r="I51" s="208">
        <v>1326394.7960789334</v>
      </c>
      <c r="J51" s="208">
        <v>1326394.7960789334</v>
      </c>
      <c r="K51" s="208">
        <v>1326394.7960789334</v>
      </c>
      <c r="N51" s="177"/>
      <c r="O51" s="177"/>
      <c r="P51" s="177"/>
      <c r="Q51" s="177"/>
      <c r="R51" s="177"/>
      <c r="S51" s="177"/>
      <c r="AN51" s="208">
        <v>1326394.7960789334</v>
      </c>
      <c r="AO51" s="208">
        <v>1326394.7960789334</v>
      </c>
    </row>
    <row r="52" spans="1:42" ht="13" hidden="1" outlineLevel="1" x14ac:dyDescent="0.15">
      <c r="A52"/>
      <c r="B52" s="177">
        <f t="shared" ref="B52:H52" si="21">B50-B51</f>
        <v>-1318969.02</v>
      </c>
      <c r="C52" s="177">
        <f t="shared" si="21"/>
        <v>-2019137.3903463264</v>
      </c>
      <c r="D52" s="177">
        <f t="shared" si="21"/>
        <v>-1993950.6888227873</v>
      </c>
      <c r="E52" s="177">
        <f t="shared" si="21"/>
        <v>2555643.5296311807</v>
      </c>
      <c r="F52" s="177">
        <f t="shared" si="21"/>
        <v>6469033.0669292901</v>
      </c>
      <c r="G52" s="177">
        <f t="shared" si="21"/>
        <v>4846591.3753638901</v>
      </c>
      <c r="H52" s="177">
        <f t="shared" si="21"/>
        <v>9899093.5441033412</v>
      </c>
      <c r="I52" s="177">
        <f t="shared" ref="I52:K52" si="22">I50-I51</f>
        <v>7166129.5056275968</v>
      </c>
      <c r="J52" s="177">
        <f t="shared" si="22"/>
        <v>4613628.3107932489</v>
      </c>
      <c r="K52" s="177">
        <f t="shared" si="22"/>
        <v>3142500.3019375261</v>
      </c>
      <c r="AN52" s="177">
        <f t="shared" ref="AN52:AO52" si="23">AN50-AN51</f>
        <v>6670242.3020406831</v>
      </c>
      <c r="AO52" s="177">
        <f t="shared" si="23"/>
        <v>1875196.2247879766</v>
      </c>
    </row>
    <row r="53" spans="1:42" ht="13" collapsed="1" x14ac:dyDescent="0.15">
      <c r="A53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AN53" s="177"/>
      <c r="AO53" s="177"/>
    </row>
    <row r="54" spans="1:42" x14ac:dyDescent="0.15">
      <c r="A54" s="219" t="s">
        <v>407</v>
      </c>
      <c r="C54" s="74"/>
      <c r="D54" s="74"/>
      <c r="E54" s="74"/>
      <c r="F54" s="74"/>
      <c r="G54" s="74"/>
      <c r="H54" s="176"/>
      <c r="I54" s="176"/>
      <c r="J54" s="176"/>
      <c r="K54" s="176"/>
      <c r="L54" s="74"/>
      <c r="M54" s="74"/>
      <c r="N54" s="74"/>
      <c r="O54" s="74"/>
      <c r="P54" s="74"/>
      <c r="Q54" s="74"/>
      <c r="R54" s="74"/>
      <c r="S54" s="74"/>
      <c r="T54" s="74"/>
      <c r="U54" s="74"/>
      <c r="AN54" s="341"/>
      <c r="AO54" s="341"/>
    </row>
    <row r="55" spans="1:42" ht="14" customHeight="1" x14ac:dyDescent="0.15">
      <c r="A55" s="258" t="s">
        <v>582</v>
      </c>
      <c r="B55" s="258" t="s">
        <v>393</v>
      </c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AN55" s="255"/>
      <c r="AO55" s="255"/>
    </row>
    <row r="56" spans="1:42" ht="13" x14ac:dyDescent="0.15">
      <c r="A56" s="271"/>
      <c r="B56" s="48"/>
      <c r="C56" s="349"/>
      <c r="D56" s="349"/>
      <c r="E56" s="349"/>
      <c r="F56" s="349"/>
      <c r="G56" s="349"/>
      <c r="H56" s="349"/>
      <c r="I56" s="264"/>
      <c r="J56" s="264"/>
      <c r="K56" s="264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AN56" s="264"/>
      <c r="AO56" s="264"/>
    </row>
    <row r="57" spans="1:42" ht="13" x14ac:dyDescent="0.15">
      <c r="A57" s="271"/>
      <c r="B57" s="48"/>
      <c r="C57" s="262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AN57" s="255"/>
      <c r="AO57" s="255"/>
    </row>
    <row r="58" spans="1:42" ht="13" x14ac:dyDescent="0.15">
      <c r="A58" s="271"/>
      <c r="B58" s="48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AN58" s="255"/>
      <c r="AO58" s="255"/>
    </row>
    <row r="59" spans="1:42" ht="25.25" customHeight="1" x14ac:dyDescent="0.15">
      <c r="A59" s="258" t="s">
        <v>394</v>
      </c>
      <c r="B59" s="258" t="s">
        <v>393</v>
      </c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AN59" s="255"/>
      <c r="AO59" s="255"/>
    </row>
    <row r="60" spans="1:42" ht="13" x14ac:dyDescent="0.15">
      <c r="A60" s="261"/>
      <c r="B60" s="256"/>
      <c r="C60" s="262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AN60" s="255"/>
      <c r="AO60" s="255"/>
    </row>
    <row r="61" spans="1:42" ht="13" x14ac:dyDescent="0.15">
      <c r="A61" s="261"/>
      <c r="B61" s="256"/>
      <c r="C61" s="350"/>
      <c r="D61" s="350"/>
      <c r="E61" s="350"/>
      <c r="F61" s="350"/>
      <c r="G61" s="350"/>
      <c r="H61" s="350"/>
      <c r="I61" s="265"/>
      <c r="J61" s="265"/>
      <c r="K61" s="26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AN61" s="265"/>
      <c r="AO61" s="265"/>
    </row>
    <row r="62" spans="1:42" ht="13" x14ac:dyDescent="0.15">
      <c r="A62" s="254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AN62" s="255"/>
      <c r="AO62" s="255"/>
    </row>
    <row r="63" spans="1:42" ht="20" customHeight="1" x14ac:dyDescent="0.15">
      <c r="A63" s="258" t="s">
        <v>391</v>
      </c>
      <c r="B63" s="259">
        <f>SUM(B56:B62)</f>
        <v>0</v>
      </c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AN63" s="255"/>
      <c r="AO63" s="255"/>
    </row>
    <row r="64" spans="1:42" ht="13" x14ac:dyDescent="0.15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AN64" s="255"/>
      <c r="AO64" s="255"/>
    </row>
    <row r="65" spans="1:41" ht="27.75" customHeight="1" x14ac:dyDescent="0.1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AN65" s="255"/>
      <c r="AO65" s="255"/>
    </row>
    <row r="66" spans="1:41" ht="13" x14ac:dyDescent="0.15">
      <c r="A66" s="261"/>
      <c r="B66" s="262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AN66" s="255"/>
      <c r="AO66" s="255"/>
    </row>
    <row r="67" spans="1:41" ht="13" x14ac:dyDescent="0.15">
      <c r="A67" s="261"/>
      <c r="B67" s="177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AN67" s="255"/>
      <c r="AO67" s="255"/>
    </row>
    <row r="68" spans="1:41" ht="13" x14ac:dyDescent="0.15">
      <c r="A68"/>
      <c r="B68" s="177"/>
    </row>
    <row r="69" spans="1:41" ht="13" x14ac:dyDescent="0.15">
      <c r="A69"/>
      <c r="B69" s="177"/>
    </row>
    <row r="70" spans="1:41" ht="13" x14ac:dyDescent="0.15">
      <c r="A70"/>
    </row>
    <row r="71" spans="1:41" ht="13" x14ac:dyDescent="0.15">
      <c r="A71"/>
    </row>
    <row r="72" spans="1:41" ht="13" x14ac:dyDescent="0.15">
      <c r="A72"/>
    </row>
    <row r="73" spans="1:41" ht="13" x14ac:dyDescent="0.15">
      <c r="A73"/>
    </row>
    <row r="74" spans="1:41" ht="13" x14ac:dyDescent="0.15">
      <c r="A74"/>
    </row>
    <row r="75" spans="1:41" ht="13" x14ac:dyDescent="0.15">
      <c r="A75"/>
    </row>
    <row r="76" spans="1:41" ht="13" x14ac:dyDescent="0.15">
      <c r="A76"/>
    </row>
    <row r="77" spans="1:41" ht="13" x14ac:dyDescent="0.15">
      <c r="A77"/>
    </row>
    <row r="79" spans="1:41" x14ac:dyDescent="0.15">
      <c r="A79" s="104"/>
    </row>
  </sheetData>
  <mergeCells count="5">
    <mergeCell ref="M1:T1"/>
    <mergeCell ref="C56:H56"/>
    <mergeCell ref="C61:H61"/>
    <mergeCell ref="V1:AE1"/>
    <mergeCell ref="AG1:AP1"/>
  </mergeCells>
  <pageMargins left="0.70866141732283472" right="0.70866141732283472" top="0.74803149606299213" bottom="0.74803149606299213" header="0.31496062992125984" footer="0.31496062992125984"/>
  <pageSetup paperSize="9" scale="56" orientation="landscape" r:id="rId1"/>
  <headerFooter>
    <oddFooter>&amp;L&amp;F/&amp;A&amp;R&amp;D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E33-19C4-4C3B-BA38-4C20D87A1F15}">
  <sheetPr>
    <tabColor rgb="FF92D050"/>
    <pageSetUpPr fitToPage="1"/>
  </sheetPr>
  <dimension ref="A1:R127"/>
  <sheetViews>
    <sheetView zoomScale="110" zoomScaleNormal="110" workbookViewId="0">
      <pane xSplit="2" ySplit="8" topLeftCell="J9" activePane="bottomRight" state="frozen"/>
      <selection pane="topRight"/>
      <selection pane="bottomLeft"/>
      <selection pane="bottomRight"/>
    </sheetView>
  </sheetViews>
  <sheetFormatPr baseColWidth="10" defaultColWidth="9.1640625" defaultRowHeight="13" outlineLevelRow="1" outlineLevelCol="1" x14ac:dyDescent="0.15"/>
  <cols>
    <col min="1" max="1" width="26.1640625" customWidth="1"/>
    <col min="2" max="2" width="20.6640625" customWidth="1"/>
    <col min="3" max="5" width="15.6640625" hidden="1" customWidth="1" outlineLevel="1"/>
    <col min="6" max="6" width="14.1640625" hidden="1" customWidth="1" outlineLevel="1"/>
    <col min="7" max="7" width="15.6640625" hidden="1" customWidth="1" outlineLevel="1"/>
    <col min="8" max="9" width="13.33203125" hidden="1" customWidth="1" outlineLevel="1"/>
    <col min="10" max="10" width="14.1640625" customWidth="1" collapsed="1"/>
    <col min="11" max="11" width="13.33203125" customWidth="1"/>
    <col min="12" max="13" width="14.83203125" customWidth="1"/>
    <col min="14" max="14" width="14.1640625" customWidth="1"/>
    <col min="15" max="15" width="15.6640625" customWidth="1"/>
    <col min="16" max="16" width="15.6640625" hidden="1" customWidth="1" outlineLevel="1"/>
    <col min="17" max="17" width="14.83203125" bestFit="1" customWidth="1" collapsed="1"/>
    <col min="18" max="18" width="32.33203125" customWidth="1"/>
  </cols>
  <sheetData>
    <row r="1" spans="1:18" ht="14" x14ac:dyDescent="0.15">
      <c r="A1" s="105" t="s">
        <v>368</v>
      </c>
    </row>
    <row r="2" spans="1:18" ht="28" x14ac:dyDescent="0.15">
      <c r="A2" s="221" t="s">
        <v>123</v>
      </c>
      <c r="B2" s="85" t="s">
        <v>7</v>
      </c>
      <c r="C2" s="85" t="s">
        <v>8</v>
      </c>
      <c r="D2" s="85" t="s">
        <v>9</v>
      </c>
      <c r="E2" s="85" t="s">
        <v>10</v>
      </c>
      <c r="F2" s="85" t="s">
        <v>11</v>
      </c>
      <c r="G2" s="85" t="s">
        <v>12</v>
      </c>
      <c r="H2" s="85" t="s">
        <v>13</v>
      </c>
      <c r="I2" s="85" t="s">
        <v>14</v>
      </c>
      <c r="J2" s="85" t="s">
        <v>15</v>
      </c>
      <c r="K2" s="85" t="s">
        <v>16</v>
      </c>
      <c r="L2" s="85" t="s">
        <v>17</v>
      </c>
      <c r="M2" s="85" t="s">
        <v>18</v>
      </c>
      <c r="N2" s="85" t="s">
        <v>19</v>
      </c>
      <c r="O2" s="85" t="s">
        <v>20</v>
      </c>
      <c r="P2" s="30" t="s">
        <v>125</v>
      </c>
      <c r="Q2" s="30" t="s">
        <v>198</v>
      </c>
    </row>
    <row r="3" spans="1:18" s="28" customFormat="1" ht="14" x14ac:dyDescent="0.15">
      <c r="A3" s="352" t="s">
        <v>342</v>
      </c>
      <c r="B3" s="57" t="s">
        <v>343</v>
      </c>
      <c r="C3" s="58">
        <f>'Budget 25 LH AG'!C11</f>
        <v>121988476.0851</v>
      </c>
      <c r="D3" s="58">
        <f>'Budget 25 LH AG'!D11</f>
        <v>7240087.3559999997</v>
      </c>
      <c r="E3" s="58">
        <f>'Budget 25 LH AG'!E11</f>
        <v>8314846.3295</v>
      </c>
      <c r="F3" s="58">
        <f>'Budget 25 LH AG'!F11</f>
        <v>11118560.569499999</v>
      </c>
      <c r="G3" s="58">
        <f>'Budget 25 LH AG'!G11</f>
        <v>8842420.0604999997</v>
      </c>
      <c r="H3" s="58">
        <f>'Budget 25 LH AG'!H11</f>
        <v>11077677.168</v>
      </c>
      <c r="I3" s="58">
        <f>'Budget 25 LH AG'!I11</f>
        <v>10908122.016799999</v>
      </c>
      <c r="J3" s="58">
        <f>'Budget 25 LH AG'!J11</f>
        <v>9390566.3160999995</v>
      </c>
      <c r="K3" s="58">
        <f>'Budget 25 LH AG'!K11</f>
        <v>10250151.282600001</v>
      </c>
      <c r="L3" s="58">
        <f>'Budget 25 LH AG'!L11</f>
        <v>12897675.805299999</v>
      </c>
      <c r="M3" s="58">
        <f>'Budget 25 LH AG'!M11</f>
        <v>12387225.269400001</v>
      </c>
      <c r="N3" s="58">
        <f>'Budget 25 LH AG'!N11</f>
        <v>10794718.781199999</v>
      </c>
      <c r="O3" s="58">
        <f>'Budget 25 LH AG'!O11</f>
        <v>8766425.1302000005</v>
      </c>
      <c r="P3" s="59">
        <f>'Budget 25 LH AG'!P11</f>
        <v>57501713.500299998</v>
      </c>
      <c r="Q3" s="59">
        <f>'Budget 25 LH AG'!Q11</f>
        <v>64486762.584799998</v>
      </c>
    </row>
    <row r="4" spans="1:18" s="28" customFormat="1" ht="14" x14ac:dyDescent="0.15">
      <c r="A4" s="353"/>
      <c r="B4" s="57" t="s">
        <v>344</v>
      </c>
      <c r="C4" s="58">
        <f>'Hotels Only'!C11</f>
        <v>93365066.829699993</v>
      </c>
      <c r="D4" s="58">
        <f>'Hotels Only'!D11</f>
        <v>5324462.53</v>
      </c>
      <c r="E4" s="58">
        <f>'Hotels Only'!E11</f>
        <v>6311402.4699999997</v>
      </c>
      <c r="F4" s="58">
        <f>'Hotels Only'!F11</f>
        <v>8569487.6699999999</v>
      </c>
      <c r="G4" s="58">
        <f>'Hotels Only'!G11</f>
        <v>6313744.0499999998</v>
      </c>
      <c r="H4" s="58">
        <f>'Hotels Only'!H11</f>
        <v>8687115.6600000001</v>
      </c>
      <c r="I4" s="58">
        <f>'Hotels Only'!I11</f>
        <v>7353274.8399999999</v>
      </c>
      <c r="J4" s="58">
        <f>'Hotels Only'!J11</f>
        <v>6427992.7048000004</v>
      </c>
      <c r="K4" s="58">
        <f>'Hotels Only'!K11</f>
        <v>7105821.2424999997</v>
      </c>
      <c r="L4" s="58">
        <f>'Hotels Only'!L11</f>
        <v>10549865.398399999</v>
      </c>
      <c r="M4" s="58">
        <f>'Hotels Only'!M11</f>
        <v>10432178.8453</v>
      </c>
      <c r="N4" s="58">
        <f>'Hotels Only'!N11</f>
        <v>9491176.3024000004</v>
      </c>
      <c r="O4" s="58">
        <f>'Hotels Only'!O11</f>
        <v>6798545.1162999999</v>
      </c>
      <c r="P4" s="59">
        <f>SUM(D4:I4)</f>
        <v>42559487.219999999</v>
      </c>
      <c r="Q4" s="59">
        <f>SUM(E4:J4)</f>
        <v>43663017.3948</v>
      </c>
    </row>
    <row r="5" spans="1:18" s="28" customFormat="1" ht="14" x14ac:dyDescent="0.15">
      <c r="A5" s="353"/>
      <c r="B5" s="57" t="s">
        <v>345</v>
      </c>
      <c r="C5" s="58">
        <f>'HQ only'!C11</f>
        <v>15256234.3805</v>
      </c>
      <c r="D5" s="58">
        <f>'HQ only'!D11</f>
        <v>552614.44999999995</v>
      </c>
      <c r="E5" s="58">
        <f>'HQ only'!E11</f>
        <v>528587.06000000006</v>
      </c>
      <c r="F5" s="58">
        <f>'HQ only'!F11</f>
        <v>1070582.96</v>
      </c>
      <c r="G5" s="58">
        <f>'HQ only'!G11</f>
        <v>610468.18000000005</v>
      </c>
      <c r="H5" s="58">
        <f>'HQ only'!H11</f>
        <v>1537438.9</v>
      </c>
      <c r="I5" s="58">
        <f>'HQ only'!I11</f>
        <v>1012045.73</v>
      </c>
      <c r="J5" s="58">
        <f>'HQ only'!J11</f>
        <v>1924757.9398000001</v>
      </c>
      <c r="K5" s="58">
        <f>'HQ only'!K11</f>
        <v>1942110.5708000001</v>
      </c>
      <c r="L5" s="58">
        <f>'HQ only'!L11</f>
        <v>1900916.1665000001</v>
      </c>
      <c r="M5" s="58">
        <f>'HQ only'!M11</f>
        <v>1561011.1294</v>
      </c>
      <c r="N5" s="58">
        <f>'HQ only'!N11</f>
        <v>1160767.0135999999</v>
      </c>
      <c r="O5" s="58">
        <f>'HQ only'!O11</f>
        <v>1454934.2804</v>
      </c>
      <c r="P5" s="59">
        <f>SUM(D5:I5)</f>
        <v>5311737.2799999993</v>
      </c>
      <c r="Q5" s="59">
        <f>SUM(E5:J5)</f>
        <v>6683880.7697999999</v>
      </c>
    </row>
    <row r="6" spans="1:18" ht="14" x14ac:dyDescent="0.15">
      <c r="A6" s="353"/>
      <c r="B6" t="s">
        <v>212</v>
      </c>
      <c r="C6" s="95">
        <v>0.15</v>
      </c>
      <c r="D6" s="74">
        <f t="shared" ref="D6:I6" si="0">-D71*$C$6</f>
        <v>-798669.37950000004</v>
      </c>
      <c r="E6" s="74">
        <f t="shared" si="0"/>
        <v>-946710.37049999996</v>
      </c>
      <c r="F6" s="74">
        <f t="shared" si="0"/>
        <v>-1285423.1505</v>
      </c>
      <c r="G6" s="74">
        <f t="shared" si="0"/>
        <v>-947061.60749999993</v>
      </c>
      <c r="H6" s="74">
        <f t="shared" si="0"/>
        <v>-1303067.3489999999</v>
      </c>
      <c r="I6" s="74">
        <f t="shared" si="0"/>
        <v>-1102991.226</v>
      </c>
      <c r="J6" s="74">
        <f t="shared" ref="J6:O6" si="1">-J71*$R$6</f>
        <v>-321399.63524000003</v>
      </c>
      <c r="K6" s="74">
        <f t="shared" si="1"/>
        <v>-355291.062125</v>
      </c>
      <c r="L6" s="74">
        <f t="shared" si="1"/>
        <v>-527493.26991999999</v>
      </c>
      <c r="M6" s="74">
        <f t="shared" si="1"/>
        <v>-521608.94226500002</v>
      </c>
      <c r="N6" s="74">
        <f t="shared" si="1"/>
        <v>-474558.81512000004</v>
      </c>
      <c r="O6" s="74">
        <f t="shared" si="1"/>
        <v>-339927.25581500004</v>
      </c>
      <c r="P6" s="59">
        <f t="shared" ref="P6:P7" si="2">SUM(D6:I6)</f>
        <v>-6383923.0829999996</v>
      </c>
      <c r="Q6" s="59">
        <f t="shared" ref="Q6:Q7" si="3">SUM(E6:J6)</f>
        <v>-5906653.3387399986</v>
      </c>
      <c r="R6" s="100">
        <v>0.05</v>
      </c>
    </row>
    <row r="7" spans="1:18" ht="14" x14ac:dyDescent="0.15">
      <c r="A7" s="353"/>
      <c r="B7" t="s">
        <v>213</v>
      </c>
      <c r="C7" s="95">
        <v>0.15</v>
      </c>
      <c r="D7" s="74">
        <f t="shared" ref="D7:I7" si="4">-D72*$C$7</f>
        <v>-82892.167499999996</v>
      </c>
      <c r="E7" s="74">
        <f t="shared" si="4"/>
        <v>-79288.059000000008</v>
      </c>
      <c r="F7" s="74">
        <f t="shared" si="4"/>
        <v>-160587.44399999999</v>
      </c>
      <c r="G7" s="74">
        <f t="shared" si="4"/>
        <v>-91570.226999999999</v>
      </c>
      <c r="H7" s="74">
        <f t="shared" si="4"/>
        <v>-230615.83499999999</v>
      </c>
      <c r="I7" s="74">
        <f t="shared" si="4"/>
        <v>-151806.85949999999</v>
      </c>
      <c r="J7" s="74">
        <f t="shared" ref="J7:O7" si="5">-J72*$R$7</f>
        <v>-96237.896990000008</v>
      </c>
      <c r="K7" s="74">
        <f t="shared" si="5"/>
        <v>-97105.528540000014</v>
      </c>
      <c r="L7" s="74">
        <f t="shared" si="5"/>
        <v>-95045.808325000005</v>
      </c>
      <c r="M7" s="74">
        <f t="shared" si="5"/>
        <v>-78050.556469999996</v>
      </c>
      <c r="N7" s="74">
        <f t="shared" si="5"/>
        <v>-58038.350680000003</v>
      </c>
      <c r="O7" s="74">
        <f t="shared" si="5"/>
        <v>-72746.714019999999</v>
      </c>
      <c r="P7" s="59">
        <f t="shared" si="2"/>
        <v>-796760.59200000006</v>
      </c>
      <c r="Q7" s="59">
        <f t="shared" si="3"/>
        <v>-810106.32149</v>
      </c>
      <c r="R7" s="100">
        <v>0.05</v>
      </c>
    </row>
    <row r="8" spans="1:18" s="28" customFormat="1" x14ac:dyDescent="0.15">
      <c r="A8" s="353"/>
      <c r="B8" s="57"/>
      <c r="C8" s="58"/>
      <c r="D8" s="58">
        <f>SUM(D4:D7)</f>
        <v>4995515.4330000002</v>
      </c>
      <c r="E8" s="58">
        <f t="shared" ref="E8:O8" si="6">SUM(E4:E7)</f>
        <v>5813991.1004999988</v>
      </c>
      <c r="F8" s="58">
        <f t="shared" si="6"/>
        <v>8194060.0354999993</v>
      </c>
      <c r="G8" s="58">
        <f t="shared" si="6"/>
        <v>5885580.3954999996</v>
      </c>
      <c r="H8" s="58">
        <f t="shared" si="6"/>
        <v>8690871.3760000002</v>
      </c>
      <c r="I8" s="58">
        <f t="shared" si="6"/>
        <v>7110522.4845000003</v>
      </c>
      <c r="J8" s="58">
        <f t="shared" si="6"/>
        <v>7935113.1123700002</v>
      </c>
      <c r="K8" s="58">
        <f t="shared" si="6"/>
        <v>8595535.2226350009</v>
      </c>
      <c r="L8" s="58">
        <f t="shared" si="6"/>
        <v>11828242.486654999</v>
      </c>
      <c r="M8" s="58">
        <f t="shared" si="6"/>
        <v>11393530.475965001</v>
      </c>
      <c r="N8" s="58">
        <f t="shared" si="6"/>
        <v>10119346.1502</v>
      </c>
      <c r="O8" s="58">
        <f t="shared" si="6"/>
        <v>7840805.4268650003</v>
      </c>
      <c r="P8" s="59">
        <f t="shared" ref="P8" si="7">SUM(D8:I8)</f>
        <v>40690540.824999996</v>
      </c>
      <c r="Q8" s="59">
        <f t="shared" ref="Q8" si="8">SUM(E8:J8)</f>
        <v>43630138.504369996</v>
      </c>
    </row>
    <row r="9" spans="1:18" s="27" customFormat="1" ht="2.5" customHeight="1" x14ac:dyDescent="0.15">
      <c r="A9" s="28"/>
      <c r="B9" s="29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8" s="28" customFormat="1" ht="12.75" hidden="1" customHeight="1" outlineLevel="1" x14ac:dyDescent="0.15">
      <c r="A10" s="213" t="s">
        <v>180</v>
      </c>
      <c r="B10" s="57" t="s">
        <v>186</v>
      </c>
      <c r="C10" s="58">
        <v>-3120046.0556000001</v>
      </c>
      <c r="D10" s="58">
        <v>-2284871.9229000001</v>
      </c>
      <c r="E10" s="58">
        <v>-1763626.8844000001</v>
      </c>
      <c r="F10" s="58">
        <v>-132297.0802</v>
      </c>
      <c r="G10" s="58">
        <v>-1139371.9183</v>
      </c>
      <c r="H10" s="58">
        <v>565331.26379999996</v>
      </c>
      <c r="I10" s="58">
        <v>130761.9553</v>
      </c>
      <c r="J10" s="58">
        <v>-312855.83350000001</v>
      </c>
      <c r="K10" s="58">
        <v>214147.40710000001</v>
      </c>
      <c r="L10" s="58">
        <v>1635199.2152</v>
      </c>
      <c r="M10" s="58">
        <v>1381083.3795</v>
      </c>
      <c r="N10" s="58">
        <v>-116049.9618</v>
      </c>
      <c r="O10" s="58">
        <v>-1297495.6754000001</v>
      </c>
      <c r="P10" s="59">
        <f t="shared" ref="P10:P12" si="9">SUM(D10:I10)</f>
        <v>-4624074.5867000008</v>
      </c>
      <c r="Q10" s="59">
        <f>SUM(J10:O10)</f>
        <v>1504028.5310999998</v>
      </c>
    </row>
    <row r="11" spans="1:18" ht="14" hidden="1" outlineLevel="1" x14ac:dyDescent="0.15">
      <c r="A11" s="214"/>
      <c r="B11" s="47" t="s">
        <v>187</v>
      </c>
      <c r="C11" s="56">
        <f>'Hotels Only'!C153</f>
        <v>-5924419.9073000001</v>
      </c>
      <c r="D11" s="56">
        <f>'Hotels Only'!D153</f>
        <v>-2118525.13</v>
      </c>
      <c r="E11" s="56">
        <f>'Hotels Only'!E153</f>
        <v>-1714838.87</v>
      </c>
      <c r="F11" s="56">
        <f>'Hotels Only'!F153</f>
        <v>478508.93</v>
      </c>
      <c r="G11" s="56">
        <f>'Hotels Only'!G153</f>
        <v>-1661239.71</v>
      </c>
      <c r="H11" s="56">
        <f>'Hotels Only'!H153</f>
        <v>247414.62</v>
      </c>
      <c r="I11" s="56">
        <f>'Hotels Only'!I153</f>
        <v>-564157.19999999995</v>
      </c>
      <c r="J11" s="56">
        <f>'Hotels Only'!J153</f>
        <v>-1373154.7826</v>
      </c>
      <c r="K11" s="56">
        <f>'Hotels Only'!K153</f>
        <v>-911852.55110000004</v>
      </c>
      <c r="L11" s="56">
        <f>'Hotels Only'!L153</f>
        <v>1119421.9393</v>
      </c>
      <c r="M11" s="56">
        <f>'Hotels Only'!M153</f>
        <v>1188886.6211999999</v>
      </c>
      <c r="N11" s="56">
        <f>'Hotels Only'!N153</f>
        <v>382855.95380000002</v>
      </c>
      <c r="O11" s="56">
        <f>'Hotels Only'!O153</f>
        <v>-997739.72790000006</v>
      </c>
      <c r="P11" s="50">
        <f t="shared" si="9"/>
        <v>-5332837.3599999994</v>
      </c>
      <c r="Q11" s="50">
        <f>SUM(J11:O11)</f>
        <v>-591582.54730000044</v>
      </c>
    </row>
    <row r="12" spans="1:18" ht="14" hidden="1" outlineLevel="1" x14ac:dyDescent="0.15">
      <c r="A12" s="214"/>
      <c r="B12" s="47" t="s">
        <v>133</v>
      </c>
      <c r="C12" s="56">
        <f>'HQ only'!C153</f>
        <v>-4193451.4056000002</v>
      </c>
      <c r="D12" s="56">
        <f>'HQ only'!D153</f>
        <v>-468777.36</v>
      </c>
      <c r="E12" s="56">
        <f>'HQ only'!E153</f>
        <v>-1268229.6499999999</v>
      </c>
      <c r="F12" s="56">
        <f>'HQ only'!F153</f>
        <v>-1457014.04</v>
      </c>
      <c r="G12" s="56">
        <f>'HQ only'!G153</f>
        <v>-483166.92</v>
      </c>
      <c r="H12" s="56">
        <f>'HQ only'!H153</f>
        <v>-24692.400000000001</v>
      </c>
      <c r="I12" s="56">
        <f>'HQ only'!I153</f>
        <v>-722683.22</v>
      </c>
      <c r="J12" s="56">
        <f>'HQ only'!J153</f>
        <v>405271.35379999998</v>
      </c>
      <c r="K12" s="56">
        <f>'HQ only'!K153</f>
        <v>336489.1765</v>
      </c>
      <c r="L12" s="56">
        <f>'HQ only'!L153</f>
        <v>276346.23700000002</v>
      </c>
      <c r="M12" s="56">
        <f>'HQ only'!M153</f>
        <v>68890.861799999999</v>
      </c>
      <c r="N12" s="56">
        <f>'HQ only'!N153</f>
        <v>-397829.76189999998</v>
      </c>
      <c r="O12" s="56">
        <f>'HQ only'!O153</f>
        <v>-458055.68280000001</v>
      </c>
      <c r="P12" s="50">
        <f t="shared" si="9"/>
        <v>-4424563.59</v>
      </c>
      <c r="Q12" s="50">
        <f>SUM(J12:O12)</f>
        <v>231112.18439999997</v>
      </c>
    </row>
    <row r="13" spans="1:18" hidden="1" outlineLevel="1" x14ac:dyDescent="0.15">
      <c r="A13" s="80"/>
      <c r="B13" s="47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0"/>
      <c r="Q13" s="50"/>
    </row>
    <row r="14" spans="1:18" s="27" customFormat="1" ht="14" collapsed="1" x14ac:dyDescent="0.15">
      <c r="A14" s="354" t="s">
        <v>189</v>
      </c>
      <c r="B14" s="60" t="s">
        <v>346</v>
      </c>
      <c r="C14" s="61">
        <f>C11</f>
        <v>-5924419.9073000001</v>
      </c>
      <c r="D14" s="61">
        <f t="shared" ref="D14:O14" si="10">D11</f>
        <v>-2118525.13</v>
      </c>
      <c r="E14" s="61">
        <f t="shared" si="10"/>
        <v>-1714838.87</v>
      </c>
      <c r="F14" s="61">
        <f t="shared" si="10"/>
        <v>478508.93</v>
      </c>
      <c r="G14" s="61">
        <f t="shared" si="10"/>
        <v>-1661239.71</v>
      </c>
      <c r="H14" s="61">
        <f t="shared" si="10"/>
        <v>247414.62</v>
      </c>
      <c r="I14" s="61">
        <f t="shared" si="10"/>
        <v>-564157.19999999995</v>
      </c>
      <c r="J14" s="61">
        <f t="shared" si="10"/>
        <v>-1373154.7826</v>
      </c>
      <c r="K14" s="61">
        <f t="shared" si="10"/>
        <v>-911852.55110000004</v>
      </c>
      <c r="L14" s="61">
        <f t="shared" si="10"/>
        <v>1119421.9393</v>
      </c>
      <c r="M14" s="61">
        <f t="shared" si="10"/>
        <v>1188886.6211999999</v>
      </c>
      <c r="N14" s="61">
        <f t="shared" si="10"/>
        <v>382855.95380000002</v>
      </c>
      <c r="O14" s="61">
        <f t="shared" si="10"/>
        <v>-997739.72790000006</v>
      </c>
      <c r="P14" s="62">
        <f t="shared" ref="P14:P34" si="11">SUM(D14:I14)</f>
        <v>-5332837.3599999994</v>
      </c>
      <c r="Q14" s="62">
        <f t="shared" ref="Q14:Q34" si="12">SUM(J14:O14)</f>
        <v>-591582.54730000044</v>
      </c>
    </row>
    <row r="15" spans="1:18" ht="13.25" hidden="1" customHeight="1" outlineLevel="1" x14ac:dyDescent="0.15">
      <c r="A15" s="354"/>
      <c r="B15" s="47" t="s">
        <v>134</v>
      </c>
      <c r="C15" s="63">
        <f>Kudamm!C153</f>
        <v>-1063749.0585</v>
      </c>
      <c r="D15" s="63">
        <f>Kudamm!D153</f>
        <v>-227478.81</v>
      </c>
      <c r="E15" s="63">
        <f>Kudamm!E153</f>
        <v>-101805.65</v>
      </c>
      <c r="F15" s="63">
        <f>Kudamm!F153</f>
        <v>-95446.9</v>
      </c>
      <c r="G15" s="63">
        <f>Kudamm!G153</f>
        <v>-183430.87</v>
      </c>
      <c r="H15" s="63">
        <f>Kudamm!H153</f>
        <v>-59454.729899999998</v>
      </c>
      <c r="I15" s="63">
        <f>Kudamm!I153</f>
        <v>-47923.902300000002</v>
      </c>
      <c r="J15" s="63">
        <f>Kudamm!J153</f>
        <v>-106849.3582</v>
      </c>
      <c r="K15" s="63">
        <f>Kudamm!K153</f>
        <v>-77288.151299999998</v>
      </c>
      <c r="L15" s="63">
        <f>Kudamm!L153</f>
        <v>61397.205699999999</v>
      </c>
      <c r="M15" s="63">
        <f>Kudamm!M153</f>
        <v>-21469.673200000001</v>
      </c>
      <c r="N15" s="63">
        <f>Kudamm!N153</f>
        <v>-100952.2482</v>
      </c>
      <c r="O15" s="63">
        <f>Kudamm!O153</f>
        <v>-103045.9711</v>
      </c>
      <c r="P15" s="50">
        <f t="shared" si="11"/>
        <v>-715540.86219999997</v>
      </c>
      <c r="Q15" s="50">
        <f t="shared" si="12"/>
        <v>-348208.19629999995</v>
      </c>
      <c r="R15" s="51">
        <f>P15+Q15-C15</f>
        <v>0</v>
      </c>
    </row>
    <row r="16" spans="1:18" s="53" customFormat="1" ht="13.25" hidden="1" customHeight="1" outlineLevel="1" x14ac:dyDescent="0.15">
      <c r="A16" s="354"/>
      <c r="B16" s="97" t="s">
        <v>177</v>
      </c>
      <c r="C16" s="64"/>
      <c r="D16" s="65">
        <f>226260/1.19*25%</f>
        <v>47533.613445378156</v>
      </c>
      <c r="E16" s="66">
        <f>+D16</f>
        <v>47533.613445378156</v>
      </c>
      <c r="F16" s="65">
        <f>226260/1.19*25%</f>
        <v>47533.613445378156</v>
      </c>
      <c r="G16" s="65">
        <f>226260/1.19*25%</f>
        <v>47533.613445378156</v>
      </c>
      <c r="H16" s="65">
        <f>226260/1.19*25%</f>
        <v>47533.613445378156</v>
      </c>
      <c r="I16" s="65">
        <f>226260/1.19*25%</f>
        <v>47533.613445378156</v>
      </c>
      <c r="J16" s="66">
        <f t="shared" ref="J16:O16" si="13">226260/1.19*50%</f>
        <v>95067.226890756312</v>
      </c>
      <c r="K16" s="65">
        <f t="shared" si="13"/>
        <v>95067.226890756312</v>
      </c>
      <c r="L16" s="65">
        <f t="shared" si="13"/>
        <v>95067.226890756312</v>
      </c>
      <c r="M16" s="65">
        <f t="shared" si="13"/>
        <v>95067.226890756312</v>
      </c>
      <c r="N16" s="65">
        <f t="shared" si="13"/>
        <v>95067.226890756312</v>
      </c>
      <c r="O16" s="65">
        <f t="shared" si="13"/>
        <v>95067.226890756312</v>
      </c>
      <c r="P16" s="55">
        <f>SUM(D16:I16)</f>
        <v>285201.68067226891</v>
      </c>
      <c r="Q16" s="55">
        <f t="shared" si="12"/>
        <v>570403.36134453781</v>
      </c>
      <c r="R16" s="54" t="s">
        <v>201</v>
      </c>
    </row>
    <row r="17" spans="1:18" ht="13.25" hidden="1" customHeight="1" outlineLevel="1" x14ac:dyDescent="0.15">
      <c r="A17" s="354"/>
      <c r="B17" s="67" t="s">
        <v>161</v>
      </c>
      <c r="C17" s="63">
        <f>Airport!C153</f>
        <v>-858544.00150000001</v>
      </c>
      <c r="D17" s="63">
        <f>Airport!D153</f>
        <v>-145619.14000000001</v>
      </c>
      <c r="E17" s="63">
        <f>Airport!E153</f>
        <v>-145124.76999999999</v>
      </c>
      <c r="F17" s="63">
        <f>Airport!F153</f>
        <v>-8064.78</v>
      </c>
      <c r="G17" s="63">
        <f>Airport!G153</f>
        <v>-241808.88</v>
      </c>
      <c r="H17" s="63">
        <f>Airport!H153</f>
        <v>-92663.1492</v>
      </c>
      <c r="I17" s="63">
        <f>Airport!I153</f>
        <v>-150106.3052</v>
      </c>
      <c r="J17" s="63">
        <f>Airport!J153</f>
        <v>-213821.60490000001</v>
      </c>
      <c r="K17" s="63">
        <f>Airport!K153</f>
        <v>-139256.40400000001</v>
      </c>
      <c r="L17" s="63">
        <f>Airport!L153</f>
        <v>65189.217299999997</v>
      </c>
      <c r="M17" s="63">
        <f>Airport!M153</f>
        <v>148310.52480000001</v>
      </c>
      <c r="N17" s="63">
        <f>Airport!N153</f>
        <v>148840.47930000001</v>
      </c>
      <c r="O17" s="63">
        <f>Airport!O153</f>
        <v>-84419.189599999998</v>
      </c>
      <c r="P17" s="50">
        <f t="shared" si="11"/>
        <v>-783387.02439999999</v>
      </c>
      <c r="Q17" s="50">
        <f t="shared" si="12"/>
        <v>-75156.977099999975</v>
      </c>
      <c r="R17" s="51">
        <f>P17+Q17-C17</f>
        <v>0</v>
      </c>
    </row>
    <row r="18" spans="1:18" s="53" customFormat="1" ht="13.25" hidden="1" customHeight="1" outlineLevel="1" x14ac:dyDescent="0.15">
      <c r="A18" s="354"/>
      <c r="B18" s="97" t="s">
        <v>174</v>
      </c>
      <c r="C18" s="65"/>
      <c r="D18" s="65">
        <f>190110/1.19*25%</f>
        <v>39939.075630252104</v>
      </c>
      <c r="E18" s="66">
        <f>+D18</f>
        <v>39939.075630252104</v>
      </c>
      <c r="F18" s="65">
        <f t="shared" ref="F18:O18" si="14">190110/1.19*25%</f>
        <v>39939.075630252104</v>
      </c>
      <c r="G18" s="65">
        <f t="shared" si="14"/>
        <v>39939.075630252104</v>
      </c>
      <c r="H18" s="65">
        <f t="shared" si="14"/>
        <v>39939.075630252104</v>
      </c>
      <c r="I18" s="65">
        <f t="shared" si="14"/>
        <v>39939.075630252104</v>
      </c>
      <c r="J18" s="65">
        <f t="shared" si="14"/>
        <v>39939.075630252104</v>
      </c>
      <c r="K18" s="65">
        <f t="shared" si="14"/>
        <v>39939.075630252104</v>
      </c>
      <c r="L18" s="65">
        <f t="shared" si="14"/>
        <v>39939.075630252104</v>
      </c>
      <c r="M18" s="65">
        <f t="shared" si="14"/>
        <v>39939.075630252104</v>
      </c>
      <c r="N18" s="65">
        <f t="shared" si="14"/>
        <v>39939.075630252104</v>
      </c>
      <c r="O18" s="65">
        <f t="shared" si="14"/>
        <v>39939.075630252104</v>
      </c>
      <c r="P18" s="55">
        <f>SUM(D18:I18)</f>
        <v>239634.45378151262</v>
      </c>
      <c r="Q18" s="55">
        <f t="shared" si="12"/>
        <v>239634.45378151262</v>
      </c>
      <c r="R18" s="54" t="s">
        <v>201</v>
      </c>
    </row>
    <row r="19" spans="1:18" ht="13.25" hidden="1" customHeight="1" outlineLevel="1" x14ac:dyDescent="0.15">
      <c r="A19" s="354"/>
      <c r="B19" s="47" t="s">
        <v>163</v>
      </c>
      <c r="C19" s="63">
        <f>Höchst!C153</f>
        <v>-1205030.0774999999</v>
      </c>
      <c r="D19" s="63">
        <f>Höchst!D153</f>
        <v>-212155.9</v>
      </c>
      <c r="E19" s="63">
        <f>Höchst!E153</f>
        <v>-120714.41</v>
      </c>
      <c r="F19" s="63">
        <f>Höchst!F153</f>
        <v>10949.47</v>
      </c>
      <c r="G19" s="63">
        <f>Höchst!G153</f>
        <v>-263290.92</v>
      </c>
      <c r="H19" s="63">
        <f>Höchst!H153</f>
        <v>-51561.218200000003</v>
      </c>
      <c r="I19" s="63">
        <f>Höchst!I153</f>
        <v>-45336.008999999998</v>
      </c>
      <c r="J19" s="63">
        <f>Höchst!J153</f>
        <v>-213719.65820000001</v>
      </c>
      <c r="K19" s="63">
        <f>Höchst!K153</f>
        <v>-173486.86910000001</v>
      </c>
      <c r="L19" s="63">
        <f>Höchst!L153</f>
        <v>39539.994100000004</v>
      </c>
      <c r="M19" s="63">
        <f>Höchst!M153</f>
        <v>72164.391600000003</v>
      </c>
      <c r="N19" s="63">
        <f>Höchst!N153</f>
        <v>-21737.418300000001</v>
      </c>
      <c r="O19" s="63">
        <f>Höchst!O153</f>
        <v>-225681.53039999999</v>
      </c>
      <c r="P19" s="50">
        <f t="shared" si="11"/>
        <v>-682108.98719999997</v>
      </c>
      <c r="Q19" s="50">
        <f t="shared" si="12"/>
        <v>-522921.09029999998</v>
      </c>
      <c r="R19" s="51">
        <f>P19+Q19-C19</f>
        <v>0</v>
      </c>
    </row>
    <row r="20" spans="1:18" s="53" customFormat="1" ht="13.25" hidden="1" customHeight="1" outlineLevel="1" x14ac:dyDescent="0.15">
      <c r="A20" s="354"/>
      <c r="B20" s="97" t="s">
        <v>175</v>
      </c>
      <c r="C20" s="65"/>
      <c r="D20" s="65">
        <f>886563.3/3/1.19*30%</f>
        <v>74501.11764705884</v>
      </c>
      <c r="E20" s="66">
        <f>+D20</f>
        <v>74501.11764705884</v>
      </c>
      <c r="F20" s="65">
        <f t="shared" ref="F20:O20" si="15">886563.3/3/1.19*30%</f>
        <v>74501.11764705884</v>
      </c>
      <c r="G20" s="65">
        <f t="shared" si="15"/>
        <v>74501.11764705884</v>
      </c>
      <c r="H20" s="65">
        <f t="shared" si="15"/>
        <v>74501.11764705884</v>
      </c>
      <c r="I20" s="65">
        <f t="shared" si="15"/>
        <v>74501.11764705884</v>
      </c>
      <c r="J20" s="65">
        <f t="shared" si="15"/>
        <v>74501.11764705884</v>
      </c>
      <c r="K20" s="65">
        <f t="shared" si="15"/>
        <v>74501.11764705884</v>
      </c>
      <c r="L20" s="65">
        <f t="shared" si="15"/>
        <v>74501.11764705884</v>
      </c>
      <c r="M20" s="65">
        <f t="shared" si="15"/>
        <v>74501.11764705884</v>
      </c>
      <c r="N20" s="65">
        <f t="shared" si="15"/>
        <v>74501.11764705884</v>
      </c>
      <c r="O20" s="65">
        <f t="shared" si="15"/>
        <v>74501.11764705884</v>
      </c>
      <c r="P20" s="55">
        <f t="shared" si="11"/>
        <v>447006.70588235307</v>
      </c>
      <c r="Q20" s="55">
        <f t="shared" si="12"/>
        <v>447006.70588235307</v>
      </c>
      <c r="R20" s="54" t="s">
        <v>201</v>
      </c>
    </row>
    <row r="21" spans="1:18" ht="13.25" hidden="1" customHeight="1" outlineLevel="1" x14ac:dyDescent="0.15">
      <c r="A21" s="354"/>
      <c r="B21" s="47" t="s">
        <v>164</v>
      </c>
      <c r="C21" s="63">
        <f>'Main Plaza'!C153</f>
        <v>-1499349.7892</v>
      </c>
      <c r="D21" s="63">
        <f>'Main Plaza'!D153</f>
        <v>-274552.14</v>
      </c>
      <c r="E21" s="63">
        <f>'Main Plaza'!E153</f>
        <v>-166853.12</v>
      </c>
      <c r="F21" s="63">
        <f>'Main Plaza'!F153</f>
        <v>-76400.009999999995</v>
      </c>
      <c r="G21" s="63">
        <f>'Main Plaza'!G153</f>
        <v>-272562.78999999998</v>
      </c>
      <c r="H21" s="63">
        <f>'Main Plaza'!H153</f>
        <v>-145846.08850000001</v>
      </c>
      <c r="I21" s="63">
        <f>'Main Plaza'!I153</f>
        <v>-98949.767600000006</v>
      </c>
      <c r="J21" s="63">
        <f>'Main Plaza'!J153</f>
        <v>-162913.03959999999</v>
      </c>
      <c r="K21" s="63">
        <f>'Main Plaza'!K153</f>
        <v>-142601.7304</v>
      </c>
      <c r="L21" s="63">
        <f>'Main Plaza'!L153</f>
        <v>-65318.778100000003</v>
      </c>
      <c r="M21" s="63">
        <f>'Main Plaza'!M153</f>
        <v>34585.984700000001</v>
      </c>
      <c r="N21" s="63">
        <f>'Main Plaza'!N153</f>
        <v>-18871.376100000001</v>
      </c>
      <c r="O21" s="63">
        <f>'Main Plaza'!O153</f>
        <v>-109066.9336</v>
      </c>
      <c r="P21" s="50">
        <f t="shared" si="11"/>
        <v>-1035163.9161000001</v>
      </c>
      <c r="Q21" s="50">
        <f t="shared" si="12"/>
        <v>-464185.87309999997</v>
      </c>
      <c r="R21" s="51">
        <f>P21+Q21-C21</f>
        <v>0</v>
      </c>
    </row>
    <row r="22" spans="1:18" s="53" customFormat="1" ht="13.25" hidden="1" customHeight="1" outlineLevel="1" x14ac:dyDescent="0.15">
      <c r="A22" s="354"/>
      <c r="B22" s="97" t="s">
        <v>176</v>
      </c>
      <c r="C22" s="65"/>
      <c r="D22" s="65">
        <f>189468/1.19*30%</f>
        <v>47765.042016806721</v>
      </c>
      <c r="E22" s="66">
        <f>+D22</f>
        <v>47765.042016806721</v>
      </c>
      <c r="F22" s="65">
        <f t="shared" ref="F22:O22" si="16">189468/1.19*30%</f>
        <v>47765.042016806721</v>
      </c>
      <c r="G22" s="65">
        <f t="shared" si="16"/>
        <v>47765.042016806721</v>
      </c>
      <c r="H22" s="65">
        <f t="shared" si="16"/>
        <v>47765.042016806721</v>
      </c>
      <c r="I22" s="65">
        <f t="shared" si="16"/>
        <v>47765.042016806721</v>
      </c>
      <c r="J22" s="65">
        <f t="shared" si="16"/>
        <v>47765.042016806721</v>
      </c>
      <c r="K22" s="65">
        <f t="shared" si="16"/>
        <v>47765.042016806721</v>
      </c>
      <c r="L22" s="65">
        <f t="shared" si="16"/>
        <v>47765.042016806721</v>
      </c>
      <c r="M22" s="65">
        <f t="shared" si="16"/>
        <v>47765.042016806721</v>
      </c>
      <c r="N22" s="65">
        <f t="shared" si="16"/>
        <v>47765.042016806721</v>
      </c>
      <c r="O22" s="65">
        <f t="shared" si="16"/>
        <v>47765.042016806721</v>
      </c>
      <c r="P22" s="55">
        <f>SUM(D22:I22)</f>
        <v>286590.25210084033</v>
      </c>
      <c r="Q22" s="55">
        <f t="shared" si="12"/>
        <v>286590.25210084033</v>
      </c>
      <c r="R22" s="54"/>
    </row>
    <row r="23" spans="1:18" s="53" customFormat="1" ht="13.25" hidden="1" customHeight="1" outlineLevel="1" x14ac:dyDescent="0.15">
      <c r="A23" s="354"/>
      <c r="B23" s="47" t="s">
        <v>168</v>
      </c>
      <c r="C23" s="63">
        <f>Leverkusen!C153</f>
        <v>561711.49529999995</v>
      </c>
      <c r="D23" s="63">
        <f>Leverkusen!D153</f>
        <v>11652.16</v>
      </c>
      <c r="E23" s="63">
        <f>Leverkusen!E153</f>
        <v>-16003.8</v>
      </c>
      <c r="F23" s="63">
        <f>Leverkusen!F153</f>
        <v>69980.789999999994</v>
      </c>
      <c r="G23" s="63">
        <f>Leverkusen!G153</f>
        <v>-65092.08</v>
      </c>
      <c r="H23" s="63">
        <f>Leverkusen!H153</f>
        <v>55107.464699999997</v>
      </c>
      <c r="I23" s="63">
        <f>Leverkusen!I153</f>
        <v>47326.388899999998</v>
      </c>
      <c r="J23" s="63">
        <f>Leverkusen!J153</f>
        <v>-70594.638399999996</v>
      </c>
      <c r="K23" s="63">
        <f>Leverkusen!K153</f>
        <v>14088.2183</v>
      </c>
      <c r="L23" s="63">
        <f>Leverkusen!L153</f>
        <v>158851.5514</v>
      </c>
      <c r="M23" s="63">
        <f>Leverkusen!M153</f>
        <v>183949.8823</v>
      </c>
      <c r="N23" s="63">
        <f>Leverkusen!N153</f>
        <v>126926.5205</v>
      </c>
      <c r="O23" s="63">
        <f>Leverkusen!O153</f>
        <v>45519.037600000003</v>
      </c>
      <c r="P23" s="50">
        <f>SUM(D23:I23)</f>
        <v>102970.92359999998</v>
      </c>
      <c r="Q23" s="50">
        <f t="shared" si="12"/>
        <v>458740.57169999997</v>
      </c>
      <c r="R23" s="54" t="s">
        <v>202</v>
      </c>
    </row>
    <row r="24" spans="1:18" ht="13.25" hidden="1" customHeight="1" outlineLevel="1" x14ac:dyDescent="0.15">
      <c r="A24" s="354"/>
      <c r="B24" s="47" t="s">
        <v>162</v>
      </c>
      <c r="C24" s="63">
        <f>Seestern!C153</f>
        <v>587850.37760000001</v>
      </c>
      <c r="D24" s="63">
        <f>Seestern!D153</f>
        <v>-10504.74</v>
      </c>
      <c r="E24" s="63">
        <f>Seestern!E153</f>
        <v>-203276.93</v>
      </c>
      <c r="F24" s="63">
        <f>Seestern!F153</f>
        <v>200126.03</v>
      </c>
      <c r="G24" s="63">
        <f>Seestern!G153</f>
        <v>-52909.46</v>
      </c>
      <c r="H24" s="63">
        <f>Seestern!H153</f>
        <v>103015.50139999999</v>
      </c>
      <c r="I24" s="63">
        <f>Seestern!I153</f>
        <v>-15091.5816</v>
      </c>
      <c r="J24" s="63">
        <f>Seestern!J153</f>
        <v>-124845.7841</v>
      </c>
      <c r="K24" s="63">
        <f>Seestern!K153</f>
        <v>-36129.954100000003</v>
      </c>
      <c r="L24" s="63">
        <f>Seestern!L153</f>
        <v>189466.78049999999</v>
      </c>
      <c r="M24" s="63">
        <f>Seestern!M153</f>
        <v>319545.89559999999</v>
      </c>
      <c r="N24" s="63">
        <f>Seestern!N153</f>
        <v>242946.9529</v>
      </c>
      <c r="O24" s="63">
        <f>Seestern!O153</f>
        <v>-24492.332999999999</v>
      </c>
      <c r="P24" s="50">
        <f>SUM(D24:I24)</f>
        <v>21358.819800000019</v>
      </c>
      <c r="Q24" s="50">
        <f t="shared" si="12"/>
        <v>566491.55779999995</v>
      </c>
      <c r="R24" s="51">
        <f t="shared" ref="R24:R29" si="17">P24+Q24-C24</f>
        <v>0</v>
      </c>
    </row>
    <row r="25" spans="1:18" ht="13.25" hidden="1" customHeight="1" outlineLevel="1" x14ac:dyDescent="0.15">
      <c r="A25" s="354"/>
      <c r="B25" s="47" t="s">
        <v>165</v>
      </c>
      <c r="C25" s="63">
        <f>Michel!C153</f>
        <v>1498105.7712000001</v>
      </c>
      <c r="D25" s="63">
        <f>Michel!D153</f>
        <v>-164842.28</v>
      </c>
      <c r="E25" s="63">
        <f>Michel!E153</f>
        <v>-196350.38</v>
      </c>
      <c r="F25" s="63">
        <f>Michel!F153</f>
        <v>89456.43</v>
      </c>
      <c r="G25" s="63">
        <f>Michel!G153</f>
        <v>100022.62</v>
      </c>
      <c r="H25" s="63">
        <f>Michel!H153</f>
        <v>384065.31430000003</v>
      </c>
      <c r="I25" s="63">
        <f>Michel!I153</f>
        <v>256507.40609999999</v>
      </c>
      <c r="J25" s="63">
        <f>Michel!J153</f>
        <v>101063.78170000001</v>
      </c>
      <c r="K25" s="63">
        <f>Michel!K153</f>
        <v>50639.013099999996</v>
      </c>
      <c r="L25" s="63">
        <f>Michel!L153</f>
        <v>335396.4363</v>
      </c>
      <c r="M25" s="63">
        <f>Michel!M153</f>
        <v>267152.4425</v>
      </c>
      <c r="N25" s="63">
        <f>Michel!N153</f>
        <v>173411.38</v>
      </c>
      <c r="O25" s="63">
        <f>Michel!O153</f>
        <v>101583.6072</v>
      </c>
      <c r="P25" s="50">
        <f t="shared" si="11"/>
        <v>468859.11040000001</v>
      </c>
      <c r="Q25" s="50">
        <f t="shared" si="12"/>
        <v>1029246.6608</v>
      </c>
      <c r="R25" s="51">
        <f t="shared" si="17"/>
        <v>0</v>
      </c>
    </row>
    <row r="26" spans="1:18" ht="13.25" hidden="1" customHeight="1" outlineLevel="1" x14ac:dyDescent="0.15">
      <c r="A26" s="354"/>
      <c r="B26" s="47" t="s">
        <v>166</v>
      </c>
      <c r="C26" s="63">
        <f>'Köln Dom'!C153</f>
        <v>120286.1274</v>
      </c>
      <c r="D26" s="63">
        <f>'Köln Dom'!D153</f>
        <v>-126132.15</v>
      </c>
      <c r="E26" s="63">
        <f>'Köln Dom'!E153</f>
        <v>-38758.06</v>
      </c>
      <c r="F26" s="63">
        <f>'Köln Dom'!F153</f>
        <v>79067.62</v>
      </c>
      <c r="G26" s="63">
        <f>'Köln Dom'!G153</f>
        <v>18302.689999999999</v>
      </c>
      <c r="H26" s="63">
        <f>'Köln Dom'!H153</f>
        <v>21909.5605</v>
      </c>
      <c r="I26" s="63">
        <f>'Köln Dom'!I153</f>
        <v>-6044.1391000000003</v>
      </c>
      <c r="J26" s="63">
        <f>'Köln Dom'!J153</f>
        <v>-28080.1702</v>
      </c>
      <c r="K26" s="63">
        <f>'Köln Dom'!K153</f>
        <v>10807.8305</v>
      </c>
      <c r="L26" s="63">
        <f>'Köln Dom'!L153</f>
        <v>35876.088600000003</v>
      </c>
      <c r="M26" s="63">
        <f>'Köln Dom'!M153</f>
        <v>116058.73540000001</v>
      </c>
      <c r="N26" s="63">
        <f>'Köln Dom'!N153</f>
        <v>24781.2546</v>
      </c>
      <c r="O26" s="63">
        <f>'Köln Dom'!O153</f>
        <v>12496.867099999999</v>
      </c>
      <c r="P26" s="50">
        <f t="shared" si="11"/>
        <v>-51654.478599999995</v>
      </c>
      <c r="Q26" s="50">
        <f t="shared" si="12"/>
        <v>171940.606</v>
      </c>
      <c r="R26" s="51" t="s">
        <v>203</v>
      </c>
    </row>
    <row r="27" spans="1:18" ht="13.25" hidden="1" customHeight="1" outlineLevel="1" x14ac:dyDescent="0.15">
      <c r="A27" s="354"/>
      <c r="B27" s="47" t="s">
        <v>167</v>
      </c>
      <c r="C27" s="63">
        <f>'City Plza'!C153</f>
        <v>281020.42619999999</v>
      </c>
      <c r="D27" s="63">
        <f>'City Plza'!D153</f>
        <v>-208942.58</v>
      </c>
      <c r="E27" s="63">
        <f>'City Plza'!E153</f>
        <v>-147468.01</v>
      </c>
      <c r="F27" s="63">
        <f>'City Plza'!F153</f>
        <v>263639.94</v>
      </c>
      <c r="G27" s="63">
        <f>'City Plza'!G153</f>
        <v>-11798.61</v>
      </c>
      <c r="H27" s="63">
        <f>'City Plza'!H153</f>
        <v>32594.665300000001</v>
      </c>
      <c r="I27" s="63">
        <f>'City Plza'!I153</f>
        <v>-34034.179700000001</v>
      </c>
      <c r="J27" s="63">
        <f>'City Plza'!J153</f>
        <v>-156251.9057</v>
      </c>
      <c r="K27" s="63">
        <f>'City Plza'!K153</f>
        <v>-1685.4707000000001</v>
      </c>
      <c r="L27" s="63">
        <f>'City Plza'!L153</f>
        <v>135422.5735</v>
      </c>
      <c r="M27" s="63">
        <f>'City Plza'!M153</f>
        <v>240099.92300000001</v>
      </c>
      <c r="N27" s="63">
        <f>'City Plza'!N153</f>
        <v>132258.87450000001</v>
      </c>
      <c r="O27" s="63">
        <f>'City Plza'!O153</f>
        <v>37185.205999999998</v>
      </c>
      <c r="P27" s="50">
        <f t="shared" si="11"/>
        <v>-106008.77439999997</v>
      </c>
      <c r="Q27" s="50">
        <f t="shared" si="12"/>
        <v>387029.20059999998</v>
      </c>
      <c r="R27" s="51" t="s">
        <v>203</v>
      </c>
    </row>
    <row r="28" spans="1:18" ht="13.25" hidden="1" customHeight="1" outlineLevel="1" x14ac:dyDescent="0.15">
      <c r="A28" s="354"/>
      <c r="B28" s="47" t="s">
        <v>172</v>
      </c>
      <c r="C28" s="63">
        <f>'MAA Mainz'!C153</f>
        <v>445680.01250000001</v>
      </c>
      <c r="D28" s="63">
        <f>'MAA Mainz'!D153</f>
        <v>-77260.27</v>
      </c>
      <c r="E28" s="63">
        <f>'MAA Mainz'!E153</f>
        <v>-34059.46</v>
      </c>
      <c r="F28" s="63">
        <f>'MAA Mainz'!F153</f>
        <v>174602.72</v>
      </c>
      <c r="G28" s="63">
        <f>'MAA Mainz'!G153</f>
        <v>-211350.75</v>
      </c>
      <c r="H28" s="63">
        <f>'MAA Mainz'!H153</f>
        <v>28420.521400000001</v>
      </c>
      <c r="I28" s="63">
        <f>'MAA Mainz'!I153</f>
        <v>99978.8321</v>
      </c>
      <c r="J28" s="63">
        <f>'MAA Mainz'!J153</f>
        <v>66832.498099999997</v>
      </c>
      <c r="K28" s="63">
        <f>'MAA Mainz'!K153</f>
        <v>18647.959900000002</v>
      </c>
      <c r="L28" s="63">
        <f>'MAA Mainz'!L153</f>
        <v>202918.72930000001</v>
      </c>
      <c r="M28" s="63">
        <f>'MAA Mainz'!M153</f>
        <v>100732.31690000001</v>
      </c>
      <c r="N28" s="63">
        <f>'MAA Mainz'!N153</f>
        <v>83784.556200000006</v>
      </c>
      <c r="O28" s="63">
        <f>'MAA Mainz'!O153</f>
        <v>-7567.6414000000004</v>
      </c>
      <c r="P28" s="50">
        <f>SUM(D28:I28)</f>
        <v>-19668.406500000012</v>
      </c>
      <c r="Q28" s="50">
        <f t="shared" si="12"/>
        <v>465348.41899999994</v>
      </c>
      <c r="R28" s="51">
        <f t="shared" si="17"/>
        <v>0</v>
      </c>
    </row>
    <row r="29" spans="1:18" ht="13.25" hidden="1" customHeight="1" outlineLevel="1" x14ac:dyDescent="0.15">
      <c r="A29" s="354"/>
      <c r="B29" s="47" t="s">
        <v>169</v>
      </c>
      <c r="C29" s="63">
        <f>Oberstaufen!C153</f>
        <v>-1484989.9561999999</v>
      </c>
      <c r="D29" s="63">
        <f>Oberstaufen!D153</f>
        <v>-181371.5</v>
      </c>
      <c r="E29" s="63">
        <f>Oberstaufen!E153</f>
        <v>-175734.32</v>
      </c>
      <c r="F29" s="63">
        <f>Oberstaufen!F153</f>
        <v>-175302</v>
      </c>
      <c r="G29" s="63">
        <f>Oberstaufen!G153</f>
        <v>-206233.27</v>
      </c>
      <c r="H29" s="63">
        <f>Oberstaufen!H153</f>
        <v>-104388.8606</v>
      </c>
      <c r="I29" s="63">
        <f>Oberstaufen!I153</f>
        <v>-116504.1479</v>
      </c>
      <c r="J29" s="63">
        <f>Oberstaufen!J153</f>
        <v>-27307.282299999999</v>
      </c>
      <c r="K29" s="63">
        <f>Oberstaufen!K153</f>
        <v>13587.2212</v>
      </c>
      <c r="L29" s="63">
        <f>Oberstaufen!L153</f>
        <v>-45201.834499999997</v>
      </c>
      <c r="M29" s="63">
        <f>Oberstaufen!M153</f>
        <v>-79254.811300000001</v>
      </c>
      <c r="N29" s="63">
        <f>Oberstaufen!N153</f>
        <v>-152965.4129</v>
      </c>
      <c r="O29" s="63">
        <f>Oberstaufen!O153</f>
        <v>-234313.73790000001</v>
      </c>
      <c r="P29" s="50">
        <f t="shared" si="11"/>
        <v>-959534.09850000008</v>
      </c>
      <c r="Q29" s="50">
        <f t="shared" si="12"/>
        <v>-525455.85770000005</v>
      </c>
      <c r="R29" s="51">
        <f t="shared" si="17"/>
        <v>0</v>
      </c>
    </row>
    <row r="30" spans="1:18" ht="13.25" hidden="1" customHeight="1" outlineLevel="1" x14ac:dyDescent="0.15">
      <c r="A30" s="354"/>
      <c r="B30" s="98" t="s">
        <v>179</v>
      </c>
      <c r="C30" s="68"/>
      <c r="D30" s="68">
        <f>-D29</f>
        <v>181371.5</v>
      </c>
      <c r="E30" s="68">
        <f t="shared" ref="E30:O30" si="18">-E29</f>
        <v>175734.32</v>
      </c>
      <c r="F30" s="68">
        <f t="shared" si="18"/>
        <v>175302</v>
      </c>
      <c r="G30" s="68">
        <f t="shared" si="18"/>
        <v>206233.27</v>
      </c>
      <c r="H30" s="68">
        <f t="shared" si="18"/>
        <v>104388.8606</v>
      </c>
      <c r="I30" s="68">
        <f t="shared" si="18"/>
        <v>116504.1479</v>
      </c>
      <c r="J30" s="68">
        <f t="shared" si="18"/>
        <v>27307.282299999999</v>
      </c>
      <c r="K30" s="68">
        <f t="shared" si="18"/>
        <v>-13587.2212</v>
      </c>
      <c r="L30" s="68">
        <f t="shared" si="18"/>
        <v>45201.834499999997</v>
      </c>
      <c r="M30" s="68">
        <f t="shared" si="18"/>
        <v>79254.811300000001</v>
      </c>
      <c r="N30" s="68">
        <f t="shared" si="18"/>
        <v>152965.4129</v>
      </c>
      <c r="O30" s="68">
        <f t="shared" si="18"/>
        <v>234313.73790000001</v>
      </c>
      <c r="P30" s="50">
        <f t="shared" si="11"/>
        <v>959534.09850000008</v>
      </c>
      <c r="Q30" s="50">
        <f t="shared" si="12"/>
        <v>525455.85770000005</v>
      </c>
      <c r="R30" s="51"/>
    </row>
    <row r="31" spans="1:18" ht="13.25" hidden="1" customHeight="1" outlineLevel="1" x14ac:dyDescent="0.15">
      <c r="A31" s="354"/>
      <c r="B31" s="47" t="s">
        <v>170</v>
      </c>
      <c r="C31" s="63">
        <f>Sylt!C153</f>
        <v>-333105.88260000001</v>
      </c>
      <c r="D31" s="63">
        <f>Sylt!D153</f>
        <v>-219368.6</v>
      </c>
      <c r="E31" s="63">
        <f>Sylt!E153</f>
        <v>-151835.32</v>
      </c>
      <c r="F31" s="63">
        <f>Sylt!F153</f>
        <v>-91474.18</v>
      </c>
      <c r="G31" s="63">
        <f>Sylt!G153</f>
        <v>-45523.53</v>
      </c>
      <c r="H31" s="63">
        <f>Sylt!H153</f>
        <v>63583.046499999997</v>
      </c>
      <c r="I31" s="63">
        <f>Sylt!I153</f>
        <v>71983.866099999999</v>
      </c>
      <c r="J31" s="63">
        <f>Sylt!J153</f>
        <v>131600.91070000001</v>
      </c>
      <c r="K31" s="63">
        <f>Sylt!K153</f>
        <v>185128.04269999999</v>
      </c>
      <c r="L31" s="63">
        <f>Sylt!L153</f>
        <v>140672.598</v>
      </c>
      <c r="M31" s="63">
        <f>Sylt!M153</f>
        <v>-168044.8725</v>
      </c>
      <c r="N31" s="63">
        <f>Sylt!N153</f>
        <v>-129757.633</v>
      </c>
      <c r="O31" s="63">
        <f>Sylt!O153</f>
        <v>-120070.2111</v>
      </c>
      <c r="P31" s="50">
        <f t="shared" si="11"/>
        <v>-372634.71740000002</v>
      </c>
      <c r="Q31" s="50">
        <f t="shared" si="12"/>
        <v>39528.834799999997</v>
      </c>
      <c r="R31" s="51">
        <f>P31+Q31-C31</f>
        <v>0</v>
      </c>
    </row>
    <row r="32" spans="1:18" ht="13.25" hidden="1" customHeight="1" outlineLevel="1" x14ac:dyDescent="0.15">
      <c r="A32" s="354"/>
      <c r="B32" s="98" t="s">
        <v>179</v>
      </c>
      <c r="C32" s="68"/>
      <c r="D32" s="68">
        <f>-D31</f>
        <v>219368.6</v>
      </c>
      <c r="E32" s="68">
        <f t="shared" ref="E32:O32" si="19">-E31</f>
        <v>151835.32</v>
      </c>
      <c r="F32" s="68">
        <f t="shared" si="19"/>
        <v>91474.18</v>
      </c>
      <c r="G32" s="68">
        <f t="shared" si="19"/>
        <v>45523.53</v>
      </c>
      <c r="H32" s="68">
        <f t="shared" si="19"/>
        <v>-63583.046499999997</v>
      </c>
      <c r="I32" s="68">
        <f t="shared" si="19"/>
        <v>-71983.866099999999</v>
      </c>
      <c r="J32" s="68">
        <f t="shared" si="19"/>
        <v>-131600.91070000001</v>
      </c>
      <c r="K32" s="68">
        <f t="shared" si="19"/>
        <v>-185128.04269999999</v>
      </c>
      <c r="L32" s="68">
        <f t="shared" si="19"/>
        <v>-140672.598</v>
      </c>
      <c r="M32" s="68">
        <f t="shared" si="19"/>
        <v>168044.8725</v>
      </c>
      <c r="N32" s="68">
        <f t="shared" si="19"/>
        <v>129757.633</v>
      </c>
      <c r="O32" s="68">
        <f t="shared" si="19"/>
        <v>120070.2111</v>
      </c>
      <c r="P32" s="50">
        <f t="shared" ref="P32" si="20">SUM(D32:I32)</f>
        <v>372634.71740000002</v>
      </c>
      <c r="Q32" s="50">
        <f t="shared" si="12"/>
        <v>-39528.834799999997</v>
      </c>
      <c r="R32" s="51"/>
    </row>
    <row r="33" spans="1:18" ht="13.25" hidden="1" customHeight="1" outlineLevel="1" x14ac:dyDescent="0.15">
      <c r="A33" s="354"/>
      <c r="B33" s="47" t="s">
        <v>171</v>
      </c>
      <c r="C33" s="63">
        <f>Wiesensee!C153</f>
        <v>-1290897.5437</v>
      </c>
      <c r="D33" s="63">
        <f>Wiesensee!D153</f>
        <v>-281949.18</v>
      </c>
      <c r="E33" s="63">
        <f>Wiesensee!E153</f>
        <v>-216854.64</v>
      </c>
      <c r="F33" s="63">
        <f>Wiesensee!F153</f>
        <v>37373.800000000003</v>
      </c>
      <c r="G33" s="63">
        <f>Wiesensee!G153</f>
        <v>-186943.22</v>
      </c>
      <c r="H33" s="63">
        <f>Wiesensee!H153</f>
        <v>-77134.5867</v>
      </c>
      <c r="I33" s="63">
        <f>Wiesensee!I153</f>
        <v>-89014.294200000004</v>
      </c>
      <c r="J33" s="63">
        <f>Wiesensee!J153</f>
        <v>-101077.70699999999</v>
      </c>
      <c r="K33" s="63">
        <f>Wiesensee!K153</f>
        <v>4649.9858999999997</v>
      </c>
      <c r="L33" s="63">
        <f>Wiesensee!L153</f>
        <v>60146.968500000003</v>
      </c>
      <c r="M33" s="63">
        <f>Wiesensee!M153</f>
        <v>-128115.6024</v>
      </c>
      <c r="N33" s="63">
        <f>Wiesensee!N153</f>
        <v>-128187.2147</v>
      </c>
      <c r="O33" s="63">
        <f>Wiesensee!O153</f>
        <v>-183791.85310000001</v>
      </c>
      <c r="P33" s="50">
        <f t="shared" si="11"/>
        <v>-814522.12089999998</v>
      </c>
      <c r="Q33" s="50">
        <f t="shared" si="12"/>
        <v>-476375.4228</v>
      </c>
      <c r="R33" s="51">
        <f>P33+Q33-C33</f>
        <v>0</v>
      </c>
    </row>
    <row r="34" spans="1:18" ht="13.25" hidden="1" customHeight="1" outlineLevel="1" x14ac:dyDescent="0.15">
      <c r="A34" s="354"/>
      <c r="B34" s="98" t="s">
        <v>179</v>
      </c>
      <c r="C34" s="68"/>
      <c r="D34" s="68">
        <f>-D33</f>
        <v>281949.18</v>
      </c>
      <c r="E34" s="68">
        <f t="shared" ref="E34:O34" si="21">-E33</f>
        <v>216854.64</v>
      </c>
      <c r="F34" s="68">
        <f t="shared" si="21"/>
        <v>-37373.800000000003</v>
      </c>
      <c r="G34" s="68">
        <f t="shared" si="21"/>
        <v>186943.22</v>
      </c>
      <c r="H34" s="68">
        <f t="shared" si="21"/>
        <v>77134.5867</v>
      </c>
      <c r="I34" s="68">
        <f t="shared" si="21"/>
        <v>89014.294200000004</v>
      </c>
      <c r="J34" s="68">
        <f t="shared" si="21"/>
        <v>101077.70699999999</v>
      </c>
      <c r="K34" s="68">
        <f t="shared" si="21"/>
        <v>-4649.9858999999997</v>
      </c>
      <c r="L34" s="68">
        <f t="shared" si="21"/>
        <v>-60146.968500000003</v>
      </c>
      <c r="M34" s="68">
        <f t="shared" si="21"/>
        <v>128115.6024</v>
      </c>
      <c r="N34" s="68">
        <f t="shared" si="21"/>
        <v>128187.2147</v>
      </c>
      <c r="O34" s="68">
        <f t="shared" si="21"/>
        <v>183791.85310000001</v>
      </c>
      <c r="P34" s="50">
        <f t="shared" si="11"/>
        <v>814522.12089999998</v>
      </c>
      <c r="Q34" s="50">
        <f t="shared" si="12"/>
        <v>476375.4228</v>
      </c>
      <c r="R34" s="51"/>
    </row>
    <row r="35" spans="1:18" ht="7.25" hidden="1" customHeight="1" outlineLevel="1" collapsed="1" x14ac:dyDescent="0.15">
      <c r="A35" s="354"/>
    </row>
    <row r="36" spans="1:18" ht="14" collapsed="1" x14ac:dyDescent="0.15">
      <c r="A36" s="354"/>
      <c r="B36" s="69" t="s">
        <v>191</v>
      </c>
      <c r="C36" s="70">
        <f>SUM(D36:O36)</f>
        <v>-13358.659253781836</v>
      </c>
      <c r="D36" s="70">
        <f t="shared" ref="D36:O36" si="22">D11+D16+D18+D20+D22+D30+D32+D34</f>
        <v>-1226097.0012605041</v>
      </c>
      <c r="E36" s="70">
        <f t="shared" si="22"/>
        <v>-960675.74126050423</v>
      </c>
      <c r="F36" s="70">
        <f t="shared" si="22"/>
        <v>917650.15873949579</v>
      </c>
      <c r="G36" s="70">
        <f t="shared" si="22"/>
        <v>-1012800.8412605042</v>
      </c>
      <c r="H36" s="70">
        <f t="shared" si="22"/>
        <v>575093.86953949591</v>
      </c>
      <c r="I36" s="70">
        <f t="shared" si="22"/>
        <v>-220883.7752605041</v>
      </c>
      <c r="J36" s="70">
        <f t="shared" si="22"/>
        <v>-1119098.241815126</v>
      </c>
      <c r="K36" s="70">
        <f t="shared" si="22"/>
        <v>-857945.33871512616</v>
      </c>
      <c r="L36" s="70">
        <f t="shared" si="22"/>
        <v>1221076.669484874</v>
      </c>
      <c r="M36" s="70">
        <f t="shared" si="22"/>
        <v>1821574.3695848738</v>
      </c>
      <c r="N36" s="70">
        <f t="shared" si="22"/>
        <v>1051038.6765848738</v>
      </c>
      <c r="O36" s="70">
        <f t="shared" si="22"/>
        <v>-202291.46361512615</v>
      </c>
      <c r="P36" s="70">
        <f>SUM(D36:I36)</f>
        <v>-1927713.330763025</v>
      </c>
      <c r="Q36" s="70">
        <f>SUM(J36:O36)</f>
        <v>1914354.6715092433</v>
      </c>
      <c r="R36" s="27"/>
    </row>
    <row r="37" spans="1:18" ht="7.5" customHeight="1" x14ac:dyDescent="0.15">
      <c r="A37" s="81"/>
      <c r="B37" s="47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</row>
    <row r="38" spans="1:18" ht="14" x14ac:dyDescent="0.15">
      <c r="A38" s="355" t="s">
        <v>190</v>
      </c>
      <c r="B38" s="71" t="s">
        <v>346</v>
      </c>
      <c r="C38" s="61">
        <f t="shared" ref="C38:O38" si="23">C12</f>
        <v>-4193451.4056000002</v>
      </c>
      <c r="D38" s="61">
        <f t="shared" si="23"/>
        <v>-468777.36</v>
      </c>
      <c r="E38" s="61">
        <f t="shared" si="23"/>
        <v>-1268229.6499999999</v>
      </c>
      <c r="F38" s="61">
        <f t="shared" si="23"/>
        <v>-1457014.04</v>
      </c>
      <c r="G38" s="61">
        <f t="shared" si="23"/>
        <v>-483166.92</v>
      </c>
      <c r="H38" s="61">
        <f t="shared" si="23"/>
        <v>-24692.400000000001</v>
      </c>
      <c r="I38" s="61">
        <f t="shared" si="23"/>
        <v>-722683.22</v>
      </c>
      <c r="J38" s="61">
        <f t="shared" si="23"/>
        <v>405271.35379999998</v>
      </c>
      <c r="K38" s="61">
        <f t="shared" si="23"/>
        <v>336489.1765</v>
      </c>
      <c r="L38" s="61">
        <f t="shared" si="23"/>
        <v>276346.23700000002</v>
      </c>
      <c r="M38" s="61">
        <f t="shared" si="23"/>
        <v>68890.861799999999</v>
      </c>
      <c r="N38" s="61">
        <f t="shared" si="23"/>
        <v>-397829.76189999998</v>
      </c>
      <c r="O38" s="61">
        <f t="shared" si="23"/>
        <v>-458055.68280000001</v>
      </c>
      <c r="P38" s="62">
        <f t="shared" ref="P38" si="24">SUM(D38:I38)</f>
        <v>-4424563.59</v>
      </c>
      <c r="Q38" s="62">
        <f>SUM(J38:O38)</f>
        <v>231112.18439999997</v>
      </c>
      <c r="R38" s="27"/>
    </row>
    <row r="39" spans="1:18" ht="12.75" hidden="1" customHeight="1" outlineLevel="1" x14ac:dyDescent="0.15">
      <c r="A39" s="355"/>
      <c r="B39" s="73" t="s">
        <v>181</v>
      </c>
      <c r="C39" s="63">
        <f>-(Oberstaufen!C159+Oberstaufen!C160+Oberstaufen!C158)-(Sylt!C158+Sylt!C159+Sylt!C160)-(Wiesensee!C158+Wiesensee!C159+Wiesensee!C160)</f>
        <v>-664601.56719999993</v>
      </c>
      <c r="D39" s="63">
        <f>-(Oberstaufen!D159+Oberstaufen!D160+Oberstaufen!D158)-(Sylt!D158+Sylt!D159+Sylt!D160)-(Wiesensee!D158+Wiesensee!D159+Wiesensee!D160)</f>
        <v>-17048.919999999998</v>
      </c>
      <c r="E39" s="63">
        <f>-(Oberstaufen!E159+Oberstaufen!E160+Oberstaufen!E158)-(Sylt!E158+Sylt!E159+Sylt!E160)-(Wiesensee!E158+Wiesensee!E159+Wiesensee!E160)</f>
        <v>-30913.83</v>
      </c>
      <c r="F39" s="63">
        <f>-(Oberstaufen!F159+Oberstaufen!F160+Oberstaufen!F158)-(Sylt!F158+Sylt!F159+Sylt!F160)-(Wiesensee!F158+Wiesensee!F159+Wiesensee!F160)</f>
        <v>-36758.11</v>
      </c>
      <c r="G39" s="63">
        <f>-(Oberstaufen!G159+Oberstaufen!G160+Oberstaufen!G158)-(Sylt!G158+Sylt!G159+Sylt!G160)-(Wiesensee!G158+Wiesensee!G159+Wiesensee!G160)</f>
        <v>-36922.53</v>
      </c>
      <c r="H39" s="63">
        <f>-(Oberstaufen!H159+Oberstaufen!H160+Oberstaufen!H158)-(Sylt!H158+Sylt!H159+Sylt!H160)-(Wiesensee!H158+Wiesensee!H159+Wiesensee!H160)</f>
        <v>-72040.669699999999</v>
      </c>
      <c r="I39" s="63">
        <f>-(Oberstaufen!I159+Oberstaufen!I160+Oberstaufen!I158)-(Sylt!I158+Sylt!I159+Sylt!I160)-(Wiesensee!I158+Wiesensee!I159+Wiesensee!I160)</f>
        <v>-79571.454899999997</v>
      </c>
      <c r="J39" s="63">
        <f>-(Oberstaufen!J159+Oberstaufen!J160+Oberstaufen!J158)-(Sylt!J158+Sylt!J159+Sylt!J160)-(Wiesensee!J158+Wiesensee!J159+Wiesensee!J160)</f>
        <v>-87430.9234</v>
      </c>
      <c r="K39" s="63">
        <f>-(Oberstaufen!K159+Oberstaufen!K160+Oberstaufen!K158)-(Sylt!K158+Sylt!K159+Sylt!K160)-(Wiesensee!K158+Wiesensee!K159+Wiesensee!K160)</f>
        <v>-101300.88019999999</v>
      </c>
      <c r="L39" s="63">
        <f>-(Oberstaufen!L159+Oberstaufen!L160+Oberstaufen!L158)-(Sylt!L158+Sylt!L159+Sylt!L160)-(Wiesensee!L158+Wiesensee!L159+Wiesensee!L160)</f>
        <v>-96631.058999999994</v>
      </c>
      <c r="M39" s="63">
        <f>-(Oberstaufen!M159+Oberstaufen!M160+Oberstaufen!M158)-(Sylt!M158+Sylt!M159+Sylt!M160)-(Wiesensee!M158+Wiesensee!M159+Wiesensee!M160)</f>
        <v>-46845.715100000001</v>
      </c>
      <c r="N39" s="63">
        <f>-(Oberstaufen!N159+Oberstaufen!N160+Oberstaufen!N158)-(Sylt!N158+Sylt!N159+Sylt!N160)-(Wiesensee!N158+Wiesensee!N159+Wiesensee!N160)</f>
        <v>-37039.562600000005</v>
      </c>
      <c r="O39" s="63">
        <f>-(Oberstaufen!O159+Oberstaufen!O160+Oberstaufen!O158)-(Sylt!O158+Sylt!O159+Sylt!O160)-(Wiesensee!O158+Wiesensee!O159+Wiesensee!O160)</f>
        <v>-22097.9123</v>
      </c>
      <c r="P39" s="50">
        <f t="shared" ref="P39:P57" si="25">SUM(D39:I39)</f>
        <v>-273255.51459999999</v>
      </c>
      <c r="Q39" s="50">
        <f t="shared" ref="Q39:Q57" si="26">SUM(J39:O39)</f>
        <v>-391346.05260000005</v>
      </c>
    </row>
    <row r="40" spans="1:18" ht="13.25" hidden="1" customHeight="1" outlineLevel="1" x14ac:dyDescent="0.15">
      <c r="A40" s="355"/>
      <c r="B40" s="47" t="s">
        <v>178</v>
      </c>
      <c r="F40" s="63">
        <f>49800*1.2</f>
        <v>59760</v>
      </c>
      <c r="G40" s="63">
        <f t="shared" ref="G40:I40" si="27">49800*1.2</f>
        <v>59760</v>
      </c>
      <c r="H40" s="63">
        <f t="shared" si="27"/>
        <v>59760</v>
      </c>
      <c r="I40" s="63">
        <f t="shared" si="27"/>
        <v>59760</v>
      </c>
      <c r="J40" s="63">
        <f>59800*1.2</f>
        <v>71760</v>
      </c>
      <c r="K40" s="63">
        <f t="shared" ref="K40:O40" si="28">59800*1.2</f>
        <v>71760</v>
      </c>
      <c r="L40" s="63">
        <f t="shared" si="28"/>
        <v>71760</v>
      </c>
      <c r="M40" s="63">
        <f t="shared" si="28"/>
        <v>71760</v>
      </c>
      <c r="N40" s="63">
        <f t="shared" si="28"/>
        <v>71760</v>
      </c>
      <c r="O40" s="63">
        <f t="shared" si="28"/>
        <v>71760</v>
      </c>
      <c r="P40" s="50">
        <f t="shared" si="25"/>
        <v>239040</v>
      </c>
      <c r="Q40" s="50">
        <f t="shared" si="26"/>
        <v>430560</v>
      </c>
      <c r="R40" t="s">
        <v>204</v>
      </c>
    </row>
    <row r="41" spans="1:18" ht="13.25" hidden="1" customHeight="1" outlineLevel="1" x14ac:dyDescent="0.15">
      <c r="A41" s="355"/>
      <c r="B41" s="47" t="s">
        <v>40</v>
      </c>
      <c r="F41">
        <v>3000</v>
      </c>
      <c r="G41" s="63">
        <v>3000</v>
      </c>
      <c r="H41" s="63">
        <v>3000</v>
      </c>
      <c r="I41" s="63">
        <v>3000</v>
      </c>
      <c r="J41" s="63">
        <v>4000</v>
      </c>
      <c r="K41" s="63">
        <v>4000</v>
      </c>
      <c r="L41" s="63">
        <v>4000</v>
      </c>
      <c r="M41" s="63">
        <v>4000</v>
      </c>
      <c r="N41" s="47">
        <f>3000+1000</f>
        <v>4000</v>
      </c>
      <c r="O41" s="47">
        <f>3000+1000</f>
        <v>4000</v>
      </c>
      <c r="P41" s="50">
        <f t="shared" si="25"/>
        <v>12000</v>
      </c>
      <c r="Q41" s="50">
        <f t="shared" si="26"/>
        <v>24000</v>
      </c>
      <c r="R41" t="s">
        <v>204</v>
      </c>
    </row>
    <row r="42" spans="1:18" ht="13.25" hidden="1" customHeight="1" outlineLevel="1" x14ac:dyDescent="0.15">
      <c r="A42" s="355"/>
      <c r="B42" s="47" t="s">
        <v>178</v>
      </c>
      <c r="D42">
        <v>45000</v>
      </c>
      <c r="E42">
        <v>70000</v>
      </c>
      <c r="F42" s="47">
        <f t="shared" ref="F42:O42" si="29">3000*1.2+70000</f>
        <v>73600</v>
      </c>
      <c r="G42" s="47">
        <f t="shared" si="29"/>
        <v>73600</v>
      </c>
      <c r="H42" s="47">
        <f t="shared" si="29"/>
        <v>73600</v>
      </c>
      <c r="I42" s="47">
        <f t="shared" si="29"/>
        <v>73600</v>
      </c>
      <c r="J42" s="47">
        <f t="shared" si="29"/>
        <v>73600</v>
      </c>
      <c r="K42" s="47">
        <f t="shared" si="29"/>
        <v>73600</v>
      </c>
      <c r="L42" s="47">
        <f t="shared" si="29"/>
        <v>73600</v>
      </c>
      <c r="M42" s="47">
        <f t="shared" si="29"/>
        <v>73600</v>
      </c>
      <c r="N42" s="47">
        <f t="shared" si="29"/>
        <v>73600</v>
      </c>
      <c r="O42" s="47">
        <f t="shared" si="29"/>
        <v>73600</v>
      </c>
      <c r="P42" s="50">
        <f t="shared" si="25"/>
        <v>409400</v>
      </c>
      <c r="Q42" s="50">
        <f t="shared" si="26"/>
        <v>441600</v>
      </c>
      <c r="R42" t="s">
        <v>205</v>
      </c>
    </row>
    <row r="43" spans="1:18" ht="13.25" hidden="1" customHeight="1" outlineLevel="1" x14ac:dyDescent="0.15">
      <c r="A43" s="355"/>
      <c r="B43" s="47" t="s">
        <v>40</v>
      </c>
      <c r="D43" s="74">
        <f>5000+8000</f>
        <v>13000</v>
      </c>
      <c r="E43" s="74">
        <f>8000+5000</f>
        <v>13000</v>
      </c>
      <c r="F43" s="74">
        <f>9400+8000+5000</f>
        <v>22400</v>
      </c>
      <c r="G43" s="74">
        <f>8000+5000</f>
        <v>13000</v>
      </c>
      <c r="H43" s="74">
        <f>8000+42000+5000</f>
        <v>55000</v>
      </c>
      <c r="I43" s="74">
        <f>9400+8000+5000</f>
        <v>22400</v>
      </c>
      <c r="J43" s="74">
        <f>8000+5000</f>
        <v>13000</v>
      </c>
      <c r="K43" s="74">
        <f>8000+5000</f>
        <v>13000</v>
      </c>
      <c r="L43" s="74">
        <f>8000+5000</f>
        <v>13000</v>
      </c>
      <c r="M43" s="74">
        <f>9400+8000+5000</f>
        <v>22400</v>
      </c>
      <c r="N43" s="74">
        <f>8000+5000</f>
        <v>13000</v>
      </c>
      <c r="O43" s="74">
        <f>9400+7500+8000+5000</f>
        <v>29900</v>
      </c>
      <c r="P43" s="50">
        <f t="shared" si="25"/>
        <v>138800</v>
      </c>
      <c r="Q43" s="50">
        <f t="shared" si="26"/>
        <v>104300</v>
      </c>
      <c r="R43" t="s">
        <v>205</v>
      </c>
    </row>
    <row r="44" spans="1:18" ht="13.25" hidden="1" customHeight="1" outlineLevel="1" x14ac:dyDescent="0.15">
      <c r="A44" s="355"/>
      <c r="B44" s="47" t="s">
        <v>178</v>
      </c>
      <c r="D44" s="74">
        <v>10000</v>
      </c>
      <c r="E44" s="74">
        <v>10000</v>
      </c>
      <c r="F44" s="74">
        <v>10000</v>
      </c>
      <c r="G44" s="74">
        <v>10000</v>
      </c>
      <c r="H44" s="74">
        <v>10000</v>
      </c>
      <c r="I44" s="74">
        <v>10000</v>
      </c>
      <c r="J44" s="74">
        <v>10000</v>
      </c>
      <c r="K44" s="74">
        <v>10000</v>
      </c>
      <c r="L44" s="74">
        <v>10000</v>
      </c>
      <c r="M44" s="74">
        <v>10000</v>
      </c>
      <c r="N44" s="74">
        <v>10000</v>
      </c>
      <c r="O44" s="74">
        <v>10000</v>
      </c>
      <c r="P44" s="50">
        <f t="shared" si="25"/>
        <v>60000</v>
      </c>
      <c r="Q44" s="50">
        <f t="shared" si="26"/>
        <v>60000</v>
      </c>
      <c r="R44" t="s">
        <v>206</v>
      </c>
    </row>
    <row r="45" spans="1:18" ht="13.25" hidden="1" customHeight="1" outlineLevel="1" x14ac:dyDescent="0.15">
      <c r="A45" s="355"/>
      <c r="B45" s="47" t="s">
        <v>40</v>
      </c>
      <c r="I45" s="63">
        <v>180000</v>
      </c>
      <c r="J45" s="63"/>
      <c r="K45" s="63"/>
      <c r="L45" s="63"/>
      <c r="M45" s="63"/>
      <c r="N45" s="63"/>
      <c r="O45" s="63">
        <v>180000</v>
      </c>
      <c r="P45" s="50">
        <f t="shared" si="25"/>
        <v>180000</v>
      </c>
      <c r="Q45" s="50">
        <f t="shared" si="26"/>
        <v>180000</v>
      </c>
      <c r="R45" t="s">
        <v>206</v>
      </c>
    </row>
    <row r="46" spans="1:18" ht="13.25" hidden="1" customHeight="1" outlineLevel="1" x14ac:dyDescent="0.15">
      <c r="A46" s="355"/>
      <c r="B46" s="47" t="s">
        <v>178</v>
      </c>
      <c r="F46" s="74">
        <f>15000*1.2</f>
        <v>18000</v>
      </c>
      <c r="G46" s="74">
        <f>15000*1.2</f>
        <v>18000</v>
      </c>
      <c r="H46" s="74">
        <f>15000*1.2</f>
        <v>18000</v>
      </c>
      <c r="I46" s="74">
        <f>15000*1.2</f>
        <v>18000</v>
      </c>
      <c r="J46" s="74">
        <f>15000*1.2</f>
        <v>18000</v>
      </c>
      <c r="K46" s="74">
        <f t="shared" ref="K46:O46" si="30">15000*1.2</f>
        <v>18000</v>
      </c>
      <c r="L46" s="74">
        <f t="shared" si="30"/>
        <v>18000</v>
      </c>
      <c r="M46" s="74">
        <f t="shared" si="30"/>
        <v>18000</v>
      </c>
      <c r="N46" s="74">
        <f t="shared" si="30"/>
        <v>18000</v>
      </c>
      <c r="O46" s="74">
        <f t="shared" si="30"/>
        <v>18000</v>
      </c>
      <c r="P46" s="50">
        <f t="shared" si="25"/>
        <v>72000</v>
      </c>
      <c r="Q46" s="50">
        <f t="shared" si="26"/>
        <v>108000</v>
      </c>
      <c r="R46" t="s">
        <v>207</v>
      </c>
    </row>
    <row r="47" spans="1:18" ht="13.25" hidden="1" customHeight="1" outlineLevel="1" x14ac:dyDescent="0.15">
      <c r="A47" s="355"/>
      <c r="B47" s="47" t="s">
        <v>40</v>
      </c>
      <c r="P47" s="50">
        <f t="shared" si="25"/>
        <v>0</v>
      </c>
      <c r="Q47" s="50">
        <f t="shared" si="26"/>
        <v>0</v>
      </c>
    </row>
    <row r="48" spans="1:18" ht="13.25" hidden="1" customHeight="1" outlineLevel="1" x14ac:dyDescent="0.15">
      <c r="A48" s="355"/>
      <c r="B48" s="47" t="s">
        <v>178</v>
      </c>
      <c r="F48">
        <f>15000*1.1</f>
        <v>16500</v>
      </c>
      <c r="G48">
        <f>15000*1.1</f>
        <v>16500</v>
      </c>
      <c r="H48">
        <f>15000*1.1</f>
        <v>16500</v>
      </c>
      <c r="I48">
        <f>15000*1.1</f>
        <v>16500</v>
      </c>
      <c r="P48" s="50">
        <f t="shared" si="25"/>
        <v>66000</v>
      </c>
      <c r="Q48" s="50">
        <f t="shared" si="26"/>
        <v>0</v>
      </c>
      <c r="R48" t="s">
        <v>208</v>
      </c>
    </row>
    <row r="49" spans="1:18" ht="13.25" hidden="1" customHeight="1" outlineLevel="1" x14ac:dyDescent="0.15">
      <c r="A49" s="355"/>
      <c r="B49" s="47" t="s">
        <v>40</v>
      </c>
      <c r="P49" s="50">
        <f t="shared" si="25"/>
        <v>0</v>
      </c>
      <c r="Q49" s="50">
        <f t="shared" si="26"/>
        <v>0</v>
      </c>
    </row>
    <row r="50" spans="1:18" ht="13.25" hidden="1" customHeight="1" outlineLevel="1" x14ac:dyDescent="0.15">
      <c r="A50" s="355"/>
      <c r="B50" s="47" t="s">
        <v>40</v>
      </c>
      <c r="D50" s="74">
        <v>10000</v>
      </c>
      <c r="E50" s="74">
        <v>10000</v>
      </c>
      <c r="F50" s="74">
        <v>10000</v>
      </c>
      <c r="G50" s="74">
        <v>10000</v>
      </c>
      <c r="H50" s="74">
        <v>10000</v>
      </c>
      <c r="I50" s="74">
        <v>10000</v>
      </c>
      <c r="J50" s="74">
        <v>10000</v>
      </c>
      <c r="K50" s="74">
        <v>10000</v>
      </c>
      <c r="L50" s="74">
        <v>10000</v>
      </c>
      <c r="M50" s="74">
        <v>10000</v>
      </c>
      <c r="N50" s="74">
        <v>10000</v>
      </c>
      <c r="O50" s="74">
        <v>10000</v>
      </c>
      <c r="P50" s="50">
        <f t="shared" si="25"/>
        <v>60000</v>
      </c>
      <c r="Q50" s="50">
        <f t="shared" si="26"/>
        <v>60000</v>
      </c>
    </row>
    <row r="51" spans="1:18" ht="13.25" hidden="1" customHeight="1" outlineLevel="1" x14ac:dyDescent="0.15">
      <c r="A51" s="355"/>
      <c r="B51" s="47" t="s">
        <v>178</v>
      </c>
      <c r="F51" s="74">
        <f>10000*1.1+Oberstaufen!F159+Sylt!F159+Wiesensee!F159</f>
        <v>18715.89</v>
      </c>
      <c r="G51" s="74">
        <f>10000*1.1+Oberstaufen!G159+Sylt!G159+Wiesensee!G159</f>
        <v>19863</v>
      </c>
      <c r="H51" s="74">
        <f>10000*1.1+Oberstaufen!H159+Sylt!H159+Wiesensee!H159</f>
        <v>34601.334699999999</v>
      </c>
      <c r="I51" s="74">
        <f>Oberstaufen!I159+Sylt!I159+Wiesensee!I159</f>
        <v>26057.406800000001</v>
      </c>
      <c r="J51" s="74">
        <f>Oberstaufen!J159+Sylt!J159+Wiesensee!J159</f>
        <v>29183.118000000002</v>
      </c>
      <c r="K51" s="74">
        <f>Oberstaufen!K159+Sylt!K159+Wiesensee!K159</f>
        <v>33828.0887</v>
      </c>
      <c r="L51" s="74">
        <f>Oberstaufen!L159+Sylt!L159+Wiesensee!L159</f>
        <v>31507.413100000002</v>
      </c>
      <c r="M51" s="74">
        <f>Oberstaufen!M159+Sylt!M159+Wiesensee!M159</f>
        <v>15613.8405</v>
      </c>
      <c r="N51" s="74">
        <f>Oberstaufen!N159+Sylt!N159+Wiesensee!N159</f>
        <v>12105.810600000001</v>
      </c>
      <c r="O51" s="74">
        <f>Oberstaufen!O159+Sylt!O159+Wiesensee!O159</f>
        <v>6810.6601000000001</v>
      </c>
      <c r="P51" s="50">
        <f t="shared" si="25"/>
        <v>99237.631499999989</v>
      </c>
      <c r="Q51" s="50">
        <f t="shared" si="26"/>
        <v>129048.931</v>
      </c>
      <c r="R51" t="s">
        <v>210</v>
      </c>
    </row>
    <row r="52" spans="1:18" ht="13.25" hidden="1" customHeight="1" outlineLevel="1" x14ac:dyDescent="0.15">
      <c r="A52" s="355"/>
      <c r="B52" s="47" t="s">
        <v>40</v>
      </c>
      <c r="P52" s="50">
        <f t="shared" si="25"/>
        <v>0</v>
      </c>
      <c r="Q52" s="50">
        <f t="shared" si="26"/>
        <v>0</v>
      </c>
    </row>
    <row r="53" spans="1:18" ht="13.25" hidden="1" customHeight="1" outlineLevel="1" x14ac:dyDescent="0.15">
      <c r="A53" s="355"/>
      <c r="B53" s="47" t="s">
        <v>178</v>
      </c>
      <c r="I53" s="47">
        <f>4500*1.2</f>
        <v>5400</v>
      </c>
      <c r="J53" s="47">
        <f t="shared" ref="J53:O53" si="31">4500*1.2</f>
        <v>5400</v>
      </c>
      <c r="K53" s="47">
        <f t="shared" si="31"/>
        <v>5400</v>
      </c>
      <c r="L53" s="47">
        <f t="shared" si="31"/>
        <v>5400</v>
      </c>
      <c r="M53" s="47">
        <f t="shared" si="31"/>
        <v>5400</v>
      </c>
      <c r="N53" s="47">
        <f t="shared" si="31"/>
        <v>5400</v>
      </c>
      <c r="O53" s="47">
        <f t="shared" si="31"/>
        <v>5400</v>
      </c>
      <c r="P53" s="50">
        <f t="shared" si="25"/>
        <v>5400</v>
      </c>
      <c r="Q53" s="50">
        <f t="shared" si="26"/>
        <v>32400</v>
      </c>
      <c r="R53" t="s">
        <v>209</v>
      </c>
    </row>
    <row r="54" spans="1:18" ht="13.25" hidden="1" customHeight="1" outlineLevel="1" x14ac:dyDescent="0.15">
      <c r="A54" s="355"/>
      <c r="B54" s="47" t="s">
        <v>182</v>
      </c>
      <c r="D54">
        <v>16000</v>
      </c>
      <c r="E54">
        <v>16000</v>
      </c>
      <c r="F54">
        <v>16000</v>
      </c>
      <c r="G54">
        <v>16000</v>
      </c>
      <c r="H54">
        <v>16000</v>
      </c>
      <c r="I54">
        <v>16000</v>
      </c>
      <c r="J54">
        <v>16000</v>
      </c>
      <c r="K54">
        <v>16000</v>
      </c>
      <c r="L54">
        <v>16000</v>
      </c>
      <c r="M54">
        <v>16000</v>
      </c>
      <c r="N54">
        <v>16000</v>
      </c>
      <c r="O54">
        <v>16000</v>
      </c>
      <c r="P54" s="50">
        <f t="shared" si="25"/>
        <v>96000</v>
      </c>
      <c r="Q54" s="50">
        <f t="shared" si="26"/>
        <v>96000</v>
      </c>
    </row>
    <row r="55" spans="1:18" ht="26.5" hidden="1" customHeight="1" outlineLevel="1" x14ac:dyDescent="0.15">
      <c r="A55" s="355"/>
      <c r="B55" s="47" t="s">
        <v>183</v>
      </c>
      <c r="F55">
        <v>8000</v>
      </c>
      <c r="G55">
        <v>8000</v>
      </c>
      <c r="H55">
        <v>8000</v>
      </c>
      <c r="I55">
        <v>8000</v>
      </c>
      <c r="J55">
        <v>8000</v>
      </c>
      <c r="K55">
        <v>8000</v>
      </c>
      <c r="L55">
        <v>8000</v>
      </c>
      <c r="M55">
        <v>8000</v>
      </c>
      <c r="N55">
        <v>8000</v>
      </c>
      <c r="O55">
        <v>8000</v>
      </c>
      <c r="P55" s="50">
        <f t="shared" si="25"/>
        <v>32000</v>
      </c>
      <c r="Q55" s="50">
        <f t="shared" si="26"/>
        <v>48000</v>
      </c>
      <c r="R55" t="s">
        <v>211</v>
      </c>
    </row>
    <row r="56" spans="1:18" ht="13.25" hidden="1" customHeight="1" outlineLevel="1" x14ac:dyDescent="0.15">
      <c r="A56" s="355"/>
      <c r="B56" s="47" t="s">
        <v>184</v>
      </c>
      <c r="D56">
        <v>53000</v>
      </c>
      <c r="E56">
        <v>53000</v>
      </c>
      <c r="F56">
        <v>53000</v>
      </c>
      <c r="G56">
        <v>53000</v>
      </c>
      <c r="H56">
        <v>53000</v>
      </c>
      <c r="I56">
        <v>53000</v>
      </c>
      <c r="J56">
        <v>53000</v>
      </c>
      <c r="K56">
        <v>53000</v>
      </c>
      <c r="L56">
        <v>53000</v>
      </c>
      <c r="M56">
        <v>53000</v>
      </c>
      <c r="N56">
        <v>53000</v>
      </c>
      <c r="O56">
        <v>53000</v>
      </c>
      <c r="P56" s="50">
        <f t="shared" si="25"/>
        <v>318000</v>
      </c>
      <c r="Q56" s="50">
        <f t="shared" si="26"/>
        <v>318000</v>
      </c>
    </row>
    <row r="57" spans="1:18" ht="26.5" hidden="1" customHeight="1" outlineLevel="1" x14ac:dyDescent="0.15">
      <c r="A57" s="355"/>
      <c r="B57" s="47" t="s">
        <v>185</v>
      </c>
      <c r="D57">
        <v>10000</v>
      </c>
      <c r="E57">
        <v>10000</v>
      </c>
      <c r="F57">
        <v>10000</v>
      </c>
      <c r="G57">
        <v>10000</v>
      </c>
      <c r="H57">
        <v>10000</v>
      </c>
      <c r="I57">
        <v>10000</v>
      </c>
      <c r="J57">
        <v>10000</v>
      </c>
      <c r="K57">
        <v>10000</v>
      </c>
      <c r="L57">
        <v>10000</v>
      </c>
      <c r="M57">
        <v>10000</v>
      </c>
      <c r="N57">
        <v>10000</v>
      </c>
      <c r="O57">
        <v>10000</v>
      </c>
      <c r="P57" s="50">
        <f t="shared" si="25"/>
        <v>60000</v>
      </c>
      <c r="Q57" s="50">
        <f t="shared" si="26"/>
        <v>60000</v>
      </c>
    </row>
    <row r="58" spans="1:18" ht="14" collapsed="1" x14ac:dyDescent="0.15">
      <c r="A58" s="355"/>
      <c r="B58" s="75" t="s">
        <v>192</v>
      </c>
      <c r="C58" s="70">
        <f>SUM(D58:O58)</f>
        <v>-918266.41030000011</v>
      </c>
      <c r="D58" s="76">
        <f>D38+SUM(D39:D57)</f>
        <v>-328826.27999999997</v>
      </c>
      <c r="E58" s="76">
        <f t="shared" ref="E58:O58" si="32">E38+SUM(E39:E57)</f>
        <v>-1117143.48</v>
      </c>
      <c r="F58" s="76">
        <f t="shared" si="32"/>
        <v>-1174796.26</v>
      </c>
      <c r="G58" s="76">
        <f t="shared" si="32"/>
        <v>-209366.45</v>
      </c>
      <c r="H58" s="76">
        <f t="shared" si="32"/>
        <v>270728.26500000001</v>
      </c>
      <c r="I58" s="76">
        <f t="shared" si="32"/>
        <v>-290537.26809999999</v>
      </c>
      <c r="J58" s="76">
        <f t="shared" si="32"/>
        <v>639783.54839999997</v>
      </c>
      <c r="K58" s="76">
        <f t="shared" si="32"/>
        <v>561776.38500000001</v>
      </c>
      <c r="L58" s="76">
        <f t="shared" si="32"/>
        <v>503982.59110000002</v>
      </c>
      <c r="M58" s="76">
        <f t="shared" si="32"/>
        <v>339818.98720000003</v>
      </c>
      <c r="N58" s="76">
        <f t="shared" si="32"/>
        <v>-130003.51389999996</v>
      </c>
      <c r="O58" s="76">
        <f t="shared" si="32"/>
        <v>16317.065000000002</v>
      </c>
      <c r="P58" s="72">
        <f>SUM(D58:I58)</f>
        <v>-2849941.4731000001</v>
      </c>
      <c r="Q58" s="72">
        <f>SUM(J58:O58)</f>
        <v>1931675.0628000002</v>
      </c>
    </row>
    <row r="59" spans="1:18" s="27" customFormat="1" ht="7.5" customHeight="1" x14ac:dyDescent="0.15">
      <c r="A59" s="82"/>
      <c r="B59" s="6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</row>
    <row r="60" spans="1:18" ht="12.75" customHeight="1" x14ac:dyDescent="0.15">
      <c r="A60" s="356" t="s">
        <v>347</v>
      </c>
      <c r="B60" t="s">
        <v>214</v>
      </c>
      <c r="C60" s="95">
        <v>0.65</v>
      </c>
      <c r="D60" s="74">
        <f t="shared" ref="D60:O60" si="33">D6*$C$60</f>
        <v>-519135.09667500004</v>
      </c>
      <c r="E60" s="74">
        <f t="shared" si="33"/>
        <v>-615361.74082499999</v>
      </c>
      <c r="F60" s="74">
        <f t="shared" si="33"/>
        <v>-835525.04782500002</v>
      </c>
      <c r="G60" s="74">
        <f t="shared" si="33"/>
        <v>-615590.04487500002</v>
      </c>
      <c r="H60" s="74">
        <f t="shared" si="33"/>
        <v>-846993.77685000002</v>
      </c>
      <c r="I60" s="74">
        <f t="shared" si="33"/>
        <v>-716944.29690000007</v>
      </c>
      <c r="J60" s="74">
        <f t="shared" si="33"/>
        <v>-208909.76290600002</v>
      </c>
      <c r="K60" s="74">
        <f t="shared" si="33"/>
        <v>-230939.19038124999</v>
      </c>
      <c r="L60" s="74">
        <f t="shared" si="33"/>
        <v>-342870.62544800004</v>
      </c>
      <c r="M60" s="74">
        <f t="shared" si="33"/>
        <v>-339045.81247225002</v>
      </c>
      <c r="N60" s="74">
        <f t="shared" si="33"/>
        <v>-308463.22982800001</v>
      </c>
      <c r="O60" s="74">
        <f t="shared" si="33"/>
        <v>-220952.71627975002</v>
      </c>
      <c r="P60" s="50">
        <f t="shared" ref="P60:P61" si="34">SUM(D60:I60)</f>
        <v>-4149550.0039499998</v>
      </c>
      <c r="Q60" s="50">
        <f t="shared" ref="Q60:Q61" si="35">SUM(J60:O60)</f>
        <v>-1651181.3373152502</v>
      </c>
      <c r="R60" s="74"/>
    </row>
    <row r="61" spans="1:18" ht="14" x14ac:dyDescent="0.15">
      <c r="A61" s="356"/>
      <c r="B61" t="s">
        <v>215</v>
      </c>
      <c r="C61" s="95">
        <v>1</v>
      </c>
      <c r="D61" s="74">
        <f t="shared" ref="D61:O61" si="36">D7*$C$61</f>
        <v>-82892.167499999996</v>
      </c>
      <c r="E61" s="74">
        <f t="shared" si="36"/>
        <v>-79288.059000000008</v>
      </c>
      <c r="F61" s="74">
        <f t="shared" si="36"/>
        <v>-160587.44399999999</v>
      </c>
      <c r="G61" s="74">
        <f t="shared" si="36"/>
        <v>-91570.226999999999</v>
      </c>
      <c r="H61" s="74">
        <f t="shared" si="36"/>
        <v>-230615.83499999999</v>
      </c>
      <c r="I61" s="74">
        <f t="shared" si="36"/>
        <v>-151806.85949999999</v>
      </c>
      <c r="J61" s="74">
        <f t="shared" si="36"/>
        <v>-96237.896990000008</v>
      </c>
      <c r="K61" s="74">
        <f t="shared" si="36"/>
        <v>-97105.528540000014</v>
      </c>
      <c r="L61" s="74">
        <f t="shared" si="36"/>
        <v>-95045.808325000005</v>
      </c>
      <c r="M61" s="74">
        <f t="shared" si="36"/>
        <v>-78050.556469999996</v>
      </c>
      <c r="N61" s="74">
        <f t="shared" si="36"/>
        <v>-58038.350680000003</v>
      </c>
      <c r="O61" s="74">
        <f t="shared" si="36"/>
        <v>-72746.714019999999</v>
      </c>
      <c r="P61" s="50">
        <f t="shared" si="34"/>
        <v>-796760.59200000006</v>
      </c>
      <c r="Q61" s="50">
        <f t="shared" si="35"/>
        <v>-497224.855025</v>
      </c>
      <c r="R61" s="74"/>
    </row>
    <row r="62" spans="1:18" s="27" customFormat="1" ht="7.5" customHeight="1" x14ac:dyDescent="0.15">
      <c r="A62" s="82"/>
      <c r="B62" s="6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</row>
    <row r="63" spans="1:18" s="27" customFormat="1" ht="17.5" customHeight="1" x14ac:dyDescent="0.15">
      <c r="A63" s="79" t="s">
        <v>195</v>
      </c>
      <c r="B63" s="83" t="s">
        <v>186</v>
      </c>
      <c r="C63" s="84"/>
      <c r="D63" s="84">
        <f>D58+D36+D60+D61</f>
        <v>-2156950.5454355041</v>
      </c>
      <c r="E63" s="84">
        <f t="shared" ref="E63:O63" si="37">E58+E36+E60+E61</f>
        <v>-2772469.021085504</v>
      </c>
      <c r="F63" s="84">
        <f t="shared" si="37"/>
        <v>-1253258.5930855041</v>
      </c>
      <c r="G63" s="84">
        <f t="shared" si="37"/>
        <v>-1929327.5631355043</v>
      </c>
      <c r="H63" s="84">
        <f t="shared" si="37"/>
        <v>-231787.47731050409</v>
      </c>
      <c r="I63" s="84">
        <f t="shared" si="37"/>
        <v>-1380172.1997605043</v>
      </c>
      <c r="J63" s="84">
        <f t="shared" si="37"/>
        <v>-784462.35331112612</v>
      </c>
      <c r="K63" s="84">
        <f t="shared" si="37"/>
        <v>-624213.67263637611</v>
      </c>
      <c r="L63" s="84">
        <f t="shared" si="37"/>
        <v>1287142.8268118738</v>
      </c>
      <c r="M63" s="84">
        <f t="shared" si="37"/>
        <v>1744296.9878426236</v>
      </c>
      <c r="N63" s="84">
        <f t="shared" si="37"/>
        <v>554533.58217687381</v>
      </c>
      <c r="O63" s="84">
        <f t="shared" si="37"/>
        <v>-479673.82891487615</v>
      </c>
      <c r="P63" s="62">
        <f t="shared" ref="P63" si="38">SUM(D63:I63)</f>
        <v>-9723965.3998130243</v>
      </c>
      <c r="Q63" s="62">
        <f>SUM(J63:O63)</f>
        <v>1697623.5419689929</v>
      </c>
    </row>
    <row r="64" spans="1:18" ht="6.5" customHeight="1" x14ac:dyDescent="0.15">
      <c r="A64" s="81"/>
    </row>
    <row r="65" spans="1:18" ht="14" collapsed="1" x14ac:dyDescent="0.15">
      <c r="A65" s="215" t="s">
        <v>193</v>
      </c>
      <c r="B65" s="89" t="s">
        <v>173</v>
      </c>
      <c r="D65" s="90">
        <f>3100000-170000</f>
        <v>2930000</v>
      </c>
      <c r="E65" s="90">
        <f>3100000-170000</f>
        <v>2930000</v>
      </c>
      <c r="P65" s="78">
        <f>SUM(D65:O65)</f>
        <v>5860000</v>
      </c>
    </row>
    <row r="66" spans="1:18" ht="14" x14ac:dyDescent="0.15">
      <c r="A66" s="216"/>
      <c r="B66" s="89" t="s">
        <v>94</v>
      </c>
      <c r="D66" s="91"/>
      <c r="E66" s="90">
        <f>-(-'Budget 25 LH AG'!E136+E16+E18+E20+E22+Oberstaufen!E136+Sylt!E136+Wiesensee!E136)</f>
        <v>1669433.4876605044</v>
      </c>
      <c r="F66" s="78"/>
      <c r="P66" s="78">
        <f>SUM(D66:O66)</f>
        <v>1669433.4876605044</v>
      </c>
    </row>
    <row r="67" spans="1:18" ht="6.5" customHeight="1" x14ac:dyDescent="0.15"/>
    <row r="68" spans="1:18" ht="28" x14ac:dyDescent="0.15">
      <c r="A68" s="217" t="s">
        <v>194</v>
      </c>
      <c r="B68" s="30" t="s">
        <v>196</v>
      </c>
      <c r="C68" s="86"/>
      <c r="D68" s="87">
        <f t="shared" ref="D68:O68" si="39">D63+D65+D66</f>
        <v>773049.45456449594</v>
      </c>
      <c r="E68" s="87">
        <f t="shared" si="39"/>
        <v>1826964.4665750004</v>
      </c>
      <c r="F68" s="87">
        <f t="shared" si="39"/>
        <v>-1253258.5930855041</v>
      </c>
      <c r="G68" s="87">
        <f t="shared" si="39"/>
        <v>-1929327.5631355043</v>
      </c>
      <c r="H68" s="87">
        <f t="shared" si="39"/>
        <v>-231787.47731050409</v>
      </c>
      <c r="I68" s="87">
        <f t="shared" si="39"/>
        <v>-1380172.1997605043</v>
      </c>
      <c r="J68" s="87">
        <f t="shared" si="39"/>
        <v>-784462.35331112612</v>
      </c>
      <c r="K68" s="87">
        <f t="shared" si="39"/>
        <v>-624213.67263637611</v>
      </c>
      <c r="L68" s="87">
        <f t="shared" si="39"/>
        <v>1287142.8268118738</v>
      </c>
      <c r="M68" s="87">
        <f t="shared" si="39"/>
        <v>1744296.9878426236</v>
      </c>
      <c r="N68" s="87">
        <f t="shared" si="39"/>
        <v>554533.58217687381</v>
      </c>
      <c r="O68" s="87">
        <f t="shared" si="39"/>
        <v>-479673.82891487615</v>
      </c>
      <c r="P68" s="88">
        <f>SUM(D68:I68)</f>
        <v>-2194531.9121525204</v>
      </c>
      <c r="Q68" s="88">
        <f>SUM(J68:O68)</f>
        <v>1697623.5419689929</v>
      </c>
    </row>
    <row r="69" spans="1:18" ht="25.5" hidden="1" customHeight="1" x14ac:dyDescent="0.15">
      <c r="A69" s="217"/>
      <c r="B69" s="30" t="s">
        <v>197</v>
      </c>
      <c r="C69" s="92">
        <v>2500000</v>
      </c>
      <c r="D69" s="93">
        <f t="shared" ref="D69:O69" si="40">C69+D68</f>
        <v>3273049.4545644959</v>
      </c>
      <c r="E69" s="93">
        <f t="shared" si="40"/>
        <v>5100013.9211394964</v>
      </c>
      <c r="F69" s="93">
        <f t="shared" si="40"/>
        <v>3846755.3280539922</v>
      </c>
      <c r="G69" s="93">
        <f t="shared" si="40"/>
        <v>1917427.764918488</v>
      </c>
      <c r="H69" s="93">
        <f t="shared" si="40"/>
        <v>1685640.2876079839</v>
      </c>
      <c r="I69" s="93">
        <f t="shared" si="40"/>
        <v>305468.08784747962</v>
      </c>
      <c r="J69" s="93">
        <f t="shared" si="40"/>
        <v>-478994.2654636465</v>
      </c>
      <c r="K69" s="93">
        <f t="shared" si="40"/>
        <v>-1103207.9381000227</v>
      </c>
      <c r="L69" s="93">
        <f t="shared" si="40"/>
        <v>183934.88871185109</v>
      </c>
      <c r="M69" s="93">
        <f t="shared" si="40"/>
        <v>1928231.8765544747</v>
      </c>
      <c r="N69" s="93">
        <f t="shared" si="40"/>
        <v>2482765.4587313486</v>
      </c>
      <c r="O69" s="93">
        <f t="shared" si="40"/>
        <v>2003091.6298164725</v>
      </c>
    </row>
    <row r="71" spans="1:18" ht="14" hidden="1" outlineLevel="1" x14ac:dyDescent="0.15">
      <c r="A71" s="217" t="s">
        <v>217</v>
      </c>
      <c r="B71" t="s">
        <v>199</v>
      </c>
      <c r="C71" s="74">
        <f>+'Hotels Only'!C11</f>
        <v>93365066.829699993</v>
      </c>
      <c r="D71" s="74">
        <f>+'Hotels Only'!D11</f>
        <v>5324462.53</v>
      </c>
      <c r="E71" s="74">
        <f>+'Hotels Only'!E11</f>
        <v>6311402.4699999997</v>
      </c>
      <c r="F71" s="74">
        <f>+'Hotels Only'!F11</f>
        <v>8569487.6699999999</v>
      </c>
      <c r="G71" s="74">
        <f>+'Hotels Only'!G11</f>
        <v>6313744.0499999998</v>
      </c>
      <c r="H71" s="74">
        <f>+'Hotels Only'!H11</f>
        <v>8687115.6600000001</v>
      </c>
      <c r="I71" s="74">
        <f>+'Hotels Only'!I11</f>
        <v>7353274.8399999999</v>
      </c>
      <c r="J71" s="74">
        <f>+'Hotels Only'!J11</f>
        <v>6427992.7048000004</v>
      </c>
      <c r="K71" s="74">
        <f>+'Hotels Only'!K11</f>
        <v>7105821.2424999997</v>
      </c>
      <c r="L71" s="74">
        <f>+'Hotels Only'!L11</f>
        <v>10549865.398399999</v>
      </c>
      <c r="M71" s="74">
        <f>+'Hotels Only'!M11</f>
        <v>10432178.8453</v>
      </c>
      <c r="N71" s="74">
        <f>+'Hotels Only'!N11</f>
        <v>9491176.3024000004</v>
      </c>
      <c r="O71" s="74">
        <f>+'Hotels Only'!O11</f>
        <v>6798545.1162999999</v>
      </c>
      <c r="P71" s="74"/>
      <c r="Q71" s="74"/>
      <c r="R71" s="74"/>
    </row>
    <row r="72" spans="1:18" ht="14" hidden="1" outlineLevel="1" x14ac:dyDescent="0.15">
      <c r="A72" s="217"/>
      <c r="B72" t="s">
        <v>216</v>
      </c>
      <c r="C72" s="74"/>
      <c r="D72" s="74">
        <f>'HQ only'!D11</f>
        <v>552614.44999999995</v>
      </c>
      <c r="E72" s="74">
        <f>'HQ only'!E11</f>
        <v>528587.06000000006</v>
      </c>
      <c r="F72" s="74">
        <f>'HQ only'!F11</f>
        <v>1070582.96</v>
      </c>
      <c r="G72" s="74">
        <f>'HQ only'!G11</f>
        <v>610468.18000000005</v>
      </c>
      <c r="H72" s="74">
        <f>'HQ only'!H11</f>
        <v>1537438.9</v>
      </c>
      <c r="I72" s="74">
        <f>'HQ only'!I11</f>
        <v>1012045.73</v>
      </c>
      <c r="J72" s="74">
        <f>'HQ only'!J11</f>
        <v>1924757.9398000001</v>
      </c>
      <c r="K72" s="74">
        <f>'HQ only'!K11</f>
        <v>1942110.5708000001</v>
      </c>
      <c r="L72" s="74">
        <f>'HQ only'!L11</f>
        <v>1900916.1665000001</v>
      </c>
      <c r="M72" s="74">
        <f>'HQ only'!M11</f>
        <v>1561011.1294</v>
      </c>
      <c r="N72" s="74">
        <f>'HQ only'!N11</f>
        <v>1160767.0135999999</v>
      </c>
      <c r="O72" s="74">
        <f>'HQ only'!O11</f>
        <v>1454934.2804</v>
      </c>
      <c r="P72" s="74"/>
      <c r="Q72" s="74"/>
      <c r="R72" s="74"/>
    </row>
    <row r="73" spans="1:18" hidden="1" outlineLevel="1" x14ac:dyDescent="0.15">
      <c r="A73" s="217"/>
      <c r="C73" s="95"/>
      <c r="D73" s="74">
        <f t="shared" ref="D73:O73" si="41">+D71*$C$73*D60</f>
        <v>0</v>
      </c>
      <c r="E73" s="74">
        <f t="shared" si="41"/>
        <v>0</v>
      </c>
      <c r="F73" s="74">
        <f t="shared" si="41"/>
        <v>0</v>
      </c>
      <c r="G73" s="74">
        <f t="shared" si="41"/>
        <v>0</v>
      </c>
      <c r="H73" s="74">
        <f t="shared" si="41"/>
        <v>0</v>
      </c>
      <c r="I73" s="74">
        <f t="shared" si="41"/>
        <v>0</v>
      </c>
      <c r="J73" s="74">
        <f t="shared" si="41"/>
        <v>0</v>
      </c>
      <c r="K73" s="74">
        <f t="shared" si="41"/>
        <v>0</v>
      </c>
      <c r="L73" s="74">
        <f t="shared" si="41"/>
        <v>0</v>
      </c>
      <c r="M73" s="74">
        <f t="shared" si="41"/>
        <v>0</v>
      </c>
      <c r="N73" s="74">
        <f t="shared" si="41"/>
        <v>0</v>
      </c>
      <c r="O73" s="74">
        <f t="shared" si="41"/>
        <v>0</v>
      </c>
      <c r="P73" s="74"/>
      <c r="Q73" s="74"/>
      <c r="R73" s="74"/>
    </row>
    <row r="74" spans="1:18" ht="25.25" hidden="1" customHeight="1" outlineLevel="1" collapsed="1" x14ac:dyDescent="0.15">
      <c r="A74" s="217"/>
      <c r="B74" s="86" t="s">
        <v>218</v>
      </c>
      <c r="C74" s="101">
        <f>+C83</f>
        <v>3442499.73</v>
      </c>
      <c r="D74" s="102">
        <f>C74+D68</f>
        <v>4215549.1845644955</v>
      </c>
      <c r="E74" s="102">
        <f t="shared" ref="E74:O74" si="42">D74+E68</f>
        <v>6042513.6511394959</v>
      </c>
      <c r="F74" s="102">
        <f t="shared" si="42"/>
        <v>4789255.0580539918</v>
      </c>
      <c r="G74" s="102">
        <f t="shared" si="42"/>
        <v>2859927.4949184875</v>
      </c>
      <c r="H74" s="102">
        <f t="shared" si="42"/>
        <v>2628140.0176079832</v>
      </c>
      <c r="I74" s="102">
        <f t="shared" si="42"/>
        <v>1247967.8178474789</v>
      </c>
      <c r="J74" s="102">
        <f t="shared" si="42"/>
        <v>463505.46453635278</v>
      </c>
      <c r="K74" s="102">
        <f t="shared" si="42"/>
        <v>-160708.20810002333</v>
      </c>
      <c r="L74" s="102">
        <f t="shared" si="42"/>
        <v>1126434.6187118506</v>
      </c>
      <c r="M74" s="102">
        <f t="shared" si="42"/>
        <v>2870731.6065544742</v>
      </c>
      <c r="N74" s="102">
        <f t="shared" si="42"/>
        <v>3425265.1887313481</v>
      </c>
      <c r="O74" s="102">
        <f t="shared" si="42"/>
        <v>2945591.359816472</v>
      </c>
      <c r="P74" s="102">
        <f>P68+SUM(P60:P61)</f>
        <v>-7140842.5081025204</v>
      </c>
      <c r="Q74" s="102">
        <f>Q68+SUM(Q60:Q61)</f>
        <v>-450782.65037125722</v>
      </c>
      <c r="R74" s="74"/>
    </row>
    <row r="75" spans="1:18" hidden="1" outlineLevel="1" x14ac:dyDescent="0.15">
      <c r="C75" s="95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</row>
    <row r="76" spans="1:18" ht="14" hidden="1" outlineLevel="1" x14ac:dyDescent="0.15">
      <c r="A76" s="180" t="s">
        <v>315</v>
      </c>
      <c r="B76" s="95"/>
      <c r="C76" s="74"/>
      <c r="D76" s="74">
        <f t="shared" ref="D76:O76" si="43">SUM(D71:D72)</f>
        <v>5877076.9800000004</v>
      </c>
      <c r="E76" s="74">
        <f t="shared" si="43"/>
        <v>6839989.5299999993</v>
      </c>
      <c r="F76" s="74">
        <f t="shared" si="43"/>
        <v>9640070.629999999</v>
      </c>
      <c r="G76" s="74">
        <f t="shared" si="43"/>
        <v>6924212.2299999995</v>
      </c>
      <c r="H76" s="74">
        <f t="shared" si="43"/>
        <v>10224554.560000001</v>
      </c>
      <c r="I76" s="74">
        <f t="shared" si="43"/>
        <v>8365320.5700000003</v>
      </c>
      <c r="J76" s="74">
        <f t="shared" si="43"/>
        <v>8352750.6446000002</v>
      </c>
      <c r="K76" s="74">
        <f t="shared" si="43"/>
        <v>9047931.8133000005</v>
      </c>
      <c r="L76" s="74">
        <f t="shared" si="43"/>
        <v>12450781.5649</v>
      </c>
      <c r="M76" s="74">
        <f t="shared" si="43"/>
        <v>11993189.9747</v>
      </c>
      <c r="N76" s="74">
        <f t="shared" si="43"/>
        <v>10651943.316</v>
      </c>
      <c r="O76" s="74">
        <f t="shared" si="43"/>
        <v>8253479.3967000004</v>
      </c>
      <c r="P76" s="74"/>
      <c r="Q76" s="74"/>
      <c r="R76" s="74"/>
    </row>
    <row r="77" spans="1:18" ht="14" hidden="1" outlineLevel="1" x14ac:dyDescent="0.15">
      <c r="A77" s="180" t="s">
        <v>316</v>
      </c>
      <c r="C77" s="74"/>
      <c r="D77" s="74">
        <f t="shared" ref="D77:O77" si="44">D63+D60+D61</f>
        <v>-2758977.8096105042</v>
      </c>
      <c r="E77" s="74">
        <f t="shared" si="44"/>
        <v>-3467118.8209105036</v>
      </c>
      <c r="F77" s="74">
        <f t="shared" si="44"/>
        <v>-2249371.0849105041</v>
      </c>
      <c r="G77" s="74">
        <f t="shared" si="44"/>
        <v>-2636487.8350105044</v>
      </c>
      <c r="H77" s="74">
        <f t="shared" si="44"/>
        <v>-1309397.0891605041</v>
      </c>
      <c r="I77" s="74">
        <f t="shared" si="44"/>
        <v>-2248923.3561605043</v>
      </c>
      <c r="J77" s="74">
        <f t="shared" si="44"/>
        <v>-1089610.0132071262</v>
      </c>
      <c r="K77" s="74">
        <f t="shared" si="44"/>
        <v>-952258.39155762608</v>
      </c>
      <c r="L77" s="74">
        <f t="shared" si="44"/>
        <v>849226.39303887379</v>
      </c>
      <c r="M77" s="74">
        <f t="shared" si="44"/>
        <v>1327200.6189003736</v>
      </c>
      <c r="N77" s="74">
        <f t="shared" si="44"/>
        <v>188032.0016688738</v>
      </c>
      <c r="O77" s="74">
        <f t="shared" si="44"/>
        <v>-773373.25921462616</v>
      </c>
      <c r="P77" s="74"/>
      <c r="Q77" s="74"/>
      <c r="R77" s="74"/>
    </row>
    <row r="78" spans="1:18" ht="14" hidden="1" outlineLevel="1" x14ac:dyDescent="0.15">
      <c r="A78" s="180" t="s">
        <v>317</v>
      </c>
      <c r="C78" s="74"/>
      <c r="D78" s="74">
        <f t="shared" ref="D78:O78" si="45">D76-D77</f>
        <v>8636054.7896105051</v>
      </c>
      <c r="E78" s="74">
        <f t="shared" si="45"/>
        <v>10307108.350910503</v>
      </c>
      <c r="F78" s="74">
        <f t="shared" si="45"/>
        <v>11889441.714910503</v>
      </c>
      <c r="G78" s="74">
        <f t="shared" si="45"/>
        <v>9560700.0650105029</v>
      </c>
      <c r="H78" s="74">
        <f t="shared" si="45"/>
        <v>11533951.649160504</v>
      </c>
      <c r="I78" s="74">
        <f t="shared" si="45"/>
        <v>10614243.926160505</v>
      </c>
      <c r="J78" s="74">
        <f t="shared" si="45"/>
        <v>9442360.6578071266</v>
      </c>
      <c r="K78" s="74">
        <f t="shared" si="45"/>
        <v>10000190.204857627</v>
      </c>
      <c r="L78" s="74">
        <f t="shared" si="45"/>
        <v>11601555.171861125</v>
      </c>
      <c r="M78" s="74">
        <f t="shared" si="45"/>
        <v>10665989.355799627</v>
      </c>
      <c r="N78" s="74">
        <f t="shared" si="45"/>
        <v>10463911.314331125</v>
      </c>
      <c r="O78" s="74">
        <f t="shared" si="45"/>
        <v>9026852.655914627</v>
      </c>
      <c r="P78" s="74"/>
      <c r="Q78" s="74"/>
      <c r="R78" s="74"/>
    </row>
    <row r="79" spans="1:18" ht="14" hidden="1" outlineLevel="1" x14ac:dyDescent="0.15">
      <c r="A79" s="180" t="s">
        <v>178</v>
      </c>
      <c r="C79" s="74"/>
      <c r="D79" s="74">
        <v>-2930000</v>
      </c>
      <c r="E79" s="74">
        <v>-2930000</v>
      </c>
      <c r="F79" s="74">
        <v>-2930000</v>
      </c>
      <c r="G79" s="74">
        <v>-2930000</v>
      </c>
      <c r="H79" s="74">
        <v>-2930000</v>
      </c>
      <c r="I79" s="74">
        <v>-2930000</v>
      </c>
      <c r="J79" s="74">
        <v>-2930000</v>
      </c>
      <c r="K79" s="74">
        <v>-2930000</v>
      </c>
      <c r="L79" s="74">
        <v>-2930000</v>
      </c>
      <c r="M79" s="74">
        <v>-2930000</v>
      </c>
      <c r="N79" s="74">
        <v>-2930000</v>
      </c>
      <c r="O79" s="74">
        <v>-2930000</v>
      </c>
      <c r="P79" s="74"/>
      <c r="Q79" s="74"/>
      <c r="R79" s="74"/>
    </row>
    <row r="80" spans="1:18" ht="14" hidden="1" outlineLevel="1" x14ac:dyDescent="0.15">
      <c r="A80" s="180" t="s">
        <v>94</v>
      </c>
      <c r="C80" s="74"/>
      <c r="D80" s="74">
        <f>-'Budget 25 LH AG'!D136+D16+D18+D20+D22+Oberstaufen!D136+Sylt!D136+Wiesensee!D136</f>
        <v>-1668586.9602605042</v>
      </c>
      <c r="E80" s="74">
        <f>-'Budget 25 LH AG'!E136+E16+E18+E20+E22+Oberstaufen!E136+Sylt!E136+Wiesensee!E136</f>
        <v>-1669433.4876605044</v>
      </c>
      <c r="F80" s="74">
        <f>-'Budget 25 LH AG'!F136+F16+F18+F20+F22+Oberstaufen!F136+Sylt!F136+Wiesensee!F136</f>
        <v>-1913683.1884605037</v>
      </c>
      <c r="G80" s="74">
        <f>-'Budget 25 LH AG'!G136+G16+G18+G20+G22+Oberstaufen!G136+Sylt!G136+Wiesensee!G136</f>
        <v>-1706674.974860504</v>
      </c>
      <c r="H80" s="74">
        <f>-'Budget 25 LH AG'!H136+H16+H18+H20+H22+Oberstaufen!H136+Sylt!H136+Wiesensee!H136</f>
        <v>-1767450.7393605039</v>
      </c>
      <c r="I80" s="74">
        <f>-'Budget 25 LH AG'!I136+I16+I18+I20+I22+Oberstaufen!I136+Sylt!I136+Wiesensee!I136</f>
        <v>-1681402.0771605042</v>
      </c>
      <c r="J80" s="74">
        <f>-'Budget 25 LH AG'!J136+J16+J18+J20+J22+Oberstaufen!J136+Sylt!J136+Wiesensee!J136</f>
        <v>-1558279.153415126</v>
      </c>
      <c r="K80" s="74">
        <f>-'Budget 25 LH AG'!K136+K16+K18+K20+K22+Oberstaufen!K136+Sylt!K136+Wiesensee!K136</f>
        <v>-1598507.5719151262</v>
      </c>
      <c r="L80" s="74">
        <f>-'Budget 25 LH AG'!L136+L16+L18+L20+L22+Oberstaufen!L136+Sylt!L136+Wiesensee!L136</f>
        <v>-1807865.239115126</v>
      </c>
      <c r="M80" s="74">
        <f>-'Budget 25 LH AG'!M136+M16+M18+M20+M22+Oberstaufen!M136+Sylt!M136+Wiesensee!M136</f>
        <v>-1945311.6089151262</v>
      </c>
      <c r="N80" s="74">
        <f>-'Budget 25 LH AG'!N136+N16+N18+N20+N22+Oberstaufen!N136+Sylt!N136+Wiesensee!N136</f>
        <v>-1873767.070915126</v>
      </c>
      <c r="O80" s="74">
        <f>-'Budget 25 LH AG'!O136+O16+O18+O20+O22+Oberstaufen!O136+Sylt!O136+Wiesensee!O136</f>
        <v>-1639394.0421151263</v>
      </c>
      <c r="P80" s="74"/>
      <c r="Q80" s="74"/>
      <c r="R80" s="74"/>
    </row>
    <row r="81" spans="1:18" ht="14" hidden="1" outlineLevel="1" x14ac:dyDescent="0.15">
      <c r="A81" s="180" t="s">
        <v>318</v>
      </c>
      <c r="C81" s="74"/>
      <c r="D81" s="74">
        <f>SUM(D78:D80)</f>
        <v>4037467.8293500012</v>
      </c>
      <c r="E81" s="74">
        <f t="shared" ref="E81:O81" si="46">SUM(E78:E80)</f>
        <v>5707674.8632499985</v>
      </c>
      <c r="F81" s="74">
        <f>SUM(F78:F80)</f>
        <v>7045758.5264499998</v>
      </c>
      <c r="G81" s="74">
        <f t="shared" si="46"/>
        <v>4924025.0901499987</v>
      </c>
      <c r="H81" s="74">
        <f t="shared" si="46"/>
        <v>6836500.9098000005</v>
      </c>
      <c r="I81" s="74">
        <f t="shared" si="46"/>
        <v>6002841.8490000013</v>
      </c>
      <c r="J81" s="74">
        <f t="shared" si="46"/>
        <v>4954081.5043920008</v>
      </c>
      <c r="K81" s="74">
        <f t="shared" si="46"/>
        <v>5471682.6329425005</v>
      </c>
      <c r="L81" s="74">
        <f t="shared" si="46"/>
        <v>6863689.9327459987</v>
      </c>
      <c r="M81" s="74">
        <f t="shared" si="46"/>
        <v>5790677.7468845006</v>
      </c>
      <c r="N81" s="74">
        <f t="shared" si="46"/>
        <v>5660144.2434159992</v>
      </c>
      <c r="O81" s="74">
        <f t="shared" si="46"/>
        <v>4457458.6137995012</v>
      </c>
      <c r="P81" s="74"/>
      <c r="Q81" s="74"/>
      <c r="R81" s="74"/>
    </row>
    <row r="82" spans="1:18" hidden="1" outlineLevel="1" x14ac:dyDescent="0.15">
      <c r="A82" s="180"/>
      <c r="C82" s="74"/>
      <c r="D82" s="209">
        <f>+D81/D76</f>
        <v>0.6869856976673463</v>
      </c>
      <c r="E82" s="209">
        <f t="shared" ref="E82:O82" si="47">+E81/E76</f>
        <v>0.83445666666831864</v>
      </c>
      <c r="F82" s="209">
        <f t="shared" si="47"/>
        <v>0.73088245894418313</v>
      </c>
      <c r="G82" s="209">
        <f t="shared" si="47"/>
        <v>0.71113145099973329</v>
      </c>
      <c r="H82" s="209">
        <f t="shared" si="47"/>
        <v>0.66863557426212217</v>
      </c>
      <c r="I82" s="209">
        <f t="shared" si="47"/>
        <v>0.71758658843602463</v>
      </c>
      <c r="J82" s="209">
        <f t="shared" si="47"/>
        <v>0.59310779349013398</v>
      </c>
      <c r="K82" s="209">
        <f t="shared" si="47"/>
        <v>0.60474401729016181</v>
      </c>
      <c r="L82" s="209">
        <f t="shared" si="47"/>
        <v>0.55126578977944873</v>
      </c>
      <c r="M82" s="209">
        <f t="shared" si="47"/>
        <v>0.48283048622594255</v>
      </c>
      <c r="N82" s="209">
        <f t="shared" si="47"/>
        <v>0.53137198307411637</v>
      </c>
      <c r="O82" s="209">
        <f t="shared" si="47"/>
        <v>0.54007024184027563</v>
      </c>
      <c r="P82" s="74"/>
      <c r="Q82" s="74"/>
      <c r="R82" s="74"/>
    </row>
    <row r="83" spans="1:18" ht="25.25" customHeight="1" collapsed="1" x14ac:dyDescent="0.15">
      <c r="A83" s="96" t="s">
        <v>329</v>
      </c>
      <c r="B83" s="86" t="s">
        <v>321</v>
      </c>
      <c r="C83" s="102">
        <f>Dezember24!AG50</f>
        <v>3442499.73</v>
      </c>
      <c r="D83" s="102">
        <f>Januar!AH50</f>
        <v>4095387.8299999987</v>
      </c>
      <c r="E83" s="102">
        <f>Februar!AH50</f>
        <v>4710438.2096600002</v>
      </c>
      <c r="F83" s="102">
        <f>März!AH50</f>
        <v>8081456.3060727883</v>
      </c>
      <c r="G83" s="102">
        <f>April!AH50</f>
        <v>10995169.233803123</v>
      </c>
      <c r="H83" s="102">
        <f>Mai!AH50</f>
        <v>9104878.2504321449</v>
      </c>
      <c r="I83" s="102">
        <f>Juni!AH50</f>
        <v>11225488.340182275</v>
      </c>
      <c r="J83" s="102">
        <f>I83+J63</f>
        <v>10441025.986871149</v>
      </c>
      <c r="K83" s="102">
        <f t="shared" ref="K83:O83" si="48">J83+K63</f>
        <v>9816812.3142347727</v>
      </c>
      <c r="L83" s="102">
        <f t="shared" si="48"/>
        <v>11103955.141046647</v>
      </c>
      <c r="M83" s="102">
        <f t="shared" si="48"/>
        <v>12848252.12888927</v>
      </c>
      <c r="N83" s="102">
        <f t="shared" si="48"/>
        <v>13402785.711066144</v>
      </c>
      <c r="O83" s="102">
        <f t="shared" si="48"/>
        <v>12923111.882151267</v>
      </c>
      <c r="P83" s="102">
        <f>+I83</f>
        <v>11225488.340182275</v>
      </c>
      <c r="Q83" s="102">
        <f>+O83</f>
        <v>12923111.882151267</v>
      </c>
      <c r="R83" s="74"/>
    </row>
    <row r="84" spans="1:18" hidden="1" outlineLevel="1" x14ac:dyDescent="0.15">
      <c r="C84" s="74"/>
      <c r="D84" s="74">
        <f>+'Budget 25 LH AG'!D176</f>
        <v>4089864.041699999</v>
      </c>
      <c r="E84" s="74">
        <f>+'Budget 25 LH AG'!E176</f>
        <v>4537261.8333494104</v>
      </c>
      <c r="F84" s="74">
        <f>+'Budget 25 LH AG'!F176</f>
        <v>5397098.8604700789</v>
      </c>
      <c r="G84" s="74">
        <f>+'Budget 25 LH AG'!G176</f>
        <v>4511159.977806652</v>
      </c>
      <c r="H84" s="74">
        <f>+'Budget 25 LH AG'!H176</f>
        <v>4858036.6438882537</v>
      </c>
      <c r="I84" s="74">
        <f>+'Budget 25 LH AG'!I176</f>
        <v>5120840.8438311191</v>
      </c>
      <c r="J84" s="74"/>
      <c r="K84" s="74"/>
      <c r="L84" s="74"/>
      <c r="M84" s="74"/>
      <c r="N84" s="74"/>
      <c r="O84" s="74"/>
      <c r="P84" s="74"/>
      <c r="Q84" s="74"/>
      <c r="R84" s="74"/>
    </row>
    <row r="85" spans="1:18" ht="14" hidden="1" outlineLevel="1" x14ac:dyDescent="0.15">
      <c r="A85" t="s">
        <v>336</v>
      </c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</row>
    <row r="86" spans="1:18" ht="14" hidden="1" outlineLevel="1" x14ac:dyDescent="0.15">
      <c r="A86" s="180" t="s">
        <v>315</v>
      </c>
      <c r="C86" s="74"/>
      <c r="D86" s="74">
        <f t="shared" ref="D86:I86" si="49">+D71+D72</f>
        <v>5877076.9800000004</v>
      </c>
      <c r="E86" s="74">
        <f t="shared" si="49"/>
        <v>6839989.5299999993</v>
      </c>
      <c r="F86" s="74">
        <f t="shared" si="49"/>
        <v>9640070.629999999</v>
      </c>
      <c r="G86" s="74">
        <f t="shared" si="49"/>
        <v>6924212.2299999995</v>
      </c>
      <c r="H86" s="74">
        <f t="shared" si="49"/>
        <v>10224554.560000001</v>
      </c>
      <c r="I86" s="74">
        <f t="shared" si="49"/>
        <v>8365320.5700000003</v>
      </c>
      <c r="J86" s="74"/>
      <c r="K86" s="74"/>
      <c r="L86" s="74"/>
      <c r="M86" s="74"/>
      <c r="N86" s="74"/>
      <c r="O86" s="74"/>
      <c r="P86" s="74"/>
      <c r="Q86" s="74"/>
      <c r="R86" s="74"/>
    </row>
    <row r="87" spans="1:18" ht="14" hidden="1" outlineLevel="1" x14ac:dyDescent="0.15">
      <c r="A87" s="180" t="s">
        <v>316</v>
      </c>
      <c r="C87" s="74"/>
      <c r="D87" s="74">
        <f t="shared" ref="D87:I87" si="50">+D10</f>
        <v>-2284871.9229000001</v>
      </c>
      <c r="E87" s="74">
        <f t="shared" si="50"/>
        <v>-1763626.8844000001</v>
      </c>
      <c r="F87" s="74">
        <f t="shared" si="50"/>
        <v>-132297.0802</v>
      </c>
      <c r="G87" s="74">
        <f t="shared" si="50"/>
        <v>-1139371.9183</v>
      </c>
      <c r="H87" s="74">
        <f t="shared" si="50"/>
        <v>565331.26379999996</v>
      </c>
      <c r="I87" s="74">
        <f t="shared" si="50"/>
        <v>130761.9553</v>
      </c>
      <c r="J87" s="74"/>
      <c r="K87" s="74"/>
      <c r="L87" s="74"/>
      <c r="M87" s="74"/>
      <c r="N87" s="74"/>
      <c r="O87" s="74"/>
      <c r="P87" s="74"/>
      <c r="Q87" s="74"/>
      <c r="R87" s="74"/>
    </row>
    <row r="88" spans="1:18" ht="14" hidden="1" outlineLevel="1" x14ac:dyDescent="0.15">
      <c r="A88" s="180" t="s">
        <v>317</v>
      </c>
      <c r="C88" s="74"/>
      <c r="D88" s="74">
        <f t="shared" ref="D88:I88" si="51">D86-D87</f>
        <v>8161948.902900001</v>
      </c>
      <c r="E88" s="74">
        <f t="shared" si="51"/>
        <v>8603616.4144000001</v>
      </c>
      <c r="F88" s="74">
        <f t="shared" si="51"/>
        <v>9772367.7101999987</v>
      </c>
      <c r="G88" s="74">
        <f t="shared" si="51"/>
        <v>8063584.1482999995</v>
      </c>
      <c r="H88" s="74">
        <f t="shared" si="51"/>
        <v>9659223.2961999997</v>
      </c>
      <c r="I88" s="74">
        <f t="shared" si="51"/>
        <v>8234558.6147000007</v>
      </c>
      <c r="J88" s="74"/>
      <c r="K88" s="74"/>
      <c r="L88" s="74"/>
      <c r="M88" s="74"/>
      <c r="N88" s="74"/>
      <c r="O88" s="74"/>
      <c r="P88" s="74"/>
      <c r="Q88" s="74"/>
      <c r="R88" s="74"/>
    </row>
    <row r="89" spans="1:18" ht="14" hidden="1" outlineLevel="1" x14ac:dyDescent="0.15">
      <c r="A89" s="180" t="s">
        <v>178</v>
      </c>
      <c r="C89" s="74"/>
      <c r="D89" s="74">
        <f>-D65</f>
        <v>-2930000</v>
      </c>
      <c r="E89" s="74">
        <f>+D89</f>
        <v>-2930000</v>
      </c>
      <c r="F89" s="74">
        <f t="shared" ref="F89:I89" si="52">+E89</f>
        <v>-2930000</v>
      </c>
      <c r="G89" s="74">
        <f t="shared" si="52"/>
        <v>-2930000</v>
      </c>
      <c r="H89" s="74">
        <f t="shared" si="52"/>
        <v>-2930000</v>
      </c>
      <c r="I89" s="74">
        <f t="shared" si="52"/>
        <v>-2930000</v>
      </c>
      <c r="J89" s="74"/>
      <c r="K89" s="74"/>
      <c r="L89" s="74"/>
      <c r="M89" s="74"/>
      <c r="N89" s="74"/>
      <c r="O89" s="74"/>
      <c r="P89" s="74"/>
      <c r="Q89" s="74"/>
      <c r="R89" s="74"/>
    </row>
    <row r="90" spans="1:18" ht="14" hidden="1" outlineLevel="1" x14ac:dyDescent="0.15">
      <c r="A90" s="180" t="s">
        <v>94</v>
      </c>
      <c r="C90" s="74"/>
      <c r="D90" s="74">
        <f>-'Budget 25 LH AG'!D136</f>
        <v>-2093637.0789999999</v>
      </c>
      <c r="E90" s="74">
        <f>-'Budget 25 LH AG'!E136</f>
        <v>-2097315.5164000001</v>
      </c>
      <c r="F90" s="74">
        <f>-'Budget 25 LH AG'!F136</f>
        <v>-2288177.0671999999</v>
      </c>
      <c r="G90" s="74">
        <f>-'Budget 25 LH AG'!G136</f>
        <v>-2081749.4635999999</v>
      </c>
      <c r="H90" s="74">
        <f>-'Budget 25 LH AG'!H136</f>
        <v>-2184774.4602000001</v>
      </c>
      <c r="I90" s="74">
        <f>-'Budget 25 LH AG'!I136</f>
        <v>-2097658.7637999998</v>
      </c>
      <c r="J90" s="74"/>
      <c r="K90" s="74"/>
      <c r="L90" s="74"/>
      <c r="M90" s="74"/>
      <c r="N90" s="74"/>
      <c r="O90" s="74"/>
      <c r="P90" s="74"/>
      <c r="Q90" s="74"/>
      <c r="R90" s="74"/>
    </row>
    <row r="91" spans="1:18" ht="14" hidden="1" outlineLevel="1" x14ac:dyDescent="0.15">
      <c r="A91" s="180" t="s">
        <v>318</v>
      </c>
      <c r="C91" s="74"/>
      <c r="D91" s="74">
        <f>SUM(D88:D90)</f>
        <v>3138311.8239000011</v>
      </c>
      <c r="E91" s="74">
        <f t="shared" ref="E91:I91" si="53">SUM(E88:E90)</f>
        <v>3576300.898</v>
      </c>
      <c r="F91" s="74">
        <f t="shared" si="53"/>
        <v>4554190.6429999992</v>
      </c>
      <c r="G91" s="74">
        <f t="shared" si="53"/>
        <v>3051834.6846999996</v>
      </c>
      <c r="H91" s="74">
        <f t="shared" si="53"/>
        <v>4544448.8359999992</v>
      </c>
      <c r="I91" s="74">
        <f t="shared" si="53"/>
        <v>3206899.8509000009</v>
      </c>
      <c r="J91" s="74"/>
      <c r="K91" s="74"/>
      <c r="L91" s="74"/>
      <c r="M91" s="74"/>
      <c r="N91" s="74"/>
      <c r="O91" s="74"/>
      <c r="P91" s="74"/>
      <c r="Q91" s="74"/>
      <c r="R91" s="74"/>
    </row>
    <row r="92" spans="1:18" ht="14" hidden="1" outlineLevel="1" x14ac:dyDescent="0.15">
      <c r="B92" t="s">
        <v>337</v>
      </c>
      <c r="C92" s="74"/>
      <c r="D92" s="74">
        <f t="shared" ref="D92:I92" si="54">+D91-D81</f>
        <v>-899156.00545000006</v>
      </c>
      <c r="E92" s="74">
        <f t="shared" si="54"/>
        <v>-2131373.9652499985</v>
      </c>
      <c r="F92" s="74">
        <f t="shared" si="54"/>
        <v>-2491567.8834500005</v>
      </c>
      <c r="G92" s="74">
        <f t="shared" si="54"/>
        <v>-1872190.405449999</v>
      </c>
      <c r="H92" s="74">
        <f t="shared" si="54"/>
        <v>-2292052.0738000013</v>
      </c>
      <c r="I92" s="74">
        <f t="shared" si="54"/>
        <v>-2795941.9981000004</v>
      </c>
      <c r="J92" s="74"/>
      <c r="K92" s="74"/>
      <c r="L92" s="74"/>
      <c r="M92" s="74"/>
      <c r="N92" s="74"/>
      <c r="O92" s="74"/>
      <c r="P92" s="74"/>
      <c r="Q92" s="74"/>
      <c r="R92" s="74"/>
    </row>
    <row r="93" spans="1:18" hidden="1" outlineLevel="1" x14ac:dyDescent="0.15">
      <c r="C93" s="74"/>
      <c r="D93" s="74">
        <f>+'Budget 25 LH AG'!D178</f>
        <v>445032.35999999993</v>
      </c>
      <c r="E93" s="74">
        <f>+'Budget 25 LH AG'!E178</f>
        <v>475707.64000000007</v>
      </c>
      <c r="F93" s="74">
        <f>+'Budget 25 LH AG'!F178</f>
        <v>453810.78</v>
      </c>
      <c r="G93" s="74">
        <f>+'Budget 25 LH AG'!G178</f>
        <v>558526.59</v>
      </c>
      <c r="H93" s="74">
        <f>+'Budget 25 LH AG'!H178</f>
        <v>606103.17810000014</v>
      </c>
      <c r="I93" s="74">
        <f>+'Budget 25 LH AG'!I178</f>
        <v>681215.0756000001</v>
      </c>
      <c r="J93" s="74"/>
      <c r="K93" s="74"/>
      <c r="L93" s="74"/>
      <c r="M93" s="74"/>
      <c r="N93" s="74"/>
      <c r="O93" s="74"/>
      <c r="P93" s="74"/>
      <c r="Q93" s="74"/>
      <c r="R93" s="74"/>
    </row>
    <row r="94" spans="1:18" ht="14" hidden="1" outlineLevel="1" x14ac:dyDescent="0.15">
      <c r="B94" t="s">
        <v>334</v>
      </c>
      <c r="C94" s="74"/>
      <c r="D94" s="74">
        <f t="shared" ref="D94:I94" si="55">+(70%*7%+30%*19%)*D76</f>
        <v>622970.15988000005</v>
      </c>
      <c r="E94" s="74">
        <f t="shared" si="55"/>
        <v>725038.89017999987</v>
      </c>
      <c r="F94" s="74">
        <f t="shared" si="55"/>
        <v>1021847.4867799998</v>
      </c>
      <c r="G94" s="74">
        <f t="shared" si="55"/>
        <v>733966.49637999991</v>
      </c>
      <c r="H94" s="74">
        <f t="shared" si="55"/>
        <v>1083802.78336</v>
      </c>
      <c r="I94" s="74">
        <f t="shared" si="55"/>
        <v>886723.98042000004</v>
      </c>
      <c r="J94" s="74"/>
      <c r="K94" s="74"/>
      <c r="L94" s="74"/>
      <c r="M94" s="74"/>
      <c r="N94" s="74"/>
      <c r="O94" s="74"/>
      <c r="P94" s="74"/>
      <c r="Q94" s="74"/>
      <c r="R94" s="74"/>
    </row>
    <row r="95" spans="1:18" ht="14" hidden="1" outlineLevel="1" x14ac:dyDescent="0.15">
      <c r="B95" t="s">
        <v>335</v>
      </c>
      <c r="C95" s="74"/>
      <c r="D95" s="74">
        <f t="shared" ref="D95:I95" si="56">19%*D81</f>
        <v>767118.88757650019</v>
      </c>
      <c r="E95" s="74">
        <f t="shared" si="56"/>
        <v>1084458.2240174997</v>
      </c>
      <c r="F95" s="74">
        <f t="shared" si="56"/>
        <v>1338694.1200255</v>
      </c>
      <c r="G95" s="74">
        <f t="shared" si="56"/>
        <v>935564.76712849981</v>
      </c>
      <c r="H95" s="74">
        <f t="shared" si="56"/>
        <v>1298935.1728620001</v>
      </c>
      <c r="I95" s="74">
        <f t="shared" si="56"/>
        <v>1140539.9513100001</v>
      </c>
      <c r="J95" s="74"/>
      <c r="K95" s="74"/>
      <c r="L95" s="74"/>
      <c r="M95" s="74"/>
      <c r="N95" s="74"/>
      <c r="O95" s="74"/>
      <c r="P95" s="74"/>
      <c r="Q95" s="74"/>
      <c r="R95" s="74"/>
    </row>
    <row r="96" spans="1:18" ht="14" hidden="1" outlineLevel="1" x14ac:dyDescent="0.15">
      <c r="B96" t="s">
        <v>340</v>
      </c>
      <c r="C96" s="74"/>
      <c r="D96" s="74">
        <f t="shared" ref="D96:I96" si="57">-D80*0.19</f>
        <v>317031.52244949579</v>
      </c>
      <c r="E96" s="74">
        <f t="shared" si="57"/>
        <v>317192.36265549582</v>
      </c>
      <c r="F96" s="74">
        <f t="shared" si="57"/>
        <v>363599.80580749572</v>
      </c>
      <c r="G96" s="74">
        <f t="shared" si="57"/>
        <v>324268.24522349576</v>
      </c>
      <c r="H96" s="74">
        <f t="shared" si="57"/>
        <v>335815.64047849574</v>
      </c>
      <c r="I96" s="74">
        <f t="shared" si="57"/>
        <v>319466.3946604958</v>
      </c>
      <c r="J96" s="74"/>
      <c r="K96" s="74"/>
      <c r="L96" s="74"/>
      <c r="M96" s="74"/>
      <c r="N96" s="74"/>
      <c r="O96" s="74"/>
      <c r="P96" s="74"/>
      <c r="Q96" s="74"/>
      <c r="R96" s="74"/>
    </row>
    <row r="97" spans="1:18" ht="14" hidden="1" outlineLevel="1" x14ac:dyDescent="0.15">
      <c r="B97" t="s">
        <v>341</v>
      </c>
      <c r="C97" s="74"/>
      <c r="D97" s="74">
        <f>+D94-D95-D96</f>
        <v>-461180.25014599593</v>
      </c>
      <c r="E97" s="74">
        <f t="shared" ref="E97:I97" si="58">+E94-E95-E96</f>
        <v>-676611.6964929956</v>
      </c>
      <c r="F97" s="74">
        <f t="shared" si="58"/>
        <v>-680446.43905299588</v>
      </c>
      <c r="G97" s="74">
        <f t="shared" si="58"/>
        <v>-525866.51597199566</v>
      </c>
      <c r="H97" s="74">
        <f t="shared" si="58"/>
        <v>-550948.0299804958</v>
      </c>
      <c r="I97" s="74">
        <f t="shared" si="58"/>
        <v>-573282.36555049592</v>
      </c>
      <c r="J97" s="74"/>
      <c r="K97" s="74"/>
      <c r="L97" s="74"/>
      <c r="M97" s="74"/>
      <c r="N97" s="74"/>
      <c r="O97" s="74"/>
      <c r="P97" s="74"/>
      <c r="Q97" s="74"/>
      <c r="R97" s="74"/>
    </row>
    <row r="98" spans="1:18" collapsed="1" x14ac:dyDescent="0.15">
      <c r="C98" s="74"/>
      <c r="D98" s="74"/>
      <c r="E98" s="74"/>
      <c r="F98" s="74"/>
      <c r="G98" s="74"/>
      <c r="H98" s="357"/>
      <c r="I98" s="357"/>
      <c r="J98" s="357"/>
      <c r="K98" s="357"/>
      <c r="L98" s="357"/>
      <c r="M98" s="357"/>
      <c r="N98" s="357"/>
      <c r="O98" s="357"/>
      <c r="P98" s="74"/>
      <c r="Q98" s="74"/>
      <c r="R98" s="74"/>
    </row>
    <row r="99" spans="1:18" ht="14" x14ac:dyDescent="0.15">
      <c r="A99" s="219" t="s">
        <v>348</v>
      </c>
      <c r="C99" s="74"/>
      <c r="D99" s="74"/>
      <c r="E99" s="74"/>
      <c r="F99" s="74"/>
      <c r="G99" s="74"/>
      <c r="H99" s="176"/>
      <c r="I99" s="74"/>
      <c r="J99" s="74"/>
      <c r="K99" s="74"/>
      <c r="L99" s="74"/>
      <c r="M99" s="74"/>
      <c r="N99" s="74"/>
      <c r="O99" s="74"/>
      <c r="P99" s="74"/>
      <c r="Q99" s="74"/>
      <c r="R99" s="74"/>
    </row>
    <row r="100" spans="1:18" x14ac:dyDescent="0.15">
      <c r="A100" s="350" t="s">
        <v>364</v>
      </c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74"/>
    </row>
    <row r="101" spans="1:18" x14ac:dyDescent="0.15">
      <c r="A101" s="219"/>
      <c r="C101" s="74"/>
      <c r="D101" s="74"/>
      <c r="E101" s="74"/>
      <c r="F101" s="74"/>
      <c r="G101" s="74"/>
      <c r="H101" s="176"/>
      <c r="I101" s="74"/>
      <c r="J101" s="74"/>
      <c r="K101" s="74"/>
      <c r="L101" s="74"/>
      <c r="M101" s="74"/>
      <c r="N101" s="74"/>
      <c r="O101" s="74"/>
      <c r="P101" s="74"/>
      <c r="Q101" s="74"/>
      <c r="R101" s="74"/>
    </row>
    <row r="102" spans="1:18" x14ac:dyDescent="0.15">
      <c r="A102" s="350" t="s">
        <v>352</v>
      </c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74"/>
    </row>
    <row r="103" spans="1:18" s="20" customFormat="1" ht="30.75" customHeight="1" x14ac:dyDescent="0.15">
      <c r="A103" s="350" t="s">
        <v>357</v>
      </c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220"/>
    </row>
    <row r="104" spans="1:18" s="20" customFormat="1" ht="30.75" customHeight="1" x14ac:dyDescent="0.15">
      <c r="A104" s="350" t="s">
        <v>358</v>
      </c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220"/>
    </row>
    <row r="105" spans="1:18" x14ac:dyDescent="0.15">
      <c r="A105" s="350"/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74"/>
    </row>
    <row r="106" spans="1:18" x14ac:dyDescent="0.15">
      <c r="A106" s="350" t="s">
        <v>349</v>
      </c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74"/>
    </row>
    <row r="107" spans="1:18" s="20" customFormat="1" ht="30.75" customHeight="1" x14ac:dyDescent="0.15">
      <c r="A107" s="351" t="s">
        <v>359</v>
      </c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220"/>
    </row>
    <row r="108" spans="1:18" x14ac:dyDescent="0.15">
      <c r="A108" s="350" t="s">
        <v>351</v>
      </c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74"/>
    </row>
    <row r="109" spans="1:18" x14ac:dyDescent="0.15">
      <c r="A109" s="351" t="s">
        <v>362</v>
      </c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74"/>
    </row>
    <row r="110" spans="1:18" s="20" customFormat="1" ht="30.75" customHeight="1" x14ac:dyDescent="0.15">
      <c r="A110" s="350" t="s">
        <v>356</v>
      </c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220"/>
    </row>
    <row r="111" spans="1:18" x14ac:dyDescent="0.15">
      <c r="A111" s="350" t="s">
        <v>355</v>
      </c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74"/>
    </row>
    <row r="112" spans="1:18" x14ac:dyDescent="0.15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74"/>
    </row>
    <row r="113" spans="1:18" s="20" customFormat="1" ht="30.75" customHeight="1" x14ac:dyDescent="0.15">
      <c r="A113" s="351" t="s">
        <v>366</v>
      </c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220"/>
    </row>
    <row r="114" spans="1:18" x14ac:dyDescent="0.15"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</row>
    <row r="115" spans="1:18" x14ac:dyDescent="0.15"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15"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</row>
    <row r="117" spans="1:18" x14ac:dyDescent="0.15"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</row>
    <row r="118" spans="1:18" x14ac:dyDescent="0.15"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x14ac:dyDescent="0.15"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</row>
    <row r="120" spans="1:18" x14ac:dyDescent="0.15"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</row>
    <row r="121" spans="1:18" x14ac:dyDescent="0.15"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</row>
    <row r="122" spans="1:18" x14ac:dyDescent="0.15"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</row>
    <row r="123" spans="1:18" x14ac:dyDescent="0.15"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</row>
    <row r="124" spans="1:18" x14ac:dyDescent="0.15"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15"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</row>
    <row r="126" spans="1:18" x14ac:dyDescent="0.15"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</row>
    <row r="127" spans="1:18" x14ac:dyDescent="0.15"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</sheetData>
  <mergeCells count="18">
    <mergeCell ref="A103:Q103"/>
    <mergeCell ref="A104:Q104"/>
    <mergeCell ref="A105:Q105"/>
    <mergeCell ref="A106:Q106"/>
    <mergeCell ref="A3:A8"/>
    <mergeCell ref="A14:A36"/>
    <mergeCell ref="A38:A58"/>
    <mergeCell ref="A60:A61"/>
    <mergeCell ref="A102:Q102"/>
    <mergeCell ref="A100:Q100"/>
    <mergeCell ref="H98:O98"/>
    <mergeCell ref="A112:Q112"/>
    <mergeCell ref="A113:Q113"/>
    <mergeCell ref="A109:Q109"/>
    <mergeCell ref="A107:Q107"/>
    <mergeCell ref="A108:Q108"/>
    <mergeCell ref="A110:Q110"/>
    <mergeCell ref="A111:Q111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  <headerFooter>
    <oddFooter>&amp;L&amp;F/&amp;A&amp;R&amp;D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E96B-17AA-4F49-9220-5E0130C2D273}">
  <dimension ref="A2:AQ161"/>
  <sheetViews>
    <sheetView zoomScale="70" zoomScaleNormal="70" workbookViewId="0">
      <pane xSplit="2" ySplit="20" topLeftCell="F57" activePane="bottomRight" state="frozen"/>
      <selection activeCell="I96" sqref="I96"/>
      <selection pane="topRight" activeCell="I96" sqref="I96"/>
      <selection pane="bottomLeft" activeCell="I96" sqref="I96"/>
      <selection pane="bottomRight" activeCell="J96" sqref="J96"/>
    </sheetView>
  </sheetViews>
  <sheetFormatPr baseColWidth="10" defaultColWidth="9.1640625" defaultRowHeight="13" outlineLevelRow="1" outlineLevelCol="2" x14ac:dyDescent="0.15"/>
  <cols>
    <col min="1" max="1" width="28.5" bestFit="1" customWidth="1"/>
    <col min="2" max="2" width="22.83203125" bestFit="1" customWidth="1"/>
    <col min="3" max="3" width="12.33203125" customWidth="1" outlineLevel="1"/>
    <col min="4" max="6" width="11.6640625" customWidth="1"/>
    <col min="7" max="7" width="15.6640625" customWidth="1"/>
    <col min="8" max="9" width="13.33203125" customWidth="1"/>
    <col min="10" max="10" width="14.1640625" customWidth="1" outlineLevel="2" collapsed="1"/>
    <col min="11" max="11" width="13.33203125" customWidth="1" outlineLevel="2"/>
    <col min="12" max="13" width="14.83203125" customWidth="1" outlineLevel="2"/>
    <col min="14" max="14" width="14.1640625" customWidth="1" outlineLevel="2"/>
    <col min="15" max="15" width="15.6640625" customWidth="1" outlineLevel="2"/>
    <col min="16" max="16" width="15.6640625" bestFit="1" customWidth="1"/>
    <col min="17" max="17" width="14.83203125" customWidth="1" outlineLevel="1"/>
    <col min="18" max="18" width="32.33203125" customWidth="1"/>
    <col min="19" max="22" width="9.1640625" style="212"/>
    <col min="26" max="26" width="12.1640625" bestFit="1" customWidth="1"/>
  </cols>
  <sheetData>
    <row r="2" spans="1:22" ht="28" x14ac:dyDescent="0.15">
      <c r="B2" s="85" t="s">
        <v>7</v>
      </c>
      <c r="C2" s="85" t="s">
        <v>8</v>
      </c>
      <c r="D2" s="85" t="s">
        <v>9</v>
      </c>
      <c r="E2" s="85" t="s">
        <v>10</v>
      </c>
      <c r="F2" s="85" t="s">
        <v>11</v>
      </c>
      <c r="G2" s="85" t="s">
        <v>12</v>
      </c>
      <c r="H2" s="85" t="s">
        <v>13</v>
      </c>
      <c r="I2" s="85" t="s">
        <v>14</v>
      </c>
      <c r="J2" s="85" t="s">
        <v>15</v>
      </c>
      <c r="K2" s="85" t="s">
        <v>16</v>
      </c>
      <c r="L2" s="85" t="s">
        <v>17</v>
      </c>
      <c r="M2" s="85" t="s">
        <v>18</v>
      </c>
      <c r="N2" s="85" t="s">
        <v>19</v>
      </c>
      <c r="O2" s="85" t="s">
        <v>20</v>
      </c>
      <c r="P2" s="30" t="s">
        <v>125</v>
      </c>
      <c r="Q2" s="30" t="s">
        <v>198</v>
      </c>
    </row>
    <row r="3" spans="1:22" s="27" customFormat="1" ht="14" hidden="1" outlineLevel="1" x14ac:dyDescent="0.15">
      <c r="A3" s="28" t="s">
        <v>123</v>
      </c>
      <c r="B3" s="29" t="s">
        <v>124</v>
      </c>
      <c r="C3" s="31">
        <f>'Budget 25 LH AG'!C11</f>
        <v>121988476.0851</v>
      </c>
      <c r="D3" s="31">
        <f>'Budget 25 LH AG'!D11</f>
        <v>7240087.3559999997</v>
      </c>
      <c r="E3" s="31">
        <f>'Budget 25 LH AG'!E11</f>
        <v>8314846.3295</v>
      </c>
      <c r="F3" s="31">
        <f>'Budget 25 LH AG'!F11</f>
        <v>11118560.569499999</v>
      </c>
      <c r="G3" s="31">
        <f>'Budget 25 LH AG'!G11</f>
        <v>8842420.0604999997</v>
      </c>
      <c r="H3" s="31">
        <f>'Budget 25 LH AG'!H11</f>
        <v>11077677.168</v>
      </c>
      <c r="I3" s="31">
        <f>'Budget 25 LH AG'!I11</f>
        <v>10908122.016799999</v>
      </c>
      <c r="J3" s="31">
        <f>'Budget 25 LH AG'!J11</f>
        <v>9390566.3160999995</v>
      </c>
      <c r="K3" s="31">
        <f>'Budget 25 LH AG'!K11</f>
        <v>10250151.282600001</v>
      </c>
      <c r="L3" s="31">
        <f>'Budget 25 LH AG'!L11</f>
        <v>12897675.805299999</v>
      </c>
      <c r="M3" s="31">
        <f>'Budget 25 LH AG'!M11</f>
        <v>12387225.269400001</v>
      </c>
      <c r="N3" s="31">
        <f>'Budget 25 LH AG'!N11</f>
        <v>10794718.781199999</v>
      </c>
      <c r="O3" s="31">
        <f>'Budget 25 LH AG'!O11</f>
        <v>8766425.1302000005</v>
      </c>
      <c r="P3" s="31">
        <f>'Budget 25 LH AG'!P11</f>
        <v>57501713.500299998</v>
      </c>
      <c r="Q3" s="31">
        <f>'Budget 25 LH AG'!Q11</f>
        <v>64486762.584799998</v>
      </c>
      <c r="S3" s="314"/>
      <c r="T3" s="314"/>
      <c r="U3" s="314"/>
      <c r="V3" s="314"/>
    </row>
    <row r="4" spans="1:22" s="27" customFormat="1" ht="14" hidden="1" outlineLevel="1" x14ac:dyDescent="0.15">
      <c r="A4" s="28"/>
      <c r="B4" s="29" t="s">
        <v>128</v>
      </c>
      <c r="C4" s="31">
        <f>'Hotels Only'!C11</f>
        <v>93365066.829699993</v>
      </c>
      <c r="D4" s="31">
        <f>'Hotels Only'!D11</f>
        <v>5324462.53</v>
      </c>
      <c r="E4" s="31">
        <f>'Hotels Only'!E11</f>
        <v>6311402.4699999997</v>
      </c>
      <c r="F4" s="31">
        <f>'Hotels Only'!F11</f>
        <v>8569487.6699999999</v>
      </c>
      <c r="G4" s="31">
        <f>'Hotels Only'!G11</f>
        <v>6313744.0499999998</v>
      </c>
      <c r="H4" s="31">
        <f>'Hotels Only'!H11</f>
        <v>8687115.6600000001</v>
      </c>
      <c r="I4" s="31">
        <f>'Hotels Only'!I11</f>
        <v>7353274.8399999999</v>
      </c>
      <c r="J4" s="31">
        <f>'Hotels Only'!J11</f>
        <v>6427992.7048000004</v>
      </c>
      <c r="K4" s="31">
        <f>'Hotels Only'!K11</f>
        <v>7105821.2424999997</v>
      </c>
      <c r="L4" s="31">
        <f>'Hotels Only'!L11</f>
        <v>10549865.398399999</v>
      </c>
      <c r="M4" s="31">
        <f>'Hotels Only'!M11</f>
        <v>10432178.8453</v>
      </c>
      <c r="N4" s="31">
        <f>'Hotels Only'!N11</f>
        <v>9491176.3024000004</v>
      </c>
      <c r="O4" s="31">
        <f>'Hotels Only'!O11</f>
        <v>6798545.1162999999</v>
      </c>
      <c r="P4" s="31">
        <f>SUM(D4:I4)</f>
        <v>42559487.219999999</v>
      </c>
      <c r="Q4" s="31">
        <f>SUM(E4:J4)</f>
        <v>43663017.3948</v>
      </c>
      <c r="S4" s="314"/>
      <c r="T4" s="314"/>
      <c r="U4" s="314"/>
      <c r="V4" s="314"/>
    </row>
    <row r="5" spans="1:22" s="27" customFormat="1" ht="14" hidden="1" outlineLevel="1" x14ac:dyDescent="0.15">
      <c r="A5" s="28"/>
      <c r="B5" s="29" t="s">
        <v>130</v>
      </c>
      <c r="C5" s="31">
        <f>'HQ only'!C11</f>
        <v>15256234.3805</v>
      </c>
      <c r="D5" s="31">
        <f>'HQ only'!D11</f>
        <v>552614.44999999995</v>
      </c>
      <c r="E5" s="31">
        <f>'HQ only'!E11</f>
        <v>528587.06000000006</v>
      </c>
      <c r="F5" s="31">
        <f>'HQ only'!F11</f>
        <v>1070582.96</v>
      </c>
      <c r="G5" s="31">
        <f>'HQ only'!G11</f>
        <v>610468.18000000005</v>
      </c>
      <c r="H5" s="31">
        <f>'HQ only'!H11</f>
        <v>1537438.9</v>
      </c>
      <c r="I5" s="31">
        <f>'HQ only'!I11</f>
        <v>1012045.73</v>
      </c>
      <c r="J5" s="31">
        <f>'HQ only'!J11</f>
        <v>1924757.9398000001</v>
      </c>
      <c r="K5" s="31">
        <f>'HQ only'!K11</f>
        <v>1942110.5708000001</v>
      </c>
      <c r="L5" s="31">
        <f>'HQ only'!L11</f>
        <v>1900916.1665000001</v>
      </c>
      <c r="M5" s="31">
        <f>'HQ only'!M11</f>
        <v>1561011.1294</v>
      </c>
      <c r="N5" s="31">
        <f>'HQ only'!N11</f>
        <v>1160767.0135999999</v>
      </c>
      <c r="O5" s="31">
        <f>'HQ only'!O11</f>
        <v>1454934.2804</v>
      </c>
      <c r="P5" s="31">
        <f>SUM(D5:I5)</f>
        <v>5311737.2799999993</v>
      </c>
      <c r="Q5" s="31">
        <f>SUM(E5:J5)</f>
        <v>6683880.7697999999</v>
      </c>
      <c r="S5" s="314"/>
      <c r="T5" s="314"/>
      <c r="U5" s="314"/>
      <c r="V5" s="314"/>
    </row>
    <row r="6" spans="1:22" s="27" customFormat="1" hidden="1" outlineLevel="1" x14ac:dyDescent="0.15">
      <c r="A6" s="28"/>
      <c r="B6" s="29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S6" s="314"/>
      <c r="T6" s="314"/>
      <c r="U6" s="314"/>
      <c r="V6" s="314"/>
    </row>
    <row r="7" spans="1:22" s="27" customFormat="1" hidden="1" outlineLevel="1" x14ac:dyDescent="0.15">
      <c r="A7" s="28"/>
      <c r="B7" s="29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S7" s="314"/>
      <c r="T7" s="314"/>
      <c r="U7" s="314"/>
      <c r="V7" s="314"/>
    </row>
    <row r="8" spans="1:22" s="27" customFormat="1" hidden="1" outlineLevel="1" x14ac:dyDescent="0.15">
      <c r="A8" s="28"/>
      <c r="B8" s="29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S8" s="314"/>
      <c r="T8" s="314"/>
      <c r="U8" s="314"/>
      <c r="V8" s="314"/>
    </row>
    <row r="9" spans="1:22" s="27" customFormat="1" hidden="1" outlineLevel="1" x14ac:dyDescent="0.15">
      <c r="A9" s="28"/>
      <c r="B9" s="29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S9" s="314"/>
      <c r="T9" s="314"/>
      <c r="U9" s="314"/>
      <c r="V9" s="314"/>
    </row>
    <row r="10" spans="1:22" s="27" customFormat="1" hidden="1" outlineLevel="1" x14ac:dyDescent="0.15">
      <c r="A10" s="28"/>
      <c r="B10" s="29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S10" s="314"/>
      <c r="T10" s="314"/>
      <c r="U10" s="314"/>
      <c r="V10" s="314"/>
    </row>
    <row r="11" spans="1:22" s="27" customFormat="1" hidden="1" outlineLevel="1" x14ac:dyDescent="0.15">
      <c r="A11" s="28"/>
      <c r="B11" s="29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S11" s="314"/>
      <c r="T11" s="314"/>
      <c r="U11" s="314"/>
      <c r="V11" s="314"/>
    </row>
    <row r="12" spans="1:22" s="27" customFormat="1" hidden="1" outlineLevel="1" x14ac:dyDescent="0.15">
      <c r="A12" s="28"/>
      <c r="B12" s="29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S12" s="314"/>
      <c r="T12" s="314"/>
      <c r="U12" s="314"/>
      <c r="V12" s="314"/>
    </row>
    <row r="13" spans="1:22" s="27" customFormat="1" hidden="1" outlineLevel="1" x14ac:dyDescent="0.15">
      <c r="A13" s="28"/>
      <c r="B13" s="29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S13" s="314"/>
      <c r="T13" s="314"/>
      <c r="U13" s="314"/>
      <c r="V13" s="314"/>
    </row>
    <row r="14" spans="1:22" s="27" customFormat="1" hidden="1" outlineLevel="1" x14ac:dyDescent="0.15">
      <c r="A14" s="28"/>
      <c r="B14" s="29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S14" s="314"/>
      <c r="T14" s="314"/>
      <c r="U14" s="314"/>
      <c r="V14" s="314"/>
    </row>
    <row r="15" spans="1:22" s="27" customFormat="1" hidden="1" outlineLevel="1" x14ac:dyDescent="0.15">
      <c r="A15" s="28"/>
      <c r="B15" s="29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S15" s="314"/>
      <c r="T15" s="314"/>
      <c r="U15" s="314"/>
      <c r="V15" s="314"/>
    </row>
    <row r="16" spans="1:22" s="27" customFormat="1" hidden="1" outlineLevel="1" x14ac:dyDescent="0.15">
      <c r="A16" s="28"/>
      <c r="B16" s="29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S16" s="314"/>
      <c r="T16" s="314"/>
      <c r="U16" s="314"/>
      <c r="V16" s="314"/>
    </row>
    <row r="17" spans="1:43" s="27" customFormat="1" hidden="1" outlineLevel="1" x14ac:dyDescent="0.15">
      <c r="A17" s="28"/>
      <c r="B17" s="29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S17" s="314"/>
      <c r="T17" s="314"/>
      <c r="U17" s="314"/>
      <c r="V17" s="314"/>
    </row>
    <row r="18" spans="1:43" s="27" customFormat="1" hidden="1" outlineLevel="1" x14ac:dyDescent="0.15">
      <c r="A18" s="28"/>
      <c r="B18" s="29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S18" s="314"/>
      <c r="T18" s="314"/>
      <c r="U18" s="314"/>
      <c r="V18" s="314"/>
    </row>
    <row r="19" spans="1:43" s="27" customFormat="1" hidden="1" outlineLevel="1" x14ac:dyDescent="0.15">
      <c r="A19" s="28"/>
      <c r="B19" s="29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S19" s="314"/>
      <c r="T19" s="314"/>
      <c r="U19" s="314"/>
      <c r="V19" s="314"/>
    </row>
    <row r="20" spans="1:43" s="27" customFormat="1" hidden="1" outlineLevel="1" x14ac:dyDescent="0.15">
      <c r="A20" s="28"/>
      <c r="B20" s="29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S20" s="314"/>
      <c r="T20" s="314"/>
      <c r="U20" s="314"/>
      <c r="V20" s="314"/>
    </row>
    <row r="21" spans="1:43" s="27" customFormat="1" ht="2.5" customHeight="1" collapsed="1" x14ac:dyDescent="0.15">
      <c r="A21" s="28"/>
      <c r="B21" s="29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S21" s="314"/>
      <c r="T21" s="314"/>
      <c r="U21" s="314"/>
      <c r="V21" s="314"/>
    </row>
    <row r="22" spans="1:43" s="28" customFormat="1" ht="14" x14ac:dyDescent="0.15">
      <c r="A22" s="358" t="s">
        <v>180</v>
      </c>
      <c r="B22" s="57" t="s">
        <v>186</v>
      </c>
      <c r="C22" s="58">
        <f>SUM(D22:O22)</f>
        <v>-9766377.9957999997</v>
      </c>
      <c r="D22" s="58">
        <v>-2284871.9229000001</v>
      </c>
      <c r="E22" s="58">
        <f>'data entry LH AG'!I153</f>
        <v>-2983068.52</v>
      </c>
      <c r="F22" s="58">
        <f>'data entry LH AG'!L153</f>
        <v>-978505.11</v>
      </c>
      <c r="G22" s="58">
        <f>'data entry LH AG'!O147</f>
        <v>-2095343.88</v>
      </c>
      <c r="H22" s="58">
        <f>'data entry LH AG'!R153</f>
        <v>222722.22</v>
      </c>
      <c r="I22" s="58">
        <f>'data entry LH AG'!U153</f>
        <v>-1286840.42</v>
      </c>
      <c r="J22" s="58">
        <f>'data entry LH AG'!X153</f>
        <v>-967883.42879999999</v>
      </c>
      <c r="K22" s="58">
        <f>'data entry LH AG'!AA153</f>
        <v>-575363.37459999998</v>
      </c>
      <c r="L22" s="58">
        <f>'data entry LH AG'!AD153</f>
        <v>1395768.1762999999</v>
      </c>
      <c r="M22" s="58">
        <f>'data entry LH AG'!AG153</f>
        <v>1257777.483</v>
      </c>
      <c r="N22" s="58">
        <f>'data entry LH AG'!AJ153</f>
        <v>-14973.8081</v>
      </c>
      <c r="O22" s="58">
        <f>'data entry LH AG'!AM153</f>
        <v>-1455795.4106999999</v>
      </c>
      <c r="P22" s="59">
        <f>SUM(D22:I22)</f>
        <v>-9405907.6328999996</v>
      </c>
      <c r="Q22" s="59">
        <f>SUM(J22:O22)</f>
        <v>-360470.36290000007</v>
      </c>
      <c r="S22" s="315"/>
      <c r="T22" s="315"/>
      <c r="U22" s="315"/>
      <c r="V22" s="315"/>
    </row>
    <row r="23" spans="1:43" ht="14" x14ac:dyDescent="0.15">
      <c r="A23" s="354"/>
      <c r="B23" s="47" t="s">
        <v>187</v>
      </c>
      <c r="C23" s="56">
        <f>'Hotels Only'!C153</f>
        <v>-5924419.9073000001</v>
      </c>
      <c r="D23" s="56">
        <f>'Hotels Only'!D153</f>
        <v>-2118525.13</v>
      </c>
      <c r="E23" s="56">
        <f>'Hotels Only'!E153</f>
        <v>-1714838.87</v>
      </c>
      <c r="F23" s="56">
        <f>'Hotels Only'!F153</f>
        <v>478508.93</v>
      </c>
      <c r="G23" s="56">
        <f>'Hotels Only'!G153</f>
        <v>-1661239.71</v>
      </c>
      <c r="H23" s="56">
        <f>'Hotels Only'!H153</f>
        <v>247414.62</v>
      </c>
      <c r="I23" s="56">
        <f>'Hotels Only'!I153</f>
        <v>-564157.19999999995</v>
      </c>
      <c r="J23" s="56">
        <f>'Hotels Only'!J153</f>
        <v>-1373154.7826</v>
      </c>
      <c r="K23" s="56">
        <f>'Hotels Only'!K153</f>
        <v>-911852.55110000004</v>
      </c>
      <c r="L23" s="56">
        <f>'Hotels Only'!L153</f>
        <v>1119421.9393</v>
      </c>
      <c r="M23" s="56">
        <f>'Hotels Only'!M153</f>
        <v>1188886.6211999999</v>
      </c>
      <c r="N23" s="56">
        <f>'Hotels Only'!N153</f>
        <v>382855.95380000002</v>
      </c>
      <c r="O23" s="56">
        <f>'Hotels Only'!O153</f>
        <v>-997739.72790000006</v>
      </c>
      <c r="P23" s="50">
        <f t="shared" ref="P23:P24" si="0">SUM(D23:I23)</f>
        <v>-5332837.3599999994</v>
      </c>
      <c r="Q23" s="50">
        <f>SUM(J23:O23)</f>
        <v>-591582.54730000044</v>
      </c>
    </row>
    <row r="24" spans="1:43" ht="14" x14ac:dyDescent="0.15">
      <c r="A24" s="354"/>
      <c r="B24" s="47" t="s">
        <v>133</v>
      </c>
      <c r="C24" s="56">
        <f>'HQ only'!C153</f>
        <v>-4193451.4056000002</v>
      </c>
      <c r="D24" s="56">
        <f>'HQ only'!D153</f>
        <v>-468777.36</v>
      </c>
      <c r="E24" s="56">
        <f>'HQ only'!E153</f>
        <v>-1268229.6499999999</v>
      </c>
      <c r="F24" s="56">
        <f>'HQ only'!F153</f>
        <v>-1457014.04</v>
      </c>
      <c r="G24" s="56">
        <f>'HQ only'!G153</f>
        <v>-483166.92</v>
      </c>
      <c r="H24" s="56">
        <f>'HQ only'!H153</f>
        <v>-24692.400000000001</v>
      </c>
      <c r="I24" s="56">
        <f>'HQ only'!I153</f>
        <v>-722683.22</v>
      </c>
      <c r="J24" s="56">
        <f>'HQ only'!J153</f>
        <v>405271.35379999998</v>
      </c>
      <c r="K24" s="56">
        <f>'HQ only'!K153</f>
        <v>336489.1765</v>
      </c>
      <c r="L24" s="56">
        <f>'HQ only'!L153</f>
        <v>276346.23700000002</v>
      </c>
      <c r="M24" s="56">
        <f>'HQ only'!M153</f>
        <v>68890.861799999999</v>
      </c>
      <c r="N24" s="56">
        <f>'HQ only'!N153</f>
        <v>-397829.76189999998</v>
      </c>
      <c r="O24" s="56">
        <f>'HQ only'!O153</f>
        <v>-458055.68280000001</v>
      </c>
      <c r="P24" s="50">
        <f t="shared" si="0"/>
        <v>-4424563.59</v>
      </c>
      <c r="Q24" s="50">
        <f>SUM(J24:O24)</f>
        <v>231112.18439999997</v>
      </c>
    </row>
    <row r="25" spans="1:43" x14ac:dyDescent="0.15">
      <c r="A25" s="80"/>
      <c r="B25" s="47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0"/>
      <c r="Q25" s="50"/>
    </row>
    <row r="26" spans="1:43" s="27" customFormat="1" ht="14" x14ac:dyDescent="0.15">
      <c r="A26" s="79" t="s">
        <v>189</v>
      </c>
      <c r="B26" s="60" t="s">
        <v>188</v>
      </c>
      <c r="C26" s="61">
        <f>C23</f>
        <v>-5924419.9073000001</v>
      </c>
      <c r="D26" s="61">
        <f t="shared" ref="D26:O26" si="1">D23</f>
        <v>-2118525.13</v>
      </c>
      <c r="E26" s="61">
        <f t="shared" si="1"/>
        <v>-1714838.87</v>
      </c>
      <c r="F26" s="61">
        <f t="shared" si="1"/>
        <v>478508.93</v>
      </c>
      <c r="G26" s="61">
        <f t="shared" si="1"/>
        <v>-1661239.71</v>
      </c>
      <c r="H26" s="61">
        <f t="shared" si="1"/>
        <v>247414.62</v>
      </c>
      <c r="I26" s="61">
        <f t="shared" si="1"/>
        <v>-564157.19999999995</v>
      </c>
      <c r="J26" s="61">
        <f t="shared" si="1"/>
        <v>-1373154.7826</v>
      </c>
      <c r="K26" s="61">
        <f t="shared" si="1"/>
        <v>-911852.55110000004</v>
      </c>
      <c r="L26" s="61">
        <f t="shared" si="1"/>
        <v>1119421.9393</v>
      </c>
      <c r="M26" s="61">
        <f t="shared" si="1"/>
        <v>1188886.6211999999</v>
      </c>
      <c r="N26" s="61">
        <f t="shared" si="1"/>
        <v>382855.95380000002</v>
      </c>
      <c r="O26" s="61">
        <f t="shared" si="1"/>
        <v>-997739.72790000006</v>
      </c>
      <c r="P26" s="62">
        <f t="shared" ref="P26" si="2">SUM(D26:I26)</f>
        <v>-5332837.3599999994</v>
      </c>
      <c r="Q26" s="62">
        <f t="shared" ref="Q26:Q47" si="3">SUM(J26:O26)</f>
        <v>-591582.54730000044</v>
      </c>
      <c r="S26" s="314"/>
      <c r="T26" s="314"/>
      <c r="U26" s="314"/>
      <c r="V26" s="314"/>
      <c r="AJ26"/>
      <c r="AK26"/>
      <c r="AL26"/>
      <c r="AM26"/>
      <c r="AN26"/>
      <c r="AO26"/>
      <c r="AP26"/>
      <c r="AQ26"/>
    </row>
    <row r="27" spans="1:43" ht="13.25" customHeight="1" outlineLevel="1" x14ac:dyDescent="0.15">
      <c r="A27" s="79"/>
      <c r="B27" s="302" t="s">
        <v>134</v>
      </c>
      <c r="C27" s="63">
        <f>SUM(D27:O27)</f>
        <v>-1045476.6984999999</v>
      </c>
      <c r="D27" s="63">
        <v>-221766</v>
      </c>
      <c r="E27" s="63">
        <v>-93835</v>
      </c>
      <c r="F27" s="63">
        <v>-90858</v>
      </c>
      <c r="G27" s="63">
        <f>Kudamm!G153</f>
        <v>-183430.87</v>
      </c>
      <c r="H27" s="63">
        <f>Kudamm!H153</f>
        <v>-59454.729899999998</v>
      </c>
      <c r="I27" s="63">
        <f>Kudamm!I153</f>
        <v>-47923.902300000002</v>
      </c>
      <c r="J27" s="63">
        <f>Kudamm!J153</f>
        <v>-106849.3582</v>
      </c>
      <c r="K27" s="63">
        <f>Kudamm!K153</f>
        <v>-77288.151299999998</v>
      </c>
      <c r="L27" s="63">
        <f>Kudamm!L153</f>
        <v>61397.205699999999</v>
      </c>
      <c r="M27" s="63">
        <f>Kudamm!M153</f>
        <v>-21469.673200000001</v>
      </c>
      <c r="N27" s="63">
        <f>Kudamm!N153</f>
        <v>-100952.2482</v>
      </c>
      <c r="O27" s="63">
        <f>Kudamm!O153</f>
        <v>-103045.9711</v>
      </c>
      <c r="P27" s="303">
        <f t="shared" ref="P27:P47" si="4">SUM(D27:I27)</f>
        <v>-697268.50219999999</v>
      </c>
      <c r="Q27" s="303">
        <f t="shared" si="3"/>
        <v>-348208.19629999995</v>
      </c>
      <c r="R27" s="51">
        <f>P27+Q27-C27</f>
        <v>0</v>
      </c>
    </row>
    <row r="28" spans="1:43" s="53" customFormat="1" ht="13.25" customHeight="1" outlineLevel="1" x14ac:dyDescent="0.15">
      <c r="A28" s="79"/>
      <c r="B28" s="307" t="s">
        <v>508</v>
      </c>
      <c r="C28" s="64"/>
      <c r="D28" s="65">
        <v>115755</v>
      </c>
      <c r="E28" s="66">
        <f>+D28</f>
        <v>115755</v>
      </c>
      <c r="F28" s="310">
        <f>198825.6-89790</f>
        <v>109035.6</v>
      </c>
      <c r="G28" s="310">
        <f t="shared" ref="G28:O28" si="5">198825.6-89790</f>
        <v>109035.6</v>
      </c>
      <c r="H28" s="310">
        <f t="shared" si="5"/>
        <v>109035.6</v>
      </c>
      <c r="I28" s="310">
        <f t="shared" si="5"/>
        <v>109035.6</v>
      </c>
      <c r="J28" s="310">
        <f t="shared" si="5"/>
        <v>109035.6</v>
      </c>
      <c r="K28" s="310">
        <f t="shared" si="5"/>
        <v>109035.6</v>
      </c>
      <c r="L28" s="310">
        <f t="shared" si="5"/>
        <v>109035.6</v>
      </c>
      <c r="M28" s="310">
        <f t="shared" si="5"/>
        <v>109035.6</v>
      </c>
      <c r="N28" s="310">
        <f t="shared" si="5"/>
        <v>109035.6</v>
      </c>
      <c r="O28" s="310">
        <f t="shared" si="5"/>
        <v>109035.6</v>
      </c>
      <c r="P28" s="55">
        <f>SUM(D28:I28)</f>
        <v>667652.39999999991</v>
      </c>
      <c r="Q28" s="55">
        <f t="shared" si="3"/>
        <v>654213.6</v>
      </c>
      <c r="R28" s="54" t="s">
        <v>505</v>
      </c>
      <c r="S28" s="316"/>
      <c r="T28" s="316"/>
      <c r="U28" s="316"/>
      <c r="V28" s="316"/>
      <c r="AJ28"/>
      <c r="AK28"/>
      <c r="AL28"/>
      <c r="AM28"/>
      <c r="AN28"/>
      <c r="AO28"/>
      <c r="AP28"/>
      <c r="AQ28"/>
    </row>
    <row r="29" spans="1:43" ht="13.25" customHeight="1" outlineLevel="1" x14ac:dyDescent="0.15">
      <c r="A29" s="79"/>
      <c r="B29" s="304" t="s">
        <v>161</v>
      </c>
      <c r="C29" s="63">
        <f>Airport!C153</f>
        <v>-858544.00150000001</v>
      </c>
      <c r="D29" s="63">
        <f>Airport!D153</f>
        <v>-145619.14000000001</v>
      </c>
      <c r="E29" s="63">
        <f>Airport!E153</f>
        <v>-145124.76999999999</v>
      </c>
      <c r="F29" s="63">
        <f>Airport!F153</f>
        <v>-8064.78</v>
      </c>
      <c r="G29" s="63">
        <f>Airport!G153</f>
        <v>-241808.88</v>
      </c>
      <c r="H29" s="63">
        <f>Airport!H153</f>
        <v>-92663.1492</v>
      </c>
      <c r="I29" s="63">
        <f>Airport!I153</f>
        <v>-150106.3052</v>
      </c>
      <c r="J29" s="63">
        <f>Airport!J153</f>
        <v>-213821.60490000001</v>
      </c>
      <c r="K29" s="63">
        <f>Airport!K153</f>
        <v>-139256.40400000001</v>
      </c>
      <c r="L29" s="63">
        <f>Airport!L153</f>
        <v>65189.217299999997</v>
      </c>
      <c r="M29" s="305">
        <f>Airport!M153</f>
        <v>148310.52480000001</v>
      </c>
      <c r="N29" s="306">
        <f>Airport!N153</f>
        <v>148840.47930000001</v>
      </c>
      <c r="O29" s="306">
        <f>Airport!O153</f>
        <v>-84419.189599999998</v>
      </c>
      <c r="P29" s="303">
        <f t="shared" si="4"/>
        <v>-783387.02439999999</v>
      </c>
      <c r="Q29" s="303">
        <f t="shared" si="3"/>
        <v>-75156.977099999975</v>
      </c>
      <c r="R29" s="51">
        <f>P29+Q29-C29</f>
        <v>0</v>
      </c>
    </row>
    <row r="30" spans="1:43" s="53" customFormat="1" ht="13.25" customHeight="1" outlineLevel="1" x14ac:dyDescent="0.15">
      <c r="A30" s="79"/>
      <c r="B30" s="307" t="s">
        <v>448</v>
      </c>
      <c r="C30" s="65"/>
      <c r="D30" s="65">
        <v>190110</v>
      </c>
      <c r="E30" s="66">
        <f>+D30</f>
        <v>190110</v>
      </c>
      <c r="F30" s="65">
        <f>-F29+Airport!F176</f>
        <v>179220.24</v>
      </c>
      <c r="G30" s="65">
        <f>-G29+Airport!G176</f>
        <v>179220.24</v>
      </c>
      <c r="H30" s="65">
        <f>-H29+Airport!H176</f>
        <v>164534.57999999999</v>
      </c>
      <c r="I30" s="65">
        <f>-I29+Airport!I176</f>
        <v>144534.57999999999</v>
      </c>
      <c r="J30" s="65">
        <f>-J29+Airport!J176</f>
        <v>144534.57999999999</v>
      </c>
      <c r="K30" s="65">
        <f>-K29+Airport!K176</f>
        <v>144534.57999999999</v>
      </c>
      <c r="L30" s="65">
        <f>-L29+Airport!L176</f>
        <v>144534.57999999999</v>
      </c>
      <c r="M30" s="305">
        <f>-M29+Airport!N174</f>
        <v>-115964.44768000001</v>
      </c>
      <c r="N30" s="306">
        <f t="shared" ref="N30:O30" si="6">-N29</f>
        <v>-148840.47930000001</v>
      </c>
      <c r="O30" s="306">
        <f t="shared" si="6"/>
        <v>84419.189599999998</v>
      </c>
      <c r="P30" s="55">
        <f>SUM(D30:I30)</f>
        <v>1047729.6399999999</v>
      </c>
      <c r="Q30" s="55">
        <f t="shared" si="3"/>
        <v>253218.00261999998</v>
      </c>
      <c r="R30" s="308" t="s">
        <v>445</v>
      </c>
      <c r="S30" s="316"/>
      <c r="T30" s="316"/>
      <c r="U30" s="316"/>
      <c r="V30" s="316"/>
      <c r="AJ30"/>
      <c r="AK30"/>
      <c r="AL30"/>
      <c r="AM30"/>
      <c r="AN30"/>
      <c r="AO30"/>
      <c r="AP30"/>
      <c r="AQ30"/>
    </row>
    <row r="31" spans="1:43" ht="13.25" customHeight="1" outlineLevel="1" x14ac:dyDescent="0.15">
      <c r="A31" s="79"/>
      <c r="B31" s="302" t="s">
        <v>163</v>
      </c>
      <c r="C31" s="63">
        <f>Höchst!C153</f>
        <v>-1205030.0774999999</v>
      </c>
      <c r="D31" s="63">
        <f>Höchst!D153</f>
        <v>-212155.9</v>
      </c>
      <c r="E31" s="63">
        <f>Höchst!E153</f>
        <v>-120714.41</v>
      </c>
      <c r="F31" s="63">
        <f>Höchst!F153</f>
        <v>10949.47</v>
      </c>
      <c r="G31" s="63">
        <f>Höchst!G153</f>
        <v>-263290.92</v>
      </c>
      <c r="H31" s="63">
        <f>Höchst!H153</f>
        <v>-51561.218200000003</v>
      </c>
      <c r="I31" s="63">
        <f>Höchst!I153</f>
        <v>-45336.008999999998</v>
      </c>
      <c r="J31" s="63">
        <f>Höchst!J153</f>
        <v>-213719.65820000001</v>
      </c>
      <c r="K31" s="63">
        <f>Höchst!K153</f>
        <v>-173486.86910000001</v>
      </c>
      <c r="L31" s="63">
        <f>Höchst!L153</f>
        <v>39539.994100000004</v>
      </c>
      <c r="M31" s="306">
        <f>Höchst!M153</f>
        <v>72164.391600000003</v>
      </c>
      <c r="N31" s="306">
        <f>Höchst!N153</f>
        <v>-21737.418300000001</v>
      </c>
      <c r="O31" s="306">
        <f>Höchst!O153</f>
        <v>-225681.53039999999</v>
      </c>
      <c r="P31" s="303">
        <f t="shared" si="4"/>
        <v>-682108.98719999997</v>
      </c>
      <c r="Q31" s="303">
        <f t="shared" si="3"/>
        <v>-522921.09029999998</v>
      </c>
      <c r="R31" s="51">
        <f>P31+Q31-C31</f>
        <v>0</v>
      </c>
    </row>
    <row r="32" spans="1:43" s="53" customFormat="1" ht="13.25" customHeight="1" outlineLevel="1" x14ac:dyDescent="0.15">
      <c r="A32" s="79"/>
      <c r="B32" s="307" t="s">
        <v>449</v>
      </c>
      <c r="C32" s="65"/>
      <c r="D32" s="65">
        <v>295521</v>
      </c>
      <c r="E32" s="66">
        <f>+D32</f>
        <v>295521</v>
      </c>
      <c r="F32" s="310">
        <f>+Höchst!F137-150000</f>
        <v>101565.44</v>
      </c>
      <c r="G32" s="310">
        <f>+Höchst!G137-150000</f>
        <v>101565.44</v>
      </c>
      <c r="H32" s="310">
        <f>+Höchst!H137-150000</f>
        <v>106565.44</v>
      </c>
      <c r="I32" s="310">
        <f>+Höchst!I137-150000</f>
        <v>106565.44</v>
      </c>
      <c r="J32" s="310">
        <f>+Höchst!J137-150000</f>
        <v>106565.44</v>
      </c>
      <c r="K32" s="310">
        <f>+Höchst!K137-150000</f>
        <v>106565.44</v>
      </c>
      <c r="L32" s="310">
        <f>+Höchst!L137-150000</f>
        <v>106565.44</v>
      </c>
      <c r="M32" s="306">
        <f t="shared" ref="M32:O32" si="7">-M31</f>
        <v>-72164.391600000003</v>
      </c>
      <c r="N32" s="306">
        <f t="shared" si="7"/>
        <v>21737.418300000001</v>
      </c>
      <c r="O32" s="306">
        <f t="shared" si="7"/>
        <v>225681.53039999999</v>
      </c>
      <c r="P32" s="55">
        <f t="shared" si="4"/>
        <v>1007303.7599999998</v>
      </c>
      <c r="Q32" s="55">
        <f t="shared" si="3"/>
        <v>494950.87709999998</v>
      </c>
      <c r="R32" s="54" t="s">
        <v>446</v>
      </c>
      <c r="S32" s="316"/>
      <c r="T32" s="316"/>
      <c r="U32" s="316"/>
      <c r="V32" s="316"/>
      <c r="AJ32"/>
      <c r="AK32"/>
      <c r="AL32"/>
      <c r="AM32"/>
      <c r="AN32"/>
      <c r="AO32"/>
      <c r="AP32"/>
      <c r="AQ32"/>
    </row>
    <row r="33" spans="1:43" ht="13.25" customHeight="1" outlineLevel="1" x14ac:dyDescent="0.15">
      <c r="A33" s="79"/>
      <c r="B33" s="302" t="s">
        <v>164</v>
      </c>
      <c r="C33" s="63">
        <f>'Main Plaza'!C153</f>
        <v>-1499349.7892</v>
      </c>
      <c r="D33" s="63">
        <f>'Main Plaza'!D153</f>
        <v>-274552.14</v>
      </c>
      <c r="E33" s="63">
        <f>'Main Plaza'!E153</f>
        <v>-166853.12</v>
      </c>
      <c r="F33" s="63">
        <f>'Main Plaza'!F153</f>
        <v>-76400.009999999995</v>
      </c>
      <c r="G33" s="63">
        <f>'Main Plaza'!G153</f>
        <v>-272562.78999999998</v>
      </c>
      <c r="H33" s="63">
        <f>'Main Plaza'!H153</f>
        <v>-145846.08850000001</v>
      </c>
      <c r="I33" s="63">
        <f>'Main Plaza'!I153</f>
        <v>-98949.767600000006</v>
      </c>
      <c r="J33" s="63">
        <f>'Main Plaza'!J153</f>
        <v>-162913.03959999999</v>
      </c>
      <c r="K33" s="63">
        <f>'Main Plaza'!K153</f>
        <v>-142601.7304</v>
      </c>
      <c r="L33" s="63">
        <f>'Main Plaza'!L153</f>
        <v>-65318.778100000003</v>
      </c>
      <c r="M33" s="306">
        <f>'Main Plaza'!M153</f>
        <v>34585.984700000001</v>
      </c>
      <c r="N33" s="306">
        <f>'Main Plaza'!N153</f>
        <v>-18871.376100000001</v>
      </c>
      <c r="O33" s="306">
        <f>'Main Plaza'!O153</f>
        <v>-109066.9336</v>
      </c>
      <c r="P33" s="303">
        <f t="shared" si="4"/>
        <v>-1035163.9161000001</v>
      </c>
      <c r="Q33" s="303">
        <f t="shared" si="3"/>
        <v>-464185.87309999997</v>
      </c>
      <c r="R33" s="51">
        <f>P33+Q33-C33</f>
        <v>0</v>
      </c>
    </row>
    <row r="34" spans="1:43" s="53" customFormat="1" ht="13.25" customHeight="1" outlineLevel="1" x14ac:dyDescent="0.15">
      <c r="A34" s="79"/>
      <c r="B34" s="307" t="s">
        <v>507</v>
      </c>
      <c r="C34" s="65"/>
      <c r="D34" s="65">
        <v>101083</v>
      </c>
      <c r="E34" s="66">
        <f>+D34</f>
        <v>101083</v>
      </c>
      <c r="F34" s="310">
        <f>-F33</f>
        <v>76400.009999999995</v>
      </c>
      <c r="G34" s="310">
        <f>-G33</f>
        <v>272562.78999999998</v>
      </c>
      <c r="H34" s="310">
        <f>-H33</f>
        <v>145846.08850000001</v>
      </c>
      <c r="I34" s="310">
        <f>-I33</f>
        <v>98949.767600000006</v>
      </c>
      <c r="J34" s="65">
        <f>172622-45000-(J33+172622-45000)*75%</f>
        <v>154090.27969999998</v>
      </c>
      <c r="K34" s="65">
        <f>172622-45000-(K33+172622-45000)*75%</f>
        <v>138856.7978</v>
      </c>
      <c r="L34" s="65">
        <f>172622-45000-(L33+172622-45000)*75%</f>
        <v>80894.583574999997</v>
      </c>
      <c r="M34" s="306">
        <f>-M33</f>
        <v>-34585.984700000001</v>
      </c>
      <c r="N34" s="306">
        <f>-N33</f>
        <v>18871.376100000001</v>
      </c>
      <c r="O34" s="306">
        <f>-O33</f>
        <v>109066.9336</v>
      </c>
      <c r="P34" s="55">
        <f>SUM(D34:I34)</f>
        <v>795924.65610000014</v>
      </c>
      <c r="Q34" s="55">
        <f t="shared" si="3"/>
        <v>467193.98607500002</v>
      </c>
      <c r="R34" s="324" t="s">
        <v>506</v>
      </c>
      <c r="S34" s="316"/>
      <c r="T34" s="316"/>
      <c r="U34" s="316"/>
      <c r="V34" s="316"/>
      <c r="AJ34"/>
      <c r="AK34"/>
      <c r="AL34"/>
      <c r="AM34"/>
      <c r="AN34"/>
      <c r="AO34"/>
      <c r="AP34"/>
      <c r="AQ34"/>
    </row>
    <row r="35" spans="1:43" s="53" customFormat="1" ht="13.25" customHeight="1" outlineLevel="1" x14ac:dyDescent="0.15">
      <c r="A35" s="79"/>
      <c r="B35" s="302" t="s">
        <v>168</v>
      </c>
      <c r="C35" s="63">
        <f>Leverkusen!C153</f>
        <v>561711.49529999995</v>
      </c>
      <c r="D35" s="63">
        <f>Leverkusen!D153</f>
        <v>11652.16</v>
      </c>
      <c r="E35" s="63">
        <f>Leverkusen!E153</f>
        <v>-16003.8</v>
      </c>
      <c r="F35" s="63">
        <f>Leverkusen!F153</f>
        <v>69980.789999999994</v>
      </c>
      <c r="G35" s="63">
        <f>Leverkusen!G153</f>
        <v>-65092.08</v>
      </c>
      <c r="H35" s="63">
        <f>Leverkusen!H153</f>
        <v>55107.464699999997</v>
      </c>
      <c r="I35" s="63">
        <f>Leverkusen!I153</f>
        <v>47326.388899999998</v>
      </c>
      <c r="J35" s="63">
        <f>Leverkusen!J153</f>
        <v>-70594.638399999996</v>
      </c>
      <c r="K35" s="63">
        <f>Leverkusen!K153</f>
        <v>14088.2183</v>
      </c>
      <c r="L35" s="63">
        <f>Leverkusen!L153</f>
        <v>158851.5514</v>
      </c>
      <c r="M35" s="311">
        <f>Leverkusen!M153</f>
        <v>183949.8823</v>
      </c>
      <c r="N35" s="311">
        <f>Leverkusen!N153</f>
        <v>126926.5205</v>
      </c>
      <c r="O35" s="311">
        <f>Leverkusen!O153</f>
        <v>45519.037600000003</v>
      </c>
      <c r="P35" s="303">
        <f>SUM(D35:I35)</f>
        <v>102970.92359999998</v>
      </c>
      <c r="Q35" s="303">
        <f t="shared" si="3"/>
        <v>458740.57169999997</v>
      </c>
      <c r="R35" s="54"/>
      <c r="S35" s="316"/>
      <c r="T35" s="316"/>
      <c r="U35" s="316"/>
      <c r="V35" s="316"/>
      <c r="AJ35"/>
      <c r="AK35"/>
      <c r="AL35"/>
      <c r="AM35"/>
      <c r="AN35"/>
      <c r="AO35"/>
      <c r="AP35"/>
      <c r="AQ35"/>
    </row>
    <row r="36" spans="1:43" s="53" customFormat="1" ht="13.25" customHeight="1" outlineLevel="1" x14ac:dyDescent="0.15">
      <c r="A36" s="79"/>
      <c r="B36" s="307" t="s">
        <v>450</v>
      </c>
      <c r="C36" s="65"/>
      <c r="D36" s="65"/>
      <c r="E36" s="66"/>
      <c r="F36" s="310">
        <f>+Leverkusen!F137-88000</f>
        <v>0</v>
      </c>
      <c r="G36" s="310">
        <f>+Leverkusen!G137-88000</f>
        <v>0</v>
      </c>
      <c r="H36" s="310">
        <f>+Leverkusen!H137-88000</f>
        <v>702.88000000000466</v>
      </c>
      <c r="I36" s="310">
        <f>+Leverkusen!I137-88000</f>
        <v>702.88000000000466</v>
      </c>
      <c r="J36" s="310">
        <f>+Leverkusen!J137-88000</f>
        <v>702.88000000000466</v>
      </c>
      <c r="K36" s="310">
        <f>+Leverkusen!K137-88000</f>
        <v>702.88000000000466</v>
      </c>
      <c r="L36" s="310">
        <f>+Leverkusen!L137-88000</f>
        <v>702.88000000000466</v>
      </c>
      <c r="M36" s="310">
        <f>+Leverkusen!M137-88000</f>
        <v>702.88000000000466</v>
      </c>
      <c r="N36" s="310">
        <f>+Leverkusen!N137-88000</f>
        <v>702.88000000000466</v>
      </c>
      <c r="O36" s="310">
        <f>+Leverkusen!O137-88000</f>
        <v>702.88000000000466</v>
      </c>
      <c r="P36" s="55"/>
      <c r="Q36" s="55"/>
      <c r="R36" s="324" t="s">
        <v>509</v>
      </c>
      <c r="S36" s="316"/>
      <c r="T36" s="316"/>
      <c r="U36" s="316"/>
      <c r="V36" s="316"/>
      <c r="AJ36"/>
      <c r="AK36"/>
      <c r="AL36"/>
      <c r="AM36"/>
      <c r="AN36"/>
      <c r="AO36"/>
      <c r="AP36"/>
      <c r="AQ36"/>
    </row>
    <row r="37" spans="1:43" ht="13.25" customHeight="1" outlineLevel="1" x14ac:dyDescent="0.15">
      <c r="A37" s="79"/>
      <c r="B37" s="302" t="s">
        <v>162</v>
      </c>
      <c r="C37" s="63">
        <f>Seestern!C153</f>
        <v>587850.37760000001</v>
      </c>
      <c r="D37" s="63">
        <f>Seestern!D153</f>
        <v>-10504.74</v>
      </c>
      <c r="E37" s="63">
        <f>Seestern!E153</f>
        <v>-203276.93</v>
      </c>
      <c r="F37" s="63">
        <f>Seestern!F153</f>
        <v>200126.03</v>
      </c>
      <c r="G37" s="63">
        <f>Seestern!G153</f>
        <v>-52909.46</v>
      </c>
      <c r="H37" s="63">
        <f>Seestern!H153</f>
        <v>103015.50139999999</v>
      </c>
      <c r="I37" s="63">
        <f>Seestern!I153</f>
        <v>-15091.5816</v>
      </c>
      <c r="J37" s="63">
        <f>Seestern!J153</f>
        <v>-124845.7841</v>
      </c>
      <c r="K37" s="63">
        <f>Seestern!K153</f>
        <v>-36129.954100000003</v>
      </c>
      <c r="L37" s="63">
        <f>Seestern!L153</f>
        <v>189466.78049999999</v>
      </c>
      <c r="M37" s="63">
        <f>Seestern!M153</f>
        <v>319545.89559999999</v>
      </c>
      <c r="N37" s="63">
        <f>Seestern!N153</f>
        <v>242946.9529</v>
      </c>
      <c r="O37" s="63">
        <f>Seestern!O153</f>
        <v>-24492.332999999999</v>
      </c>
      <c r="P37" s="303">
        <f>SUM(D37:I37)</f>
        <v>21358.819800000019</v>
      </c>
      <c r="Q37" s="303">
        <f t="shared" si="3"/>
        <v>566491.55779999995</v>
      </c>
      <c r="R37" s="51">
        <f t="shared" ref="R37:R42" si="8">P37+Q37-C37</f>
        <v>0</v>
      </c>
    </row>
    <row r="38" spans="1:43" ht="13.25" customHeight="1" outlineLevel="1" x14ac:dyDescent="0.15">
      <c r="A38" s="79"/>
      <c r="B38" s="302" t="s">
        <v>165</v>
      </c>
      <c r="C38" s="63">
        <f>Michel!C153</f>
        <v>1498105.7712000001</v>
      </c>
      <c r="D38" s="63">
        <f>Michel!D153</f>
        <v>-164842.28</v>
      </c>
      <c r="E38" s="63">
        <f>Michel!E153</f>
        <v>-196350.38</v>
      </c>
      <c r="F38" s="63">
        <f>Michel!F153</f>
        <v>89456.43</v>
      </c>
      <c r="G38" s="63">
        <f>Michel!G153</f>
        <v>100022.62</v>
      </c>
      <c r="H38" s="63">
        <f>Michel!H153</f>
        <v>384065.31430000003</v>
      </c>
      <c r="I38" s="63">
        <f>Michel!I153</f>
        <v>256507.40609999999</v>
      </c>
      <c r="J38" s="63">
        <f>Michel!J153</f>
        <v>101063.78170000001</v>
      </c>
      <c r="K38" s="63">
        <f>Michel!K153</f>
        <v>50639.013099999996</v>
      </c>
      <c r="L38" s="63">
        <f>Michel!L153</f>
        <v>335396.4363</v>
      </c>
      <c r="M38" s="63">
        <f>Michel!M153</f>
        <v>267152.4425</v>
      </c>
      <c r="N38" s="63">
        <f>Michel!N153</f>
        <v>173411.38</v>
      </c>
      <c r="O38" s="63">
        <f>Michel!O153</f>
        <v>101583.6072</v>
      </c>
      <c r="P38" s="303">
        <f t="shared" si="4"/>
        <v>468859.11040000001</v>
      </c>
      <c r="Q38" s="303">
        <f t="shared" si="3"/>
        <v>1029246.6608</v>
      </c>
      <c r="R38" s="51">
        <f t="shared" si="8"/>
        <v>0</v>
      </c>
      <c r="X38" s="212" t="s">
        <v>460</v>
      </c>
      <c r="AA38" s="53"/>
      <c r="AB38" s="53"/>
      <c r="AC38" s="53"/>
      <c r="AD38" s="53"/>
      <c r="AE38" s="53"/>
      <c r="AF38" s="53"/>
      <c r="AG38" s="53"/>
      <c r="AH38" s="53"/>
      <c r="AI38" s="53"/>
    </row>
    <row r="39" spans="1:43" ht="13.25" customHeight="1" outlineLevel="1" x14ac:dyDescent="0.15">
      <c r="A39" s="79"/>
      <c r="B39" s="302" t="s">
        <v>166</v>
      </c>
      <c r="C39" s="63">
        <f>'Köln Dom'!C153</f>
        <v>120286.1274</v>
      </c>
      <c r="D39" s="63">
        <f>'Köln Dom'!D153</f>
        <v>-126132.15</v>
      </c>
      <c r="E39" s="63">
        <f>'Köln Dom'!E153</f>
        <v>-38758.06</v>
      </c>
      <c r="F39" s="63">
        <f>'Köln Dom'!F153</f>
        <v>79067.62</v>
      </c>
      <c r="G39" s="63">
        <f>'Köln Dom'!G153</f>
        <v>18302.689999999999</v>
      </c>
      <c r="H39" s="63">
        <f>'Köln Dom'!H153</f>
        <v>21909.5605</v>
      </c>
      <c r="I39" s="63">
        <f>'Köln Dom'!I153</f>
        <v>-6044.1391000000003</v>
      </c>
      <c r="J39" s="63">
        <f>'Köln Dom'!J153</f>
        <v>-28080.1702</v>
      </c>
      <c r="K39" s="63">
        <f>'Köln Dom'!K153</f>
        <v>10807.8305</v>
      </c>
      <c r="L39" s="63">
        <f>'Köln Dom'!L153</f>
        <v>35876.088600000003</v>
      </c>
      <c r="M39" s="63">
        <f>'Köln Dom'!M153</f>
        <v>116058.73540000001</v>
      </c>
      <c r="N39" s="63">
        <f>'Köln Dom'!N153</f>
        <v>24781.2546</v>
      </c>
      <c r="O39" s="63">
        <f>'Köln Dom'!O153</f>
        <v>12496.867099999999</v>
      </c>
      <c r="P39" s="303">
        <f t="shared" si="4"/>
        <v>-51654.478599999995</v>
      </c>
      <c r="Q39" s="303">
        <f t="shared" si="3"/>
        <v>171940.606</v>
      </c>
      <c r="R39" s="51" t="s">
        <v>203</v>
      </c>
      <c r="W39" t="s">
        <v>483</v>
      </c>
      <c r="X39">
        <f>+(26-18)</f>
        <v>8</v>
      </c>
      <c r="Z39" t="s">
        <v>482</v>
      </c>
      <c r="AA39" s="53"/>
      <c r="AB39" s="53"/>
      <c r="AC39" s="53"/>
      <c r="AD39" s="53"/>
      <c r="AE39" s="53"/>
      <c r="AF39" s="53"/>
      <c r="AG39" s="53"/>
      <c r="AH39" s="53"/>
      <c r="AI39" s="53"/>
    </row>
    <row r="40" spans="1:43" ht="13.25" customHeight="1" outlineLevel="1" x14ac:dyDescent="0.15">
      <c r="A40" s="79"/>
      <c r="B40" s="302" t="s">
        <v>167</v>
      </c>
      <c r="C40" s="63">
        <f>'City Plza'!C153</f>
        <v>281020.42619999999</v>
      </c>
      <c r="D40" s="63">
        <f>'City Plza'!D153</f>
        <v>-208942.58</v>
      </c>
      <c r="E40" s="63">
        <f>'City Plza'!E153</f>
        <v>-147468.01</v>
      </c>
      <c r="F40" s="63">
        <f>'City Plza'!F153</f>
        <v>263639.94</v>
      </c>
      <c r="G40" s="63">
        <f>'City Plza'!G153</f>
        <v>-11798.61</v>
      </c>
      <c r="H40" s="63">
        <f>'City Plza'!H153</f>
        <v>32594.665300000001</v>
      </c>
      <c r="I40" s="63">
        <f>'City Plza'!I153</f>
        <v>-34034.179700000001</v>
      </c>
      <c r="J40" s="63">
        <f>'City Plza'!J153</f>
        <v>-156251.9057</v>
      </c>
      <c r="K40" s="63">
        <f>'City Plza'!K153</f>
        <v>-1685.4707000000001</v>
      </c>
      <c r="L40" s="63">
        <f>'City Plza'!L153</f>
        <v>135422.5735</v>
      </c>
      <c r="M40" s="63">
        <f>'City Plza'!M153</f>
        <v>240099.92300000001</v>
      </c>
      <c r="N40" s="63">
        <f>'City Plza'!N153</f>
        <v>132258.87450000001</v>
      </c>
      <c r="O40" s="63">
        <f>'City Plza'!O153</f>
        <v>37185.205999999998</v>
      </c>
      <c r="P40" s="303">
        <f t="shared" si="4"/>
        <v>-106008.77439999997</v>
      </c>
      <c r="Q40" s="303">
        <f t="shared" si="3"/>
        <v>387029.20059999998</v>
      </c>
      <c r="R40" s="51" t="s">
        <v>203</v>
      </c>
      <c r="W40" s="212" t="s">
        <v>461</v>
      </c>
      <c r="X40" s="53">
        <f>+Z40-Y40</f>
        <v>33.599999999999994</v>
      </c>
      <c r="Y40">
        <f>13+9*0.2</f>
        <v>14.8</v>
      </c>
      <c r="Z40">
        <v>48.4</v>
      </c>
      <c r="AA40" t="s">
        <v>482</v>
      </c>
      <c r="AB40" s="53"/>
      <c r="AC40" s="323" t="s">
        <v>498</v>
      </c>
      <c r="AD40" s="53"/>
      <c r="AE40" s="53"/>
      <c r="AF40" s="53"/>
      <c r="AG40" s="53"/>
      <c r="AH40" s="53"/>
      <c r="AI40" s="53"/>
    </row>
    <row r="41" spans="1:43" ht="13.25" customHeight="1" outlineLevel="1" x14ac:dyDescent="0.15">
      <c r="A41" s="79"/>
      <c r="B41" s="302" t="s">
        <v>172</v>
      </c>
      <c r="C41" s="63">
        <f>'MAA Mainz'!C153</f>
        <v>445680.01250000001</v>
      </c>
      <c r="D41" s="63">
        <f>'MAA Mainz'!D153</f>
        <v>-77260.27</v>
      </c>
      <c r="E41" s="63">
        <f>'MAA Mainz'!E153</f>
        <v>-34059.46</v>
      </c>
      <c r="F41" s="63">
        <f>'MAA Mainz'!F153</f>
        <v>174602.72</v>
      </c>
      <c r="G41" s="63">
        <f>'MAA Mainz'!G153</f>
        <v>-211350.75</v>
      </c>
      <c r="H41" s="63">
        <f>'MAA Mainz'!H153</f>
        <v>28420.521400000001</v>
      </c>
      <c r="I41" s="63">
        <f>'MAA Mainz'!I153</f>
        <v>99978.8321</v>
      </c>
      <c r="J41" s="63">
        <f>'MAA Mainz'!J153</f>
        <v>66832.498099999997</v>
      </c>
      <c r="K41" s="63">
        <f>'MAA Mainz'!K153</f>
        <v>18647.959900000002</v>
      </c>
      <c r="L41" s="63">
        <f>'MAA Mainz'!L153</f>
        <v>202918.72930000001</v>
      </c>
      <c r="M41" s="309">
        <f>'MAA Mainz'!M153</f>
        <v>100732.31690000001</v>
      </c>
      <c r="N41" s="309">
        <f>'MAA Mainz'!N153</f>
        <v>83784.556200000006</v>
      </c>
      <c r="O41" s="309">
        <f>'MAA Mainz'!O153</f>
        <v>-7567.6414000000004</v>
      </c>
      <c r="P41" s="303">
        <f>SUM(D41:I41)</f>
        <v>-19668.406500000012</v>
      </c>
      <c r="Q41" s="303">
        <f t="shared" si="3"/>
        <v>465348.41899999994</v>
      </c>
      <c r="R41" s="51">
        <f t="shared" si="8"/>
        <v>0</v>
      </c>
      <c r="W41" t="s">
        <v>462</v>
      </c>
      <c r="X41">
        <v>12</v>
      </c>
      <c r="AC41" s="323" t="s">
        <v>499</v>
      </c>
    </row>
    <row r="42" spans="1:43" ht="13.25" customHeight="1" outlineLevel="1" x14ac:dyDescent="0.15">
      <c r="A42" s="79"/>
      <c r="B42" s="302" t="s">
        <v>169</v>
      </c>
      <c r="C42" s="63">
        <f>Oberstaufen!C153</f>
        <v>-1484989.9561999999</v>
      </c>
      <c r="D42" s="63">
        <f>Oberstaufen!D153</f>
        <v>-181371.5</v>
      </c>
      <c r="E42" s="63">
        <f>Oberstaufen!E153</f>
        <v>-175734.32</v>
      </c>
      <c r="F42" s="63">
        <f>Oberstaufen!F153</f>
        <v>-175302</v>
      </c>
      <c r="G42" s="63">
        <f>Oberstaufen!G153</f>
        <v>-206233.27</v>
      </c>
      <c r="H42" s="63">
        <f>Oberstaufen!H153</f>
        <v>-104388.8606</v>
      </c>
      <c r="I42" s="63">
        <f>Oberstaufen!I153</f>
        <v>-116504.1479</v>
      </c>
      <c r="J42" s="63">
        <f>Oberstaufen!J153</f>
        <v>-27307.282299999999</v>
      </c>
      <c r="K42" s="306">
        <f>Oberstaufen!K153</f>
        <v>13587.2212</v>
      </c>
      <c r="L42" s="306">
        <f>Oberstaufen!L153</f>
        <v>-45201.834499999997</v>
      </c>
      <c r="M42" s="306">
        <f>Oberstaufen!M153</f>
        <v>-79254.811300000001</v>
      </c>
      <c r="N42" s="306">
        <f>Oberstaufen!N153</f>
        <v>-152965.4129</v>
      </c>
      <c r="O42" s="306">
        <f>Oberstaufen!O153</f>
        <v>-234313.73790000001</v>
      </c>
      <c r="P42" s="303">
        <f t="shared" si="4"/>
        <v>-959534.09850000008</v>
      </c>
      <c r="Q42" s="303">
        <f t="shared" si="3"/>
        <v>-525455.85770000005</v>
      </c>
      <c r="R42" s="51">
        <f t="shared" si="8"/>
        <v>0</v>
      </c>
      <c r="W42" t="s">
        <v>463</v>
      </c>
      <c r="X42">
        <v>13</v>
      </c>
      <c r="AC42" s="323" t="s">
        <v>500</v>
      </c>
    </row>
    <row r="43" spans="1:43" ht="13.25" customHeight="1" outlineLevel="1" x14ac:dyDescent="0.15">
      <c r="A43" s="79"/>
      <c r="B43" s="312" t="s">
        <v>179</v>
      </c>
      <c r="C43" s="68"/>
      <c r="D43" s="68">
        <f>-D42</f>
        <v>181371.5</v>
      </c>
      <c r="E43" s="68">
        <f t="shared" ref="E43:O43" si="9">-E42</f>
        <v>175734.32</v>
      </c>
      <c r="F43" s="68">
        <f t="shared" si="9"/>
        <v>175302</v>
      </c>
      <c r="G43" s="68">
        <f t="shared" si="9"/>
        <v>206233.27</v>
      </c>
      <c r="H43" s="68">
        <f t="shared" si="9"/>
        <v>104388.8606</v>
      </c>
      <c r="I43" s="68">
        <f t="shared" si="9"/>
        <v>116504.1479</v>
      </c>
      <c r="J43" s="68">
        <f t="shared" si="9"/>
        <v>27307.282299999999</v>
      </c>
      <c r="K43" s="306">
        <f t="shared" si="9"/>
        <v>-13587.2212</v>
      </c>
      <c r="L43" s="306">
        <f t="shared" si="9"/>
        <v>45201.834499999997</v>
      </c>
      <c r="M43" s="306">
        <f t="shared" si="9"/>
        <v>79254.811300000001</v>
      </c>
      <c r="N43" s="306">
        <f t="shared" si="9"/>
        <v>152965.4129</v>
      </c>
      <c r="O43" s="306">
        <f t="shared" si="9"/>
        <v>234313.73790000001</v>
      </c>
      <c r="P43" s="303">
        <f t="shared" si="4"/>
        <v>959534.09850000008</v>
      </c>
      <c r="Q43" s="303">
        <f t="shared" si="3"/>
        <v>525455.85770000005</v>
      </c>
      <c r="R43" s="308" t="s">
        <v>607</v>
      </c>
      <c r="W43" t="s">
        <v>464</v>
      </c>
      <c r="X43" s="212">
        <v>5.2</v>
      </c>
      <c r="AC43" s="323" t="s">
        <v>501</v>
      </c>
    </row>
    <row r="44" spans="1:43" ht="13.25" customHeight="1" outlineLevel="1" x14ac:dyDescent="0.15">
      <c r="A44" s="79"/>
      <c r="B44" s="302" t="s">
        <v>170</v>
      </c>
      <c r="C44" s="63">
        <f>Sylt!C153</f>
        <v>-333105.88260000001</v>
      </c>
      <c r="D44" s="63">
        <f>Sylt!D153</f>
        <v>-219368.6</v>
      </c>
      <c r="E44" s="63">
        <f>Sylt!E153</f>
        <v>-151835.32</v>
      </c>
      <c r="F44" s="63">
        <f>Sylt!F153</f>
        <v>-91474.18</v>
      </c>
      <c r="G44" s="63">
        <f>Sylt!G153</f>
        <v>-45523.53</v>
      </c>
      <c r="H44" s="63">
        <f>Sylt!H153</f>
        <v>63583.046499999997</v>
      </c>
      <c r="I44" s="63">
        <f>Sylt!I153</f>
        <v>71983.866099999999</v>
      </c>
      <c r="J44" s="63">
        <f>Sylt!J153</f>
        <v>131600.91070000001</v>
      </c>
      <c r="K44" s="63">
        <f>Sylt!K153</f>
        <v>185128.04269999999</v>
      </c>
      <c r="L44" s="63">
        <f>Sylt!L153</f>
        <v>140672.598</v>
      </c>
      <c r="M44" s="306">
        <f>Sylt!M153</f>
        <v>-168044.8725</v>
      </c>
      <c r="N44" s="306">
        <f>Sylt!N153</f>
        <v>-129757.633</v>
      </c>
      <c r="O44" s="306">
        <f>Sylt!O153</f>
        <v>-120070.2111</v>
      </c>
      <c r="P44" s="303">
        <f t="shared" si="4"/>
        <v>-372634.71740000002</v>
      </c>
      <c r="Q44" s="303">
        <f t="shared" si="3"/>
        <v>39528.834799999997</v>
      </c>
      <c r="R44" s="51" t="s">
        <v>447</v>
      </c>
      <c r="W44" t="s">
        <v>465</v>
      </c>
      <c r="X44" s="212">
        <v>5.9</v>
      </c>
      <c r="AC44" s="323"/>
    </row>
    <row r="45" spans="1:43" ht="13.25" customHeight="1" outlineLevel="1" x14ac:dyDescent="0.15">
      <c r="A45" s="79"/>
      <c r="B45" s="312" t="s">
        <v>179</v>
      </c>
      <c r="C45" s="68"/>
      <c r="D45" s="68">
        <f>-D44</f>
        <v>219368.6</v>
      </c>
      <c r="E45" s="68">
        <f t="shared" ref="E45:O45" si="10">-E44</f>
        <v>151835.32</v>
      </c>
      <c r="F45" s="68">
        <f t="shared" si="10"/>
        <v>91474.18</v>
      </c>
      <c r="G45" s="68">
        <f t="shared" si="10"/>
        <v>45523.53</v>
      </c>
      <c r="H45" s="340"/>
      <c r="I45" s="340"/>
      <c r="J45" s="340"/>
      <c r="K45" s="340"/>
      <c r="L45" s="340"/>
      <c r="M45" s="306">
        <f t="shared" si="10"/>
        <v>168044.8725</v>
      </c>
      <c r="N45" s="306">
        <f t="shared" si="10"/>
        <v>129757.633</v>
      </c>
      <c r="O45" s="306">
        <f t="shared" si="10"/>
        <v>120070.2111</v>
      </c>
      <c r="P45" s="303">
        <f t="shared" ref="P45" si="11">SUM(D45:I45)</f>
        <v>508201.63</v>
      </c>
      <c r="Q45" s="303">
        <f t="shared" si="3"/>
        <v>417872.71659999999</v>
      </c>
      <c r="R45" s="51" t="s">
        <v>610</v>
      </c>
      <c r="W45" t="s">
        <v>466</v>
      </c>
      <c r="Y45" s="212">
        <v>6.8</v>
      </c>
      <c r="Z45" t="s">
        <v>481</v>
      </c>
      <c r="AC45" s="323" t="s">
        <v>502</v>
      </c>
    </row>
    <row r="46" spans="1:43" ht="13.25" customHeight="1" outlineLevel="1" x14ac:dyDescent="0.15">
      <c r="A46" s="79"/>
      <c r="B46" s="302" t="s">
        <v>171</v>
      </c>
      <c r="C46" s="63">
        <f>Wiesensee!C153</f>
        <v>-1290897.5437</v>
      </c>
      <c r="D46" s="63">
        <f>Wiesensee!D153</f>
        <v>-281949.18</v>
      </c>
      <c r="E46" s="63">
        <f>Wiesensee!E153</f>
        <v>-216854.64</v>
      </c>
      <c r="F46" s="63">
        <f>Wiesensee!F153</f>
        <v>37373.800000000003</v>
      </c>
      <c r="G46" s="63">
        <f>Wiesensee!G153</f>
        <v>-186943.22</v>
      </c>
      <c r="H46" s="63">
        <f>Wiesensee!H153</f>
        <v>-77134.5867</v>
      </c>
      <c r="I46" s="63">
        <f>Wiesensee!I153</f>
        <v>-89014.294200000004</v>
      </c>
      <c r="J46" s="63">
        <f>Wiesensee!J153</f>
        <v>-101077.70699999999</v>
      </c>
      <c r="K46" s="306">
        <f>Wiesensee!K153</f>
        <v>4649.9858999999997</v>
      </c>
      <c r="L46" s="306">
        <f>Wiesensee!L153</f>
        <v>60146.968500000003</v>
      </c>
      <c r="M46" s="306">
        <f>Wiesensee!M153</f>
        <v>-128115.6024</v>
      </c>
      <c r="N46" s="306">
        <f>Wiesensee!N153</f>
        <v>-128187.2147</v>
      </c>
      <c r="O46" s="306">
        <f>Wiesensee!O153</f>
        <v>-183791.85310000001</v>
      </c>
      <c r="P46" s="303">
        <f t="shared" si="4"/>
        <v>-814522.12089999998</v>
      </c>
      <c r="Q46" s="303">
        <f t="shared" si="3"/>
        <v>-476375.4228</v>
      </c>
      <c r="R46" s="51">
        <f>P46+Q46-C46</f>
        <v>0</v>
      </c>
      <c r="X46" s="212"/>
      <c r="AC46" s="323" t="s">
        <v>503</v>
      </c>
    </row>
    <row r="47" spans="1:43" ht="13.25" customHeight="1" outlineLevel="1" x14ac:dyDescent="0.15">
      <c r="A47" s="79"/>
      <c r="B47" s="312" t="s">
        <v>179</v>
      </c>
      <c r="C47" s="68"/>
      <c r="D47" s="68">
        <f>-D46</f>
        <v>281949.18</v>
      </c>
      <c r="E47" s="68">
        <f t="shared" ref="E47:O47" si="12">-E46</f>
        <v>216854.64</v>
      </c>
      <c r="F47" s="68">
        <f t="shared" si="12"/>
        <v>-37373.800000000003</v>
      </c>
      <c r="G47" s="68">
        <f t="shared" si="12"/>
        <v>186943.22</v>
      </c>
      <c r="H47" s="68">
        <f t="shared" si="12"/>
        <v>77134.5867</v>
      </c>
      <c r="I47" s="68">
        <f t="shared" si="12"/>
        <v>89014.294200000004</v>
      </c>
      <c r="J47" s="68">
        <f t="shared" si="12"/>
        <v>101077.70699999999</v>
      </c>
      <c r="K47" s="306">
        <f t="shared" si="12"/>
        <v>-4649.9858999999997</v>
      </c>
      <c r="L47" s="306">
        <f t="shared" si="12"/>
        <v>-60146.968500000003</v>
      </c>
      <c r="M47" s="306">
        <f t="shared" si="12"/>
        <v>128115.6024</v>
      </c>
      <c r="N47" s="306">
        <f t="shared" si="12"/>
        <v>128187.2147</v>
      </c>
      <c r="O47" s="306">
        <f t="shared" si="12"/>
        <v>183791.85310000001</v>
      </c>
      <c r="P47" s="303">
        <f t="shared" si="4"/>
        <v>814522.12089999998</v>
      </c>
      <c r="Q47" s="303">
        <f t="shared" si="3"/>
        <v>476375.4228</v>
      </c>
      <c r="R47" s="308" t="s">
        <v>607</v>
      </c>
      <c r="W47" t="s">
        <v>467</v>
      </c>
      <c r="X47" s="212">
        <v>12</v>
      </c>
      <c r="AC47" s="323" t="s">
        <v>504</v>
      </c>
    </row>
    <row r="48" spans="1:43" ht="7.25" customHeight="1" x14ac:dyDescent="0.15">
      <c r="A48" s="79"/>
      <c r="W48" t="s">
        <v>468</v>
      </c>
      <c r="X48" s="212">
        <v>5.5</v>
      </c>
    </row>
    <row r="49" spans="1:26" ht="14" x14ac:dyDescent="0.15">
      <c r="A49" s="79"/>
      <c r="B49" s="313" t="s">
        <v>191</v>
      </c>
      <c r="C49" s="70">
        <f>SUM(D49:O49)</f>
        <v>3171351.9010950006</v>
      </c>
      <c r="D49" s="70">
        <f t="shared" ref="D49:O49" si="13">D23+D28+D30+D32+D34+D36+D43+D45+D47</f>
        <v>-733366.84999999986</v>
      </c>
      <c r="E49" s="70">
        <f t="shared" si="13"/>
        <v>-467945.58999999997</v>
      </c>
      <c r="F49" s="70">
        <f t="shared" si="13"/>
        <v>1174132.5999999999</v>
      </c>
      <c r="G49" s="70">
        <f t="shared" si="13"/>
        <v>-560155.61999999988</v>
      </c>
      <c r="H49" s="70">
        <f t="shared" si="13"/>
        <v>955622.65580000007</v>
      </c>
      <c r="I49" s="70">
        <f t="shared" si="13"/>
        <v>101149.5097</v>
      </c>
      <c r="J49" s="70">
        <f t="shared" si="13"/>
        <v>-729841.01359999995</v>
      </c>
      <c r="K49" s="70">
        <f t="shared" si="13"/>
        <v>-430394.4604000001</v>
      </c>
      <c r="L49" s="70">
        <f t="shared" si="13"/>
        <v>1546209.8888750002</v>
      </c>
      <c r="M49" s="70">
        <f t="shared" si="13"/>
        <v>1451325.56342</v>
      </c>
      <c r="N49" s="70">
        <f t="shared" si="13"/>
        <v>795273.00950000004</v>
      </c>
      <c r="O49" s="70">
        <f t="shared" si="13"/>
        <v>69342.207800000018</v>
      </c>
      <c r="P49" s="70">
        <f>SUM(D49:I49)</f>
        <v>469436.7055000001</v>
      </c>
      <c r="Q49" s="70">
        <f>SUM(J49:O49)</f>
        <v>2701915.1955950004</v>
      </c>
      <c r="R49" s="27"/>
      <c r="X49" s="212"/>
    </row>
    <row r="50" spans="1:26" ht="14" x14ac:dyDescent="0.15">
      <c r="A50" s="81"/>
      <c r="B50" s="47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W50" t="s">
        <v>469</v>
      </c>
      <c r="X50" s="212">
        <v>17</v>
      </c>
    </row>
    <row r="51" spans="1:26" ht="14" x14ac:dyDescent="0.15">
      <c r="A51" s="355" t="s">
        <v>190</v>
      </c>
      <c r="B51" s="71" t="s">
        <v>188</v>
      </c>
      <c r="C51" s="61">
        <f t="shared" ref="C51:O51" si="14">C24</f>
        <v>-4193451.4056000002</v>
      </c>
      <c r="D51" s="61">
        <f t="shared" si="14"/>
        <v>-468777.36</v>
      </c>
      <c r="E51" s="61">
        <f t="shared" si="14"/>
        <v>-1268229.6499999999</v>
      </c>
      <c r="F51" s="61">
        <f t="shared" si="14"/>
        <v>-1457014.04</v>
      </c>
      <c r="G51" s="61">
        <f t="shared" si="14"/>
        <v>-483166.92</v>
      </c>
      <c r="H51" s="61">
        <f t="shared" si="14"/>
        <v>-24692.400000000001</v>
      </c>
      <c r="I51" s="61">
        <f t="shared" si="14"/>
        <v>-722683.22</v>
      </c>
      <c r="J51" s="61">
        <f t="shared" si="14"/>
        <v>405271.35379999998</v>
      </c>
      <c r="K51" s="61">
        <f t="shared" si="14"/>
        <v>336489.1765</v>
      </c>
      <c r="L51" s="61">
        <f t="shared" si="14"/>
        <v>276346.23700000002</v>
      </c>
      <c r="M51" s="61">
        <f t="shared" si="14"/>
        <v>68890.861799999999</v>
      </c>
      <c r="N51" s="61">
        <f t="shared" si="14"/>
        <v>-397829.76189999998</v>
      </c>
      <c r="O51" s="61">
        <f t="shared" si="14"/>
        <v>-458055.68280000001</v>
      </c>
      <c r="P51" s="62">
        <f t="shared" ref="P51" si="15">SUM(D51:I51)</f>
        <v>-4424563.59</v>
      </c>
      <c r="Q51" s="62">
        <f>SUM(J51:O51)</f>
        <v>231112.18439999997</v>
      </c>
      <c r="R51" s="27"/>
      <c r="W51" t="s">
        <v>470</v>
      </c>
      <c r="X51" s="212"/>
      <c r="Y51" t="s">
        <v>481</v>
      </c>
    </row>
    <row r="52" spans="1:26" ht="28" x14ac:dyDescent="0.15">
      <c r="A52" s="355"/>
      <c r="B52" s="73" t="s">
        <v>181</v>
      </c>
      <c r="C52" s="63">
        <f>-(Oberstaufen!C159+Oberstaufen!C160+Oberstaufen!C158)-(Sylt!C158+Sylt!C159+Sylt!C160)-(Wiesensee!C158+Wiesensee!C159+Wiesensee!C160)</f>
        <v>-664601.56719999993</v>
      </c>
      <c r="D52" s="63">
        <f>-(Oberstaufen!D159+Oberstaufen!D160+Oberstaufen!D158)-(Sylt!D158+Sylt!D159+Sylt!D160)-(Wiesensee!D158+Wiesensee!D159+Wiesensee!D160)</f>
        <v>-17048.919999999998</v>
      </c>
      <c r="E52" s="63">
        <f>-(Oberstaufen!E159+Oberstaufen!E160+Oberstaufen!E158)-(Sylt!E158+Sylt!E159+Sylt!E160)-(Wiesensee!E158+Wiesensee!E159+Wiesensee!E160)</f>
        <v>-30913.83</v>
      </c>
      <c r="F52" s="63">
        <f>-(Oberstaufen!F159+Oberstaufen!F160+Oberstaufen!F158)-(Sylt!F158+Sylt!F159+Sylt!F160)-(Wiesensee!F158+Wiesensee!F159+Wiesensee!F160)</f>
        <v>-36758.11</v>
      </c>
      <c r="G52" s="63">
        <f>-(Oberstaufen!G159+Oberstaufen!G160+Oberstaufen!G158)-(Sylt!G158+Sylt!G159+Sylt!G160)-(Wiesensee!G158+Wiesensee!G159+Wiesensee!G160)</f>
        <v>-36922.53</v>
      </c>
      <c r="H52" s="63">
        <f>-(Oberstaufen!H159+Oberstaufen!H160+Oberstaufen!H158)-(Sylt!H158+Sylt!H159+Sylt!H160)-(Wiesensee!H158+Wiesensee!H159+Wiesensee!H160)</f>
        <v>-72040.669699999999</v>
      </c>
      <c r="I52" s="63">
        <f>-(Oberstaufen!I159+Oberstaufen!I160+Oberstaufen!I158)-(Sylt!I158+Sylt!I159+Sylt!I160)-(Wiesensee!I158+Wiesensee!I159+Wiesensee!I160)</f>
        <v>-79571.454899999997</v>
      </c>
      <c r="J52" s="63">
        <f>-(Oberstaufen!J159+Oberstaufen!J160+Oberstaufen!J158)-(Sylt!J158+Sylt!J159+Sylt!J160)-(Wiesensee!J158+Wiesensee!J159+Wiesensee!J160)</f>
        <v>-87430.9234</v>
      </c>
      <c r="K52" s="63">
        <f>-(Oberstaufen!K159+Oberstaufen!K160+Oberstaufen!K158)-(Sylt!K158+Sylt!K159+Sylt!K160)-(Wiesensee!K158+Wiesensee!K159+Wiesensee!K160)</f>
        <v>-101300.88019999999</v>
      </c>
      <c r="L52" s="63">
        <f>-(Oberstaufen!L159+Oberstaufen!L160+Oberstaufen!L158)-(Sylt!L158+Sylt!L159+Sylt!L160)-(Wiesensee!L158+Wiesensee!L159+Wiesensee!L160)</f>
        <v>-96631.058999999994</v>
      </c>
      <c r="M52" s="63">
        <f>-(Oberstaufen!M159+Oberstaufen!M160+Oberstaufen!M158)-(Sylt!M158+Sylt!M159+Sylt!M160)-(Wiesensee!M158+Wiesensee!M159+Wiesensee!M160)</f>
        <v>-46845.715100000001</v>
      </c>
      <c r="N52" s="63">
        <f>-(Oberstaufen!N159+Oberstaufen!N160+Oberstaufen!N158)-(Sylt!N158+Sylt!N159+Sylt!N160)-(Wiesensee!N158+Wiesensee!N159+Wiesensee!N160)</f>
        <v>-37039.562600000005</v>
      </c>
      <c r="O52" s="63">
        <f>-(Oberstaufen!O159+Oberstaufen!O160+Oberstaufen!O158)-(Sylt!O158+Sylt!O159+Sylt!O160)-(Wiesensee!O158+Wiesensee!O159+Wiesensee!O160)</f>
        <v>-22097.9123</v>
      </c>
      <c r="P52" s="50">
        <f t="shared" ref="P52:P70" si="16">SUM(D52:I52)</f>
        <v>-273255.51459999999</v>
      </c>
      <c r="Q52" s="50">
        <f t="shared" ref="Q52:Q70" si="17">SUM(J52:O52)</f>
        <v>-391346.05260000005</v>
      </c>
      <c r="R52" s="18" t="s">
        <v>497</v>
      </c>
      <c r="S52" s="317" t="s">
        <v>459</v>
      </c>
      <c r="X52" s="212"/>
    </row>
    <row r="53" spans="1:26" ht="13.25" customHeight="1" outlineLevel="1" x14ac:dyDescent="0.15">
      <c r="A53" s="355"/>
      <c r="B53" s="47" t="s">
        <v>178</v>
      </c>
      <c r="F53" s="63"/>
      <c r="G53" s="63">
        <f>+SUM(X40:X44)*1000</f>
        <v>69700</v>
      </c>
      <c r="H53" s="63">
        <f>+G53</f>
        <v>69700</v>
      </c>
      <c r="I53" s="63">
        <f t="shared" ref="I53:O53" si="18">+H53</f>
        <v>69700</v>
      </c>
      <c r="J53" s="63">
        <f t="shared" si="18"/>
        <v>69700</v>
      </c>
      <c r="K53" s="63">
        <f t="shared" si="18"/>
        <v>69700</v>
      </c>
      <c r="L53" s="63">
        <f t="shared" si="18"/>
        <v>69700</v>
      </c>
      <c r="M53" s="63">
        <f t="shared" si="18"/>
        <v>69700</v>
      </c>
      <c r="N53" s="63">
        <f t="shared" si="18"/>
        <v>69700</v>
      </c>
      <c r="O53" s="63">
        <f t="shared" si="18"/>
        <v>69700</v>
      </c>
      <c r="P53" s="50">
        <f t="shared" si="16"/>
        <v>209100</v>
      </c>
      <c r="Q53" s="50">
        <f t="shared" si="17"/>
        <v>418200</v>
      </c>
      <c r="R53" s="318" t="s">
        <v>204</v>
      </c>
      <c r="S53" s="212" t="s">
        <v>489</v>
      </c>
      <c r="W53" t="s">
        <v>471</v>
      </c>
      <c r="X53" s="212" t="s">
        <v>472</v>
      </c>
      <c r="Z53">
        <v>15.3</v>
      </c>
    </row>
    <row r="54" spans="1:26" ht="13.25" customHeight="1" outlineLevel="1" x14ac:dyDescent="0.15">
      <c r="A54" s="355"/>
      <c r="B54" s="47" t="s">
        <v>40</v>
      </c>
      <c r="F54">
        <v>3000</v>
      </c>
      <c r="G54" s="63">
        <v>3000</v>
      </c>
      <c r="H54" s="63">
        <v>3000</v>
      </c>
      <c r="I54" s="63">
        <v>3000</v>
      </c>
      <c r="J54" s="63">
        <v>4000</v>
      </c>
      <c r="K54" s="63">
        <v>4000</v>
      </c>
      <c r="L54" s="63">
        <v>4000</v>
      </c>
      <c r="M54" s="63">
        <v>4000</v>
      </c>
      <c r="N54" s="47">
        <f>3000+1000</f>
        <v>4000</v>
      </c>
      <c r="O54" s="47">
        <f>3000+1000</f>
        <v>4000</v>
      </c>
      <c r="P54" s="50">
        <f t="shared" si="16"/>
        <v>12000</v>
      </c>
      <c r="Q54" s="50">
        <f t="shared" si="17"/>
        <v>24000</v>
      </c>
      <c r="R54" s="318" t="s">
        <v>204</v>
      </c>
      <c r="X54" s="270" t="s">
        <v>473</v>
      </c>
      <c r="Z54" s="319">
        <f>200/12+9*0.2</f>
        <v>18.466666666666669</v>
      </c>
    </row>
    <row r="55" spans="1:26" ht="13.25" customHeight="1" outlineLevel="1" x14ac:dyDescent="0.15">
      <c r="A55" s="355"/>
      <c r="B55" s="47" t="s">
        <v>178</v>
      </c>
      <c r="D55">
        <v>45000</v>
      </c>
      <c r="E55">
        <v>70000</v>
      </c>
      <c r="F55" s="47">
        <f>3000*1.2+95000+8000</f>
        <v>106600</v>
      </c>
      <c r="G55" s="47">
        <f>3000*1.2+95000+8000</f>
        <v>106600</v>
      </c>
      <c r="H55" s="47">
        <f t="shared" ref="H55:O55" si="19">3000*1.2+95000+8000</f>
        <v>106600</v>
      </c>
      <c r="I55" s="47">
        <f t="shared" si="19"/>
        <v>106600</v>
      </c>
      <c r="J55" s="47">
        <f t="shared" si="19"/>
        <v>106600</v>
      </c>
      <c r="K55" s="47">
        <f t="shared" si="19"/>
        <v>106600</v>
      </c>
      <c r="L55" s="47">
        <f t="shared" si="19"/>
        <v>106600</v>
      </c>
      <c r="M55" s="47">
        <f t="shared" si="19"/>
        <v>106600</v>
      </c>
      <c r="N55" s="47">
        <f t="shared" si="19"/>
        <v>106600</v>
      </c>
      <c r="O55" s="47">
        <f t="shared" si="19"/>
        <v>106600</v>
      </c>
      <c r="P55" s="50">
        <f t="shared" si="16"/>
        <v>541400</v>
      </c>
      <c r="Q55" s="50">
        <f t="shared" si="17"/>
        <v>639600</v>
      </c>
      <c r="R55" s="318" t="s">
        <v>205</v>
      </c>
      <c r="W55" s="302" t="s">
        <v>474</v>
      </c>
      <c r="X55" s="212">
        <v>17</v>
      </c>
    </row>
    <row r="56" spans="1:26" ht="13.25" customHeight="1" outlineLevel="1" x14ac:dyDescent="0.15">
      <c r="A56" s="355"/>
      <c r="B56" s="47" t="s">
        <v>40</v>
      </c>
      <c r="D56" s="74">
        <f>5000+8000</f>
        <v>13000</v>
      </c>
      <c r="E56" s="74">
        <f>8000+5000</f>
        <v>13000</v>
      </c>
      <c r="F56" s="74">
        <f>9400+8000+5000</f>
        <v>22400</v>
      </c>
      <c r="G56" s="74">
        <f>8000+5000</f>
        <v>13000</v>
      </c>
      <c r="H56" s="74">
        <f>8000+42000+5000</f>
        <v>55000</v>
      </c>
      <c r="I56" s="74">
        <f>9400+8000+5000</f>
        <v>22400</v>
      </c>
      <c r="J56" s="74">
        <f>8000+5000</f>
        <v>13000</v>
      </c>
      <c r="K56" s="74">
        <f>8000+5000</f>
        <v>13000</v>
      </c>
      <c r="L56" s="74">
        <f>8000+5000</f>
        <v>13000</v>
      </c>
      <c r="M56" s="74">
        <f>9400+8000+5000</f>
        <v>22400</v>
      </c>
      <c r="N56" s="74">
        <f>8000+5000</f>
        <v>13000</v>
      </c>
      <c r="O56" s="74">
        <f>9400+7500+8000+5000</f>
        <v>29900</v>
      </c>
      <c r="P56" s="50">
        <f t="shared" si="16"/>
        <v>138800</v>
      </c>
      <c r="Q56" s="50">
        <f t="shared" si="17"/>
        <v>104300</v>
      </c>
      <c r="R56" s="318" t="s">
        <v>205</v>
      </c>
      <c r="W56" s="302" t="s">
        <v>475</v>
      </c>
      <c r="X56" s="212">
        <v>17</v>
      </c>
    </row>
    <row r="57" spans="1:26" ht="13.25" customHeight="1" outlineLevel="1" x14ac:dyDescent="0.15">
      <c r="A57" s="355"/>
      <c r="B57" s="47" t="s">
        <v>178</v>
      </c>
      <c r="D57" s="74">
        <v>10000</v>
      </c>
      <c r="E57" s="74">
        <v>10000</v>
      </c>
      <c r="F57" s="74">
        <v>10000</v>
      </c>
      <c r="G57" s="74">
        <v>10000</v>
      </c>
      <c r="H57" s="74">
        <v>10000</v>
      </c>
      <c r="I57" s="74">
        <v>10000</v>
      </c>
      <c r="J57" s="74">
        <v>10000</v>
      </c>
      <c r="K57" s="74">
        <v>10000</v>
      </c>
      <c r="L57" s="74">
        <v>10000</v>
      </c>
      <c r="M57" s="74">
        <v>10000</v>
      </c>
      <c r="N57" s="74">
        <v>10000</v>
      </c>
      <c r="O57" s="74">
        <v>10000</v>
      </c>
      <c r="P57" s="50">
        <f t="shared" si="16"/>
        <v>60000</v>
      </c>
      <c r="Q57" s="50">
        <f t="shared" si="17"/>
        <v>60000</v>
      </c>
      <c r="R57" s="318" t="s">
        <v>206</v>
      </c>
      <c r="W57" s="302" t="s">
        <v>476</v>
      </c>
      <c r="X57" s="270" t="s">
        <v>477</v>
      </c>
    </row>
    <row r="58" spans="1:26" ht="13.25" customHeight="1" outlineLevel="1" x14ac:dyDescent="0.15">
      <c r="A58" s="355"/>
      <c r="B58" s="47" t="s">
        <v>40</v>
      </c>
      <c r="I58" s="63">
        <v>180000</v>
      </c>
      <c r="J58" s="63"/>
      <c r="K58" s="63"/>
      <c r="L58" s="63"/>
      <c r="M58" s="63"/>
      <c r="N58" s="63"/>
      <c r="O58" s="63">
        <v>180000</v>
      </c>
      <c r="P58" s="50">
        <f t="shared" si="16"/>
        <v>180000</v>
      </c>
      <c r="Q58" s="50">
        <f t="shared" si="17"/>
        <v>180000</v>
      </c>
      <c r="R58" s="318" t="s">
        <v>206</v>
      </c>
      <c r="W58" s="302" t="s">
        <v>478</v>
      </c>
      <c r="X58" s="304" t="s">
        <v>479</v>
      </c>
      <c r="Y58" s="27"/>
      <c r="Z58" s="27"/>
    </row>
    <row r="59" spans="1:26" ht="13.25" customHeight="1" outlineLevel="1" x14ac:dyDescent="0.15">
      <c r="A59" s="355"/>
      <c r="B59" s="47" t="s">
        <v>178</v>
      </c>
      <c r="I59" s="74">
        <f>+Z54*1000</f>
        <v>18466.666666666668</v>
      </c>
      <c r="J59" s="74">
        <f>+I59</f>
        <v>18466.666666666668</v>
      </c>
      <c r="K59" s="74">
        <f t="shared" ref="K59:O59" si="20">+J59</f>
        <v>18466.666666666668</v>
      </c>
      <c r="L59" s="74">
        <f t="shared" si="20"/>
        <v>18466.666666666668</v>
      </c>
      <c r="M59" s="74">
        <f t="shared" si="20"/>
        <v>18466.666666666668</v>
      </c>
      <c r="N59" s="74">
        <f t="shared" si="20"/>
        <v>18466.666666666668</v>
      </c>
      <c r="O59" s="74">
        <f t="shared" si="20"/>
        <v>18466.666666666668</v>
      </c>
      <c r="P59" s="50">
        <f t="shared" si="16"/>
        <v>18466.666666666668</v>
      </c>
      <c r="Q59" s="50">
        <f t="shared" si="17"/>
        <v>110800.00000000001</v>
      </c>
      <c r="R59" s="318" t="s">
        <v>486</v>
      </c>
      <c r="W59" s="304" t="s">
        <v>480</v>
      </c>
      <c r="X59" s="304" t="s">
        <v>487</v>
      </c>
      <c r="Y59" s="27">
        <f>120/12+9*0.2</f>
        <v>11.8</v>
      </c>
      <c r="Z59" s="27"/>
    </row>
    <row r="60" spans="1:26" ht="13.25" customHeight="1" outlineLevel="1" x14ac:dyDescent="0.15">
      <c r="A60" s="355"/>
      <c r="B60" s="47" t="s">
        <v>40</v>
      </c>
      <c r="P60" s="50">
        <f t="shared" si="16"/>
        <v>0</v>
      </c>
      <c r="Q60" s="50">
        <f t="shared" si="17"/>
        <v>0</v>
      </c>
    </row>
    <row r="61" spans="1:26" ht="13.25" customHeight="1" outlineLevel="1" x14ac:dyDescent="0.15">
      <c r="A61" s="355"/>
      <c r="B61" s="47" t="s">
        <v>178</v>
      </c>
      <c r="F61">
        <f>15000*1.1</f>
        <v>16500</v>
      </c>
      <c r="G61">
        <f>15000*1.1</f>
        <v>16500</v>
      </c>
      <c r="H61">
        <f>15000*1.1</f>
        <v>16500</v>
      </c>
      <c r="I61">
        <f>15000*1.1</f>
        <v>16500</v>
      </c>
      <c r="P61" s="50">
        <f t="shared" si="16"/>
        <v>66000</v>
      </c>
      <c r="Q61" s="50">
        <f t="shared" si="17"/>
        <v>0</v>
      </c>
      <c r="R61" s="318" t="s">
        <v>208</v>
      </c>
      <c r="W61" t="s">
        <v>484</v>
      </c>
      <c r="X61">
        <f>70/12*1.2</f>
        <v>6.9999999999999991</v>
      </c>
    </row>
    <row r="62" spans="1:26" ht="13.25" customHeight="1" outlineLevel="1" x14ac:dyDescent="0.15">
      <c r="A62" s="355"/>
      <c r="B62" s="47" t="s">
        <v>40</v>
      </c>
      <c r="P62" s="50">
        <f t="shared" si="16"/>
        <v>0</v>
      </c>
      <c r="Q62" s="50">
        <f t="shared" si="17"/>
        <v>0</v>
      </c>
      <c r="U62" s="212" t="s">
        <v>430</v>
      </c>
      <c r="W62" t="s">
        <v>485</v>
      </c>
      <c r="X62">
        <f>66/12*1.2</f>
        <v>6.6</v>
      </c>
    </row>
    <row r="63" spans="1:26" ht="13.25" customHeight="1" outlineLevel="1" x14ac:dyDescent="0.15">
      <c r="A63" s="355"/>
      <c r="B63" s="47" t="s">
        <v>40</v>
      </c>
      <c r="D63" s="74">
        <v>10000</v>
      </c>
      <c r="E63" s="74">
        <v>10000</v>
      </c>
      <c r="F63" s="74">
        <v>10000</v>
      </c>
      <c r="G63" s="74">
        <v>10000</v>
      </c>
      <c r="H63" s="74">
        <v>10000</v>
      </c>
      <c r="I63" s="74">
        <v>10000</v>
      </c>
      <c r="J63" s="74">
        <v>10000</v>
      </c>
      <c r="K63" s="74">
        <v>10000</v>
      </c>
      <c r="L63" s="74">
        <v>10000</v>
      </c>
      <c r="M63" s="74">
        <v>10000</v>
      </c>
      <c r="N63" s="74">
        <v>10000</v>
      </c>
      <c r="O63" s="74">
        <v>10000</v>
      </c>
      <c r="P63" s="50">
        <f t="shared" si="16"/>
        <v>60000</v>
      </c>
      <c r="Q63" s="50">
        <f t="shared" si="17"/>
        <v>60000</v>
      </c>
      <c r="R63" s="318" t="s">
        <v>369</v>
      </c>
    </row>
    <row r="64" spans="1:26" ht="13.25" customHeight="1" outlineLevel="1" x14ac:dyDescent="0.15">
      <c r="A64" s="355"/>
      <c r="B64" s="47" t="s">
        <v>178</v>
      </c>
      <c r="G64" s="74">
        <f>+Y59*1000</f>
        <v>11800</v>
      </c>
      <c r="H64" s="74">
        <f>+G64</f>
        <v>11800</v>
      </c>
      <c r="I64" s="74">
        <f t="shared" ref="I64:O64" si="21">+H64</f>
        <v>11800</v>
      </c>
      <c r="J64" s="74">
        <f t="shared" si="21"/>
        <v>11800</v>
      </c>
      <c r="K64" s="74">
        <f t="shared" si="21"/>
        <v>11800</v>
      </c>
      <c r="L64" s="74">
        <f t="shared" si="21"/>
        <v>11800</v>
      </c>
      <c r="M64" s="74">
        <f t="shared" si="21"/>
        <v>11800</v>
      </c>
      <c r="N64" s="74">
        <f t="shared" si="21"/>
        <v>11800</v>
      </c>
      <c r="O64" s="74">
        <f t="shared" si="21"/>
        <v>11800</v>
      </c>
      <c r="P64" s="50">
        <f t="shared" si="16"/>
        <v>35400</v>
      </c>
      <c r="Q64" s="50">
        <f t="shared" si="17"/>
        <v>70800</v>
      </c>
      <c r="R64" s="318" t="s">
        <v>488</v>
      </c>
    </row>
    <row r="65" spans="1:26" ht="13.25" customHeight="1" outlineLevel="1" x14ac:dyDescent="0.15">
      <c r="A65" s="355"/>
      <c r="B65" s="47" t="s">
        <v>40</v>
      </c>
      <c r="P65" s="50">
        <f t="shared" si="16"/>
        <v>0</v>
      </c>
      <c r="Q65" s="50">
        <f t="shared" si="17"/>
        <v>0</v>
      </c>
      <c r="R65" s="318"/>
    </row>
    <row r="66" spans="1:26" ht="13.25" customHeight="1" outlineLevel="1" x14ac:dyDescent="0.15">
      <c r="A66" s="355"/>
      <c r="B66" s="47" t="s">
        <v>178</v>
      </c>
      <c r="I66" s="47">
        <f>4500*1.2</f>
        <v>5400</v>
      </c>
      <c r="J66" s="47">
        <f t="shared" ref="J66:O66" si="22">4500*1.2</f>
        <v>5400</v>
      </c>
      <c r="K66" s="47">
        <f t="shared" si="22"/>
        <v>5400</v>
      </c>
      <c r="L66" s="47">
        <f t="shared" si="22"/>
        <v>5400</v>
      </c>
      <c r="M66" s="47">
        <f t="shared" si="22"/>
        <v>5400</v>
      </c>
      <c r="N66" s="47">
        <f t="shared" si="22"/>
        <v>5400</v>
      </c>
      <c r="O66" s="47">
        <f t="shared" si="22"/>
        <v>5400</v>
      </c>
      <c r="P66" s="50">
        <f t="shared" si="16"/>
        <v>5400</v>
      </c>
      <c r="Q66" s="50">
        <f t="shared" si="17"/>
        <v>32400</v>
      </c>
      <c r="R66" s="318" t="s">
        <v>209</v>
      </c>
    </row>
    <row r="67" spans="1:26" ht="13.25" customHeight="1" outlineLevel="1" x14ac:dyDescent="0.15">
      <c r="A67" s="355"/>
      <c r="B67" s="47" t="s">
        <v>182</v>
      </c>
      <c r="D67">
        <v>16000</v>
      </c>
      <c r="E67">
        <v>16000</v>
      </c>
      <c r="F67">
        <v>16000</v>
      </c>
      <c r="G67">
        <v>16000</v>
      </c>
      <c r="H67">
        <v>16000</v>
      </c>
      <c r="I67">
        <v>16000</v>
      </c>
      <c r="J67">
        <v>16000</v>
      </c>
      <c r="K67">
        <v>16000</v>
      </c>
      <c r="L67">
        <v>16000</v>
      </c>
      <c r="M67">
        <v>16000</v>
      </c>
      <c r="N67">
        <v>16000</v>
      </c>
      <c r="O67">
        <v>16000</v>
      </c>
      <c r="P67" s="50">
        <f t="shared" si="16"/>
        <v>96000</v>
      </c>
      <c r="Q67" s="50">
        <f t="shared" si="17"/>
        <v>96000</v>
      </c>
      <c r="R67" s="318"/>
    </row>
    <row r="68" spans="1:26" ht="26.5" customHeight="1" outlineLevel="1" x14ac:dyDescent="0.15">
      <c r="A68" s="355"/>
      <c r="B68" s="47" t="s">
        <v>183</v>
      </c>
      <c r="H68">
        <v>8000</v>
      </c>
      <c r="I68">
        <v>8000</v>
      </c>
      <c r="J68">
        <v>8000</v>
      </c>
      <c r="K68">
        <v>8000</v>
      </c>
      <c r="L68">
        <v>8000</v>
      </c>
      <c r="M68">
        <v>8000</v>
      </c>
      <c r="N68">
        <v>8000</v>
      </c>
      <c r="O68">
        <v>8000</v>
      </c>
      <c r="P68" s="50">
        <f t="shared" si="16"/>
        <v>16000</v>
      </c>
      <c r="Q68" s="50">
        <f t="shared" si="17"/>
        <v>48000</v>
      </c>
      <c r="R68" s="318" t="s">
        <v>211</v>
      </c>
    </row>
    <row r="69" spans="1:26" ht="13.25" customHeight="1" outlineLevel="1" x14ac:dyDescent="0.15">
      <c r="A69" s="355"/>
      <c r="B69" s="47" t="s">
        <v>184</v>
      </c>
      <c r="D69">
        <v>53000</v>
      </c>
      <c r="E69">
        <v>53000</v>
      </c>
      <c r="F69">
        <v>53000</v>
      </c>
      <c r="G69">
        <v>53000</v>
      </c>
      <c r="H69">
        <v>53000</v>
      </c>
      <c r="I69">
        <v>53000</v>
      </c>
      <c r="J69">
        <v>53000</v>
      </c>
      <c r="K69">
        <v>53000</v>
      </c>
      <c r="L69">
        <v>53000</v>
      </c>
      <c r="M69">
        <v>53000</v>
      </c>
      <c r="N69">
        <v>53000</v>
      </c>
      <c r="O69">
        <v>53000</v>
      </c>
      <c r="P69" s="50">
        <f t="shared" si="16"/>
        <v>318000</v>
      </c>
      <c r="Q69" s="50">
        <f t="shared" si="17"/>
        <v>318000</v>
      </c>
    </row>
    <row r="70" spans="1:26" ht="26.5" customHeight="1" outlineLevel="1" x14ac:dyDescent="0.15">
      <c r="A70" s="355"/>
      <c r="B70" s="47" t="s">
        <v>185</v>
      </c>
      <c r="D70">
        <v>10000</v>
      </c>
      <c r="E70">
        <v>10000</v>
      </c>
      <c r="F70">
        <v>10000</v>
      </c>
      <c r="G70">
        <v>10000</v>
      </c>
      <c r="H70">
        <v>10000</v>
      </c>
      <c r="I70">
        <v>10000</v>
      </c>
      <c r="J70">
        <v>10000</v>
      </c>
      <c r="K70">
        <v>10000</v>
      </c>
      <c r="L70">
        <v>10000</v>
      </c>
      <c r="M70">
        <v>10000</v>
      </c>
      <c r="N70">
        <v>10000</v>
      </c>
      <c r="O70">
        <v>10000</v>
      </c>
      <c r="P70" s="50">
        <f t="shared" si="16"/>
        <v>60000</v>
      </c>
      <c r="Q70" s="50">
        <f t="shared" si="17"/>
        <v>60000</v>
      </c>
    </row>
    <row r="71" spans="1:26" ht="14" x14ac:dyDescent="0.15">
      <c r="A71" s="355"/>
      <c r="B71" s="75" t="s">
        <v>192</v>
      </c>
      <c r="C71" s="70">
        <f>SUM(D71:O71)</f>
        <v>-819386.30613333383</v>
      </c>
      <c r="D71" s="76">
        <f>D51+SUM(D52:D70)</f>
        <v>-328826.27999999997</v>
      </c>
      <c r="E71" s="76">
        <f t="shared" ref="E71:O71" si="23">E51+SUM(E52:E70)</f>
        <v>-1117143.48</v>
      </c>
      <c r="F71" s="76">
        <f t="shared" si="23"/>
        <v>-1246272.1499999999</v>
      </c>
      <c r="G71" s="76">
        <f t="shared" si="23"/>
        <v>-200489.45</v>
      </c>
      <c r="H71" s="76">
        <f t="shared" si="23"/>
        <v>272866.93030000001</v>
      </c>
      <c r="I71" s="76">
        <f t="shared" si="23"/>
        <v>-261388.0082333333</v>
      </c>
      <c r="J71" s="76">
        <f t="shared" si="23"/>
        <v>653807.0970666667</v>
      </c>
      <c r="K71" s="76">
        <f t="shared" si="23"/>
        <v>571154.96296666667</v>
      </c>
      <c r="L71" s="76">
        <f t="shared" si="23"/>
        <v>515681.8446666667</v>
      </c>
      <c r="M71" s="76">
        <f t="shared" si="23"/>
        <v>367411.81336666667</v>
      </c>
      <c r="N71" s="76">
        <f t="shared" si="23"/>
        <v>-98902.657833333302</v>
      </c>
      <c r="O71" s="76">
        <f t="shared" si="23"/>
        <v>52713.071566666709</v>
      </c>
      <c r="P71" s="72">
        <f>SUM(D71:I71)</f>
        <v>-2881252.4379333337</v>
      </c>
      <c r="Q71" s="72">
        <f>SUM(J71:O71)</f>
        <v>2061866.1318000006</v>
      </c>
    </row>
    <row r="72" spans="1:26" s="27" customFormat="1" x14ac:dyDescent="0.15">
      <c r="A72" s="82"/>
      <c r="B72" s="6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S72" s="314"/>
      <c r="T72" s="314"/>
      <c r="U72" s="314"/>
      <c r="V72" s="314"/>
    </row>
    <row r="73" spans="1:26" s="27" customFormat="1" ht="17.5" customHeight="1" x14ac:dyDescent="0.15">
      <c r="A73" s="79" t="s">
        <v>195</v>
      </c>
      <c r="B73" s="83" t="s">
        <v>186</v>
      </c>
      <c r="C73" s="84">
        <f>C49+C71</f>
        <v>2351965.5949616665</v>
      </c>
      <c r="D73" s="84">
        <f t="shared" ref="D73:O73" si="24">D71+D49</f>
        <v>-1062193.1299999999</v>
      </c>
      <c r="E73" s="84">
        <f t="shared" si="24"/>
        <v>-1585089.0699999998</v>
      </c>
      <c r="F73" s="84">
        <f t="shared" si="24"/>
        <v>-72139.550000000047</v>
      </c>
      <c r="G73" s="84">
        <f t="shared" si="24"/>
        <v>-760645.06999999983</v>
      </c>
      <c r="H73" s="84">
        <f t="shared" si="24"/>
        <v>1228489.5861</v>
      </c>
      <c r="I73" s="84">
        <f t="shared" si="24"/>
        <v>-160238.4985333333</v>
      </c>
      <c r="J73" s="84">
        <f>J71+J49</f>
        <v>-76033.916533333249</v>
      </c>
      <c r="K73" s="84">
        <f t="shared" si="24"/>
        <v>140760.50256666658</v>
      </c>
      <c r="L73" s="84">
        <f t="shared" si="24"/>
        <v>2061891.733541667</v>
      </c>
      <c r="M73" s="84">
        <f t="shared" si="24"/>
        <v>1818737.3767866667</v>
      </c>
      <c r="N73" s="84">
        <f t="shared" si="24"/>
        <v>696370.3516666668</v>
      </c>
      <c r="O73" s="84">
        <f t="shared" si="24"/>
        <v>122055.27936666673</v>
      </c>
      <c r="P73" s="84">
        <f>P49+P71</f>
        <v>-2411815.7324333335</v>
      </c>
      <c r="Q73" s="84">
        <f>Q49+Q71</f>
        <v>4763781.3273950014</v>
      </c>
      <c r="S73" s="314"/>
      <c r="T73" s="314"/>
      <c r="U73" s="314"/>
      <c r="V73" s="314"/>
      <c r="W73"/>
      <c r="X73"/>
      <c r="Y73"/>
      <c r="Z73"/>
    </row>
    <row r="74" spans="1:26" ht="6.5" customHeight="1" x14ac:dyDescent="0.15">
      <c r="A74" s="81"/>
    </row>
    <row r="75" spans="1:26" ht="14" collapsed="1" x14ac:dyDescent="0.15">
      <c r="A75" s="355" t="s">
        <v>193</v>
      </c>
      <c r="B75" s="89" t="s">
        <v>173</v>
      </c>
      <c r="D75" s="90">
        <f>3100000-170000</f>
        <v>2930000</v>
      </c>
      <c r="E75" s="90">
        <f>3100000-170000</f>
        <v>2930000</v>
      </c>
      <c r="P75" s="78">
        <f>SUM(D75:O75)</f>
        <v>5860000</v>
      </c>
    </row>
    <row r="76" spans="1:26" ht="14" x14ac:dyDescent="0.15">
      <c r="A76" s="359"/>
      <c r="B76" s="89" t="s">
        <v>94</v>
      </c>
      <c r="D76" s="91"/>
      <c r="E76" s="90">
        <f>-(-'Budget 25 LH AG'!E136+E28+E30+E32+E34+Oberstaufen!E136+Sylt!E136+Wiesensee!E136)</f>
        <v>1176703.3364000001</v>
      </c>
      <c r="F76" s="78"/>
      <c r="P76" s="78">
        <f>SUM(D76:O76)</f>
        <v>1176703.3364000001</v>
      </c>
    </row>
    <row r="77" spans="1:26" ht="6.5" customHeight="1" x14ac:dyDescent="0.15"/>
    <row r="78" spans="1:26" ht="21.75" customHeight="1" x14ac:dyDescent="0.15">
      <c r="A78" s="356" t="s">
        <v>194</v>
      </c>
      <c r="B78" s="30" t="s">
        <v>196</v>
      </c>
      <c r="C78" s="86"/>
      <c r="D78" s="87">
        <f t="shared" ref="D78:O78" si="25">D73+D75+D76</f>
        <v>1867806.87</v>
      </c>
      <c r="E78" s="87">
        <f t="shared" si="25"/>
        <v>2521614.2664000001</v>
      </c>
      <c r="F78" s="87">
        <f t="shared" si="25"/>
        <v>-72139.550000000047</v>
      </c>
      <c r="G78" s="87">
        <f t="shared" si="25"/>
        <v>-760645.06999999983</v>
      </c>
      <c r="H78" s="87">
        <f t="shared" si="25"/>
        <v>1228489.5861</v>
      </c>
      <c r="I78" s="87">
        <f t="shared" si="25"/>
        <v>-160238.4985333333</v>
      </c>
      <c r="J78" s="87">
        <f t="shared" si="25"/>
        <v>-76033.916533333249</v>
      </c>
      <c r="K78" s="87">
        <f t="shared" si="25"/>
        <v>140760.50256666658</v>
      </c>
      <c r="L78" s="87">
        <f t="shared" si="25"/>
        <v>2061891.733541667</v>
      </c>
      <c r="M78" s="87">
        <f t="shared" si="25"/>
        <v>1818737.3767866667</v>
      </c>
      <c r="N78" s="87">
        <f t="shared" si="25"/>
        <v>696370.3516666668</v>
      </c>
      <c r="O78" s="87">
        <f t="shared" si="25"/>
        <v>122055.27936666673</v>
      </c>
      <c r="P78" s="88">
        <f>SUM(D78:I78)</f>
        <v>4624887.6039666673</v>
      </c>
      <c r="Q78" s="88">
        <f>SUM(J78:O78)</f>
        <v>4763781.3273950005</v>
      </c>
    </row>
    <row r="79" spans="1:26" ht="17.25" hidden="1" customHeight="1" x14ac:dyDescent="0.15">
      <c r="A79" s="356"/>
      <c r="B79" s="30" t="s">
        <v>197</v>
      </c>
      <c r="C79" s="92">
        <f>+Dezember24!R4</f>
        <v>3000000</v>
      </c>
      <c r="D79" s="93">
        <f t="shared" ref="D79:O79" si="26">C79+D78</f>
        <v>4867806.87</v>
      </c>
      <c r="E79" s="93">
        <f t="shared" si="26"/>
        <v>7389421.1364000002</v>
      </c>
      <c r="F79" s="93">
        <f t="shared" si="26"/>
        <v>7317281.5864000004</v>
      </c>
      <c r="G79" s="93">
        <f t="shared" si="26"/>
        <v>6556636.5164000001</v>
      </c>
      <c r="H79" s="93">
        <f t="shared" si="26"/>
        <v>7785126.1025</v>
      </c>
      <c r="I79" s="93">
        <f t="shared" si="26"/>
        <v>7624887.6039666664</v>
      </c>
      <c r="J79" s="93">
        <f t="shared" si="26"/>
        <v>7548853.6874333331</v>
      </c>
      <c r="K79" s="93">
        <f t="shared" si="26"/>
        <v>7689614.1899999995</v>
      </c>
      <c r="L79" s="93">
        <f t="shared" si="26"/>
        <v>9751505.9235416669</v>
      </c>
      <c r="M79" s="93">
        <f t="shared" si="26"/>
        <v>11570243.300328333</v>
      </c>
      <c r="N79" s="93">
        <f t="shared" si="26"/>
        <v>12266613.651994999</v>
      </c>
      <c r="O79" s="93">
        <f t="shared" si="26"/>
        <v>12388668.931361666</v>
      </c>
    </row>
    <row r="80" spans="1:26" ht="14" x14ac:dyDescent="0.15">
      <c r="A80" t="s">
        <v>395</v>
      </c>
      <c r="D80" s="48">
        <v>6345075.5492000002</v>
      </c>
      <c r="E80" s="48">
        <v>7367537.3300999999</v>
      </c>
      <c r="F80" s="48">
        <v>9809967.9995000008</v>
      </c>
      <c r="G80" s="48">
        <v>7689161.0832000002</v>
      </c>
      <c r="H80" s="48">
        <v>9519256.7825000007</v>
      </c>
      <c r="I80" s="48">
        <v>9058508.7261999995</v>
      </c>
      <c r="J80" s="48">
        <v>7449197.6485000001</v>
      </c>
      <c r="K80" s="48">
        <v>8290181.5827000001</v>
      </c>
      <c r="L80" s="48">
        <v>10977786.314200001</v>
      </c>
      <c r="M80" s="48">
        <v>10811665.2991</v>
      </c>
      <c r="N80" s="48">
        <v>9621684.0499000009</v>
      </c>
      <c r="O80" s="48">
        <v>7304733.9813000001</v>
      </c>
      <c r="P80" s="50">
        <f t="shared" ref="P80:P83" si="27">SUM(D80:I80)</f>
        <v>49789507.470700003</v>
      </c>
      <c r="Q80" s="50">
        <f t="shared" ref="Q80:Q83" si="28">SUM(J80:O80)</f>
        <v>54455248.875700012</v>
      </c>
    </row>
    <row r="81" spans="1:18" ht="14" x14ac:dyDescent="0.15">
      <c r="A81" t="s">
        <v>427</v>
      </c>
      <c r="D81" s="48">
        <v>-951761.33238000004</v>
      </c>
      <c r="E81" s="48">
        <v>-1105130.5995149999</v>
      </c>
      <c r="F81" s="48">
        <v>-1471495.1999250001</v>
      </c>
      <c r="G81" s="48">
        <v>-1153374.1624799999</v>
      </c>
      <c r="H81" s="48">
        <v>-1427888.5173750001</v>
      </c>
      <c r="I81" s="48">
        <v>-1358776.3089299998</v>
      </c>
      <c r="J81" s="48">
        <v>-372459.88242500002</v>
      </c>
      <c r="K81" s="48">
        <f>-K80*$R$89</f>
        <v>-829018.15827000001</v>
      </c>
      <c r="L81" s="48">
        <f t="shared" ref="L81:O81" si="29">-L80*$R$89</f>
        <v>-1097778.6314200002</v>
      </c>
      <c r="M81" s="48">
        <f t="shared" si="29"/>
        <v>-1081166.52991</v>
      </c>
      <c r="N81" s="48">
        <f t="shared" si="29"/>
        <v>-962168.40499000018</v>
      </c>
      <c r="O81" s="48">
        <f t="shared" si="29"/>
        <v>-730473.3981300001</v>
      </c>
      <c r="P81" s="50">
        <f t="shared" si="27"/>
        <v>-7468426.1206049994</v>
      </c>
      <c r="Q81" s="50">
        <f t="shared" si="28"/>
        <v>-5073065.0051450003</v>
      </c>
    </row>
    <row r="82" spans="1:18" ht="14" x14ac:dyDescent="0.15">
      <c r="A82" t="s">
        <v>397</v>
      </c>
      <c r="D82" s="48">
        <f>SUM(D80:D81)</f>
        <v>5393314.2168199997</v>
      </c>
      <c r="E82" s="48">
        <f t="shared" ref="E82:O82" si="30">SUM(E80:E81)</f>
        <v>6262406.7305849995</v>
      </c>
      <c r="F82" s="48">
        <f t="shared" si="30"/>
        <v>8338472.799575001</v>
      </c>
      <c r="G82" s="48">
        <f t="shared" si="30"/>
        <v>6535786.9207199998</v>
      </c>
      <c r="H82" s="48">
        <f t="shared" si="30"/>
        <v>8091368.2651250008</v>
      </c>
      <c r="I82" s="48">
        <f t="shared" si="30"/>
        <v>7699732.4172699992</v>
      </c>
      <c r="J82" s="48">
        <f t="shared" si="30"/>
        <v>7076737.7660750002</v>
      </c>
      <c r="K82" s="48">
        <f t="shared" si="30"/>
        <v>7461163.4244299997</v>
      </c>
      <c r="L82" s="48">
        <f t="shared" si="30"/>
        <v>9880007.6827800013</v>
      </c>
      <c r="M82" s="48">
        <f t="shared" si="30"/>
        <v>9730498.7691900004</v>
      </c>
      <c r="N82" s="48">
        <f t="shared" si="30"/>
        <v>8659515.6449100003</v>
      </c>
      <c r="O82" s="48">
        <f t="shared" si="30"/>
        <v>6574260.5831700005</v>
      </c>
      <c r="P82" s="50">
        <f t="shared" si="27"/>
        <v>42321081.350094996</v>
      </c>
      <c r="Q82" s="50">
        <f t="shared" si="28"/>
        <v>49382183.870554999</v>
      </c>
    </row>
    <row r="83" spans="1:18" ht="14" x14ac:dyDescent="0.15">
      <c r="A83" t="s">
        <v>517</v>
      </c>
      <c r="C83" s="48"/>
      <c r="D83" s="48">
        <v>895011.80680000002</v>
      </c>
      <c r="E83" s="48">
        <v>947308.99939999997</v>
      </c>
      <c r="F83" s="48">
        <v>1308592.57</v>
      </c>
      <c r="G83" s="48">
        <v>1153258.9772999999</v>
      </c>
      <c r="H83" s="48">
        <v>1558420.3855000001</v>
      </c>
      <c r="I83" s="48">
        <v>1849613.2905999999</v>
      </c>
      <c r="J83" s="48">
        <v>1941368.6676</v>
      </c>
      <c r="K83" s="48">
        <v>1959969.6998999999</v>
      </c>
      <c r="L83" s="48">
        <v>1919889.4911</v>
      </c>
      <c r="M83" s="48">
        <v>1575559.9702999999</v>
      </c>
      <c r="N83" s="48">
        <v>1173034.7313000001</v>
      </c>
      <c r="O83" s="48">
        <v>1461691.1488999999</v>
      </c>
      <c r="P83" s="50">
        <f t="shared" si="27"/>
        <v>7712206.0295999991</v>
      </c>
      <c r="Q83" s="50">
        <f t="shared" si="28"/>
        <v>10031513.709100001</v>
      </c>
    </row>
    <row r="84" spans="1:18" x14ac:dyDescent="0.15">
      <c r="D84" s="48"/>
      <c r="E84" s="48"/>
      <c r="F84" s="48"/>
      <c r="G84" s="331"/>
      <c r="H84" s="331"/>
      <c r="I84" s="331"/>
      <c r="J84" s="331"/>
      <c r="K84" s="331"/>
    </row>
    <row r="85" spans="1:18" x14ac:dyDescent="0.15">
      <c r="D85" s="48"/>
      <c r="E85" s="48"/>
      <c r="F85" s="48"/>
    </row>
    <row r="86" spans="1:18" x14ac:dyDescent="0.15">
      <c r="D86" s="331">
        <f t="shared" ref="D86:I86" si="31">+D87/D80</f>
        <v>0.83914879952395827</v>
      </c>
      <c r="E86" s="331">
        <f t="shared" si="31"/>
        <v>0.85665021936364383</v>
      </c>
      <c r="F86" s="331">
        <f t="shared" si="31"/>
        <v>0.87354899327263591</v>
      </c>
      <c r="G86" s="331">
        <f t="shared" si="31"/>
        <v>0.82112261424654764</v>
      </c>
      <c r="H86" s="331">
        <f t="shared" si="31"/>
        <v>0.91258339369205888</v>
      </c>
      <c r="I86" s="331">
        <f t="shared" si="31"/>
        <v>0.81175335391928938</v>
      </c>
      <c r="J86" s="331">
        <f t="shared" ref="J86:O86" si="32">+J87/J80</f>
        <v>0.86291074664858258</v>
      </c>
      <c r="K86" s="331">
        <f t="shared" si="32"/>
        <v>0.85713698446949216</v>
      </c>
      <c r="L86" s="331">
        <f t="shared" si="32"/>
        <v>0.9610193800869965</v>
      </c>
      <c r="M86" s="331">
        <f t="shared" si="32"/>
        <v>0.96490027731143413</v>
      </c>
      <c r="N86" s="331">
        <f t="shared" si="32"/>
        <v>0.98643608054232912</v>
      </c>
      <c r="O86" s="331">
        <f t="shared" si="32"/>
        <v>0.93070399739458887</v>
      </c>
    </row>
    <row r="87" spans="1:18" ht="14" x14ac:dyDescent="0.15">
      <c r="A87" s="356" t="s">
        <v>217</v>
      </c>
      <c r="B87" t="s">
        <v>199</v>
      </c>
      <c r="C87" s="74">
        <f>+'Hotels Only'!C11</f>
        <v>93365066.829699993</v>
      </c>
      <c r="D87" s="74">
        <f>+'Hotels Only'!D11</f>
        <v>5324462.53</v>
      </c>
      <c r="E87" s="74">
        <f>+'Hotels Only'!E11</f>
        <v>6311402.4699999997</v>
      </c>
      <c r="F87" s="74">
        <f>+'Hotels Only'!F11</f>
        <v>8569487.6699999999</v>
      </c>
      <c r="G87" s="74">
        <f>+'Hotels Only'!G11</f>
        <v>6313744.0499999998</v>
      </c>
      <c r="H87" s="74">
        <f>+'Hotels Only'!H11</f>
        <v>8687115.6600000001</v>
      </c>
      <c r="I87" s="74">
        <f>+'Hotels Only'!I11</f>
        <v>7353274.8399999999</v>
      </c>
      <c r="J87" s="74">
        <f>+'Hotels Only'!J11</f>
        <v>6427992.7048000004</v>
      </c>
      <c r="K87" s="74">
        <f>+'Hotels Only'!K11</f>
        <v>7105821.2424999997</v>
      </c>
      <c r="L87" s="74">
        <f>+'Hotels Only'!L11</f>
        <v>10549865.398399999</v>
      </c>
      <c r="M87" s="74">
        <f>+'Hotels Only'!M11</f>
        <v>10432178.8453</v>
      </c>
      <c r="N87" s="74">
        <f>+'Hotels Only'!N11</f>
        <v>9491176.3024000004</v>
      </c>
      <c r="O87" s="74">
        <f>+'Hotels Only'!O11</f>
        <v>6798545.1162999999</v>
      </c>
      <c r="P87" s="50">
        <f t="shared" ref="P87:P91" si="33">SUM(D87:I87)</f>
        <v>42559487.219999999</v>
      </c>
      <c r="Q87" s="50">
        <f t="shared" ref="Q87:Q91" si="34">SUM(J87:O87)</f>
        <v>50805579.609700002</v>
      </c>
      <c r="R87" s="74"/>
    </row>
    <row r="88" spans="1:18" ht="14" x14ac:dyDescent="0.15">
      <c r="A88" s="356"/>
      <c r="B88" t="s">
        <v>216</v>
      </c>
      <c r="C88" s="74"/>
      <c r="D88" s="74">
        <f>'HQ only'!D11</f>
        <v>552614.44999999995</v>
      </c>
      <c r="E88" s="74">
        <f>'HQ only'!E11</f>
        <v>528587.06000000006</v>
      </c>
      <c r="F88" s="74">
        <f>'HQ only'!F11</f>
        <v>1070582.96</v>
      </c>
      <c r="G88" s="74">
        <f>'HQ only'!G11</f>
        <v>610468.18000000005</v>
      </c>
      <c r="H88" s="74">
        <f>'HQ only'!H11</f>
        <v>1537438.9</v>
      </c>
      <c r="I88" s="74">
        <f>'HQ only'!I11</f>
        <v>1012045.73</v>
      </c>
      <c r="J88" s="74">
        <f>'HQ only'!J11</f>
        <v>1924757.9398000001</v>
      </c>
      <c r="K88" s="74">
        <f>'HQ only'!K11</f>
        <v>1942110.5708000001</v>
      </c>
      <c r="L88" s="74">
        <f>'HQ only'!L11</f>
        <v>1900916.1665000001</v>
      </c>
      <c r="M88" s="74">
        <f>'HQ only'!M11</f>
        <v>1561011.1294</v>
      </c>
      <c r="N88" s="74">
        <f>'HQ only'!N11</f>
        <v>1160767.0135999999</v>
      </c>
      <c r="O88" s="74">
        <f>'HQ only'!O11</f>
        <v>1454934.2804</v>
      </c>
      <c r="P88" s="50">
        <f t="shared" si="33"/>
        <v>5311737.2799999993</v>
      </c>
      <c r="Q88" s="50">
        <f t="shared" si="34"/>
        <v>9944497.1005000006</v>
      </c>
      <c r="R88" s="74"/>
    </row>
    <row r="89" spans="1:18" ht="14" x14ac:dyDescent="0.15">
      <c r="A89" s="356"/>
      <c r="B89" s="289" t="s">
        <v>212</v>
      </c>
      <c r="C89" s="290">
        <v>0.15</v>
      </c>
      <c r="D89" s="291"/>
      <c r="E89" s="291"/>
      <c r="F89" s="291"/>
      <c r="G89" s="291"/>
      <c r="H89" s="291"/>
      <c r="I89" s="291"/>
      <c r="J89" s="291"/>
      <c r="K89" s="291"/>
      <c r="L89" s="291">
        <f t="shared" ref="L89:O89" si="35">L80-L87+L81</f>
        <v>-669857.71561999875</v>
      </c>
      <c r="M89" s="291">
        <f t="shared" si="35"/>
        <v>-701680.07610999979</v>
      </c>
      <c r="N89" s="291">
        <f t="shared" si="35"/>
        <v>-831660.65748999966</v>
      </c>
      <c r="O89" s="291">
        <f t="shared" si="35"/>
        <v>-224284.53312999988</v>
      </c>
      <c r="P89" s="50">
        <f t="shared" si="33"/>
        <v>0</v>
      </c>
      <c r="Q89" s="50">
        <f t="shared" si="34"/>
        <v>-2427482.9823499979</v>
      </c>
      <c r="R89" s="100">
        <v>0.1</v>
      </c>
    </row>
    <row r="90" spans="1:18" ht="14" x14ac:dyDescent="0.15">
      <c r="A90" s="356"/>
      <c r="B90" t="s">
        <v>213</v>
      </c>
      <c r="C90" s="95">
        <v>0.15</v>
      </c>
      <c r="D90" s="74"/>
      <c r="E90" s="74"/>
      <c r="F90" s="74"/>
      <c r="G90" s="74"/>
      <c r="H90" s="74"/>
      <c r="I90" s="74"/>
      <c r="J90" s="74">
        <f>-J88*$R$90</f>
        <v>-192475.79398000002</v>
      </c>
      <c r="K90" s="74">
        <f t="shared" ref="K90:O90" si="36">-K88*$R$90</f>
        <v>-194211.05708000003</v>
      </c>
      <c r="L90" s="74">
        <f t="shared" si="36"/>
        <v>-190091.61665000001</v>
      </c>
      <c r="M90" s="74">
        <f t="shared" si="36"/>
        <v>-156101.11293999999</v>
      </c>
      <c r="N90" s="74">
        <f t="shared" si="36"/>
        <v>-116076.70136000001</v>
      </c>
      <c r="O90" s="74">
        <f t="shared" si="36"/>
        <v>-145493.42804</v>
      </c>
      <c r="P90" s="50">
        <f t="shared" si="33"/>
        <v>0</v>
      </c>
      <c r="Q90" s="50">
        <f t="shared" si="34"/>
        <v>-994449.71004999999</v>
      </c>
      <c r="R90" s="100">
        <v>0.1</v>
      </c>
    </row>
    <row r="91" spans="1:18" ht="14" x14ac:dyDescent="0.15">
      <c r="A91" s="356"/>
      <c r="B91" t="s">
        <v>396</v>
      </c>
      <c r="C91" s="95"/>
      <c r="D91" s="74">
        <f>D87+D89</f>
        <v>5324462.53</v>
      </c>
      <c r="E91" s="74">
        <f t="shared" ref="E91:O91" si="37">E87+E89</f>
        <v>6311402.4699999997</v>
      </c>
      <c r="F91" s="74">
        <f t="shared" si="37"/>
        <v>8569487.6699999999</v>
      </c>
      <c r="G91" s="74">
        <f t="shared" si="37"/>
        <v>6313744.0499999998</v>
      </c>
      <c r="H91" s="74">
        <f t="shared" si="37"/>
        <v>8687115.6600000001</v>
      </c>
      <c r="I91" s="74">
        <f t="shared" si="37"/>
        <v>7353274.8399999999</v>
      </c>
      <c r="J91" s="74">
        <f t="shared" si="37"/>
        <v>6427992.7048000004</v>
      </c>
      <c r="K91" s="74">
        <f t="shared" si="37"/>
        <v>7105821.2424999997</v>
      </c>
      <c r="L91" s="74">
        <f t="shared" si="37"/>
        <v>9880007.6827800013</v>
      </c>
      <c r="M91" s="74">
        <f t="shared" si="37"/>
        <v>9730498.7691900004</v>
      </c>
      <c r="N91" s="74">
        <f t="shared" si="37"/>
        <v>8659515.6449100003</v>
      </c>
      <c r="O91" s="74">
        <f t="shared" si="37"/>
        <v>6574260.5831700005</v>
      </c>
      <c r="P91" s="50">
        <f t="shared" si="33"/>
        <v>42559487.219999999</v>
      </c>
      <c r="Q91" s="50">
        <f t="shared" si="34"/>
        <v>48378096.627350003</v>
      </c>
      <c r="R91" s="100"/>
    </row>
    <row r="92" spans="1:18" ht="14" x14ac:dyDescent="0.15">
      <c r="A92" s="356"/>
      <c r="B92" t="s">
        <v>398</v>
      </c>
      <c r="C92" s="95"/>
      <c r="D92" s="74">
        <f t="shared" ref="D92:I92" si="38">D91-D82</f>
        <v>-68851.686819999479</v>
      </c>
      <c r="E92" s="74">
        <f t="shared" si="38"/>
        <v>48995.739415000193</v>
      </c>
      <c r="F92" s="74">
        <f t="shared" si="38"/>
        <v>231014.87042499892</v>
      </c>
      <c r="G92" s="74">
        <f t="shared" si="38"/>
        <v>-222042.87072000001</v>
      </c>
      <c r="H92" s="74">
        <f t="shared" si="38"/>
        <v>595747.3948749993</v>
      </c>
      <c r="I92" s="74">
        <f t="shared" si="38"/>
        <v>-346457.57726999931</v>
      </c>
      <c r="J92" s="74"/>
      <c r="K92" s="74"/>
      <c r="L92" s="74"/>
      <c r="M92" s="74"/>
      <c r="N92" s="74"/>
      <c r="O92" s="74"/>
      <c r="P92" s="74"/>
      <c r="Q92" s="74"/>
      <c r="R92" s="100"/>
    </row>
    <row r="93" spans="1:18" ht="23.25" customHeight="1" x14ac:dyDescent="0.15">
      <c r="A93" s="356"/>
      <c r="B93" t="s">
        <v>214</v>
      </c>
      <c r="C93" s="95">
        <v>0.65</v>
      </c>
      <c r="D93" s="74">
        <f>D89*$C$93</f>
        <v>0</v>
      </c>
      <c r="E93" s="74">
        <f t="shared" ref="E93:O93" si="39">E89*$C$93</f>
        <v>0</v>
      </c>
      <c r="F93" s="74">
        <f t="shared" si="39"/>
        <v>0</v>
      </c>
      <c r="G93" s="74">
        <f t="shared" si="39"/>
        <v>0</v>
      </c>
      <c r="H93" s="74">
        <f t="shared" si="39"/>
        <v>0</v>
      </c>
      <c r="I93" s="74">
        <f t="shared" si="39"/>
        <v>0</v>
      </c>
      <c r="J93" s="74">
        <f t="shared" si="39"/>
        <v>0</v>
      </c>
      <c r="K93" s="74">
        <f t="shared" si="39"/>
        <v>0</v>
      </c>
      <c r="L93" s="74">
        <f t="shared" si="39"/>
        <v>-435407.5151529992</v>
      </c>
      <c r="M93" s="74">
        <f t="shared" si="39"/>
        <v>-456092.04947149986</v>
      </c>
      <c r="N93" s="74">
        <f t="shared" si="39"/>
        <v>-540579.4273684998</v>
      </c>
      <c r="O93" s="74">
        <f t="shared" si="39"/>
        <v>-145784.94653449993</v>
      </c>
      <c r="P93" s="50">
        <f t="shared" ref="P93" si="40">SUM(D93:I93)</f>
        <v>0</v>
      </c>
      <c r="Q93" s="50">
        <f t="shared" ref="Q93" si="41">SUM(J93:O93)</f>
        <v>-1577863.9385274989</v>
      </c>
      <c r="R93" s="74"/>
    </row>
    <row r="94" spans="1:18" ht="14" x14ac:dyDescent="0.15">
      <c r="A94" s="356"/>
      <c r="B94" t="s">
        <v>215</v>
      </c>
      <c r="C94" s="95">
        <v>1</v>
      </c>
      <c r="D94" s="74">
        <f>D90*$C$94</f>
        <v>0</v>
      </c>
      <c r="E94" s="74">
        <f t="shared" ref="E94:O94" si="42">E90*$C$94</f>
        <v>0</v>
      </c>
      <c r="F94" s="74">
        <f t="shared" si="42"/>
        <v>0</v>
      </c>
      <c r="G94" s="74">
        <f t="shared" si="42"/>
        <v>0</v>
      </c>
      <c r="H94" s="74">
        <f t="shared" si="42"/>
        <v>0</v>
      </c>
      <c r="I94" s="74">
        <f t="shared" si="42"/>
        <v>0</v>
      </c>
      <c r="J94" s="74">
        <f t="shared" si="42"/>
        <v>-192475.79398000002</v>
      </c>
      <c r="K94" s="74">
        <f t="shared" si="42"/>
        <v>-194211.05708000003</v>
      </c>
      <c r="L94" s="74">
        <f t="shared" si="42"/>
        <v>-190091.61665000001</v>
      </c>
      <c r="M94" s="74">
        <f t="shared" si="42"/>
        <v>-156101.11293999999</v>
      </c>
      <c r="N94" s="74">
        <f t="shared" si="42"/>
        <v>-116076.70136000001</v>
      </c>
      <c r="O94" s="74">
        <f t="shared" si="42"/>
        <v>-145493.42804</v>
      </c>
      <c r="P94" s="50">
        <f t="shared" ref="P94" si="43">SUM(D94:I94)</f>
        <v>0</v>
      </c>
      <c r="Q94" s="50">
        <f t="shared" ref="Q94" si="44">SUM(J94:O94)</f>
        <v>-994449.71004999999</v>
      </c>
      <c r="R94" s="74"/>
    </row>
    <row r="95" spans="1:18" x14ac:dyDescent="0.15">
      <c r="A95" s="356"/>
      <c r="C95" s="95"/>
      <c r="D95" s="74">
        <f t="shared" ref="D95:O95" si="45">+D87*$C$95*D93</f>
        <v>0</v>
      </c>
      <c r="E95" s="74">
        <f t="shared" si="45"/>
        <v>0</v>
      </c>
      <c r="F95" s="74">
        <f t="shared" si="45"/>
        <v>0</v>
      </c>
      <c r="G95" s="74">
        <f t="shared" si="45"/>
        <v>0</v>
      </c>
      <c r="H95" s="74">
        <f t="shared" si="45"/>
        <v>0</v>
      </c>
      <c r="I95" s="74">
        <f t="shared" si="45"/>
        <v>0</v>
      </c>
      <c r="J95" s="74">
        <f t="shared" si="45"/>
        <v>0</v>
      </c>
      <c r="K95" s="74">
        <f t="shared" si="45"/>
        <v>0</v>
      </c>
      <c r="L95" s="74">
        <f t="shared" si="45"/>
        <v>0</v>
      </c>
      <c r="M95" s="74">
        <f t="shared" si="45"/>
        <v>0</v>
      </c>
      <c r="N95" s="74">
        <f t="shared" si="45"/>
        <v>0</v>
      </c>
      <c r="O95" s="74">
        <f t="shared" si="45"/>
        <v>0</v>
      </c>
      <c r="P95" s="74"/>
      <c r="Q95" s="74"/>
      <c r="R95" s="74"/>
    </row>
    <row r="96" spans="1:18" ht="25.25" customHeight="1" x14ac:dyDescent="0.15">
      <c r="A96" s="356"/>
      <c r="B96" s="86" t="s">
        <v>218</v>
      </c>
      <c r="C96" s="222">
        <f>+C105</f>
        <v>3442499.73</v>
      </c>
      <c r="D96" s="102">
        <f>Januar!AG50</f>
        <v>4095387.8299999991</v>
      </c>
      <c r="E96" s="102">
        <f>+Februar!AH50</f>
        <v>4710438.2096600002</v>
      </c>
      <c r="F96" s="102">
        <f>+März!AH50</f>
        <v>8081456.3060727883</v>
      </c>
      <c r="G96" s="102">
        <f>+April!AH50</f>
        <v>10995169.233803123</v>
      </c>
      <c r="H96" s="102">
        <f>+Mai!AH50</f>
        <v>9104878.2504321449</v>
      </c>
      <c r="I96" s="102">
        <f>+Juni!AH50</f>
        <v>11225488.340182275</v>
      </c>
      <c r="J96" s="102">
        <f t="shared" ref="J96:O96" si="46">I96+J78+SUM(J93:J94)</f>
        <v>10956978.629668942</v>
      </c>
      <c r="K96" s="102">
        <f t="shared" si="46"/>
        <v>10903528.075155608</v>
      </c>
      <c r="L96" s="102">
        <f t="shared" si="46"/>
        <v>12339920.676894277</v>
      </c>
      <c r="M96" s="102">
        <f t="shared" si="46"/>
        <v>13546464.891269444</v>
      </c>
      <c r="N96" s="102">
        <f t="shared" si="46"/>
        <v>13586179.11420761</v>
      </c>
      <c r="O96" s="102">
        <f t="shared" si="46"/>
        <v>13416956.018999778</v>
      </c>
      <c r="P96" s="102">
        <f>P78+SUM(P93:P94)</f>
        <v>4624887.6039666673</v>
      </c>
      <c r="Q96" s="102">
        <f>Q78+SUM(Q93:Q94)</f>
        <v>2191467.6788175018</v>
      </c>
      <c r="R96" s="74"/>
    </row>
    <row r="97" spans="1:18" ht="14" x14ac:dyDescent="0.15">
      <c r="A97" t="s">
        <v>428</v>
      </c>
      <c r="C97" s="95"/>
      <c r="D97" s="74"/>
      <c r="E97" s="74">
        <v>-1500000</v>
      </c>
      <c r="F97" s="74"/>
      <c r="G97" s="74"/>
      <c r="H97" s="74"/>
      <c r="I97" s="74"/>
      <c r="J97" s="74"/>
      <c r="K97" s="74"/>
      <c r="L97" s="74">
        <v>-2400000</v>
      </c>
      <c r="M97" s="74"/>
      <c r="N97" s="74"/>
      <c r="O97" s="74"/>
      <c r="P97" s="74"/>
      <c r="Q97" s="74"/>
      <c r="R97" s="74"/>
    </row>
    <row r="98" spans="1:18" ht="14" outlineLevel="1" x14ac:dyDescent="0.15">
      <c r="A98" s="180" t="s">
        <v>315</v>
      </c>
      <c r="B98" s="95"/>
      <c r="C98" s="74"/>
      <c r="D98" s="74">
        <f t="shared" ref="D98:L98" si="47">SUM(D87:D90)</f>
        <v>5877076.9800000004</v>
      </c>
      <c r="E98" s="74">
        <f t="shared" si="47"/>
        <v>6839989.5299999993</v>
      </c>
      <c r="F98" s="74">
        <f t="shared" si="47"/>
        <v>9640070.629999999</v>
      </c>
      <c r="G98" s="74">
        <f t="shared" si="47"/>
        <v>6924212.2299999995</v>
      </c>
      <c r="H98" s="74">
        <f t="shared" si="47"/>
        <v>10224554.560000001</v>
      </c>
      <c r="I98" s="74">
        <f t="shared" si="47"/>
        <v>8365320.5700000003</v>
      </c>
      <c r="J98" s="74">
        <f t="shared" si="47"/>
        <v>8160274.8506200006</v>
      </c>
      <c r="K98" s="74">
        <f t="shared" si="47"/>
        <v>8853720.7562199999</v>
      </c>
      <c r="L98" s="74">
        <f t="shared" si="47"/>
        <v>11590832.232630001</v>
      </c>
      <c r="M98" s="74">
        <f t="shared" ref="M98:O98" si="48">SUM(M87:M90)</f>
        <v>11135408.78565</v>
      </c>
      <c r="N98" s="74">
        <f t="shared" si="48"/>
        <v>9704205.9571499992</v>
      </c>
      <c r="O98" s="74">
        <f t="shared" si="48"/>
        <v>7883701.4355300013</v>
      </c>
      <c r="P98" s="74"/>
      <c r="Q98" s="74"/>
      <c r="R98" s="74"/>
    </row>
    <row r="99" spans="1:18" ht="14" outlineLevel="1" x14ac:dyDescent="0.15">
      <c r="A99" s="180" t="s">
        <v>316</v>
      </c>
      <c r="C99" s="74"/>
      <c r="D99" s="74">
        <f t="shared" ref="D99:L99" si="49">D73+D93+D94</f>
        <v>-1062193.1299999999</v>
      </c>
      <c r="E99" s="74">
        <f t="shared" si="49"/>
        <v>-1585089.0699999998</v>
      </c>
      <c r="F99" s="74">
        <f t="shared" si="49"/>
        <v>-72139.550000000047</v>
      </c>
      <c r="G99" s="74">
        <f t="shared" si="49"/>
        <v>-760645.06999999983</v>
      </c>
      <c r="H99" s="74">
        <f t="shared" si="49"/>
        <v>1228489.5861</v>
      </c>
      <c r="I99" s="74">
        <f t="shared" si="49"/>
        <v>-160238.4985333333</v>
      </c>
      <c r="J99" s="74">
        <f t="shared" si="49"/>
        <v>-268509.71051333327</v>
      </c>
      <c r="K99" s="74">
        <f t="shared" si="49"/>
        <v>-53450.554513333453</v>
      </c>
      <c r="L99" s="74">
        <f t="shared" si="49"/>
        <v>1436392.6017386678</v>
      </c>
      <c r="M99" s="74">
        <f t="shared" ref="M99:O99" si="50">M73+M93+M94</f>
        <v>1206544.2143751669</v>
      </c>
      <c r="N99" s="74">
        <f t="shared" si="50"/>
        <v>39714.222938166989</v>
      </c>
      <c r="O99" s="74">
        <f t="shared" si="50"/>
        <v>-169223.09520783322</v>
      </c>
      <c r="P99" s="74"/>
      <c r="Q99" s="74"/>
      <c r="R99" s="74"/>
    </row>
    <row r="100" spans="1:18" ht="14" outlineLevel="1" x14ac:dyDescent="0.15">
      <c r="A100" s="180" t="s">
        <v>317</v>
      </c>
      <c r="C100" s="74"/>
      <c r="D100" s="74">
        <f t="shared" ref="D100:L100" si="51">D98-D99</f>
        <v>6939270.1100000003</v>
      </c>
      <c r="E100" s="74">
        <f t="shared" si="51"/>
        <v>8425078.5999999996</v>
      </c>
      <c r="F100" s="74">
        <f t="shared" si="51"/>
        <v>9712210.1799999997</v>
      </c>
      <c r="G100" s="74">
        <f t="shared" si="51"/>
        <v>7684857.2999999989</v>
      </c>
      <c r="H100" s="74">
        <f t="shared" si="51"/>
        <v>8996064.9739000015</v>
      </c>
      <c r="I100" s="74">
        <f t="shared" si="51"/>
        <v>8525559.068533333</v>
      </c>
      <c r="J100" s="74">
        <f t="shared" si="51"/>
        <v>8428784.5611333344</v>
      </c>
      <c r="K100" s="74">
        <f t="shared" si="51"/>
        <v>8907171.3107333332</v>
      </c>
      <c r="L100" s="74">
        <f t="shared" si="51"/>
        <v>10154439.630891334</v>
      </c>
      <c r="M100" s="74">
        <f t="shared" ref="M100:O100" si="52">M98-M99</f>
        <v>9928864.5712748338</v>
      </c>
      <c r="N100" s="74">
        <f t="shared" si="52"/>
        <v>9664491.7342118323</v>
      </c>
      <c r="O100" s="74">
        <f t="shared" si="52"/>
        <v>8052924.5307378341</v>
      </c>
      <c r="P100" s="74"/>
      <c r="Q100" s="74"/>
      <c r="R100" s="74"/>
    </row>
    <row r="101" spans="1:18" ht="14" outlineLevel="1" x14ac:dyDescent="0.15">
      <c r="A101" s="180" t="s">
        <v>178</v>
      </c>
      <c r="C101" s="74"/>
      <c r="D101" s="74">
        <v>-2930000</v>
      </c>
      <c r="E101" s="74">
        <v>-2930000</v>
      </c>
      <c r="F101" s="74">
        <v>-2930000</v>
      </c>
      <c r="G101" s="74">
        <v>-2930000</v>
      </c>
      <c r="H101" s="74">
        <v>-2930000</v>
      </c>
      <c r="I101" s="74">
        <v>-2930000</v>
      </c>
      <c r="J101" s="74">
        <v>-2930000</v>
      </c>
      <c r="K101" s="74">
        <v>-2930000</v>
      </c>
      <c r="L101" s="74">
        <v>-2930000</v>
      </c>
      <c r="M101" s="74">
        <v>-2930000</v>
      </c>
      <c r="N101" s="74">
        <v>-2930000</v>
      </c>
      <c r="O101" s="74">
        <v>-2930000</v>
      </c>
      <c r="P101" s="74"/>
      <c r="Q101" s="74"/>
      <c r="R101" s="74"/>
    </row>
    <row r="102" spans="1:18" ht="14" outlineLevel="1" x14ac:dyDescent="0.15">
      <c r="A102" s="180" t="s">
        <v>94</v>
      </c>
      <c r="C102" s="74"/>
      <c r="D102" s="74">
        <f>-'Budget 25 LH AG'!D136+D28+D30+D32+D34+Oberstaufen!D136+Sylt!D136+Wiesensee!D136</f>
        <v>-1175856.8089999999</v>
      </c>
      <c r="E102" s="74">
        <f>-'Budget 25 LH AG'!E136+E28+E30+E32+E34+Oberstaufen!E136+Sylt!E136+Wiesensee!E136</f>
        <v>-1176703.3364000001</v>
      </c>
      <c r="F102" s="74">
        <f>-'Budget 25 LH AG'!F136+F28+F30+F32+F34+Oberstaufen!F136+Sylt!F136+Wiesensee!F136</f>
        <v>-1657200.7472000001</v>
      </c>
      <c r="G102" s="74">
        <f>-'Budget 25 LH AG'!G136+G28+G30+G32+G34+Oberstaufen!G136+Sylt!G136+Wiesensee!G136</f>
        <v>-1254029.7535999997</v>
      </c>
      <c r="H102" s="74">
        <f>-'Budget 25 LH AG'!H136+H28+H30+H32+H34+Oberstaufen!H136+Sylt!H136+Wiesensee!H136</f>
        <v>-1451207.8795999999</v>
      </c>
      <c r="I102" s="74">
        <f>-'Budget 25 LH AG'!I136+I28+I30+I32+I34+Oberstaufen!I136+Sylt!I136+Wiesensee!I136</f>
        <v>-1432055.5382999999</v>
      </c>
      <c r="J102" s="74">
        <f>-'Budget 25 LH AG'!J136+J28+J30+J32+J34+Oberstaufen!J136+Sylt!J136+Wiesensee!J136</f>
        <v>-1301325.7158999997</v>
      </c>
      <c r="K102" s="74">
        <f>-'Budget 25 LH AG'!K136+K28+K30+K32+K34+Oberstaufen!K136+Sylt!K136+Wiesensee!K136</f>
        <v>-1356787.6162999999</v>
      </c>
      <c r="L102" s="74">
        <f>-'Budget 25 LH AG'!L136+L28+L30+L32+L34+Oberstaufen!L136+Sylt!L136+Wiesensee!L136</f>
        <v>-1624107.4977249997</v>
      </c>
      <c r="M102" s="74">
        <f>-'Budget 25 LH AG'!M136+M28+M30+M32+M34+Oberstaufen!M136+Sylt!M136+Wiesensee!M136</f>
        <v>-2316263.2950800005</v>
      </c>
      <c r="N102" s="74">
        <f>-'Budget 25 LH AG'!N136+N28+N30+N32+N34+Oberstaufen!N136+Sylt!N136+Wiesensee!N136</f>
        <v>-2130235.6180000002</v>
      </c>
      <c r="O102" s="74">
        <f>-'Budget 25 LH AG'!O136+O28+O30+O32+O34+Oberstaufen!O136+Sylt!O136+Wiesensee!O136</f>
        <v>-1368463.2507</v>
      </c>
      <c r="P102" s="74"/>
      <c r="Q102" s="74"/>
      <c r="R102" s="74"/>
    </row>
    <row r="103" spans="1:18" ht="14" outlineLevel="1" x14ac:dyDescent="0.15">
      <c r="A103" s="180" t="s">
        <v>318</v>
      </c>
      <c r="C103" s="74"/>
      <c r="D103" s="74">
        <f>SUM(D100:D102)</f>
        <v>2833413.3010000004</v>
      </c>
      <c r="E103" s="74">
        <f t="shared" ref="E103:L103" si="53">SUM(E100:E102)</f>
        <v>4318375.2635999992</v>
      </c>
      <c r="F103" s="74">
        <f>SUM(F100:F102)</f>
        <v>5125009.4327999996</v>
      </c>
      <c r="G103" s="74">
        <f t="shared" si="53"/>
        <v>3500827.5463999994</v>
      </c>
      <c r="H103" s="74">
        <f t="shared" si="53"/>
        <v>4614857.0943000019</v>
      </c>
      <c r="I103" s="74">
        <f t="shared" si="53"/>
        <v>4163503.5302333329</v>
      </c>
      <c r="J103" s="74">
        <f t="shared" si="53"/>
        <v>4197458.8452333342</v>
      </c>
      <c r="K103" s="74">
        <f t="shared" si="53"/>
        <v>4620383.6944333334</v>
      </c>
      <c r="L103" s="74">
        <f t="shared" si="53"/>
        <v>5600332.1331663346</v>
      </c>
      <c r="M103" s="74">
        <f t="shared" ref="M103:O103" si="54">SUM(M100:M102)</f>
        <v>4682601.2761948332</v>
      </c>
      <c r="N103" s="74">
        <f t="shared" si="54"/>
        <v>4604256.1162118316</v>
      </c>
      <c r="O103" s="74">
        <f t="shared" si="54"/>
        <v>3754461.2800378343</v>
      </c>
      <c r="P103" s="74"/>
      <c r="Q103" s="74"/>
      <c r="R103" s="74"/>
    </row>
    <row r="104" spans="1:18" outlineLevel="1" x14ac:dyDescent="0.15">
      <c r="A104" s="180"/>
      <c r="C104" s="74"/>
      <c r="D104" s="209">
        <f>+D103/D98</f>
        <v>0.48211267448805822</v>
      </c>
      <c r="E104" s="209">
        <f t="shared" ref="E104:L104" si="55">+E103/E98</f>
        <v>0.63134237920390501</v>
      </c>
      <c r="F104" s="209">
        <f t="shared" si="55"/>
        <v>0.53163608748372837</v>
      </c>
      <c r="G104" s="209">
        <f t="shared" si="55"/>
        <v>0.50559217859213412</v>
      </c>
      <c r="H104" s="209">
        <f t="shared" si="55"/>
        <v>0.45135042971495493</v>
      </c>
      <c r="I104" s="209">
        <f t="shared" si="55"/>
        <v>0.49770997959894475</v>
      </c>
      <c r="J104" s="209">
        <f t="shared" si="55"/>
        <v>0.51437714073006013</v>
      </c>
      <c r="K104" s="209">
        <f t="shared" si="55"/>
        <v>0.52185785181753985</v>
      </c>
      <c r="L104" s="209">
        <f t="shared" si="55"/>
        <v>0.48316911337915197</v>
      </c>
      <c r="M104" s="209">
        <f t="shared" ref="M104:O104" si="56">+M103/M98</f>
        <v>0.42051453757397905</v>
      </c>
      <c r="N104" s="209">
        <f t="shared" si="56"/>
        <v>0.47445985138221886</v>
      </c>
      <c r="O104" s="209">
        <f t="shared" si="56"/>
        <v>0.47623077950635651</v>
      </c>
      <c r="P104" s="74"/>
      <c r="Q104" s="74"/>
      <c r="R104" s="74"/>
    </row>
    <row r="105" spans="1:18" ht="25.25" customHeight="1" x14ac:dyDescent="0.15">
      <c r="A105" s="96" t="s">
        <v>329</v>
      </c>
      <c r="B105" s="86" t="s">
        <v>321</v>
      </c>
      <c r="C105" s="102">
        <f>Dezember24!AG50</f>
        <v>3442499.73</v>
      </c>
      <c r="D105" s="102">
        <f>Januar!AH50</f>
        <v>4095387.8299999987</v>
      </c>
      <c r="E105" s="102">
        <f>Februar!AH50</f>
        <v>4710438.2096600002</v>
      </c>
      <c r="F105" s="102">
        <f>März!AH50</f>
        <v>8081456.3060727883</v>
      </c>
      <c r="G105" s="102">
        <f>April!AH50</f>
        <v>10995169.233803123</v>
      </c>
      <c r="H105" s="102">
        <f>Mai!AH50</f>
        <v>9104878.2504321449</v>
      </c>
      <c r="I105" s="102">
        <f>Juni!AH50</f>
        <v>11225488.340182275</v>
      </c>
      <c r="J105" s="102">
        <f>Juli!AH50</f>
        <v>8492524.3017065302</v>
      </c>
      <c r="K105" s="102">
        <f>August!AH50</f>
        <v>5940023.1068721823</v>
      </c>
      <c r="L105" s="102">
        <f>September!AH50</f>
        <v>4468895.0980164595</v>
      </c>
      <c r="M105" s="74"/>
      <c r="N105" s="74"/>
      <c r="O105" s="74"/>
      <c r="P105" s="74"/>
      <c r="Q105" s="74"/>
      <c r="R105" s="74"/>
    </row>
    <row r="106" spans="1:18" ht="25.25" customHeight="1" x14ac:dyDescent="0.15">
      <c r="A106" s="96"/>
      <c r="B106" s="86" t="s">
        <v>516</v>
      </c>
      <c r="C106" s="102"/>
      <c r="D106" s="102">
        <v>4095387.8299999987</v>
      </c>
      <c r="E106" s="102">
        <v>4737443.6313885069</v>
      </c>
      <c r="F106" s="102">
        <v>4506287.5557436645</v>
      </c>
      <c r="G106" s="102">
        <v>3871694.6642858945</v>
      </c>
      <c r="H106" s="102">
        <v>4206911.0020717103</v>
      </c>
      <c r="I106" s="102">
        <v>1467728.3075514473</v>
      </c>
      <c r="J106" s="74"/>
      <c r="K106" s="74"/>
      <c r="L106" s="74"/>
      <c r="M106" s="74"/>
      <c r="N106" s="74"/>
      <c r="O106" s="74"/>
      <c r="P106" s="74"/>
      <c r="Q106" s="74"/>
      <c r="R106" s="74"/>
    </row>
    <row r="107" spans="1:18" hidden="1" outlineLevel="1" x14ac:dyDescent="0.15">
      <c r="C107" s="74"/>
      <c r="D107" s="74">
        <f>+'Budget 25 LH AG'!D176</f>
        <v>4089864.041699999</v>
      </c>
      <c r="E107" s="74">
        <f>+'Budget 25 LH AG'!E176</f>
        <v>4537261.8333494104</v>
      </c>
      <c r="F107" s="74">
        <f>+'Budget 25 LH AG'!F176</f>
        <v>5397098.8604700789</v>
      </c>
      <c r="G107" s="74">
        <f>+'Budget 25 LH AG'!G176</f>
        <v>4511159.977806652</v>
      </c>
      <c r="H107" s="74">
        <f>+'Budget 25 LH AG'!H176</f>
        <v>4858036.6438882537</v>
      </c>
      <c r="I107" s="74">
        <f>+'Budget 25 LH AG'!I176</f>
        <v>5120840.8438311191</v>
      </c>
      <c r="J107" s="74"/>
      <c r="K107" s="74"/>
      <c r="L107" s="74"/>
      <c r="M107" s="74"/>
      <c r="N107" s="74"/>
      <c r="O107" s="74"/>
      <c r="P107" s="74"/>
      <c r="Q107" s="74"/>
      <c r="R107" s="74"/>
    </row>
    <row r="108" spans="1:18" hidden="1" outlineLevel="1" x14ac:dyDescent="0.15"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</row>
    <row r="109" spans="1:18" ht="14" hidden="1" outlineLevel="1" x14ac:dyDescent="0.15">
      <c r="A109" t="s">
        <v>336</v>
      </c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</row>
    <row r="110" spans="1:18" ht="14" hidden="1" outlineLevel="1" x14ac:dyDescent="0.15">
      <c r="A110" s="180" t="s">
        <v>315</v>
      </c>
      <c r="C110" s="74"/>
      <c r="D110" s="74">
        <f>+D87+D88</f>
        <v>5877076.9800000004</v>
      </c>
      <c r="E110" s="74">
        <f t="shared" ref="E110:I110" si="57">+E87+E88</f>
        <v>6839989.5299999993</v>
      </c>
      <c r="F110" s="74">
        <f t="shared" si="57"/>
        <v>9640070.629999999</v>
      </c>
      <c r="G110" s="74">
        <f t="shared" si="57"/>
        <v>6924212.2299999995</v>
      </c>
      <c r="H110" s="74">
        <f t="shared" si="57"/>
        <v>10224554.560000001</v>
      </c>
      <c r="I110" s="74">
        <f t="shared" si="57"/>
        <v>8365320.5700000003</v>
      </c>
      <c r="J110" s="74"/>
      <c r="K110" s="74"/>
      <c r="L110" s="74"/>
      <c r="M110" s="74"/>
      <c r="N110" s="74"/>
      <c r="O110" s="74"/>
      <c r="P110" s="74"/>
      <c r="Q110" s="74"/>
      <c r="R110" s="74"/>
    </row>
    <row r="111" spans="1:18" ht="14" hidden="1" outlineLevel="1" x14ac:dyDescent="0.15">
      <c r="A111" s="180" t="s">
        <v>316</v>
      </c>
      <c r="C111" s="74"/>
      <c r="D111" s="74">
        <f t="shared" ref="D111:I111" si="58">+D22</f>
        <v>-2284871.9229000001</v>
      </c>
      <c r="E111" s="74">
        <f t="shared" si="58"/>
        <v>-2983068.52</v>
      </c>
      <c r="F111" s="74">
        <f t="shared" si="58"/>
        <v>-978505.11</v>
      </c>
      <c r="G111" s="74">
        <f t="shared" si="58"/>
        <v>-2095343.88</v>
      </c>
      <c r="H111" s="74">
        <f t="shared" si="58"/>
        <v>222722.22</v>
      </c>
      <c r="I111" s="74">
        <f t="shared" si="58"/>
        <v>-1286840.42</v>
      </c>
      <c r="J111" s="74"/>
      <c r="K111" s="74"/>
      <c r="L111" s="74"/>
      <c r="M111" s="74"/>
      <c r="N111" s="74"/>
      <c r="O111" s="74"/>
      <c r="P111" s="74"/>
      <c r="Q111" s="74"/>
      <c r="R111" s="74"/>
    </row>
    <row r="112" spans="1:18" ht="14" hidden="1" outlineLevel="1" x14ac:dyDescent="0.15">
      <c r="A112" s="180" t="s">
        <v>317</v>
      </c>
      <c r="C112" s="74"/>
      <c r="D112" s="74">
        <f t="shared" ref="D112:I112" si="59">D110-D111</f>
        <v>8161948.902900001</v>
      </c>
      <c r="E112" s="74">
        <f t="shared" si="59"/>
        <v>9823058.0499999989</v>
      </c>
      <c r="F112" s="74">
        <f t="shared" si="59"/>
        <v>10618575.739999998</v>
      </c>
      <c r="G112" s="74">
        <f t="shared" si="59"/>
        <v>9019556.1099999994</v>
      </c>
      <c r="H112" s="74">
        <f t="shared" si="59"/>
        <v>10001832.34</v>
      </c>
      <c r="I112" s="74">
        <f t="shared" si="59"/>
        <v>9652160.9900000002</v>
      </c>
      <c r="J112" s="74"/>
      <c r="K112" s="74"/>
      <c r="L112" s="74"/>
      <c r="M112" s="74"/>
      <c r="N112" s="74"/>
      <c r="O112" s="74"/>
      <c r="P112" s="74"/>
      <c r="Q112" s="74"/>
      <c r="R112" s="74"/>
    </row>
    <row r="113" spans="1:18" ht="14" hidden="1" outlineLevel="1" x14ac:dyDescent="0.15">
      <c r="A113" s="180" t="s">
        <v>178</v>
      </c>
      <c r="C113" s="74"/>
      <c r="D113" s="74">
        <f>-D75</f>
        <v>-2930000</v>
      </c>
      <c r="E113" s="74">
        <f>+D113</f>
        <v>-2930000</v>
      </c>
      <c r="F113" s="74">
        <f t="shared" ref="F113:I113" si="60">+E113</f>
        <v>-2930000</v>
      </c>
      <c r="G113" s="74">
        <f t="shared" si="60"/>
        <v>-2930000</v>
      </c>
      <c r="H113" s="74">
        <f t="shared" si="60"/>
        <v>-2930000</v>
      </c>
      <c r="I113" s="74">
        <f t="shared" si="60"/>
        <v>-2930000</v>
      </c>
      <c r="J113" s="74"/>
      <c r="K113" s="74"/>
      <c r="L113" s="74"/>
      <c r="M113" s="74"/>
      <c r="N113" s="74"/>
      <c r="O113" s="74"/>
      <c r="P113" s="74"/>
      <c r="Q113" s="74"/>
      <c r="R113" s="74"/>
    </row>
    <row r="114" spans="1:18" ht="14" hidden="1" outlineLevel="1" x14ac:dyDescent="0.15">
      <c r="A114" s="180" t="s">
        <v>94</v>
      </c>
      <c r="C114" s="74"/>
      <c r="D114" s="74">
        <f>-'Budget 25 LH AG'!D136</f>
        <v>-2093637.0789999999</v>
      </c>
      <c r="E114" s="74">
        <f>-'Budget 25 LH AG'!E136</f>
        <v>-2097315.5164000001</v>
      </c>
      <c r="F114" s="74">
        <f>-'Budget 25 LH AG'!F136</f>
        <v>-2288177.0671999999</v>
      </c>
      <c r="G114" s="74">
        <f>-'Budget 25 LH AG'!G136</f>
        <v>-2081749.4635999999</v>
      </c>
      <c r="H114" s="74">
        <f>-'Budget 25 LH AG'!H136</f>
        <v>-2184774.4602000001</v>
      </c>
      <c r="I114" s="74">
        <f>-'Budget 25 LH AG'!I136</f>
        <v>-2097658.7637999998</v>
      </c>
      <c r="J114" s="74"/>
      <c r="K114" s="74"/>
      <c r="L114" s="74"/>
      <c r="M114" s="74"/>
      <c r="N114" s="74"/>
      <c r="O114" s="74"/>
      <c r="P114" s="74"/>
      <c r="Q114" s="74"/>
      <c r="R114" s="74"/>
    </row>
    <row r="115" spans="1:18" ht="14" hidden="1" outlineLevel="1" x14ac:dyDescent="0.15">
      <c r="A115" s="180" t="s">
        <v>318</v>
      </c>
      <c r="C115" s="74"/>
      <c r="D115" s="74">
        <f>SUM(D112:D114)</f>
        <v>3138311.8239000011</v>
      </c>
      <c r="E115" s="74">
        <f t="shared" ref="E115:I115" si="61">SUM(E112:E114)</f>
        <v>4795742.5335999988</v>
      </c>
      <c r="F115" s="74">
        <f t="shared" si="61"/>
        <v>5400398.6727999989</v>
      </c>
      <c r="G115" s="74">
        <f t="shared" si="61"/>
        <v>4007806.6463999995</v>
      </c>
      <c r="H115" s="74">
        <f t="shared" si="61"/>
        <v>4887057.8797999993</v>
      </c>
      <c r="I115" s="74">
        <f t="shared" si="61"/>
        <v>4624502.2262000004</v>
      </c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ht="14" hidden="1" outlineLevel="1" x14ac:dyDescent="0.15">
      <c r="B116" t="s">
        <v>337</v>
      </c>
      <c r="C116" s="74"/>
      <c r="D116" s="74">
        <f t="shared" ref="D116:I116" si="62">+D115-D103</f>
        <v>304898.52290000068</v>
      </c>
      <c r="E116" s="74">
        <f t="shared" si="62"/>
        <v>477367.26999999955</v>
      </c>
      <c r="F116" s="74">
        <f t="shared" si="62"/>
        <v>275389.23999999929</v>
      </c>
      <c r="G116" s="74">
        <f t="shared" si="62"/>
        <v>506979.10000000009</v>
      </c>
      <c r="H116" s="74">
        <f t="shared" si="62"/>
        <v>272200.78549999744</v>
      </c>
      <c r="I116" s="74">
        <f t="shared" si="62"/>
        <v>460998.6959666675</v>
      </c>
      <c r="J116" s="74"/>
      <c r="K116" s="74"/>
      <c r="L116" s="74"/>
      <c r="M116" s="74"/>
      <c r="N116" s="74"/>
      <c r="O116" s="74"/>
      <c r="P116" s="74"/>
      <c r="Q116" s="74"/>
      <c r="R116" s="74"/>
    </row>
    <row r="117" spans="1:18" hidden="1" outlineLevel="1" x14ac:dyDescent="0.15">
      <c r="C117" s="74"/>
      <c r="D117" s="74">
        <f>+'Budget 25 LH AG'!D178</f>
        <v>445032.35999999993</v>
      </c>
      <c r="E117" s="74">
        <f>+'Budget 25 LH AG'!E178</f>
        <v>475707.64000000007</v>
      </c>
      <c r="F117" s="74">
        <f>+'Budget 25 LH AG'!F178</f>
        <v>453810.78</v>
      </c>
      <c r="G117" s="74">
        <f>+'Budget 25 LH AG'!G178</f>
        <v>558526.59</v>
      </c>
      <c r="H117" s="74">
        <f>+'Budget 25 LH AG'!H178</f>
        <v>606103.17810000014</v>
      </c>
      <c r="I117" s="74">
        <f>+'Budget 25 LH AG'!I178</f>
        <v>681215.0756000001</v>
      </c>
      <c r="J117" s="74"/>
      <c r="K117" s="74"/>
      <c r="L117" s="74"/>
      <c r="M117" s="74"/>
      <c r="N117" s="74"/>
      <c r="O117" s="74"/>
      <c r="P117" s="74"/>
      <c r="Q117" s="74"/>
      <c r="R117" s="74"/>
    </row>
    <row r="118" spans="1:18" ht="14" hidden="1" outlineLevel="1" x14ac:dyDescent="0.15">
      <c r="B118" t="s">
        <v>334</v>
      </c>
      <c r="C118" s="74"/>
      <c r="D118" s="74">
        <f>+(70%*7%+30%*19%)*D98</f>
        <v>622970.15988000005</v>
      </c>
      <c r="E118" s="74">
        <f t="shared" ref="E118:I118" si="63">+(70%*7%+30%*19%)*E98</f>
        <v>725038.89017999987</v>
      </c>
      <c r="F118" s="74">
        <f t="shared" si="63"/>
        <v>1021847.4867799998</v>
      </c>
      <c r="G118" s="74">
        <f t="shared" si="63"/>
        <v>733966.49637999991</v>
      </c>
      <c r="H118" s="74">
        <f t="shared" si="63"/>
        <v>1083802.78336</v>
      </c>
      <c r="I118" s="74">
        <f t="shared" si="63"/>
        <v>886723.98042000004</v>
      </c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ht="14" hidden="1" outlineLevel="1" x14ac:dyDescent="0.15">
      <c r="B119" t="s">
        <v>335</v>
      </c>
      <c r="C119" s="74"/>
      <c r="D119" s="74">
        <f>19%*D103</f>
        <v>538348.52719000005</v>
      </c>
      <c r="E119" s="74">
        <f t="shared" ref="E119:I119" si="64">19%*E103</f>
        <v>820491.30008399987</v>
      </c>
      <c r="F119" s="74">
        <f t="shared" si="64"/>
        <v>973751.79223199992</v>
      </c>
      <c r="G119" s="74">
        <f t="shared" si="64"/>
        <v>665157.23381599993</v>
      </c>
      <c r="H119" s="74">
        <f t="shared" si="64"/>
        <v>876822.84791700041</v>
      </c>
      <c r="I119" s="74">
        <f t="shared" si="64"/>
        <v>791065.6707443333</v>
      </c>
      <c r="J119" s="74"/>
      <c r="K119" s="74"/>
      <c r="L119" s="74"/>
      <c r="M119" s="74"/>
      <c r="N119" s="74"/>
      <c r="O119" s="74"/>
      <c r="P119" s="74"/>
      <c r="Q119" s="74"/>
      <c r="R119" s="74"/>
    </row>
    <row r="120" spans="1:18" ht="14" hidden="1" outlineLevel="1" x14ac:dyDescent="0.15">
      <c r="B120" t="s">
        <v>340</v>
      </c>
      <c r="C120" s="74"/>
      <c r="D120" s="74">
        <f>-D102*0.19</f>
        <v>223412.79370999997</v>
      </c>
      <c r="E120" s="74">
        <f t="shared" ref="E120:I120" si="65">-E102*0.19</f>
        <v>223573.63391600002</v>
      </c>
      <c r="F120" s="74">
        <f t="shared" si="65"/>
        <v>314868.14196800004</v>
      </c>
      <c r="G120" s="74">
        <f t="shared" si="65"/>
        <v>238265.65318399994</v>
      </c>
      <c r="H120" s="74">
        <f t="shared" si="65"/>
        <v>275729.49712399999</v>
      </c>
      <c r="I120" s="74">
        <f t="shared" si="65"/>
        <v>272090.55227699998</v>
      </c>
      <c r="J120" s="74"/>
      <c r="K120" s="74"/>
      <c r="L120" s="74"/>
      <c r="M120" s="74"/>
      <c r="N120" s="74"/>
      <c r="O120" s="74"/>
      <c r="P120" s="74"/>
      <c r="Q120" s="74"/>
      <c r="R120" s="74"/>
    </row>
    <row r="121" spans="1:18" ht="14" hidden="1" outlineLevel="1" x14ac:dyDescent="0.15">
      <c r="B121" t="s">
        <v>341</v>
      </c>
      <c r="C121" s="74"/>
      <c r="D121" s="74">
        <f>+D118-D119-D120</f>
        <v>-138791.16101999997</v>
      </c>
      <c r="E121" s="74">
        <f t="shared" ref="E121:I121" si="66">+E118-E119-E120</f>
        <v>-319026.04382000002</v>
      </c>
      <c r="F121" s="74">
        <f t="shared" si="66"/>
        <v>-266772.44742000016</v>
      </c>
      <c r="G121" s="74">
        <f t="shared" si="66"/>
        <v>-169456.39061999996</v>
      </c>
      <c r="H121" s="74">
        <f t="shared" si="66"/>
        <v>-68749.561681000399</v>
      </c>
      <c r="I121" s="74">
        <f t="shared" si="66"/>
        <v>-176432.24260133324</v>
      </c>
      <c r="J121" s="74"/>
      <c r="K121" s="74"/>
      <c r="L121" s="74"/>
      <c r="M121" s="74"/>
      <c r="N121" s="74"/>
      <c r="O121" s="74"/>
      <c r="P121" s="74"/>
      <c r="Q121" s="74"/>
      <c r="R121" s="74"/>
    </row>
    <row r="122" spans="1:18" collapsed="1" x14ac:dyDescent="0.15">
      <c r="C122" s="74"/>
      <c r="D122" s="74"/>
      <c r="E122" s="74"/>
      <c r="F122" s="74"/>
      <c r="G122" s="74"/>
      <c r="H122" s="357"/>
      <c r="I122" s="357"/>
      <c r="J122" s="357"/>
      <c r="K122" s="357"/>
      <c r="L122" s="357"/>
      <c r="M122" s="357"/>
      <c r="N122" s="357"/>
      <c r="O122" s="357"/>
      <c r="P122" s="74"/>
      <c r="Q122" s="74"/>
      <c r="R122" s="74"/>
    </row>
    <row r="123" spans="1:18" ht="14" x14ac:dyDescent="0.15">
      <c r="C123" s="74"/>
      <c r="D123" s="74"/>
      <c r="E123" s="74"/>
      <c r="F123" s="74"/>
      <c r="G123" s="74"/>
      <c r="H123" s="176"/>
      <c r="I123" s="74"/>
      <c r="J123" s="74" t="s">
        <v>429</v>
      </c>
      <c r="K123" s="74"/>
      <c r="L123" s="74"/>
      <c r="M123" s="74"/>
      <c r="N123" s="74"/>
      <c r="O123" s="74"/>
      <c r="P123" s="74"/>
      <c r="Q123" s="74"/>
      <c r="R123" s="74"/>
    </row>
    <row r="124" spans="1:18" x14ac:dyDescent="0.15">
      <c r="A124" s="47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15"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74"/>
      <c r="R125" s="74"/>
    </row>
    <row r="126" spans="1:18" ht="15.5" customHeight="1" x14ac:dyDescent="0.15">
      <c r="A126" s="73"/>
      <c r="B126" s="233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74"/>
      <c r="R126" s="74"/>
    </row>
    <row r="127" spans="1:18" x14ac:dyDescent="0.15"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74"/>
      <c r="R127" s="74"/>
    </row>
    <row r="128" spans="1:18" x14ac:dyDescent="0.15"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74"/>
      <c r="R128" s="74"/>
    </row>
    <row r="129" spans="1:18" x14ac:dyDescent="0.15"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74"/>
      <c r="R129" s="74"/>
    </row>
    <row r="130" spans="1:18" x14ac:dyDescent="0.15"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74"/>
      <c r="R130" s="74"/>
    </row>
    <row r="131" spans="1:18" x14ac:dyDescent="0.15"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74"/>
      <c r="R131" s="74"/>
    </row>
    <row r="132" spans="1:18" x14ac:dyDescent="0.15"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74"/>
      <c r="R132" s="74"/>
    </row>
    <row r="133" spans="1:18" x14ac:dyDescent="0.15"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74"/>
      <c r="R133" s="74"/>
    </row>
    <row r="134" spans="1:18" x14ac:dyDescent="0.15"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74"/>
      <c r="R134" s="74"/>
    </row>
    <row r="135" spans="1:18" x14ac:dyDescent="0.15"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74"/>
      <c r="R135" s="74"/>
    </row>
    <row r="136" spans="1:18" x14ac:dyDescent="0.15"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74"/>
      <c r="R136" s="74"/>
    </row>
    <row r="137" spans="1:18" x14ac:dyDescent="0.15"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74"/>
      <c r="R137" s="74"/>
    </row>
    <row r="138" spans="1:18" x14ac:dyDescent="0.15"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74"/>
      <c r="R138" s="74"/>
    </row>
    <row r="139" spans="1:18" x14ac:dyDescent="0.15"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74"/>
      <c r="R139" s="74"/>
    </row>
    <row r="140" spans="1:18" x14ac:dyDescent="0.15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74"/>
      <c r="R140" s="74"/>
    </row>
    <row r="141" spans="1:18" x14ac:dyDescent="0.15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74"/>
      <c r="R141" s="74"/>
    </row>
    <row r="142" spans="1:18" x14ac:dyDescent="0.15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74"/>
      <c r="R142" s="74"/>
    </row>
    <row r="143" spans="1:18" x14ac:dyDescent="0.15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74"/>
      <c r="R143" s="74"/>
    </row>
    <row r="144" spans="1:18" x14ac:dyDescent="0.15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74"/>
      <c r="R144" s="74"/>
    </row>
    <row r="145" spans="1:18" x14ac:dyDescent="0.15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74"/>
      <c r="R145" s="74"/>
    </row>
    <row r="146" spans="1:18" x14ac:dyDescent="0.15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74"/>
      <c r="R146" s="74"/>
    </row>
    <row r="147" spans="1:18" x14ac:dyDescent="0.15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74"/>
      <c r="R147" s="74"/>
    </row>
    <row r="148" spans="1:18" x14ac:dyDescent="0.15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74"/>
      <c r="R148" s="74"/>
    </row>
    <row r="149" spans="1:18" x14ac:dyDescent="0.15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74"/>
      <c r="R149" s="74"/>
    </row>
    <row r="150" spans="1:18" x14ac:dyDescent="0.15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74"/>
      <c r="R150" s="74"/>
    </row>
    <row r="151" spans="1:18" x14ac:dyDescent="0.15"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</row>
    <row r="152" spans="1:18" x14ac:dyDescent="0.15"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</row>
    <row r="153" spans="1:18" x14ac:dyDescent="0.15"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</row>
    <row r="154" spans="1:18" x14ac:dyDescent="0.15"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</row>
    <row r="155" spans="1:18" x14ac:dyDescent="0.15"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</row>
    <row r="156" spans="1:18" x14ac:dyDescent="0.15"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</row>
    <row r="157" spans="1:18" x14ac:dyDescent="0.15"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</row>
    <row r="158" spans="1:18" x14ac:dyDescent="0.15"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</row>
    <row r="159" spans="1:18" x14ac:dyDescent="0.15"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</row>
    <row r="160" spans="1:18" x14ac:dyDescent="0.15"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</row>
    <row r="161" spans="3:18" x14ac:dyDescent="0.15"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</row>
  </sheetData>
  <mergeCells count="6">
    <mergeCell ref="A87:A96"/>
    <mergeCell ref="H122:O122"/>
    <mergeCell ref="A78:A79"/>
    <mergeCell ref="A22:A24"/>
    <mergeCell ref="A75:A76"/>
    <mergeCell ref="A51:A7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8211-270B-4D15-9D2E-10E8C43CF06D}">
  <dimension ref="A1:CN81"/>
  <sheetViews>
    <sheetView zoomScale="80" zoomScaleNormal="80" workbookViewId="0">
      <selection activeCell="W81" sqref="W81"/>
    </sheetView>
  </sheetViews>
  <sheetFormatPr baseColWidth="10" defaultColWidth="11.5" defaultRowHeight="14" outlineLevelRow="1" outlineLevelCol="1" x14ac:dyDescent="0.15"/>
  <cols>
    <col min="1" max="1" width="23.1640625" style="103" bestFit="1" customWidth="1"/>
    <col min="2" max="2" width="39.6640625" style="103" bestFit="1" customWidth="1"/>
    <col min="3" max="6" width="13.83203125" style="103" hidden="1" customWidth="1" outlineLevel="1"/>
    <col min="7" max="7" width="12.5" style="103" hidden="1" customWidth="1" outlineLevel="1"/>
    <col min="8" max="9" width="13.83203125" style="103" hidden="1" customWidth="1" outlineLevel="1"/>
    <col min="10" max="17" width="13.1640625" style="103" hidden="1" customWidth="1" outlineLevel="1"/>
    <col min="18" max="18" width="13.1640625" style="103" bestFit="1" customWidth="1" collapsed="1"/>
    <col min="19" max="23" width="13.1640625" style="103" bestFit="1" customWidth="1"/>
    <col min="24" max="33" width="13.83203125" style="103" bestFit="1" customWidth="1"/>
    <col min="34" max="34" width="15" style="103" bestFit="1" customWidth="1"/>
    <col min="35" max="35" width="3.6640625" style="103" customWidth="1"/>
    <col min="36" max="36" width="11.5" style="103" customWidth="1"/>
    <col min="37" max="37" width="15.5" style="103" customWidth="1"/>
    <col min="38" max="38" width="33" style="103" customWidth="1"/>
    <col min="39" max="39" width="17" style="103" customWidth="1"/>
    <col min="40" max="40" width="16.1640625" style="103" bestFit="1" customWidth="1"/>
    <col min="41" max="16384" width="11.5" style="103"/>
  </cols>
  <sheetData>
    <row r="1" spans="1:92" x14ac:dyDescent="0.15">
      <c r="A1" s="103" t="s">
        <v>298</v>
      </c>
      <c r="B1" s="103">
        <v>22</v>
      </c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</row>
    <row r="2" spans="1:92" x14ac:dyDescent="0.15">
      <c r="A2" s="154"/>
      <c r="B2" s="154" t="s">
        <v>297</v>
      </c>
      <c r="C2" s="155">
        <v>45627</v>
      </c>
      <c r="D2" s="155">
        <v>45628</v>
      </c>
      <c r="E2" s="155">
        <v>45629</v>
      </c>
      <c r="F2" s="155">
        <v>45630</v>
      </c>
      <c r="G2" s="155">
        <v>45631</v>
      </c>
      <c r="H2" s="155">
        <v>45632</v>
      </c>
      <c r="I2" s="155">
        <v>45633</v>
      </c>
      <c r="J2" s="155">
        <v>45634</v>
      </c>
      <c r="K2" s="155">
        <v>45635</v>
      </c>
      <c r="L2" s="155">
        <v>45636</v>
      </c>
      <c r="M2" s="155">
        <v>45637</v>
      </c>
      <c r="N2" s="155">
        <v>45638</v>
      </c>
      <c r="O2" s="155">
        <v>45639</v>
      </c>
      <c r="P2" s="155">
        <v>45640</v>
      </c>
      <c r="Q2" s="155">
        <v>45641</v>
      </c>
      <c r="R2" s="155">
        <v>45642</v>
      </c>
      <c r="S2" s="155">
        <v>45643</v>
      </c>
      <c r="T2" s="155">
        <v>45644</v>
      </c>
      <c r="U2" s="155">
        <v>45645</v>
      </c>
      <c r="V2" s="155">
        <v>45646</v>
      </c>
      <c r="W2" s="155">
        <v>45647</v>
      </c>
      <c r="X2" s="155">
        <v>45648</v>
      </c>
      <c r="Y2" s="155">
        <v>45649</v>
      </c>
      <c r="Z2" s="155">
        <v>45650</v>
      </c>
      <c r="AA2" s="155">
        <v>45651</v>
      </c>
      <c r="AB2" s="155">
        <v>45652</v>
      </c>
      <c r="AC2" s="155">
        <v>45653</v>
      </c>
      <c r="AD2" s="155">
        <v>45654</v>
      </c>
      <c r="AE2" s="155">
        <v>45655</v>
      </c>
      <c r="AF2" s="155">
        <v>45656</v>
      </c>
      <c r="AG2" s="155">
        <v>45657</v>
      </c>
      <c r="AH2" s="154" t="s">
        <v>297</v>
      </c>
      <c r="AI2" s="154" t="s">
        <v>219</v>
      </c>
      <c r="AJ2" s="227" t="s">
        <v>377</v>
      </c>
      <c r="AK2" s="227" t="s">
        <v>378</v>
      </c>
      <c r="AL2" s="225" t="s">
        <v>379</v>
      </c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</row>
    <row r="3" spans="1:92" x14ac:dyDescent="0.15">
      <c r="A3" s="153" t="s">
        <v>296</v>
      </c>
      <c r="B3" s="151"/>
      <c r="C3" s="153" t="s">
        <v>295</v>
      </c>
      <c r="D3" s="153" t="s">
        <v>294</v>
      </c>
      <c r="E3" s="153" t="s">
        <v>293</v>
      </c>
      <c r="F3" s="153" t="s">
        <v>292</v>
      </c>
      <c r="G3" s="153" t="s">
        <v>291</v>
      </c>
      <c r="H3" s="153" t="s">
        <v>290</v>
      </c>
      <c r="I3" s="153" t="s">
        <v>289</v>
      </c>
      <c r="J3" s="153" t="s">
        <v>288</v>
      </c>
      <c r="K3" s="153" t="s">
        <v>287</v>
      </c>
      <c r="L3" s="153" t="s">
        <v>286</v>
      </c>
      <c r="M3" s="153" t="s">
        <v>285</v>
      </c>
      <c r="N3" s="153" t="s">
        <v>284</v>
      </c>
      <c r="O3" s="153" t="s">
        <v>283</v>
      </c>
      <c r="P3" s="153" t="s">
        <v>282</v>
      </c>
      <c r="Q3" s="153" t="s">
        <v>281</v>
      </c>
      <c r="R3" s="272" t="s">
        <v>280</v>
      </c>
      <c r="S3" s="272" t="s">
        <v>279</v>
      </c>
      <c r="T3" s="272" t="s">
        <v>278</v>
      </c>
      <c r="U3" s="272" t="s">
        <v>277</v>
      </c>
      <c r="V3" s="272" t="s">
        <v>276</v>
      </c>
      <c r="W3" s="272" t="s">
        <v>275</v>
      </c>
      <c r="X3" s="272" t="s">
        <v>274</v>
      </c>
      <c r="Y3" s="272" t="s">
        <v>273</v>
      </c>
      <c r="Z3" s="272" t="s">
        <v>272</v>
      </c>
      <c r="AA3" s="272" t="s">
        <v>271</v>
      </c>
      <c r="AB3" s="272" t="s">
        <v>270</v>
      </c>
      <c r="AC3" s="272" t="s">
        <v>269</v>
      </c>
      <c r="AD3" s="272" t="s">
        <v>268</v>
      </c>
      <c r="AE3" s="272" t="s">
        <v>267</v>
      </c>
      <c r="AF3" s="272" t="s">
        <v>266</v>
      </c>
      <c r="AG3" s="272" t="s">
        <v>265</v>
      </c>
      <c r="AH3" s="152" t="s">
        <v>264</v>
      </c>
      <c r="AI3" s="151"/>
      <c r="AJ3" s="126"/>
      <c r="AK3" s="126"/>
      <c r="AL3" s="126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</row>
    <row r="4" spans="1:92" x14ac:dyDescent="0.15">
      <c r="A4" s="112" t="s">
        <v>263</v>
      </c>
      <c r="B4" s="150">
        <v>0</v>
      </c>
      <c r="C4" s="149">
        <f>B4</f>
        <v>0</v>
      </c>
      <c r="D4" s="149">
        <f t="shared" ref="D4:Q4" si="0">+C50</f>
        <v>0</v>
      </c>
      <c r="E4" s="149">
        <f t="shared" si="0"/>
        <v>0</v>
      </c>
      <c r="F4" s="149">
        <f t="shared" si="0"/>
        <v>0</v>
      </c>
      <c r="G4" s="149">
        <f t="shared" si="0"/>
        <v>0</v>
      </c>
      <c r="H4" s="149">
        <f t="shared" si="0"/>
        <v>0</v>
      </c>
      <c r="I4" s="149">
        <f t="shared" si="0"/>
        <v>0</v>
      </c>
      <c r="J4" s="149">
        <f t="shared" si="0"/>
        <v>0</v>
      </c>
      <c r="K4" s="149">
        <f t="shared" si="0"/>
        <v>0</v>
      </c>
      <c r="L4" s="149">
        <f t="shared" si="0"/>
        <v>0</v>
      </c>
      <c r="M4" s="149">
        <f t="shared" si="0"/>
        <v>0</v>
      </c>
      <c r="N4" s="149">
        <f t="shared" si="0"/>
        <v>0</v>
      </c>
      <c r="O4" s="149">
        <f t="shared" si="0"/>
        <v>0</v>
      </c>
      <c r="P4" s="149">
        <f t="shared" si="0"/>
        <v>0</v>
      </c>
      <c r="Q4" s="149">
        <f t="shared" si="0"/>
        <v>0</v>
      </c>
      <c r="R4" s="149">
        <v>3000000</v>
      </c>
      <c r="S4" s="149">
        <f t="shared" ref="S4:AG4" si="1">+R50</f>
        <v>3000000</v>
      </c>
      <c r="T4" s="149">
        <f t="shared" si="1"/>
        <v>3000000</v>
      </c>
      <c r="U4" s="149">
        <f t="shared" si="1"/>
        <v>3000000</v>
      </c>
      <c r="V4" s="149">
        <f t="shared" si="1"/>
        <v>3000000</v>
      </c>
      <c r="W4" s="149">
        <f t="shared" si="1"/>
        <v>3000000</v>
      </c>
      <c r="X4" s="149">
        <f t="shared" si="1"/>
        <v>3000000</v>
      </c>
      <c r="Y4" s="149">
        <f t="shared" si="1"/>
        <v>3000000</v>
      </c>
      <c r="Z4" s="149">
        <f t="shared" si="1"/>
        <v>3413609.89</v>
      </c>
      <c r="AA4" s="149">
        <f t="shared" si="1"/>
        <v>3413609.89</v>
      </c>
      <c r="AB4" s="149">
        <f t="shared" si="1"/>
        <v>3413609.89</v>
      </c>
      <c r="AC4" s="149">
        <f t="shared" si="1"/>
        <v>3413609.89</v>
      </c>
      <c r="AD4" s="149">
        <f t="shared" si="1"/>
        <v>3413609.89</v>
      </c>
      <c r="AE4" s="149">
        <f t="shared" si="1"/>
        <v>3413609.89</v>
      </c>
      <c r="AF4" s="149">
        <f t="shared" si="1"/>
        <v>3413609.89</v>
      </c>
      <c r="AG4" s="149">
        <f t="shared" si="1"/>
        <v>3442499.73</v>
      </c>
      <c r="AH4" s="105">
        <f>+B4</f>
        <v>0</v>
      </c>
      <c r="AI4" s="148"/>
      <c r="AJ4" s="105">
        <v>0</v>
      </c>
      <c r="AK4" s="126"/>
      <c r="AL4" s="126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</row>
    <row r="5" spans="1:92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>
        <v>0</v>
      </c>
      <c r="AK5" s="126"/>
      <c r="AL5" s="126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</row>
    <row r="6" spans="1:92" x14ac:dyDescent="0.15">
      <c r="A6" s="133" t="s">
        <v>261</v>
      </c>
      <c r="B6" s="142">
        <f t="shared" ref="B6:AG6" si="2">+B4+B5</f>
        <v>0</v>
      </c>
      <c r="C6" s="142">
        <f t="shared" si="2"/>
        <v>0</v>
      </c>
      <c r="D6" s="142">
        <f t="shared" si="2"/>
        <v>0</v>
      </c>
      <c r="E6" s="142">
        <f t="shared" si="2"/>
        <v>0</v>
      </c>
      <c r="F6" s="142">
        <f t="shared" si="2"/>
        <v>0</v>
      </c>
      <c r="G6" s="142">
        <f t="shared" si="2"/>
        <v>0</v>
      </c>
      <c r="H6" s="142">
        <f t="shared" si="2"/>
        <v>0</v>
      </c>
      <c r="I6" s="142">
        <f t="shared" si="2"/>
        <v>0</v>
      </c>
      <c r="J6" s="142">
        <f t="shared" si="2"/>
        <v>0</v>
      </c>
      <c r="K6" s="142">
        <f t="shared" si="2"/>
        <v>0</v>
      </c>
      <c r="L6" s="142">
        <f t="shared" si="2"/>
        <v>0</v>
      </c>
      <c r="M6" s="142">
        <f t="shared" si="2"/>
        <v>0</v>
      </c>
      <c r="N6" s="142">
        <f t="shared" si="2"/>
        <v>0</v>
      </c>
      <c r="O6" s="142">
        <f t="shared" si="2"/>
        <v>0</v>
      </c>
      <c r="P6" s="142">
        <f t="shared" si="2"/>
        <v>0</v>
      </c>
      <c r="Q6" s="142">
        <f t="shared" si="2"/>
        <v>0</v>
      </c>
      <c r="R6" s="142">
        <f t="shared" si="2"/>
        <v>3000000</v>
      </c>
      <c r="S6" s="142">
        <f t="shared" si="2"/>
        <v>3000000</v>
      </c>
      <c r="T6" s="142">
        <f t="shared" si="2"/>
        <v>3000000</v>
      </c>
      <c r="U6" s="142">
        <f t="shared" si="2"/>
        <v>3000000</v>
      </c>
      <c r="V6" s="142">
        <f t="shared" si="2"/>
        <v>3000000</v>
      </c>
      <c r="W6" s="142">
        <f t="shared" si="2"/>
        <v>3000000</v>
      </c>
      <c r="X6" s="142">
        <f t="shared" si="2"/>
        <v>3000000</v>
      </c>
      <c r="Y6" s="142">
        <f t="shared" si="2"/>
        <v>3000000</v>
      </c>
      <c r="Z6" s="142">
        <f t="shared" si="2"/>
        <v>3413609.89</v>
      </c>
      <c r="AA6" s="142">
        <f t="shared" si="2"/>
        <v>3413609.89</v>
      </c>
      <c r="AB6" s="142">
        <f t="shared" si="2"/>
        <v>3413609.89</v>
      </c>
      <c r="AC6" s="142">
        <f t="shared" si="2"/>
        <v>3413609.89</v>
      </c>
      <c r="AD6" s="142">
        <f t="shared" si="2"/>
        <v>3413609.89</v>
      </c>
      <c r="AE6" s="142">
        <f t="shared" si="2"/>
        <v>3413609.89</v>
      </c>
      <c r="AF6" s="132">
        <f t="shared" si="2"/>
        <v>3413609.89</v>
      </c>
      <c r="AG6" s="132">
        <f t="shared" si="2"/>
        <v>3442499.73</v>
      </c>
      <c r="AH6" s="105">
        <f>AH5+AH4</f>
        <v>0</v>
      </c>
      <c r="AI6" s="142"/>
      <c r="AJ6" s="105">
        <v>0</v>
      </c>
      <c r="AK6" s="126"/>
      <c r="AL6" s="126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</row>
    <row r="7" spans="1:92" x14ac:dyDescent="0.15">
      <c r="A7" s="133" t="s">
        <v>260</v>
      </c>
      <c r="B7" s="142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>
        <f t="shared" ref="AH7:AH12" si="3">SUM(R7:AG7)</f>
        <v>0</v>
      </c>
      <c r="AI7" s="142"/>
      <c r="AJ7" s="105">
        <v>0</v>
      </c>
      <c r="AK7" s="126"/>
      <c r="AL7" s="126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</row>
    <row r="8" spans="1:92" x14ac:dyDescent="0.15">
      <c r="A8" s="136" t="s">
        <v>259</v>
      </c>
      <c r="B8" s="122">
        <f>SUM(C8:AG8)</f>
        <v>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 t="shared" si="3"/>
        <v>0</v>
      </c>
      <c r="AI8" s="119"/>
      <c r="AJ8" s="105">
        <v>0</v>
      </c>
      <c r="AK8" s="126"/>
      <c r="AL8" s="126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</row>
    <row r="9" spans="1:92" x14ac:dyDescent="0.15">
      <c r="A9" s="141" t="s">
        <v>258</v>
      </c>
      <c r="B9" s="122">
        <f>SUM(C9:AG9)</f>
        <v>0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3"/>
        <v>0</v>
      </c>
      <c r="AI9" s="119"/>
      <c r="AJ9" s="105">
        <v>0</v>
      </c>
      <c r="AK9" s="126"/>
      <c r="AL9" s="126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</row>
    <row r="10" spans="1:92" x14ac:dyDescent="0.15">
      <c r="A10" s="136" t="s">
        <v>257</v>
      </c>
      <c r="B10" s="122">
        <f>SUM(C10:AG10)</f>
        <v>65390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>
        <v>61990</v>
      </c>
      <c r="Z10" s="120"/>
      <c r="AA10" s="120"/>
      <c r="AB10" s="120"/>
      <c r="AC10" s="120"/>
      <c r="AD10" s="120"/>
      <c r="AE10" s="120"/>
      <c r="AF10" s="120">
        <v>3400</v>
      </c>
      <c r="AG10" s="120"/>
      <c r="AH10" s="105">
        <f t="shared" si="3"/>
        <v>65390</v>
      </c>
      <c r="AI10" s="119"/>
      <c r="AJ10" s="105">
        <v>1250000</v>
      </c>
      <c r="AK10" s="126">
        <f>AH10-AJ10</f>
        <v>-1184610</v>
      </c>
      <c r="AL10" s="126" t="s">
        <v>404</v>
      </c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</row>
    <row r="11" spans="1:92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3"/>
        <v>0</v>
      </c>
      <c r="AI11" s="119"/>
      <c r="AJ11" s="105">
        <v>0</v>
      </c>
      <c r="AK11" s="126"/>
      <c r="AL11" s="126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</row>
    <row r="12" spans="1:92" x14ac:dyDescent="0.15">
      <c r="A12" s="136" t="s">
        <v>255</v>
      </c>
      <c r="B12" s="122">
        <f>SUM(C12:AG12)</f>
        <v>0</v>
      </c>
      <c r="C12" s="120">
        <f t="shared" ref="C12:AG12" si="4">SUM(C13:C22)</f>
        <v>0</v>
      </c>
      <c r="D12" s="120">
        <f t="shared" si="4"/>
        <v>0</v>
      </c>
      <c r="E12" s="120">
        <f t="shared" si="4"/>
        <v>0</v>
      </c>
      <c r="F12" s="120">
        <f t="shared" si="4"/>
        <v>0</v>
      </c>
      <c r="G12" s="120">
        <f t="shared" si="4"/>
        <v>0</v>
      </c>
      <c r="H12" s="120">
        <f t="shared" si="4"/>
        <v>0</v>
      </c>
      <c r="I12" s="120">
        <f t="shared" si="4"/>
        <v>0</v>
      </c>
      <c r="J12" s="120">
        <f t="shared" si="4"/>
        <v>0</v>
      </c>
      <c r="K12" s="120">
        <f t="shared" si="4"/>
        <v>0</v>
      </c>
      <c r="L12" s="120">
        <f t="shared" si="4"/>
        <v>0</v>
      </c>
      <c r="M12" s="120">
        <f t="shared" si="4"/>
        <v>0</v>
      </c>
      <c r="N12" s="120">
        <f t="shared" si="4"/>
        <v>0</v>
      </c>
      <c r="O12" s="120">
        <f t="shared" si="4"/>
        <v>0</v>
      </c>
      <c r="P12" s="120">
        <f t="shared" si="4"/>
        <v>0</v>
      </c>
      <c r="Q12" s="120">
        <f t="shared" si="4"/>
        <v>0</v>
      </c>
      <c r="R12" s="120">
        <f t="shared" si="4"/>
        <v>0</v>
      </c>
      <c r="S12" s="120">
        <f t="shared" si="4"/>
        <v>0</v>
      </c>
      <c r="T12" s="120">
        <f t="shared" si="4"/>
        <v>0</v>
      </c>
      <c r="U12" s="120">
        <f t="shared" si="4"/>
        <v>0</v>
      </c>
      <c r="V12" s="120">
        <f t="shared" si="4"/>
        <v>0</v>
      </c>
      <c r="W12" s="120">
        <f t="shared" si="4"/>
        <v>0</v>
      </c>
      <c r="X12" s="120">
        <f t="shared" si="4"/>
        <v>0</v>
      </c>
      <c r="Y12" s="120">
        <f t="shared" si="4"/>
        <v>0</v>
      </c>
      <c r="Z12" s="120">
        <f t="shared" si="4"/>
        <v>0</v>
      </c>
      <c r="AA12" s="120">
        <f t="shared" si="4"/>
        <v>0</v>
      </c>
      <c r="AB12" s="120">
        <f t="shared" si="4"/>
        <v>0</v>
      </c>
      <c r="AC12" s="120">
        <f t="shared" si="4"/>
        <v>0</v>
      </c>
      <c r="AD12" s="120">
        <f t="shared" si="4"/>
        <v>0</v>
      </c>
      <c r="AE12" s="120">
        <f t="shared" si="4"/>
        <v>0</v>
      </c>
      <c r="AF12" s="120">
        <f t="shared" si="4"/>
        <v>0</v>
      </c>
      <c r="AG12" s="120">
        <f t="shared" si="4"/>
        <v>0</v>
      </c>
      <c r="AH12" s="105">
        <f t="shared" si="3"/>
        <v>0</v>
      </c>
      <c r="AI12" s="119"/>
      <c r="AJ12" s="105">
        <v>0</v>
      </c>
      <c r="AK12" s="126"/>
      <c r="AL12" s="126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</row>
    <row r="13" spans="1:92" hidden="1" outlineLevel="1" x14ac:dyDescent="0.15">
      <c r="A13" s="140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7">
        <f t="shared" ref="AH13:AH22" si="5">SUM(C13:AG13)</f>
        <v>0</v>
      </c>
      <c r="AI13" s="119"/>
      <c r="AJ13" s="137">
        <v>0</v>
      </c>
      <c r="AK13" s="126"/>
      <c r="AL13" s="126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</row>
    <row r="14" spans="1:92" hidden="1" outlineLevel="1" x14ac:dyDescent="0.15">
      <c r="A14" s="140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7">
        <f t="shared" si="5"/>
        <v>0</v>
      </c>
      <c r="AI14" s="119"/>
      <c r="AJ14" s="137">
        <v>0</v>
      </c>
      <c r="AK14" s="126"/>
      <c r="AL14" s="126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</row>
    <row r="15" spans="1:92" hidden="1" outlineLevel="1" x14ac:dyDescent="0.15">
      <c r="A15" s="140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7">
        <f t="shared" si="5"/>
        <v>0</v>
      </c>
      <c r="AI15" s="119"/>
      <c r="AJ15" s="137">
        <v>0</v>
      </c>
      <c r="AK15" s="126"/>
      <c r="AL15" s="126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</row>
    <row r="16" spans="1:92" hidden="1" outlineLevel="1" x14ac:dyDescent="0.15">
      <c r="A16" s="140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7">
        <f t="shared" si="5"/>
        <v>0</v>
      </c>
      <c r="AI16" s="119"/>
      <c r="AJ16" s="137">
        <v>0</v>
      </c>
      <c r="AK16" s="126"/>
      <c r="AL16" s="126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</row>
    <row r="17" spans="1:92" hidden="1" outlineLevel="1" x14ac:dyDescent="0.15">
      <c r="A17" s="140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7">
        <f t="shared" si="5"/>
        <v>0</v>
      </c>
      <c r="AI17" s="119"/>
      <c r="AJ17" s="137">
        <v>0</v>
      </c>
      <c r="AK17" s="126"/>
      <c r="AL17" s="126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</row>
    <row r="18" spans="1:92" hidden="1" outlineLevel="1" x14ac:dyDescent="0.15">
      <c r="A18" s="140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7">
        <f t="shared" si="5"/>
        <v>0</v>
      </c>
      <c r="AI18" s="119"/>
      <c r="AJ18" s="137">
        <v>0</v>
      </c>
      <c r="AK18" s="126"/>
      <c r="AL18" s="126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</row>
    <row r="19" spans="1:92" hidden="1" outlineLevel="1" x14ac:dyDescent="0.15">
      <c r="A19" s="140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7">
        <f t="shared" si="5"/>
        <v>0</v>
      </c>
      <c r="AI19" s="119"/>
      <c r="AJ19" s="137">
        <v>0</v>
      </c>
      <c r="AK19" s="126"/>
      <c r="AL19" s="126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</row>
    <row r="20" spans="1:92" hidden="1" outlineLevel="1" x14ac:dyDescent="0.15">
      <c r="A20" s="140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7">
        <f t="shared" si="5"/>
        <v>0</v>
      </c>
      <c r="AI20" s="119"/>
      <c r="AJ20" s="137">
        <v>0</v>
      </c>
      <c r="AK20" s="126"/>
      <c r="AL20" s="126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</row>
    <row r="21" spans="1:92" hidden="1" outlineLevel="1" x14ac:dyDescent="0.15">
      <c r="A21" s="140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7">
        <f t="shared" si="5"/>
        <v>0</v>
      </c>
      <c r="AI21" s="119"/>
      <c r="AJ21" s="137">
        <v>0</v>
      </c>
      <c r="AK21" s="126"/>
      <c r="AL21" s="126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</row>
    <row r="22" spans="1:92" hidden="1" outlineLevel="1" x14ac:dyDescent="0.15">
      <c r="A22" s="140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7">
        <f t="shared" si="5"/>
        <v>0</v>
      </c>
      <c r="AI22" s="119"/>
      <c r="AJ22" s="137">
        <v>0</v>
      </c>
      <c r="AK22" s="126"/>
      <c r="AL22" s="126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</row>
    <row r="23" spans="1:92" collapsed="1" x14ac:dyDescent="0.15">
      <c r="A23" s="136" t="s">
        <v>244</v>
      </c>
      <c r="B23" s="122">
        <f>SUM(C23:AG23)</f>
        <v>0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>SUM(R23:AG23)</f>
        <v>0</v>
      </c>
      <c r="AI23" s="119"/>
      <c r="AJ23" s="105">
        <v>0</v>
      </c>
      <c r="AK23" s="126"/>
      <c r="AL23" s="126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</row>
    <row r="24" spans="1:92" hidden="1" x14ac:dyDescent="0.15">
      <c r="A24" s="136" t="s">
        <v>232</v>
      </c>
      <c r="B24" s="122">
        <f>SUM(C24:AG24)</f>
        <v>0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05">
        <f>SUM(C24:AG24)</f>
        <v>0</v>
      </c>
      <c r="AI24" s="119"/>
      <c r="AJ24" s="105">
        <v>0</v>
      </c>
      <c r="AK24" s="126"/>
      <c r="AL24" s="126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  <c r="CN24" s="123"/>
    </row>
    <row r="25" spans="1:92" x14ac:dyDescent="0.15">
      <c r="A25" s="136" t="s">
        <v>243</v>
      </c>
      <c r="B25" s="122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ref="AH25:AH34" si="6">SUM(R25:AG25)</f>
        <v>0</v>
      </c>
      <c r="AI25" s="119"/>
      <c r="AJ25" s="105">
        <v>0</v>
      </c>
      <c r="AK25" s="126"/>
      <c r="AL25" s="126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</row>
    <row r="26" spans="1:92" x14ac:dyDescent="0.15">
      <c r="A26" s="136" t="s">
        <v>242</v>
      </c>
      <c r="B26" s="122">
        <f t="shared" ref="B26:B31" si="7">SUM(C26:AG26)</f>
        <v>0</v>
      </c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05">
        <f t="shared" si="6"/>
        <v>0</v>
      </c>
      <c r="AI26" s="119"/>
      <c r="AJ26" s="105">
        <v>170000</v>
      </c>
      <c r="AK26" s="126">
        <f>AH26-AJ26</f>
        <v>-170000</v>
      </c>
      <c r="AL26" s="126" t="s">
        <v>405</v>
      </c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  <c r="CN26" s="123"/>
    </row>
    <row r="27" spans="1:92" x14ac:dyDescent="0.15">
      <c r="A27" s="136" t="s">
        <v>241</v>
      </c>
      <c r="B27" s="122">
        <f t="shared" si="7"/>
        <v>0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05">
        <f t="shared" si="6"/>
        <v>0</v>
      </c>
      <c r="AI27" s="119"/>
      <c r="AJ27" s="105">
        <v>0</v>
      </c>
      <c r="AK27" s="126"/>
      <c r="AL27" s="126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</row>
    <row r="28" spans="1:92" x14ac:dyDescent="0.15">
      <c r="A28" s="136" t="s">
        <v>240</v>
      </c>
      <c r="B28" s="122">
        <f t="shared" si="7"/>
        <v>0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6"/>
        <v>0</v>
      </c>
      <c r="AI28" s="119"/>
      <c r="AJ28" s="105">
        <v>0</v>
      </c>
      <c r="AK28" s="126"/>
      <c r="AL28" s="126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</row>
    <row r="29" spans="1:92" x14ac:dyDescent="0.15">
      <c r="A29" s="136" t="s">
        <v>239</v>
      </c>
      <c r="B29" s="122">
        <f t="shared" si="7"/>
        <v>0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 t="shared" si="6"/>
        <v>0</v>
      </c>
      <c r="AI29" s="119"/>
      <c r="AJ29" s="105">
        <v>0</v>
      </c>
      <c r="AK29" s="126"/>
      <c r="AL29" s="126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</row>
    <row r="30" spans="1:92" x14ac:dyDescent="0.15">
      <c r="A30" s="136" t="s">
        <v>365</v>
      </c>
      <c r="B30" s="122">
        <f t="shared" si="7"/>
        <v>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0"/>
      <c r="AH30" s="105">
        <f t="shared" si="6"/>
        <v>0</v>
      </c>
      <c r="AI30" s="119"/>
      <c r="AJ30" s="105">
        <v>0</v>
      </c>
      <c r="AK30" s="126"/>
      <c r="AL30" s="126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</row>
    <row r="31" spans="1:92" ht="15" thickBot="1" x14ac:dyDescent="0.2">
      <c r="A31" s="113" t="s">
        <v>238</v>
      </c>
      <c r="B31" s="129">
        <f t="shared" si="7"/>
        <v>0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4"/>
      <c r="AH31" s="105">
        <f t="shared" si="6"/>
        <v>0</v>
      </c>
      <c r="AI31" s="127"/>
      <c r="AJ31" s="105">
        <v>0</v>
      </c>
      <c r="AK31" s="126"/>
      <c r="AL31" s="126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</row>
    <row r="32" spans="1:92" x14ac:dyDescent="0.15">
      <c r="A32" s="133" t="s">
        <v>237</v>
      </c>
      <c r="B32" s="122">
        <f>SUM(B8:B31)</f>
        <v>65390</v>
      </c>
      <c r="C32" s="119">
        <f t="shared" ref="C32:AG32" si="8">SUM(C8:C31)-C12</f>
        <v>0</v>
      </c>
      <c r="D32" s="119">
        <f t="shared" si="8"/>
        <v>0</v>
      </c>
      <c r="E32" s="119">
        <f t="shared" si="8"/>
        <v>0</v>
      </c>
      <c r="F32" s="119">
        <f t="shared" si="8"/>
        <v>0</v>
      </c>
      <c r="G32" s="119">
        <f t="shared" si="8"/>
        <v>0</v>
      </c>
      <c r="H32" s="119">
        <f t="shared" si="8"/>
        <v>0</v>
      </c>
      <c r="I32" s="119">
        <f t="shared" si="8"/>
        <v>0</v>
      </c>
      <c r="J32" s="119">
        <f t="shared" si="8"/>
        <v>0</v>
      </c>
      <c r="K32" s="119">
        <f t="shared" si="8"/>
        <v>0</v>
      </c>
      <c r="L32" s="119">
        <f t="shared" si="8"/>
        <v>0</v>
      </c>
      <c r="M32" s="119">
        <f t="shared" si="8"/>
        <v>0</v>
      </c>
      <c r="N32" s="119">
        <f t="shared" si="8"/>
        <v>0</v>
      </c>
      <c r="O32" s="119">
        <f t="shared" si="8"/>
        <v>0</v>
      </c>
      <c r="P32" s="119">
        <f t="shared" si="8"/>
        <v>0</v>
      </c>
      <c r="Q32" s="119">
        <f t="shared" si="8"/>
        <v>0</v>
      </c>
      <c r="R32" s="119">
        <f t="shared" si="8"/>
        <v>0</v>
      </c>
      <c r="S32" s="119">
        <f t="shared" si="8"/>
        <v>0</v>
      </c>
      <c r="T32" s="119">
        <f t="shared" si="8"/>
        <v>0</v>
      </c>
      <c r="U32" s="119">
        <f t="shared" si="8"/>
        <v>0</v>
      </c>
      <c r="V32" s="119">
        <f t="shared" si="8"/>
        <v>0</v>
      </c>
      <c r="W32" s="119">
        <f t="shared" si="8"/>
        <v>0</v>
      </c>
      <c r="X32" s="119">
        <f t="shared" si="8"/>
        <v>0</v>
      </c>
      <c r="Y32" s="119">
        <f t="shared" si="8"/>
        <v>61990</v>
      </c>
      <c r="Z32" s="119">
        <f t="shared" si="8"/>
        <v>0</v>
      </c>
      <c r="AA32" s="119">
        <f t="shared" si="8"/>
        <v>0</v>
      </c>
      <c r="AB32" s="119">
        <f t="shared" si="8"/>
        <v>0</v>
      </c>
      <c r="AC32" s="119">
        <f t="shared" si="8"/>
        <v>0</v>
      </c>
      <c r="AD32" s="119">
        <f t="shared" si="8"/>
        <v>0</v>
      </c>
      <c r="AE32" s="119">
        <f t="shared" si="8"/>
        <v>0</v>
      </c>
      <c r="AF32" s="119">
        <f t="shared" si="8"/>
        <v>3400</v>
      </c>
      <c r="AG32" s="119">
        <f t="shared" si="8"/>
        <v>0</v>
      </c>
      <c r="AH32" s="112">
        <f t="shared" si="6"/>
        <v>65390</v>
      </c>
      <c r="AI32" s="119"/>
      <c r="AJ32" s="112">
        <v>1420000</v>
      </c>
      <c r="AK32" s="126">
        <f>AH32-AJ32</f>
        <v>-1354610</v>
      </c>
      <c r="AL32" s="126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</row>
    <row r="33" spans="1:92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>
        <f t="shared" si="6"/>
        <v>0</v>
      </c>
      <c r="AI33" s="119"/>
      <c r="AJ33" s="105">
        <v>0</v>
      </c>
      <c r="AK33" s="126"/>
      <c r="AL33" s="126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  <c r="CN33" s="123"/>
    </row>
    <row r="34" spans="1:92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>
        <f t="shared" si="6"/>
        <v>0</v>
      </c>
      <c r="AI34" s="119"/>
      <c r="AJ34" s="105">
        <v>0</v>
      </c>
      <c r="AK34" s="126"/>
      <c r="AL34" s="126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</row>
    <row r="35" spans="1:92" hidden="1" x14ac:dyDescent="0.15">
      <c r="A35" s="124" t="s">
        <v>235</v>
      </c>
      <c r="B35" s="122">
        <f t="shared" ref="B35:B41" si="9">SUM(C35:AG35)</f>
        <v>0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>SUM(C35:AG35)</f>
        <v>0</v>
      </c>
      <c r="AI35" s="119"/>
      <c r="AJ35" s="105">
        <v>0</v>
      </c>
      <c r="AK35" s="126"/>
      <c r="AL35" s="126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</row>
    <row r="36" spans="1:92" hidden="1" x14ac:dyDescent="0.15">
      <c r="A36" s="124" t="s">
        <v>234</v>
      </c>
      <c r="B36" s="122">
        <f t="shared" si="9"/>
        <v>0</v>
      </c>
      <c r="C36" s="120"/>
      <c r="D36" s="120">
        <v>0</v>
      </c>
      <c r="E36" s="120">
        <v>0</v>
      </c>
      <c r="F36" s="120"/>
      <c r="G36" s="120"/>
      <c r="H36" s="120"/>
      <c r="I36" s="120"/>
      <c r="J36" s="120"/>
      <c r="K36" s="120">
        <v>0</v>
      </c>
      <c r="L36" s="120">
        <v>0</v>
      </c>
      <c r="M36" s="120"/>
      <c r="N36" s="120"/>
      <c r="O36" s="120"/>
      <c r="P36" s="120"/>
      <c r="Q36" s="120"/>
      <c r="R36" s="120">
        <v>0</v>
      </c>
      <c r="S36" s="120">
        <v>0</v>
      </c>
      <c r="T36" s="120"/>
      <c r="U36" s="120"/>
      <c r="V36" s="120"/>
      <c r="W36" s="120"/>
      <c r="X36" s="120"/>
      <c r="Y36" s="120">
        <v>0</v>
      </c>
      <c r="Z36" s="120">
        <v>0</v>
      </c>
      <c r="AA36" s="120">
        <v>0</v>
      </c>
      <c r="AB36" s="120">
        <v>0</v>
      </c>
      <c r="AC36" s="120"/>
      <c r="AD36" s="120"/>
      <c r="AE36" s="120"/>
      <c r="AF36" s="120">
        <v>0</v>
      </c>
      <c r="AG36" s="120">
        <v>0</v>
      </c>
      <c r="AH36" s="105">
        <f>SUM(C36:AG36)</f>
        <v>0</v>
      </c>
      <c r="AI36" s="119"/>
      <c r="AJ36" s="105">
        <v>0</v>
      </c>
      <c r="AK36" s="126"/>
      <c r="AL36" s="126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</row>
    <row r="37" spans="1:92" hidden="1" x14ac:dyDescent="0.15">
      <c r="A37" s="124" t="s">
        <v>233</v>
      </c>
      <c r="B37" s="122">
        <f t="shared" si="9"/>
        <v>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>SUM(C37:AG37)</f>
        <v>0</v>
      </c>
      <c r="AI37" s="119"/>
      <c r="AJ37" s="105">
        <v>0</v>
      </c>
      <c r="AK37" s="126"/>
      <c r="AL37" s="126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</row>
    <row r="38" spans="1:92" hidden="1" x14ac:dyDescent="0.15">
      <c r="A38" s="124" t="s">
        <v>232</v>
      </c>
      <c r="B38" s="122">
        <f t="shared" si="9"/>
        <v>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>SUM(C38:AG38)</f>
        <v>0</v>
      </c>
      <c r="AI38" s="119"/>
      <c r="AJ38" s="105">
        <v>0</v>
      </c>
      <c r="AK38" s="126"/>
      <c r="AL38" s="126"/>
      <c r="AM38" s="103">
        <f>+AK42-AK38</f>
        <v>-2673579.02</v>
      </c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</row>
    <row r="39" spans="1:92" x14ac:dyDescent="0.15">
      <c r="A39" s="124" t="s">
        <v>231</v>
      </c>
      <c r="B39" s="122">
        <f t="shared" si="9"/>
        <v>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ref="AH39:AH48" si="10">SUM(R39:AG39)</f>
        <v>0</v>
      </c>
      <c r="AI39" s="119"/>
      <c r="AJ39" s="105">
        <v>0</v>
      </c>
      <c r="AK39" s="126"/>
      <c r="AL39" s="126"/>
      <c r="AO39" s="103">
        <v>16</v>
      </c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</row>
    <row r="40" spans="1:92" x14ac:dyDescent="0.15">
      <c r="A40" s="124" t="s">
        <v>230</v>
      </c>
      <c r="B40" s="122">
        <f t="shared" si="9"/>
        <v>475599.89</v>
      </c>
      <c r="C40" s="131"/>
      <c r="D40" s="132"/>
      <c r="E40" s="132"/>
      <c r="F40" s="131"/>
      <c r="G40" s="131"/>
      <c r="H40" s="131"/>
      <c r="I40" s="131"/>
      <c r="J40" s="131"/>
      <c r="K40" s="132"/>
      <c r="L40" s="132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>
        <f>25405.89+56689.28+32317.84+104131.66+82155.19+56422.07+23947.44+27960+52621.65+8236.65+5712.22</f>
        <v>475599.89</v>
      </c>
      <c r="Z40" s="131"/>
      <c r="AA40" s="131"/>
      <c r="AB40" s="131"/>
      <c r="AC40" s="131"/>
      <c r="AD40" s="131"/>
      <c r="AE40" s="131"/>
      <c r="AF40" s="131"/>
      <c r="AG40" s="131"/>
      <c r="AH40" s="105">
        <f t="shared" si="10"/>
        <v>475599.89</v>
      </c>
      <c r="AI40" s="119"/>
      <c r="AJ40" s="105">
        <v>967750</v>
      </c>
      <c r="AK40" s="126">
        <f>AH40-AJ40</f>
        <v>-492150.11</v>
      </c>
      <c r="AL40" s="126" t="s">
        <v>380</v>
      </c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</row>
    <row r="41" spans="1:92" ht="15" thickBot="1" x14ac:dyDescent="0.2">
      <c r="A41" s="130" t="s">
        <v>229</v>
      </c>
      <c r="B41" s="129">
        <f t="shared" si="9"/>
        <v>32289.84</v>
      </c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>
        <f>30000+1942.35+347.49</f>
        <v>32289.84</v>
      </c>
      <c r="AG41" s="127"/>
      <c r="AH41" s="105">
        <f t="shared" si="10"/>
        <v>32289.84</v>
      </c>
      <c r="AI41" s="127"/>
      <c r="AJ41" s="105">
        <v>2213718.75</v>
      </c>
      <c r="AK41" s="126">
        <f>AH41-AJ41</f>
        <v>-2181428.91</v>
      </c>
      <c r="AL41" s="126" t="s">
        <v>403</v>
      </c>
      <c r="AM41" s="103" t="s">
        <v>228</v>
      </c>
      <c r="AN41" s="103">
        <f>3500000*70%*1.07+3500000*30%*1.19</f>
        <v>3871000</v>
      </c>
      <c r="AO41" s="103">
        <f>+AN41/$AO$39</f>
        <v>241937.5</v>
      </c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</row>
    <row r="42" spans="1:92" x14ac:dyDescent="0.15">
      <c r="A42" s="124" t="s">
        <v>227</v>
      </c>
      <c r="B42" s="122">
        <f>SUM(B40:B41)</f>
        <v>507889.73000000004</v>
      </c>
      <c r="C42" s="119">
        <f t="shared" ref="C42:AG42" si="11">SUM(C35:C41)</f>
        <v>0</v>
      </c>
      <c r="D42" s="119">
        <f t="shared" si="11"/>
        <v>0</v>
      </c>
      <c r="E42" s="119">
        <f t="shared" si="11"/>
        <v>0</v>
      </c>
      <c r="F42" s="119">
        <f t="shared" si="11"/>
        <v>0</v>
      </c>
      <c r="G42" s="119">
        <f t="shared" si="11"/>
        <v>0</v>
      </c>
      <c r="H42" s="119">
        <f t="shared" si="11"/>
        <v>0</v>
      </c>
      <c r="I42" s="119">
        <f t="shared" si="11"/>
        <v>0</v>
      </c>
      <c r="J42" s="119">
        <f t="shared" si="11"/>
        <v>0</v>
      </c>
      <c r="K42" s="119">
        <f t="shared" si="11"/>
        <v>0</v>
      </c>
      <c r="L42" s="119">
        <f t="shared" si="11"/>
        <v>0</v>
      </c>
      <c r="M42" s="119">
        <f t="shared" si="11"/>
        <v>0</v>
      </c>
      <c r="N42" s="119">
        <f t="shared" si="11"/>
        <v>0</v>
      </c>
      <c r="O42" s="119">
        <f t="shared" si="11"/>
        <v>0</v>
      </c>
      <c r="P42" s="119">
        <f t="shared" si="11"/>
        <v>0</v>
      </c>
      <c r="Q42" s="119">
        <f t="shared" si="11"/>
        <v>0</v>
      </c>
      <c r="R42" s="119">
        <f t="shared" si="11"/>
        <v>0</v>
      </c>
      <c r="S42" s="119">
        <f t="shared" si="11"/>
        <v>0</v>
      </c>
      <c r="T42" s="119">
        <f t="shared" si="11"/>
        <v>0</v>
      </c>
      <c r="U42" s="119">
        <f t="shared" si="11"/>
        <v>0</v>
      </c>
      <c r="V42" s="119">
        <f t="shared" si="11"/>
        <v>0</v>
      </c>
      <c r="W42" s="119">
        <f t="shared" si="11"/>
        <v>0</v>
      </c>
      <c r="X42" s="119">
        <f t="shared" si="11"/>
        <v>0</v>
      </c>
      <c r="Y42" s="119">
        <f t="shared" si="11"/>
        <v>475599.89</v>
      </c>
      <c r="Z42" s="119">
        <f t="shared" si="11"/>
        <v>0</v>
      </c>
      <c r="AA42" s="119">
        <f t="shared" si="11"/>
        <v>0</v>
      </c>
      <c r="AB42" s="119">
        <f t="shared" si="11"/>
        <v>0</v>
      </c>
      <c r="AC42" s="119">
        <f t="shared" si="11"/>
        <v>0</v>
      </c>
      <c r="AD42" s="119">
        <f t="shared" si="11"/>
        <v>0</v>
      </c>
      <c r="AE42" s="119">
        <f t="shared" si="11"/>
        <v>0</v>
      </c>
      <c r="AF42" s="119">
        <f t="shared" si="11"/>
        <v>32289.84</v>
      </c>
      <c r="AG42" s="120">
        <f t="shared" si="11"/>
        <v>0</v>
      </c>
      <c r="AH42" s="112">
        <f t="shared" si="10"/>
        <v>507889.73000000004</v>
      </c>
      <c r="AI42" s="119"/>
      <c r="AJ42" s="112">
        <v>3181468.75</v>
      </c>
      <c r="AK42" s="126">
        <f>AH42-AJ42</f>
        <v>-2673579.02</v>
      </c>
      <c r="AM42" s="103" t="s">
        <v>226</v>
      </c>
      <c r="AN42" s="103">
        <f>AN41*AP42</f>
        <v>967750</v>
      </c>
      <c r="AO42" s="103">
        <f>+AN42/$AO$39</f>
        <v>60484.375</v>
      </c>
      <c r="AP42" s="174">
        <v>0.25</v>
      </c>
      <c r="AQ42" s="103">
        <f>AN41*25%</f>
        <v>967750</v>
      </c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  <c r="CN42" s="123"/>
    </row>
    <row r="43" spans="1:92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>
        <f t="shared" si="10"/>
        <v>0</v>
      </c>
      <c r="AI43" s="119"/>
      <c r="AJ43" s="105">
        <v>0</v>
      </c>
      <c r="AM43" s="103" t="s">
        <v>225</v>
      </c>
      <c r="AN43" s="103">
        <f>AN41*AP43</f>
        <v>967750</v>
      </c>
      <c r="AO43" s="103">
        <f>+AN43/$AO$39</f>
        <v>60484.375</v>
      </c>
      <c r="AP43" s="174">
        <v>0.25</v>
      </c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</row>
    <row r="44" spans="1:92" x14ac:dyDescent="0.15">
      <c r="A44" s="124" t="s">
        <v>224</v>
      </c>
      <c r="B44" s="122"/>
      <c r="C44" s="119">
        <f t="shared" ref="C44:AG44" si="12">C42-C32</f>
        <v>0</v>
      </c>
      <c r="D44" s="119">
        <f t="shared" si="12"/>
        <v>0</v>
      </c>
      <c r="E44" s="119">
        <f t="shared" si="12"/>
        <v>0</v>
      </c>
      <c r="F44" s="119">
        <f t="shared" si="12"/>
        <v>0</v>
      </c>
      <c r="G44" s="119">
        <f t="shared" si="12"/>
        <v>0</v>
      </c>
      <c r="H44" s="119">
        <f t="shared" si="12"/>
        <v>0</v>
      </c>
      <c r="I44" s="119">
        <f t="shared" si="12"/>
        <v>0</v>
      </c>
      <c r="J44" s="119">
        <f t="shared" si="12"/>
        <v>0</v>
      </c>
      <c r="K44" s="119">
        <f t="shared" si="12"/>
        <v>0</v>
      </c>
      <c r="L44" s="119">
        <f t="shared" si="12"/>
        <v>0</v>
      </c>
      <c r="M44" s="119">
        <f t="shared" si="12"/>
        <v>0</v>
      </c>
      <c r="N44" s="119">
        <f t="shared" si="12"/>
        <v>0</v>
      </c>
      <c r="O44" s="119">
        <f t="shared" si="12"/>
        <v>0</v>
      </c>
      <c r="P44" s="119">
        <f t="shared" si="12"/>
        <v>0</v>
      </c>
      <c r="Q44" s="119">
        <f t="shared" si="12"/>
        <v>0</v>
      </c>
      <c r="R44" s="119">
        <f t="shared" si="12"/>
        <v>0</v>
      </c>
      <c r="S44" s="119">
        <f t="shared" si="12"/>
        <v>0</v>
      </c>
      <c r="T44" s="119">
        <f t="shared" si="12"/>
        <v>0</v>
      </c>
      <c r="U44" s="119">
        <f t="shared" si="12"/>
        <v>0</v>
      </c>
      <c r="V44" s="119">
        <f t="shared" si="12"/>
        <v>0</v>
      </c>
      <c r="W44" s="119">
        <f t="shared" si="12"/>
        <v>0</v>
      </c>
      <c r="X44" s="119">
        <f t="shared" si="12"/>
        <v>0</v>
      </c>
      <c r="Y44" s="119">
        <f t="shared" si="12"/>
        <v>413609.89</v>
      </c>
      <c r="Z44" s="119">
        <f t="shared" si="12"/>
        <v>0</v>
      </c>
      <c r="AA44" s="119">
        <f t="shared" si="12"/>
        <v>0</v>
      </c>
      <c r="AB44" s="119">
        <f t="shared" si="12"/>
        <v>0</v>
      </c>
      <c r="AC44" s="119">
        <f t="shared" si="12"/>
        <v>0</v>
      </c>
      <c r="AD44" s="119">
        <f t="shared" si="12"/>
        <v>0</v>
      </c>
      <c r="AE44" s="119">
        <f t="shared" si="12"/>
        <v>0</v>
      </c>
      <c r="AF44" s="120">
        <f t="shared" si="12"/>
        <v>28889.84</v>
      </c>
      <c r="AG44" s="120">
        <f t="shared" si="12"/>
        <v>0</v>
      </c>
      <c r="AH44" s="105">
        <f t="shared" si="10"/>
        <v>442499.73000000004</v>
      </c>
      <c r="AI44" s="119"/>
      <c r="AJ44" s="105">
        <v>1761468.75</v>
      </c>
      <c r="AK44" s="126">
        <f>AH44-AJ44</f>
        <v>-1318969.02</v>
      </c>
      <c r="AM44" s="103" t="s">
        <v>319</v>
      </c>
      <c r="AN44" s="103">
        <v>500000</v>
      </c>
      <c r="AO44" s="103">
        <f>+AN44/$AO$39</f>
        <v>31250</v>
      </c>
      <c r="AP44" s="175">
        <v>0.125</v>
      </c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</row>
    <row r="45" spans="1:92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>
        <f t="shared" si="10"/>
        <v>0</v>
      </c>
      <c r="AI45" s="119"/>
      <c r="AJ45" s="105">
        <v>0</v>
      </c>
      <c r="AM45" s="103" t="s">
        <v>320</v>
      </c>
      <c r="AN45" s="103">
        <v>500000</v>
      </c>
      <c r="AO45" s="103">
        <f>+AN45/$AO$39</f>
        <v>31250</v>
      </c>
      <c r="AP45" s="175">
        <v>0.125</v>
      </c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</row>
    <row r="46" spans="1:92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 t="shared" si="10"/>
        <v>0</v>
      </c>
      <c r="AI46" s="119"/>
      <c r="AJ46" s="105">
        <v>0</v>
      </c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</row>
    <row r="47" spans="1:92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 t="shared" si="10"/>
        <v>0</v>
      </c>
      <c r="AI47" s="119"/>
      <c r="AJ47" s="105">
        <v>0</v>
      </c>
      <c r="AM47" s="103" t="s">
        <v>330</v>
      </c>
      <c r="AN47" s="103">
        <f>+AN42+AN43+Januar!AP44+Februar!AN45+AQ42</f>
        <v>4354875</v>
      </c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</row>
    <row r="48" spans="1:92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 t="shared" si="10"/>
        <v>0</v>
      </c>
      <c r="AI48" s="119"/>
      <c r="AJ48" s="105">
        <v>0</v>
      </c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</row>
    <row r="49" spans="1:38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105" t="s">
        <v>219</v>
      </c>
    </row>
    <row r="50" spans="1:38" s="109" customFormat="1" ht="12.75" customHeight="1" thickBot="1" x14ac:dyDescent="0.2">
      <c r="A50" s="118" t="s">
        <v>222</v>
      </c>
      <c r="B50" s="117">
        <f t="shared" ref="B50:AH50" si="13">B6+B44-B46-B47-B48</f>
        <v>0</v>
      </c>
      <c r="C50" s="114">
        <f t="shared" si="13"/>
        <v>0</v>
      </c>
      <c r="D50" s="114">
        <f t="shared" si="13"/>
        <v>0</v>
      </c>
      <c r="E50" s="114">
        <f t="shared" si="13"/>
        <v>0</v>
      </c>
      <c r="F50" s="114">
        <f t="shared" si="13"/>
        <v>0</v>
      </c>
      <c r="G50" s="114">
        <f t="shared" si="13"/>
        <v>0</v>
      </c>
      <c r="H50" s="114">
        <f t="shared" si="13"/>
        <v>0</v>
      </c>
      <c r="I50" s="114">
        <f t="shared" si="13"/>
        <v>0</v>
      </c>
      <c r="J50" s="114">
        <f t="shared" si="13"/>
        <v>0</v>
      </c>
      <c r="K50" s="114">
        <f t="shared" si="13"/>
        <v>0</v>
      </c>
      <c r="L50" s="114">
        <f t="shared" si="13"/>
        <v>0</v>
      </c>
      <c r="M50" s="114">
        <f t="shared" si="13"/>
        <v>0</v>
      </c>
      <c r="N50" s="114">
        <f t="shared" si="13"/>
        <v>0</v>
      </c>
      <c r="O50" s="114">
        <f t="shared" si="13"/>
        <v>0</v>
      </c>
      <c r="P50" s="114">
        <f t="shared" si="13"/>
        <v>0</v>
      </c>
      <c r="Q50" s="114">
        <f t="shared" si="13"/>
        <v>0</v>
      </c>
      <c r="R50" s="114">
        <f t="shared" si="13"/>
        <v>3000000</v>
      </c>
      <c r="S50" s="114">
        <f t="shared" si="13"/>
        <v>3000000</v>
      </c>
      <c r="T50" s="114">
        <f t="shared" si="13"/>
        <v>3000000</v>
      </c>
      <c r="U50" s="114">
        <f t="shared" si="13"/>
        <v>3000000</v>
      </c>
      <c r="V50" s="114">
        <f t="shared" si="13"/>
        <v>3000000</v>
      </c>
      <c r="W50" s="114">
        <f t="shared" si="13"/>
        <v>3000000</v>
      </c>
      <c r="X50" s="114">
        <f t="shared" si="13"/>
        <v>3000000</v>
      </c>
      <c r="Y50" s="114">
        <f t="shared" si="13"/>
        <v>3413609.89</v>
      </c>
      <c r="Z50" s="114">
        <f t="shared" si="13"/>
        <v>3413609.89</v>
      </c>
      <c r="AA50" s="114">
        <f t="shared" si="13"/>
        <v>3413609.89</v>
      </c>
      <c r="AB50" s="114">
        <f t="shared" si="13"/>
        <v>3413609.89</v>
      </c>
      <c r="AC50" s="114">
        <f t="shared" si="13"/>
        <v>3413609.89</v>
      </c>
      <c r="AD50" s="114">
        <f t="shared" si="13"/>
        <v>3413609.89</v>
      </c>
      <c r="AE50" s="114">
        <f t="shared" si="13"/>
        <v>3413609.89</v>
      </c>
      <c r="AF50" s="116">
        <f t="shared" si="13"/>
        <v>3442499.73</v>
      </c>
      <c r="AG50" s="116">
        <f t="shared" si="13"/>
        <v>3442499.73</v>
      </c>
      <c r="AH50" s="115">
        <f t="shared" si="13"/>
        <v>442499.73000000004</v>
      </c>
      <c r="AI50" s="114" t="s">
        <v>219</v>
      </c>
      <c r="AJ50" s="115">
        <v>1761468.75</v>
      </c>
      <c r="AK50" s="226">
        <f>AH50-AJ50</f>
        <v>-1318969.02</v>
      </c>
    </row>
    <row r="51" spans="1:38" s="110" customFormat="1" ht="16" thickTop="1" thickBot="1" x14ac:dyDescent="0.2">
      <c r="A51" s="113" t="s">
        <v>221</v>
      </c>
      <c r="B51" s="111">
        <f>+B5</f>
        <v>0</v>
      </c>
      <c r="C51" s="110">
        <v>-663361.96</v>
      </c>
      <c r="D51" s="110">
        <f t="shared" ref="D51:AH51" si="14">+D50-D52</f>
        <v>-1785226.9000000004</v>
      </c>
      <c r="E51" s="110">
        <f t="shared" si="14"/>
        <v>-1785226.9000000004</v>
      </c>
      <c r="F51" s="110">
        <f t="shared" si="14"/>
        <v>-1785226.9000000004</v>
      </c>
      <c r="G51" s="110">
        <f t="shared" si="14"/>
        <v>-1785226.9000000004</v>
      </c>
      <c r="H51" s="110">
        <f t="shared" si="14"/>
        <v>-1785226.9000000004</v>
      </c>
      <c r="I51" s="110">
        <f t="shared" si="14"/>
        <v>-1785226.9000000004</v>
      </c>
      <c r="J51" s="110">
        <f t="shared" si="14"/>
        <v>-1785226.9000000004</v>
      </c>
      <c r="K51" s="110">
        <f t="shared" si="14"/>
        <v>-1785226.9000000004</v>
      </c>
      <c r="L51" s="110">
        <f t="shared" si="14"/>
        <v>-1785226.9000000004</v>
      </c>
      <c r="M51" s="110">
        <f t="shared" si="14"/>
        <v>-1785226.9000000004</v>
      </c>
      <c r="N51" s="110">
        <f t="shared" si="14"/>
        <v>-1785226.9000000004</v>
      </c>
      <c r="O51" s="110">
        <f t="shared" si="14"/>
        <v>-1785226.9000000004</v>
      </c>
      <c r="P51" s="110">
        <f t="shared" si="14"/>
        <v>-1785226.9000000004</v>
      </c>
      <c r="Q51" s="110">
        <f t="shared" si="14"/>
        <v>-1785226.9000000004</v>
      </c>
      <c r="R51" s="110">
        <f t="shared" si="14"/>
        <v>1214773.0999999996</v>
      </c>
      <c r="S51" s="110">
        <f t="shared" si="14"/>
        <v>1214773.0999999996</v>
      </c>
      <c r="T51" s="110">
        <f t="shared" si="14"/>
        <v>1214773.0999999996</v>
      </c>
      <c r="U51" s="110">
        <f t="shared" si="14"/>
        <v>1214773.0999999996</v>
      </c>
      <c r="V51" s="110">
        <f t="shared" si="14"/>
        <v>1214773.0999999996</v>
      </c>
      <c r="W51" s="110">
        <f t="shared" si="14"/>
        <v>1214773.0999999996</v>
      </c>
      <c r="X51" s="110">
        <f t="shared" si="14"/>
        <v>1214773.0999999996</v>
      </c>
      <c r="Y51" s="110">
        <f t="shared" si="14"/>
        <v>1628382.9899999998</v>
      </c>
      <c r="Z51" s="110">
        <f t="shared" si="14"/>
        <v>1628382.9899999998</v>
      </c>
      <c r="AA51" s="110">
        <f t="shared" si="14"/>
        <v>1628382.9899999998</v>
      </c>
      <c r="AB51" s="110">
        <f t="shared" si="14"/>
        <v>1628382.9899999998</v>
      </c>
      <c r="AC51" s="110">
        <f t="shared" si="14"/>
        <v>1628382.9899999998</v>
      </c>
      <c r="AD51" s="110">
        <f t="shared" si="14"/>
        <v>1628382.9899999998</v>
      </c>
      <c r="AE51" s="110">
        <f t="shared" si="14"/>
        <v>1628382.9899999998</v>
      </c>
      <c r="AF51" s="110">
        <f t="shared" si="14"/>
        <v>1657272.8299999996</v>
      </c>
      <c r="AG51" s="110">
        <f t="shared" si="14"/>
        <v>1657272.8299999996</v>
      </c>
      <c r="AH51" s="110">
        <f t="shared" si="14"/>
        <v>-1342727.1700000004</v>
      </c>
      <c r="AJ51" s="110">
        <v>4761469</v>
      </c>
      <c r="AK51" s="109"/>
      <c r="AL51" s="109"/>
    </row>
    <row r="52" spans="1:38" x14ac:dyDescent="0.15">
      <c r="A52" s="112" t="s">
        <v>220</v>
      </c>
      <c r="B52" s="111"/>
      <c r="C52" s="110">
        <v>1785226.9000000004</v>
      </c>
      <c r="D52" s="110">
        <f t="shared" ref="D52:AH52" si="15">+C52</f>
        <v>1785226.9000000004</v>
      </c>
      <c r="E52" s="110">
        <f t="shared" si="15"/>
        <v>1785226.9000000004</v>
      </c>
      <c r="F52" s="110">
        <f t="shared" si="15"/>
        <v>1785226.9000000004</v>
      </c>
      <c r="G52" s="110">
        <f t="shared" si="15"/>
        <v>1785226.9000000004</v>
      </c>
      <c r="H52" s="110">
        <f t="shared" si="15"/>
        <v>1785226.9000000004</v>
      </c>
      <c r="I52" s="110">
        <f t="shared" si="15"/>
        <v>1785226.9000000004</v>
      </c>
      <c r="J52" s="110">
        <f t="shared" si="15"/>
        <v>1785226.9000000004</v>
      </c>
      <c r="K52" s="110">
        <f t="shared" si="15"/>
        <v>1785226.9000000004</v>
      </c>
      <c r="L52" s="110">
        <f t="shared" si="15"/>
        <v>1785226.9000000004</v>
      </c>
      <c r="M52" s="110">
        <f t="shared" si="15"/>
        <v>1785226.9000000004</v>
      </c>
      <c r="N52" s="110">
        <f t="shared" si="15"/>
        <v>1785226.9000000004</v>
      </c>
      <c r="O52" s="110">
        <f t="shared" si="15"/>
        <v>1785226.9000000004</v>
      </c>
      <c r="P52" s="110">
        <f t="shared" si="15"/>
        <v>1785226.9000000004</v>
      </c>
      <c r="Q52" s="110">
        <f t="shared" si="15"/>
        <v>1785226.9000000004</v>
      </c>
      <c r="R52" s="110">
        <f t="shared" si="15"/>
        <v>1785226.9000000004</v>
      </c>
      <c r="S52" s="110">
        <f t="shared" si="15"/>
        <v>1785226.9000000004</v>
      </c>
      <c r="T52" s="110">
        <f t="shared" si="15"/>
        <v>1785226.9000000004</v>
      </c>
      <c r="U52" s="110">
        <f t="shared" si="15"/>
        <v>1785226.9000000004</v>
      </c>
      <c r="V52" s="110">
        <f t="shared" si="15"/>
        <v>1785226.9000000004</v>
      </c>
      <c r="W52" s="110">
        <f t="shared" si="15"/>
        <v>1785226.9000000004</v>
      </c>
      <c r="X52" s="110">
        <f t="shared" si="15"/>
        <v>1785226.9000000004</v>
      </c>
      <c r="Y52" s="110">
        <f t="shared" si="15"/>
        <v>1785226.9000000004</v>
      </c>
      <c r="Z52" s="110">
        <f t="shared" si="15"/>
        <v>1785226.9000000004</v>
      </c>
      <c r="AA52" s="110">
        <f t="shared" si="15"/>
        <v>1785226.9000000004</v>
      </c>
      <c r="AB52" s="110">
        <f t="shared" si="15"/>
        <v>1785226.9000000004</v>
      </c>
      <c r="AC52" s="110">
        <f t="shared" si="15"/>
        <v>1785226.9000000004</v>
      </c>
      <c r="AD52" s="110">
        <f t="shared" si="15"/>
        <v>1785226.9000000004</v>
      </c>
      <c r="AE52" s="110">
        <f t="shared" si="15"/>
        <v>1785226.9000000004</v>
      </c>
      <c r="AF52" s="110">
        <f t="shared" si="15"/>
        <v>1785226.9000000004</v>
      </c>
      <c r="AG52" s="110">
        <f t="shared" si="15"/>
        <v>1785226.9000000004</v>
      </c>
      <c r="AH52" s="110">
        <f t="shared" si="15"/>
        <v>1785226.9000000004</v>
      </c>
      <c r="AI52" s="110"/>
      <c r="AK52" s="109"/>
      <c r="AL52" s="109"/>
    </row>
    <row r="53" spans="1:38" x14ac:dyDescent="0.15">
      <c r="A53" s="103" t="s">
        <v>219</v>
      </c>
    </row>
    <row r="56" spans="1:38" x14ac:dyDescent="0.15">
      <c r="A56" s="106"/>
    </row>
    <row r="57" spans="1:38" x14ac:dyDescent="0.15">
      <c r="A57" s="106"/>
      <c r="R57" s="360" t="s">
        <v>386</v>
      </c>
      <c r="S57" s="360"/>
      <c r="T57" s="360"/>
      <c r="U57" s="360"/>
      <c r="V57" s="360"/>
      <c r="W57" s="360"/>
      <c r="X57" s="360"/>
      <c r="Y57" s="360"/>
    </row>
    <row r="58" spans="1:38" x14ac:dyDescent="0.15">
      <c r="A58" s="106"/>
      <c r="R58" s="360"/>
      <c r="S58" s="360"/>
      <c r="T58" s="360"/>
      <c r="U58" s="360"/>
      <c r="V58" s="360"/>
      <c r="W58" s="360"/>
      <c r="X58" s="360"/>
      <c r="Y58" s="360"/>
    </row>
    <row r="59" spans="1:38" x14ac:dyDescent="0.15">
      <c r="A59" s="106"/>
      <c r="R59" s="360"/>
      <c r="S59" s="360"/>
      <c r="T59" s="360"/>
      <c r="U59" s="360"/>
      <c r="V59" s="360"/>
      <c r="W59" s="360"/>
      <c r="X59" s="360"/>
      <c r="Y59" s="360"/>
    </row>
    <row r="60" spans="1:38" x14ac:dyDescent="0.15">
      <c r="A60" s="106"/>
      <c r="R60" s="360"/>
      <c r="S60" s="360"/>
      <c r="T60" s="360"/>
      <c r="U60" s="360"/>
      <c r="V60" s="360"/>
      <c r="W60" s="360"/>
      <c r="X60" s="360"/>
      <c r="Y60" s="360"/>
    </row>
    <row r="61" spans="1:38" x14ac:dyDescent="0.15">
      <c r="A61" s="106"/>
      <c r="R61" s="360"/>
      <c r="S61" s="360"/>
      <c r="T61" s="360"/>
      <c r="U61" s="360"/>
      <c r="V61" s="360"/>
      <c r="W61" s="360"/>
      <c r="X61" s="360"/>
      <c r="Y61" s="360"/>
    </row>
    <row r="62" spans="1:38" x14ac:dyDescent="0.15">
      <c r="A62" s="106"/>
      <c r="R62" s="360"/>
      <c r="S62" s="360"/>
      <c r="T62" s="360"/>
      <c r="U62" s="360"/>
      <c r="V62" s="360"/>
      <c r="W62" s="360"/>
      <c r="X62" s="360"/>
      <c r="Y62" s="360"/>
    </row>
    <row r="63" spans="1:38" x14ac:dyDescent="0.15">
      <c r="A63" s="106"/>
      <c r="R63" s="360"/>
      <c r="S63" s="360"/>
      <c r="T63" s="360"/>
      <c r="U63" s="360"/>
      <c r="V63" s="360"/>
      <c r="W63" s="360"/>
      <c r="X63" s="360"/>
      <c r="Y63" s="360"/>
    </row>
    <row r="64" spans="1:38" x14ac:dyDescent="0.15">
      <c r="A64" s="108"/>
      <c r="B64" s="105"/>
    </row>
    <row r="65" spans="1:2" x14ac:dyDescent="0.15">
      <c r="A65" s="107"/>
    </row>
    <row r="66" spans="1:2" x14ac:dyDescent="0.15">
      <c r="A66" s="106"/>
    </row>
    <row r="67" spans="1:2" x14ac:dyDescent="0.15">
      <c r="A67" s="106"/>
    </row>
    <row r="68" spans="1:2" x14ac:dyDescent="0.15">
      <c r="A68" s="106"/>
    </row>
    <row r="69" spans="1:2" x14ac:dyDescent="0.15">
      <c r="A69" s="106"/>
    </row>
    <row r="70" spans="1:2" x14ac:dyDescent="0.15">
      <c r="A70" s="106"/>
    </row>
    <row r="71" spans="1:2" x14ac:dyDescent="0.15">
      <c r="A71" s="106"/>
    </row>
    <row r="72" spans="1:2" x14ac:dyDescent="0.15">
      <c r="A72" s="106"/>
    </row>
    <row r="73" spans="1:2" x14ac:dyDescent="0.15">
      <c r="B73" s="105"/>
    </row>
    <row r="75" spans="1:2" x14ac:dyDescent="0.15">
      <c r="B75" s="104"/>
    </row>
    <row r="76" spans="1:2" x14ac:dyDescent="0.15">
      <c r="A76" s="104"/>
    </row>
    <row r="77" spans="1:2" x14ac:dyDescent="0.15">
      <c r="A77" s="104"/>
    </row>
    <row r="81" spans="1:1" x14ac:dyDescent="0.15">
      <c r="A81" s="104"/>
    </row>
  </sheetData>
  <mergeCells count="1">
    <mergeCell ref="R57:Y6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EEBA-496E-4EE2-AEFB-9DE5AB349006}">
  <dimension ref="A1:CP83"/>
  <sheetViews>
    <sheetView zoomScale="80" zoomScaleNormal="80" workbookViewId="0">
      <pane xSplit="2" ySplit="6" topLeftCell="C7" activePane="bottomRight" state="frozen"/>
      <selection activeCell="B27" sqref="B27"/>
      <selection pane="topRight" activeCell="B27" sqref="B27"/>
      <selection pane="bottomLeft" activeCell="B27" sqref="B27"/>
      <selection pane="bottomRight" activeCell="H10" sqref="H10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32.1640625" style="103" customWidth="1"/>
    <col min="3" max="3" width="12" style="103" bestFit="1" customWidth="1"/>
    <col min="4" max="8" width="11.33203125" style="103" bestFit="1" customWidth="1"/>
    <col min="9" max="9" width="11.83203125" style="103" bestFit="1" customWidth="1"/>
    <col min="10" max="14" width="11.33203125" style="103" bestFit="1" customWidth="1"/>
    <col min="15" max="15" width="12.5" style="103" customWidth="1"/>
    <col min="16" max="18" width="11.33203125" style="103" bestFit="1" customWidth="1"/>
    <col min="19" max="19" width="12.5" style="103" bestFit="1" customWidth="1"/>
    <col min="20" max="30" width="11.33203125" style="103" bestFit="1" customWidth="1"/>
    <col min="31" max="31" width="12.33203125" style="103" bestFit="1" customWidth="1"/>
    <col min="32" max="32" width="11.33203125" style="103" bestFit="1" customWidth="1"/>
    <col min="33" max="33" width="11.83203125" style="103" bestFit="1" customWidth="1"/>
    <col min="34" max="34" width="14.83203125" style="103" bestFit="1" customWidth="1"/>
    <col min="35" max="35" width="1.33203125" style="103" customWidth="1"/>
    <col min="36" max="36" width="13.33203125" style="103" customWidth="1"/>
    <col min="37" max="37" width="23.5" style="103" customWidth="1"/>
    <col min="38" max="39" width="14.83203125" style="103" bestFit="1" customWidth="1"/>
    <col min="40" max="40" width="45.33203125" style="103" customWidth="1"/>
    <col min="41" max="41" width="11.5" style="103"/>
    <col min="42" max="42" width="12.83203125" style="103" bestFit="1" customWidth="1"/>
    <col min="43" max="16384" width="11.5" style="103"/>
  </cols>
  <sheetData>
    <row r="1" spans="1:94" x14ac:dyDescent="0.15">
      <c r="A1" s="103" t="s">
        <v>298</v>
      </c>
      <c r="B1" s="103">
        <v>22</v>
      </c>
      <c r="AJ1" s="280">
        <v>45686</v>
      </c>
      <c r="AK1" s="280"/>
      <c r="AL1" s="280">
        <v>45672</v>
      </c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</row>
    <row r="2" spans="1:94" x14ac:dyDescent="0.15">
      <c r="A2" s="154"/>
      <c r="B2" s="154" t="s">
        <v>297</v>
      </c>
      <c r="C2" s="155">
        <v>45658</v>
      </c>
      <c r="D2" s="155">
        <v>45659</v>
      </c>
      <c r="E2" s="155">
        <v>45660</v>
      </c>
      <c r="F2" s="155">
        <v>45661</v>
      </c>
      <c r="G2" s="155">
        <v>45662</v>
      </c>
      <c r="H2" s="155">
        <v>45663</v>
      </c>
      <c r="I2" s="155">
        <v>45664</v>
      </c>
      <c r="J2" s="155">
        <v>45665</v>
      </c>
      <c r="K2" s="155">
        <v>45666</v>
      </c>
      <c r="L2" s="155">
        <v>45667</v>
      </c>
      <c r="M2" s="155">
        <v>45668</v>
      </c>
      <c r="N2" s="155">
        <v>45669</v>
      </c>
      <c r="O2" s="155">
        <v>45670</v>
      </c>
      <c r="P2" s="155">
        <v>45671</v>
      </c>
      <c r="Q2" s="155">
        <v>45672</v>
      </c>
      <c r="R2" s="155">
        <v>45673</v>
      </c>
      <c r="S2" s="155">
        <v>45674</v>
      </c>
      <c r="T2" s="155">
        <v>45675</v>
      </c>
      <c r="U2" s="155">
        <v>45676</v>
      </c>
      <c r="V2" s="155">
        <v>45677</v>
      </c>
      <c r="W2" s="155">
        <v>45678</v>
      </c>
      <c r="X2" s="155">
        <v>45679</v>
      </c>
      <c r="Y2" s="155">
        <v>45680</v>
      </c>
      <c r="Z2" s="155">
        <v>45681</v>
      </c>
      <c r="AA2" s="155">
        <v>45682</v>
      </c>
      <c r="AB2" s="155">
        <v>45683</v>
      </c>
      <c r="AC2" s="155">
        <v>45684</v>
      </c>
      <c r="AD2" s="155">
        <v>45685</v>
      </c>
      <c r="AE2" s="155">
        <v>45686</v>
      </c>
      <c r="AF2" s="155">
        <v>45687</v>
      </c>
      <c r="AG2" s="155">
        <v>45688</v>
      </c>
      <c r="AH2" s="154" t="s">
        <v>297</v>
      </c>
      <c r="AI2" s="154" t="s">
        <v>219</v>
      </c>
      <c r="AJ2" s="154"/>
      <c r="AK2" s="154"/>
      <c r="AL2" s="154" t="s">
        <v>375</v>
      </c>
      <c r="AM2" s="154" t="s">
        <v>376</v>
      </c>
      <c r="AN2" s="228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</row>
    <row r="3" spans="1:94" x14ac:dyDescent="0.15">
      <c r="A3" s="153" t="s">
        <v>296</v>
      </c>
      <c r="B3" s="151"/>
      <c r="C3" s="272" t="s">
        <v>295</v>
      </c>
      <c r="D3" s="272" t="s">
        <v>294</v>
      </c>
      <c r="E3" s="272" t="s">
        <v>293</v>
      </c>
      <c r="F3" s="272" t="s">
        <v>292</v>
      </c>
      <c r="G3" s="272" t="s">
        <v>291</v>
      </c>
      <c r="H3" s="272" t="s">
        <v>290</v>
      </c>
      <c r="I3" s="272" t="s">
        <v>289</v>
      </c>
      <c r="J3" s="272" t="s">
        <v>288</v>
      </c>
      <c r="K3" s="272" t="s">
        <v>287</v>
      </c>
      <c r="L3" s="272" t="s">
        <v>286</v>
      </c>
      <c r="M3" s="153" t="s">
        <v>285</v>
      </c>
      <c r="N3" s="153" t="s">
        <v>284</v>
      </c>
      <c r="O3" s="272" t="s">
        <v>283</v>
      </c>
      <c r="P3" s="272" t="s">
        <v>282</v>
      </c>
      <c r="Q3" s="272" t="s">
        <v>281</v>
      </c>
      <c r="R3" s="272" t="s">
        <v>280</v>
      </c>
      <c r="S3" s="272" t="s">
        <v>279</v>
      </c>
      <c r="T3" s="153" t="s">
        <v>278</v>
      </c>
      <c r="U3" s="153" t="s">
        <v>277</v>
      </c>
      <c r="V3" s="272" t="s">
        <v>276</v>
      </c>
      <c r="W3" s="272" t="s">
        <v>275</v>
      </c>
      <c r="X3" s="272" t="s">
        <v>274</v>
      </c>
      <c r="Y3" s="272" t="s">
        <v>273</v>
      </c>
      <c r="Z3" s="272" t="s">
        <v>272</v>
      </c>
      <c r="AA3" s="153" t="s">
        <v>271</v>
      </c>
      <c r="AB3" s="153" t="s">
        <v>270</v>
      </c>
      <c r="AC3" s="272" t="s">
        <v>269</v>
      </c>
      <c r="AD3" s="272" t="s">
        <v>268</v>
      </c>
      <c r="AE3" s="272" t="s">
        <v>267</v>
      </c>
      <c r="AF3" s="272" t="s">
        <v>266</v>
      </c>
      <c r="AG3" s="272" t="s">
        <v>265</v>
      </c>
      <c r="AH3" s="152" t="s">
        <v>264</v>
      </c>
      <c r="AI3" s="151"/>
      <c r="AJ3" s="229"/>
      <c r="AK3" s="229"/>
      <c r="AL3" s="279">
        <v>45672</v>
      </c>
      <c r="AM3" s="152"/>
      <c r="AN3" s="278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</row>
    <row r="4" spans="1:94" x14ac:dyDescent="0.15">
      <c r="A4" s="112" t="s">
        <v>263</v>
      </c>
      <c r="B4" s="150">
        <f>+Dezember24!AG50</f>
        <v>3442499.73</v>
      </c>
      <c r="C4" s="149">
        <f>B4</f>
        <v>3442499.73</v>
      </c>
      <c r="D4" s="149">
        <f t="shared" ref="D4:AG4" si="0">+C50</f>
        <v>3442499.73</v>
      </c>
      <c r="E4" s="149">
        <f t="shared" si="0"/>
        <v>3439804.61</v>
      </c>
      <c r="F4" s="149">
        <f t="shared" si="0"/>
        <v>3276049.86</v>
      </c>
      <c r="G4" s="149">
        <f t="shared" si="0"/>
        <v>3276049.86</v>
      </c>
      <c r="H4" s="149">
        <f t="shared" si="0"/>
        <v>3276049.86</v>
      </c>
      <c r="I4" s="149">
        <f t="shared" si="0"/>
        <v>3284936.57</v>
      </c>
      <c r="J4" s="149">
        <f t="shared" si="0"/>
        <v>2103691.6899999995</v>
      </c>
      <c r="K4" s="149">
        <f t="shared" si="0"/>
        <v>1913556.4599999995</v>
      </c>
      <c r="L4" s="149">
        <f t="shared" si="0"/>
        <v>1493278.0299999996</v>
      </c>
      <c r="M4" s="149">
        <f t="shared" si="0"/>
        <v>1526354.4599999995</v>
      </c>
      <c r="N4" s="149">
        <f t="shared" si="0"/>
        <v>1526354.4599999995</v>
      </c>
      <c r="O4" s="149">
        <f t="shared" si="0"/>
        <v>1526354.4599999995</v>
      </c>
      <c r="P4" s="149">
        <f t="shared" si="0"/>
        <v>2680839.4099999992</v>
      </c>
      <c r="Q4" s="149">
        <f t="shared" si="0"/>
        <v>2728503.5999999992</v>
      </c>
      <c r="R4" s="149">
        <f t="shared" si="0"/>
        <v>2792818.7799999993</v>
      </c>
      <c r="S4" s="149">
        <f t="shared" si="0"/>
        <v>2695856.1099999994</v>
      </c>
      <c r="T4" s="149">
        <f t="shared" si="0"/>
        <v>3148385.1699999995</v>
      </c>
      <c r="U4" s="149">
        <f t="shared" si="0"/>
        <v>3148385.1699999995</v>
      </c>
      <c r="V4" s="149">
        <f t="shared" si="0"/>
        <v>3148385.1699999995</v>
      </c>
      <c r="W4" s="149">
        <f t="shared" si="0"/>
        <v>3204256.3899999997</v>
      </c>
      <c r="X4" s="149">
        <f t="shared" si="0"/>
        <v>2790410.7699999996</v>
      </c>
      <c r="Y4" s="149">
        <f t="shared" si="0"/>
        <v>2768401.5199999996</v>
      </c>
      <c r="Z4" s="149">
        <f t="shared" si="0"/>
        <v>2860842.9399999995</v>
      </c>
      <c r="AA4" s="149">
        <f t="shared" si="0"/>
        <v>2737081.9699999993</v>
      </c>
      <c r="AB4" s="149">
        <f t="shared" si="0"/>
        <v>2737081.9699999993</v>
      </c>
      <c r="AC4" s="149">
        <f t="shared" si="0"/>
        <v>2737081.9699999993</v>
      </c>
      <c r="AD4" s="149">
        <f t="shared" si="0"/>
        <v>3192343.7599999993</v>
      </c>
      <c r="AE4" s="149">
        <f t="shared" si="0"/>
        <v>3718901.1199999992</v>
      </c>
      <c r="AF4" s="149">
        <f t="shared" si="0"/>
        <v>4244701.8299999991</v>
      </c>
      <c r="AG4" s="149">
        <f t="shared" si="0"/>
        <v>4458528.1199999992</v>
      </c>
      <c r="AH4" s="105">
        <f>+B4</f>
        <v>3442499.73</v>
      </c>
      <c r="AI4" s="148"/>
      <c r="AJ4" s="126"/>
      <c r="AK4" s="126"/>
      <c r="AL4" s="105"/>
      <c r="AM4" s="105"/>
      <c r="AN4" s="105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</row>
    <row r="5" spans="1:94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26"/>
      <c r="AK5" s="126"/>
      <c r="AL5" s="145"/>
      <c r="AM5" s="145"/>
      <c r="AN5" s="105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</row>
    <row r="6" spans="1:94" x14ac:dyDescent="0.15">
      <c r="A6" s="133" t="s">
        <v>261</v>
      </c>
      <c r="B6" s="142">
        <f t="shared" ref="B6:AG6" si="1">+B4+B5</f>
        <v>3442499.73</v>
      </c>
      <c r="C6" s="142">
        <f t="shared" si="1"/>
        <v>3442499.73</v>
      </c>
      <c r="D6" s="142">
        <f t="shared" si="1"/>
        <v>3442499.73</v>
      </c>
      <c r="E6" s="142">
        <f t="shared" si="1"/>
        <v>3439804.61</v>
      </c>
      <c r="F6" s="142">
        <f t="shared" si="1"/>
        <v>3276049.86</v>
      </c>
      <c r="G6" s="142">
        <f t="shared" si="1"/>
        <v>3276049.86</v>
      </c>
      <c r="H6" s="142">
        <f t="shared" si="1"/>
        <v>3276049.86</v>
      </c>
      <c r="I6" s="142">
        <f t="shared" si="1"/>
        <v>3284936.57</v>
      </c>
      <c r="J6" s="142">
        <f t="shared" si="1"/>
        <v>2103691.6899999995</v>
      </c>
      <c r="K6" s="142">
        <f t="shared" si="1"/>
        <v>1913556.4599999995</v>
      </c>
      <c r="L6" s="142">
        <f t="shared" si="1"/>
        <v>1493278.0299999996</v>
      </c>
      <c r="M6" s="142">
        <f t="shared" si="1"/>
        <v>1526354.4599999995</v>
      </c>
      <c r="N6" s="142">
        <f t="shared" si="1"/>
        <v>1526354.4599999995</v>
      </c>
      <c r="O6" s="142">
        <f t="shared" si="1"/>
        <v>1526354.4599999995</v>
      </c>
      <c r="P6" s="142">
        <f t="shared" si="1"/>
        <v>2680839.4099999992</v>
      </c>
      <c r="Q6" s="142">
        <f t="shared" si="1"/>
        <v>2728503.5999999992</v>
      </c>
      <c r="R6" s="142">
        <f t="shared" si="1"/>
        <v>2792818.7799999993</v>
      </c>
      <c r="S6" s="142">
        <f t="shared" si="1"/>
        <v>2695856.1099999994</v>
      </c>
      <c r="T6" s="142">
        <f t="shared" si="1"/>
        <v>3148385.1699999995</v>
      </c>
      <c r="U6" s="142">
        <f t="shared" si="1"/>
        <v>3148385.1699999995</v>
      </c>
      <c r="V6" s="142">
        <f t="shared" si="1"/>
        <v>3148385.1699999995</v>
      </c>
      <c r="W6" s="142">
        <f t="shared" si="1"/>
        <v>3204256.3899999997</v>
      </c>
      <c r="X6" s="142">
        <f t="shared" si="1"/>
        <v>2790410.7699999996</v>
      </c>
      <c r="Y6" s="142">
        <f t="shared" si="1"/>
        <v>2768401.5199999996</v>
      </c>
      <c r="Z6" s="142">
        <f t="shared" si="1"/>
        <v>2860842.9399999995</v>
      </c>
      <c r="AA6" s="142">
        <f t="shared" si="1"/>
        <v>2737081.9699999993</v>
      </c>
      <c r="AB6" s="142">
        <f t="shared" si="1"/>
        <v>2737081.9699999993</v>
      </c>
      <c r="AC6" s="142">
        <f t="shared" si="1"/>
        <v>2737081.9699999993</v>
      </c>
      <c r="AD6" s="142">
        <f t="shared" si="1"/>
        <v>3192343.7599999993</v>
      </c>
      <c r="AE6" s="142">
        <f t="shared" si="1"/>
        <v>3718901.1199999992</v>
      </c>
      <c r="AF6" s="132">
        <f t="shared" si="1"/>
        <v>4244701.8299999991</v>
      </c>
      <c r="AG6" s="132">
        <f t="shared" si="1"/>
        <v>4458528.1199999992</v>
      </c>
      <c r="AH6" s="105">
        <f>AH5+AH4</f>
        <v>3442499.73</v>
      </c>
      <c r="AI6" s="142"/>
      <c r="AJ6" s="126"/>
      <c r="AK6" s="126"/>
      <c r="AL6" s="105"/>
      <c r="AM6" s="105"/>
      <c r="AN6" s="105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</row>
    <row r="7" spans="1:94" x14ac:dyDescent="0.15">
      <c r="A7" s="133" t="s">
        <v>260</v>
      </c>
      <c r="B7" s="166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 t="s">
        <v>219</v>
      </c>
      <c r="AI7" s="142"/>
      <c r="AJ7" s="126"/>
      <c r="AK7" s="126"/>
      <c r="AL7" s="105">
        <v>0</v>
      </c>
      <c r="AM7" s="105"/>
      <c r="AN7" s="105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123"/>
      <c r="CP7" s="123"/>
    </row>
    <row r="8" spans="1:94" x14ac:dyDescent="0.15">
      <c r="A8" s="136" t="s">
        <v>259</v>
      </c>
      <c r="B8" s="122">
        <f>SUM(D8:AG8)</f>
        <v>1336978.3400000001</v>
      </c>
      <c r="D8" s="120"/>
      <c r="E8" s="120"/>
      <c r="F8" s="120"/>
      <c r="G8" s="120"/>
      <c r="H8" s="120"/>
      <c r="I8" s="120">
        <v>1109251.3400000001</v>
      </c>
      <c r="J8" s="120"/>
      <c r="K8" s="120"/>
      <c r="L8" s="120"/>
      <c r="M8" s="120"/>
      <c r="N8" s="120"/>
      <c r="P8" s="120"/>
      <c r="Q8" s="120"/>
      <c r="R8" s="120">
        <v>227727</v>
      </c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>SUM(D8:AG8)</f>
        <v>1336978.3400000001</v>
      </c>
      <c r="AI8" s="119"/>
      <c r="AJ8" s="275">
        <v>1336978.04</v>
      </c>
      <c r="AK8" s="275"/>
      <c r="AL8" s="105">
        <v>1985625.6100959999</v>
      </c>
      <c r="AM8" s="105">
        <f>AH8-AL8</f>
        <v>-648647.27009599982</v>
      </c>
      <c r="AN8" s="103" t="s">
        <v>383</v>
      </c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</row>
    <row r="9" spans="1:94" x14ac:dyDescent="0.15">
      <c r="A9" s="141" t="s">
        <v>258</v>
      </c>
      <c r="B9" s="122">
        <f>SUM(C9:AG9)</f>
        <v>0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ref="AH9:AH31" si="2">SUM(C9:AG9)</f>
        <v>0</v>
      </c>
      <c r="AI9" s="119"/>
      <c r="AJ9" s="275">
        <v>0</v>
      </c>
      <c r="AK9" s="275"/>
      <c r="AL9" s="105">
        <v>0</v>
      </c>
      <c r="AM9" s="105">
        <f>AH9-AL9</f>
        <v>0</v>
      </c>
      <c r="AN9" s="105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</row>
    <row r="10" spans="1:94" x14ac:dyDescent="0.15">
      <c r="A10" s="136" t="s">
        <v>257</v>
      </c>
      <c r="B10" s="122">
        <f>SUM(C10:AG10)</f>
        <v>2712411.0500000003</v>
      </c>
      <c r="C10" s="120"/>
      <c r="D10" s="120">
        <f>12474.47+10000</f>
        <v>22474.47</v>
      </c>
      <c r="E10" s="120">
        <f>62095+25124.39+694.73</f>
        <v>87914.12</v>
      </c>
      <c r="F10" s="120"/>
      <c r="G10" s="120"/>
      <c r="H10" s="120">
        <v>14122.62</v>
      </c>
      <c r="I10" s="120">
        <f>70000+22176.84</f>
        <v>92176.84</v>
      </c>
      <c r="J10" s="120">
        <f>33000+22000+868.7</f>
        <v>55868.7</v>
      </c>
      <c r="K10" s="120">
        <f>13262.14+833.5+9000</f>
        <v>23095.64</v>
      </c>
      <c r="L10" s="120">
        <v>46910.34</v>
      </c>
      <c r="M10" s="120"/>
      <c r="N10" s="120"/>
      <c r="O10" s="120">
        <v>77887.86</v>
      </c>
      <c r="P10" s="120">
        <f>1410.88+730.64</f>
        <v>2141.52</v>
      </c>
      <c r="Q10" s="103">
        <v>683.53</v>
      </c>
      <c r="R10" s="120">
        <v>23622.78</v>
      </c>
      <c r="S10" s="120">
        <f>17394+22868+29904+61317.48+27103.84+18386.78+48842.37</f>
        <v>225816.47</v>
      </c>
      <c r="T10" s="120"/>
      <c r="U10" s="120"/>
      <c r="V10" s="120">
        <f>500+271.44+330+510+47684.53+250</f>
        <v>49545.97</v>
      </c>
      <c r="W10" s="120">
        <f>9214.75+28821.31+2287.21+20+42464.28+18876.56+52598.55+3451.22+20+74008.16+5+46114.91+35746.68+68031.3+6174.5+79317.59+19922.06</f>
        <v>487074.0799999999</v>
      </c>
      <c r="X10" s="120">
        <f>9007.92+4726.89+5701.62+2534.3+3048.64+5592.65+9149.87+3235.51+13045.38+3440.28+15564.61+22101.43+2173.97</f>
        <v>99323.07</v>
      </c>
      <c r="Y10" s="120">
        <f>906.77+1848.16+426.71+185.18+3386.48+94.47+3135.68+746.35+1474.89+915.65</f>
        <v>13120.34</v>
      </c>
      <c r="Z10" s="120">
        <f>65297.96+39733.09+21010.8+1818.3+16129.37+77803.93+7581.1+96876.75+28157.81+9848.25+42395.39+12756.56</f>
        <v>419409.31</v>
      </c>
      <c r="AA10" s="120"/>
      <c r="AB10" s="120"/>
      <c r="AC10" s="120">
        <v>51765.88</v>
      </c>
      <c r="AD10" s="120">
        <f>5697+269.49+5474+13359.96+21130.93+6523.49+5213.91+61154.34+11667.12+17362.56+9017.32+7526.23+270.73</f>
        <v>164667.08000000002</v>
      </c>
      <c r="AE10" s="120"/>
      <c r="AF10" s="120">
        <f>167586.84+3598.09+3120</f>
        <v>174304.93</v>
      </c>
      <c r="AG10" s="120">
        <f>9764.65+48838.15+357114.71-16000+3677.53+12728.12+21065.58+47654.67+21008.91+31911.82+4316.24+7294.29+21058.65+10052.18</f>
        <v>580485.50000000012</v>
      </c>
      <c r="AH10" s="105">
        <f t="shared" si="2"/>
        <v>2712411.0500000003</v>
      </c>
      <c r="AI10" s="119"/>
      <c r="AJ10" s="275">
        <v>4245652.3900000006</v>
      </c>
      <c r="AK10" s="275" t="s">
        <v>420</v>
      </c>
      <c r="AL10" s="105">
        <v>4050000</v>
      </c>
      <c r="AM10" s="105">
        <f>AH10-AL10</f>
        <v>-1337588.9499999997</v>
      </c>
      <c r="AN10" s="103" t="s">
        <v>399</v>
      </c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</row>
    <row r="11" spans="1:94" x14ac:dyDescent="0.15">
      <c r="A11" s="136" t="s">
        <v>256</v>
      </c>
      <c r="B11" s="122"/>
      <c r="C11" s="120"/>
      <c r="D11" s="120"/>
      <c r="E11" s="120">
        <v>80069</v>
      </c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80069</v>
      </c>
      <c r="AI11" s="119"/>
      <c r="AJ11" s="275">
        <v>80069</v>
      </c>
      <c r="AK11" s="275"/>
      <c r="AL11" s="105">
        <v>0</v>
      </c>
      <c r="AM11" s="105"/>
      <c r="AN11" s="105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</row>
    <row r="12" spans="1:94" x14ac:dyDescent="0.15">
      <c r="A12" s="136" t="s">
        <v>255</v>
      </c>
      <c r="B12" s="122">
        <f>SUM(C12:AG12)</f>
        <v>541051.79</v>
      </c>
      <c r="C12" s="120">
        <f t="shared" ref="C12:AH12" si="3">SUM(C13:C22)</f>
        <v>0</v>
      </c>
      <c r="D12" s="120">
        <f t="shared" si="3"/>
        <v>0</v>
      </c>
      <c r="E12" s="120">
        <f t="shared" si="3"/>
        <v>0</v>
      </c>
      <c r="F12" s="120">
        <f t="shared" si="3"/>
        <v>0</v>
      </c>
      <c r="G12" s="120">
        <f t="shared" si="3"/>
        <v>0</v>
      </c>
      <c r="H12" s="120">
        <f t="shared" si="3"/>
        <v>11000</v>
      </c>
      <c r="I12" s="120">
        <f t="shared" si="3"/>
        <v>0</v>
      </c>
      <c r="J12" s="120">
        <f t="shared" si="3"/>
        <v>105000</v>
      </c>
      <c r="K12" s="120">
        <f t="shared" si="3"/>
        <v>425051.79</v>
      </c>
      <c r="L12" s="120">
        <f t="shared" si="3"/>
        <v>0</v>
      </c>
      <c r="M12" s="120">
        <f t="shared" si="3"/>
        <v>0</v>
      </c>
      <c r="N12" s="120">
        <f t="shared" si="3"/>
        <v>0</v>
      </c>
      <c r="O12" s="120">
        <f t="shared" si="3"/>
        <v>0</v>
      </c>
      <c r="P12" s="120">
        <f t="shared" si="3"/>
        <v>0</v>
      </c>
      <c r="Q12" s="120">
        <f t="shared" si="3"/>
        <v>0</v>
      </c>
      <c r="R12" s="120">
        <f t="shared" si="3"/>
        <v>0</v>
      </c>
      <c r="S12" s="120">
        <f t="shared" si="3"/>
        <v>0</v>
      </c>
      <c r="T12" s="120">
        <f t="shared" si="3"/>
        <v>0</v>
      </c>
      <c r="U12" s="120">
        <f t="shared" si="3"/>
        <v>0</v>
      </c>
      <c r="V12" s="120">
        <f t="shared" si="3"/>
        <v>0</v>
      </c>
      <c r="W12" s="120">
        <f t="shared" si="3"/>
        <v>0</v>
      </c>
      <c r="X12" s="120">
        <f t="shared" si="3"/>
        <v>0</v>
      </c>
      <c r="Y12" s="120">
        <f t="shared" si="3"/>
        <v>0</v>
      </c>
      <c r="Z12" s="120">
        <f t="shared" si="3"/>
        <v>0</v>
      </c>
      <c r="AA12" s="120">
        <f t="shared" si="3"/>
        <v>0</v>
      </c>
      <c r="AB12" s="120">
        <f t="shared" si="3"/>
        <v>0</v>
      </c>
      <c r="AC12" s="120">
        <f t="shared" si="3"/>
        <v>0</v>
      </c>
      <c r="AD12" s="120">
        <f t="shared" ref="AD12:AG12" si="4">SUM(AD13:AD22)</f>
        <v>0</v>
      </c>
      <c r="AE12" s="120">
        <f t="shared" si="4"/>
        <v>0</v>
      </c>
      <c r="AF12" s="120">
        <f t="shared" si="4"/>
        <v>0</v>
      </c>
      <c r="AG12" s="120">
        <f t="shared" si="4"/>
        <v>0</v>
      </c>
      <c r="AH12" s="105">
        <f t="shared" si="3"/>
        <v>541051.79</v>
      </c>
      <c r="AI12" s="119"/>
      <c r="AJ12" s="275">
        <v>541051.79</v>
      </c>
      <c r="AK12" s="275"/>
      <c r="AL12" s="105">
        <v>0</v>
      </c>
      <c r="AM12" s="105"/>
      <c r="AN12" s="105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</row>
    <row r="13" spans="1:94" hidden="1" outlineLevel="1" x14ac:dyDescent="0.15">
      <c r="A13" s="140" t="s">
        <v>254</v>
      </c>
      <c r="B13" s="139"/>
      <c r="C13" s="165"/>
      <c r="D13" s="165"/>
      <c r="E13" s="165"/>
      <c r="F13" s="165"/>
      <c r="G13" s="165"/>
      <c r="H13" s="165">
        <v>11000</v>
      </c>
      <c r="I13" s="165"/>
      <c r="J13" s="165">
        <f>20000+14000+22000+12000+24000+13000</f>
        <v>105000</v>
      </c>
      <c r="K13" s="165">
        <f>14000+18000</f>
        <v>32000</v>
      </c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3">
        <f t="shared" si="2"/>
        <v>148000</v>
      </c>
      <c r="AI13" s="164"/>
      <c r="AJ13" s="276">
        <v>148000</v>
      </c>
      <c r="AK13" s="276"/>
      <c r="AL13" s="163">
        <v>0</v>
      </c>
      <c r="AM13" s="163"/>
      <c r="AN13" s="16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</row>
    <row r="14" spans="1:94" hidden="1" outlineLevel="1" x14ac:dyDescent="0.15">
      <c r="A14" s="140" t="s">
        <v>253</v>
      </c>
      <c r="B14" s="139"/>
      <c r="C14" s="165"/>
      <c r="D14" s="165"/>
      <c r="E14" s="165"/>
      <c r="F14" s="165"/>
      <c r="G14" s="165"/>
      <c r="H14" s="165"/>
      <c r="I14" s="165"/>
      <c r="J14" s="165"/>
      <c r="K14" s="165">
        <v>393051.79</v>
      </c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3">
        <f t="shared" si="2"/>
        <v>393051.79</v>
      </c>
      <c r="AI14" s="164"/>
      <c r="AJ14" s="276">
        <v>393051.79</v>
      </c>
      <c r="AK14" s="276"/>
      <c r="AL14" s="163">
        <v>0</v>
      </c>
      <c r="AM14" s="163"/>
      <c r="AN14" s="16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</row>
    <row r="15" spans="1:94" hidden="1" outlineLevel="1" x14ac:dyDescent="0.15">
      <c r="A15" s="140" t="s">
        <v>252</v>
      </c>
      <c r="B15" s="139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3">
        <f t="shared" si="2"/>
        <v>0</v>
      </c>
      <c r="AI15" s="164"/>
      <c r="AJ15" s="276">
        <v>0</v>
      </c>
      <c r="AK15" s="276"/>
      <c r="AL15" s="163">
        <v>0</v>
      </c>
      <c r="AM15" s="163"/>
      <c r="AN15" s="16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</row>
    <row r="16" spans="1:94" hidden="1" outlineLevel="1" x14ac:dyDescent="0.15">
      <c r="A16" s="140" t="s">
        <v>251</v>
      </c>
      <c r="B16" s="139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3">
        <f t="shared" si="2"/>
        <v>0</v>
      </c>
      <c r="AI16" s="164"/>
      <c r="AJ16" s="276">
        <v>0</v>
      </c>
      <c r="AK16" s="276"/>
      <c r="AL16" s="163">
        <v>0</v>
      </c>
      <c r="AM16" s="163"/>
      <c r="AN16" s="16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  <c r="CO16" s="123"/>
      <c r="CP16" s="123"/>
    </row>
    <row r="17" spans="1:94" hidden="1" outlineLevel="1" x14ac:dyDescent="0.15">
      <c r="A17" s="140" t="s">
        <v>250</v>
      </c>
      <c r="B17" s="139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3">
        <f t="shared" si="2"/>
        <v>0</v>
      </c>
      <c r="AI17" s="164"/>
      <c r="AJ17" s="276">
        <v>0</v>
      </c>
      <c r="AK17" s="276"/>
      <c r="AL17" s="163">
        <v>0</v>
      </c>
      <c r="AM17" s="163"/>
      <c r="AN17" s="16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</row>
    <row r="18" spans="1:94" hidden="1" outlineLevel="1" x14ac:dyDescent="0.15">
      <c r="A18" s="140" t="s">
        <v>249</v>
      </c>
      <c r="B18" s="139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3">
        <f t="shared" si="2"/>
        <v>0</v>
      </c>
      <c r="AI18" s="164"/>
      <c r="AJ18" s="276">
        <v>0</v>
      </c>
      <c r="AK18" s="276"/>
      <c r="AL18" s="163">
        <v>0</v>
      </c>
      <c r="AM18" s="163"/>
      <c r="AN18" s="16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  <c r="CO18" s="123"/>
      <c r="CP18" s="123"/>
    </row>
    <row r="19" spans="1:94" hidden="1" outlineLevel="1" x14ac:dyDescent="0.15">
      <c r="A19" s="140" t="s">
        <v>248</v>
      </c>
      <c r="B19" s="139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3">
        <f t="shared" si="2"/>
        <v>0</v>
      </c>
      <c r="AI19" s="164"/>
      <c r="AJ19" s="276">
        <v>0</v>
      </c>
      <c r="AK19" s="276"/>
      <c r="AL19" s="163">
        <v>0</v>
      </c>
      <c r="AM19" s="163"/>
      <c r="AN19" s="16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</row>
    <row r="20" spans="1:94" hidden="1" outlineLevel="1" x14ac:dyDescent="0.15">
      <c r="A20" s="140" t="s">
        <v>247</v>
      </c>
      <c r="B20" s="139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3">
        <f t="shared" si="2"/>
        <v>0</v>
      </c>
      <c r="AI20" s="164"/>
      <c r="AJ20" s="276">
        <v>0</v>
      </c>
      <c r="AK20" s="276"/>
      <c r="AL20" s="163">
        <v>0</v>
      </c>
      <c r="AM20" s="163"/>
      <c r="AN20" s="16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  <c r="CO20" s="123"/>
      <c r="CP20" s="123"/>
    </row>
    <row r="21" spans="1:94" hidden="1" outlineLevel="1" x14ac:dyDescent="0.15">
      <c r="A21" s="140" t="s">
        <v>246</v>
      </c>
      <c r="B21" s="139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3">
        <f t="shared" si="2"/>
        <v>0</v>
      </c>
      <c r="AI21" s="164"/>
      <c r="AJ21" s="276">
        <v>0</v>
      </c>
      <c r="AK21" s="276"/>
      <c r="AL21" s="163">
        <v>0</v>
      </c>
      <c r="AM21" s="163"/>
      <c r="AN21" s="16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</row>
    <row r="22" spans="1:94" hidden="1" outlineLevel="1" x14ac:dyDescent="0.15">
      <c r="A22" s="140" t="s">
        <v>245</v>
      </c>
      <c r="B22" s="139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3">
        <f t="shared" si="2"/>
        <v>0</v>
      </c>
      <c r="AI22" s="164"/>
      <c r="AJ22" s="276">
        <v>0</v>
      </c>
      <c r="AK22" s="276"/>
      <c r="AL22" s="163">
        <v>0</v>
      </c>
      <c r="AM22" s="163"/>
      <c r="AN22" s="16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</row>
    <row r="23" spans="1:94" collapsed="1" x14ac:dyDescent="0.15">
      <c r="A23" s="136" t="s">
        <v>244</v>
      </c>
      <c r="B23" s="122">
        <f>SUM(C23:AG23)</f>
        <v>0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0</v>
      </c>
      <c r="AI23" s="119"/>
      <c r="AJ23" s="275">
        <v>0</v>
      </c>
      <c r="AK23" s="275"/>
      <c r="AL23" s="105">
        <v>60000</v>
      </c>
      <c r="AM23" s="105">
        <f>AH23-AL23</f>
        <v>-60000</v>
      </c>
      <c r="AN23" s="105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  <c r="CO23" s="123"/>
      <c r="CP23" s="123"/>
    </row>
    <row r="24" spans="1:94" x14ac:dyDescent="0.15">
      <c r="A24" s="136" t="s">
        <v>232</v>
      </c>
      <c r="B24" s="122">
        <f>SUM(C24:AG24)</f>
        <v>0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31"/>
      <c r="AE24" s="119"/>
      <c r="AF24" s="120"/>
      <c r="AG24" s="131"/>
      <c r="AH24" s="105">
        <f t="shared" si="2"/>
        <v>0</v>
      </c>
      <c r="AI24" s="119"/>
      <c r="AJ24" s="275">
        <v>50000</v>
      </c>
      <c r="AK24" s="275" t="s">
        <v>421</v>
      </c>
      <c r="AL24" s="105">
        <v>100000</v>
      </c>
      <c r="AM24" s="105">
        <f>AH24-AL24</f>
        <v>-100000</v>
      </c>
      <c r="AN24" s="105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  <c r="CN24" s="123"/>
      <c r="CO24" s="123"/>
      <c r="CP24" s="123"/>
    </row>
    <row r="25" spans="1:94" x14ac:dyDescent="0.15">
      <c r="A25" s="136" t="s">
        <v>243</v>
      </c>
      <c r="B25" s="162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Q25" s="120"/>
      <c r="R25" s="120"/>
      <c r="S25" s="120"/>
      <c r="T25" s="120"/>
      <c r="U25" s="120"/>
      <c r="X25" s="120"/>
      <c r="Y25" s="120"/>
      <c r="Z25" s="120"/>
      <c r="AA25" s="120"/>
      <c r="AB25" s="120"/>
      <c r="AC25" s="120"/>
      <c r="AD25" s="131"/>
      <c r="AF25" s="120"/>
      <c r="AG25" s="131"/>
      <c r="AH25" s="105">
        <f t="shared" si="2"/>
        <v>0</v>
      </c>
      <c r="AI25" s="119"/>
      <c r="AJ25" s="275">
        <v>130000</v>
      </c>
      <c r="AK25" s="275"/>
      <c r="AL25" s="105">
        <v>180000</v>
      </c>
      <c r="AM25" s="105">
        <f>AH25-AL25</f>
        <v>-180000</v>
      </c>
      <c r="AN25" s="105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</row>
    <row r="26" spans="1:94" x14ac:dyDescent="0.15">
      <c r="A26" s="136" t="s">
        <v>242</v>
      </c>
      <c r="B26" s="162">
        <f t="shared" ref="B26:B31" si="5">SUM(C26:AG26)</f>
        <v>42140</v>
      </c>
      <c r="C26" s="120"/>
      <c r="D26" s="120"/>
      <c r="E26" s="120"/>
      <c r="F26" s="120"/>
      <c r="G26" s="120"/>
      <c r="H26" s="120"/>
      <c r="I26" s="120"/>
      <c r="J26" s="120">
        <v>42140</v>
      </c>
      <c r="K26" s="120"/>
      <c r="L26" s="120"/>
      <c r="M26" s="120"/>
      <c r="N26" s="120"/>
      <c r="O26" s="120"/>
      <c r="P26" s="120"/>
      <c r="Q26" s="120"/>
      <c r="R26" s="120"/>
      <c r="T26" s="120"/>
      <c r="U26" s="120"/>
      <c r="V26" s="120"/>
      <c r="W26" s="120"/>
      <c r="X26" s="120"/>
      <c r="Y26" s="120"/>
      <c r="AA26" s="120"/>
      <c r="AB26" s="120"/>
      <c r="AC26" s="120"/>
      <c r="AD26" s="131"/>
      <c r="AF26" s="120"/>
      <c r="AG26" s="131"/>
      <c r="AH26" s="105">
        <f t="shared" si="2"/>
        <v>42140</v>
      </c>
      <c r="AI26" s="119"/>
      <c r="AJ26" s="275">
        <v>150140</v>
      </c>
      <c r="AK26" s="275"/>
      <c r="AL26" s="105">
        <v>170000</v>
      </c>
      <c r="AM26" s="105">
        <f>AH26-AL26</f>
        <v>-127860</v>
      </c>
      <c r="AN26" s="105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  <c r="CN26" s="123"/>
      <c r="CO26" s="123"/>
      <c r="CP26" s="123"/>
    </row>
    <row r="27" spans="1:94" x14ac:dyDescent="0.15">
      <c r="A27" s="136" t="s">
        <v>241</v>
      </c>
      <c r="B27" s="162">
        <f t="shared" si="5"/>
        <v>0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T27" s="120"/>
      <c r="U27" s="120"/>
      <c r="V27" s="120"/>
      <c r="W27" s="120"/>
      <c r="X27" s="120"/>
      <c r="Y27" s="120"/>
      <c r="AA27" s="120"/>
      <c r="AB27" s="120"/>
      <c r="AC27" s="120"/>
      <c r="AD27" s="131"/>
      <c r="AF27" s="120"/>
      <c r="AG27" s="131"/>
      <c r="AH27" s="105">
        <f t="shared" si="2"/>
        <v>0</v>
      </c>
      <c r="AI27" s="119"/>
      <c r="AJ27" s="275">
        <v>0</v>
      </c>
      <c r="AK27" s="275"/>
      <c r="AL27" s="105">
        <v>0</v>
      </c>
      <c r="AM27" s="105"/>
      <c r="AN27" s="105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</row>
    <row r="28" spans="1:94" x14ac:dyDescent="0.15">
      <c r="A28" s="136" t="s">
        <v>240</v>
      </c>
      <c r="B28" s="162">
        <f>SUM(C28:AG28)</f>
        <v>0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T28" s="120"/>
      <c r="U28" s="120"/>
      <c r="V28" s="120"/>
      <c r="W28" s="120"/>
      <c r="X28" s="120"/>
      <c r="Y28" s="120"/>
      <c r="AA28" s="120"/>
      <c r="AB28" s="120"/>
      <c r="AC28" s="120"/>
      <c r="AD28" s="120"/>
      <c r="AF28" s="120"/>
      <c r="AG28" s="131"/>
      <c r="AH28" s="105">
        <f>SUM(C28:AG28)</f>
        <v>0</v>
      </c>
      <c r="AI28" s="119"/>
      <c r="AJ28" s="275">
        <v>90000</v>
      </c>
      <c r="AK28" s="275"/>
      <c r="AL28" s="105">
        <v>0</v>
      </c>
      <c r="AM28" s="105"/>
      <c r="AN28" s="105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  <c r="CO28" s="123"/>
      <c r="CP28" s="123"/>
    </row>
    <row r="29" spans="1:94" x14ac:dyDescent="0.15">
      <c r="A29" s="136" t="s">
        <v>239</v>
      </c>
      <c r="B29" s="162">
        <f t="shared" si="5"/>
        <v>0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T29" s="120"/>
      <c r="U29" s="120"/>
      <c r="V29" s="120"/>
      <c r="W29" s="120"/>
      <c r="X29" s="120"/>
      <c r="Y29" s="120"/>
      <c r="AA29" s="120"/>
      <c r="AB29" s="120"/>
      <c r="AC29" s="120"/>
      <c r="AD29" s="120"/>
      <c r="AE29" s="120"/>
      <c r="AF29" s="120"/>
      <c r="AG29" s="120"/>
      <c r="AH29" s="105">
        <f t="shared" si="2"/>
        <v>0</v>
      </c>
      <c r="AI29" s="119"/>
      <c r="AJ29" s="275">
        <v>0</v>
      </c>
      <c r="AK29" s="275"/>
      <c r="AL29" s="105">
        <v>-350314.98791062587</v>
      </c>
      <c r="AM29" s="105">
        <f>AH29-AL29</f>
        <v>350314.98791062587</v>
      </c>
      <c r="AN29" s="103" t="s">
        <v>385</v>
      </c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</row>
    <row r="30" spans="1:94" x14ac:dyDescent="0.15">
      <c r="A30" s="136" t="s">
        <v>365</v>
      </c>
      <c r="B30" s="162">
        <f t="shared" si="5"/>
        <v>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0"/>
      <c r="AH30" s="105">
        <f t="shared" si="2"/>
        <v>0</v>
      </c>
      <c r="AI30" s="119"/>
      <c r="AJ30" s="275">
        <v>0</v>
      </c>
      <c r="AK30" s="275"/>
      <c r="AL30" s="105">
        <v>0</v>
      </c>
      <c r="AM30" s="105"/>
      <c r="AN30" s="105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</row>
    <row r="31" spans="1:94" ht="15" thickBot="1" x14ac:dyDescent="0.2">
      <c r="A31" s="113" t="s">
        <v>238</v>
      </c>
      <c r="B31" s="161">
        <f t="shared" si="5"/>
        <v>0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4"/>
      <c r="AH31" s="128">
        <f t="shared" si="2"/>
        <v>0</v>
      </c>
      <c r="AI31" s="127"/>
      <c r="AJ31" s="277">
        <v>0</v>
      </c>
      <c r="AK31" s="277"/>
      <c r="AL31" s="128">
        <v>0</v>
      </c>
      <c r="AM31" s="128"/>
      <c r="AN31" s="105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  <c r="CO31" s="123"/>
      <c r="CP31" s="123"/>
    </row>
    <row r="32" spans="1:94" x14ac:dyDescent="0.15">
      <c r="A32" s="133" t="s">
        <v>237</v>
      </c>
      <c r="B32" s="122">
        <f>SUM(B8:B31)</f>
        <v>4632581.1800000006</v>
      </c>
      <c r="C32" s="119">
        <f t="shared" ref="C32:AH32" si="6">SUM(C8:C31)-C12</f>
        <v>0</v>
      </c>
      <c r="D32" s="119">
        <f t="shared" si="6"/>
        <v>22474.47</v>
      </c>
      <c r="E32" s="119">
        <f t="shared" si="6"/>
        <v>167983.12</v>
      </c>
      <c r="F32" s="119">
        <f t="shared" si="6"/>
        <v>0</v>
      </c>
      <c r="G32" s="119">
        <f t="shared" si="6"/>
        <v>0</v>
      </c>
      <c r="H32" s="119">
        <f t="shared" si="6"/>
        <v>25122.620000000003</v>
      </c>
      <c r="I32" s="119">
        <f t="shared" si="6"/>
        <v>1201428.1800000002</v>
      </c>
      <c r="J32" s="119">
        <f t="shared" si="6"/>
        <v>203008.7</v>
      </c>
      <c r="K32" s="119">
        <f t="shared" si="6"/>
        <v>448147.43</v>
      </c>
      <c r="L32" s="119">
        <f t="shared" si="6"/>
        <v>46910.34</v>
      </c>
      <c r="M32" s="119">
        <f t="shared" si="6"/>
        <v>0</v>
      </c>
      <c r="N32" s="119">
        <f t="shared" si="6"/>
        <v>0</v>
      </c>
      <c r="O32" s="119">
        <f t="shared" si="6"/>
        <v>77887.86</v>
      </c>
      <c r="P32" s="119">
        <f t="shared" si="6"/>
        <v>2141.52</v>
      </c>
      <c r="Q32" s="119">
        <f t="shared" si="6"/>
        <v>683.53</v>
      </c>
      <c r="R32" s="119">
        <f t="shared" si="6"/>
        <v>251349.78</v>
      </c>
      <c r="S32" s="119">
        <f>SUM(S8:S31)-S12</f>
        <v>225816.47</v>
      </c>
      <c r="T32" s="119">
        <f t="shared" si="6"/>
        <v>0</v>
      </c>
      <c r="U32" s="119">
        <f t="shared" si="6"/>
        <v>0</v>
      </c>
      <c r="V32" s="119">
        <f>SUM(V8:V31)-V12</f>
        <v>49545.97</v>
      </c>
      <c r="W32" s="119">
        <f t="shared" si="6"/>
        <v>487074.0799999999</v>
      </c>
      <c r="X32" s="119">
        <f t="shared" si="6"/>
        <v>99323.07</v>
      </c>
      <c r="Y32" s="119">
        <f t="shared" si="6"/>
        <v>13120.34</v>
      </c>
      <c r="Z32" s="119">
        <f t="shared" si="6"/>
        <v>419409.31</v>
      </c>
      <c r="AA32" s="119">
        <f t="shared" si="6"/>
        <v>0</v>
      </c>
      <c r="AB32" s="119">
        <f t="shared" si="6"/>
        <v>0</v>
      </c>
      <c r="AC32" s="119">
        <f t="shared" si="6"/>
        <v>51765.88</v>
      </c>
      <c r="AD32" s="119">
        <f t="shared" si="6"/>
        <v>164667.08000000002</v>
      </c>
      <c r="AE32" s="119">
        <f t="shared" si="6"/>
        <v>0</v>
      </c>
      <c r="AF32" s="119">
        <f t="shared" si="6"/>
        <v>174304.93</v>
      </c>
      <c r="AG32" s="119">
        <f t="shared" si="6"/>
        <v>580485.50000000012</v>
      </c>
      <c r="AH32" s="160">
        <f t="shared" si="6"/>
        <v>4712650.1800000006</v>
      </c>
      <c r="AI32" s="119"/>
      <c r="AJ32" s="119">
        <v>6623891.2200000007</v>
      </c>
      <c r="AK32" s="119"/>
      <c r="AL32" s="160">
        <v>6195310.6221853746</v>
      </c>
      <c r="AM32" s="105">
        <f>AH32-AL32</f>
        <v>-1482660.442185374</v>
      </c>
      <c r="AN32" s="105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</row>
    <row r="33" spans="1:94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 t="s">
        <v>219</v>
      </c>
      <c r="AI33" s="119"/>
      <c r="AJ33" s="275" t="s">
        <v>219</v>
      </c>
      <c r="AK33" s="275"/>
      <c r="AL33" s="105" t="s">
        <v>219</v>
      </c>
      <c r="AM33" s="105"/>
      <c r="AN33" s="105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  <c r="CN33" s="123"/>
      <c r="CO33" s="123"/>
      <c r="CP33" s="123"/>
    </row>
    <row r="34" spans="1:94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/>
      <c r="AI34" s="119"/>
      <c r="AJ34" s="275"/>
      <c r="AK34" s="275"/>
      <c r="AL34" s="105"/>
      <c r="AM34" s="105"/>
      <c r="AN34" s="105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</row>
    <row r="35" spans="1:94" hidden="1" x14ac:dyDescent="0.15">
      <c r="A35" s="124" t="s">
        <v>235</v>
      </c>
      <c r="B35" s="122">
        <f t="shared" ref="B35:B41" si="7">SUM(C35:AG35)</f>
        <v>0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ref="AH35:AH42" si="8">SUM(C35:AG35)</f>
        <v>0</v>
      </c>
      <c r="AI35" s="119"/>
      <c r="AJ35" s="275">
        <v>0</v>
      </c>
      <c r="AK35" s="275"/>
      <c r="AL35" s="105">
        <v>0</v>
      </c>
      <c r="AM35" s="105"/>
      <c r="AN35" s="105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</row>
    <row r="36" spans="1:94" hidden="1" x14ac:dyDescent="0.15">
      <c r="A36" s="124" t="s">
        <v>234</v>
      </c>
      <c r="B36" s="122">
        <f t="shared" si="7"/>
        <v>0</v>
      </c>
      <c r="C36" s="120"/>
      <c r="D36" s="120">
        <v>0</v>
      </c>
      <c r="E36" s="120">
        <v>0</v>
      </c>
      <c r="F36" s="120"/>
      <c r="G36" s="120"/>
      <c r="H36" s="120"/>
      <c r="I36" s="120"/>
      <c r="J36" s="120"/>
      <c r="K36" s="120">
        <v>0</v>
      </c>
      <c r="L36" s="120">
        <v>0</v>
      </c>
      <c r="M36" s="120"/>
      <c r="N36" s="120"/>
      <c r="O36" s="120"/>
      <c r="P36" s="120"/>
      <c r="Q36" s="120"/>
      <c r="R36" s="120">
        <v>0</v>
      </c>
      <c r="S36" s="120">
        <v>0</v>
      </c>
      <c r="T36" s="120"/>
      <c r="U36" s="120"/>
      <c r="V36" s="120"/>
      <c r="W36" s="120"/>
      <c r="X36" s="120"/>
      <c r="Y36" s="120">
        <v>0</v>
      </c>
      <c r="Z36" s="120">
        <v>0</v>
      </c>
      <c r="AA36" s="120">
        <v>0</v>
      </c>
      <c r="AB36" s="120">
        <v>0</v>
      </c>
      <c r="AC36" s="120"/>
      <c r="AD36" s="120"/>
      <c r="AE36" s="120"/>
      <c r="AF36" s="120">
        <v>0</v>
      </c>
      <c r="AG36" s="120">
        <v>0</v>
      </c>
      <c r="AH36" s="105">
        <f t="shared" si="8"/>
        <v>0</v>
      </c>
      <c r="AI36" s="119"/>
      <c r="AJ36" s="275">
        <v>0</v>
      </c>
      <c r="AK36" s="275"/>
      <c r="AL36" s="105">
        <v>0</v>
      </c>
      <c r="AM36" s="105"/>
      <c r="AN36" s="105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23"/>
      <c r="CP36" s="123"/>
    </row>
    <row r="37" spans="1:94" hidden="1" x14ac:dyDescent="0.15">
      <c r="A37" s="124" t="s">
        <v>233</v>
      </c>
      <c r="B37" s="122">
        <f t="shared" si="7"/>
        <v>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8"/>
        <v>0</v>
      </c>
      <c r="AI37" s="119"/>
      <c r="AJ37" s="275">
        <v>0</v>
      </c>
      <c r="AK37" s="275"/>
      <c r="AL37" s="105">
        <v>0</v>
      </c>
      <c r="AM37" s="105"/>
      <c r="AN37" s="105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</row>
    <row r="38" spans="1:94" x14ac:dyDescent="0.15">
      <c r="A38" s="124" t="s">
        <v>232</v>
      </c>
      <c r="B38" s="122">
        <f t="shared" si="7"/>
        <v>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8"/>
        <v>0</v>
      </c>
      <c r="AI38" s="119"/>
      <c r="AJ38" s="275">
        <v>0</v>
      </c>
      <c r="AK38" s="275"/>
      <c r="AL38" s="105">
        <v>0</v>
      </c>
      <c r="AM38" s="105"/>
      <c r="AN38" s="105"/>
      <c r="AO38" s="103">
        <v>31</v>
      </c>
      <c r="AQ38" s="103">
        <f>1048000/3</f>
        <v>349333.33333333331</v>
      </c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</row>
    <row r="39" spans="1:94" x14ac:dyDescent="0.15">
      <c r="A39" s="124" t="s">
        <v>231</v>
      </c>
      <c r="B39" s="122">
        <f t="shared" si="7"/>
        <v>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8"/>
        <v>0</v>
      </c>
      <c r="AI39" s="119"/>
      <c r="AJ39" s="275">
        <v>0</v>
      </c>
      <c r="AK39" s="275"/>
      <c r="AL39" s="105">
        <v>0</v>
      </c>
      <c r="AM39" s="105"/>
      <c r="AN39" s="105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</row>
    <row r="40" spans="1:94" x14ac:dyDescent="0.15">
      <c r="A40" s="124" t="s">
        <v>230</v>
      </c>
      <c r="B40" s="122">
        <f t="shared" si="7"/>
        <v>3810010.5900000003</v>
      </c>
      <c r="C40" s="131"/>
      <c r="D40" s="131"/>
      <c r="E40" s="131">
        <v>2500</v>
      </c>
      <c r="F40" s="131"/>
      <c r="G40" s="131"/>
      <c r="H40" s="131"/>
      <c r="I40" s="131"/>
      <c r="J40" s="131"/>
      <c r="K40" s="131"/>
      <c r="L40" s="131">
        <f>365.16+105+275.6+152.1+1143.77+40.5+1112.6+69+637.38+416.8+13.5+629.7+75+178.88+806.63</f>
        <v>6021.62</v>
      </c>
      <c r="M40" s="131"/>
      <c r="N40" s="131"/>
      <c r="O40" s="131">
        <f>3597.7+75863.96+117862.43+66806.17+138226.37+115543.85+170886+71946+79179+73057+188411+100906</f>
        <v>1202285.48</v>
      </c>
      <c r="P40" s="131">
        <f>1080.4+916.6+1437.45+1337.7+2252.96+3763</f>
        <v>10788.11</v>
      </c>
      <c r="Q40" s="131">
        <f>3171.3+601.8+1544.9+174.2+975.54+1019.5+12+1565.92+324+46.9+36+1269.1+60+570.98+760.56+3616</f>
        <v>15748.699999999999</v>
      </c>
      <c r="R40" s="131">
        <f>66164.12+1004.92+26+291+1195.1+425.1+10036+1341+1879.1+62+1582.2-6.85+1240.74+1246.21+319.5+88.5</f>
        <v>86894.640000000014</v>
      </c>
      <c r="S40" s="131">
        <f>36349+30707.01+270.44+1268.28+5095.51+571.79+22873.01+81.71+38235.07+52968.75+63801.61+1658.68+1758.82+1231.71+223.5+76000+807.27+21055.27+1602.35+28719.78+2798.21+61200+16065.42+140.34</f>
        <v>465483.53000000009</v>
      </c>
      <c r="T40" s="131"/>
      <c r="U40" s="131"/>
      <c r="V40" s="131">
        <f>8873.89+388.11+3808+4402+11628+5153+14726.35+1471.87+1123.55+1336.44+1109.16+13250.47+8003.02+3807.21+5110</f>
        <v>84191.070000000022</v>
      </c>
      <c r="W40" s="131">
        <f>240.5+34.5+1850+514+788.13+7</f>
        <v>3434.13</v>
      </c>
      <c r="X40" s="131">
        <f>8314.5+6+410+1291.75+1800+1307+13+278+2477.55+1105</f>
        <v>17002.8</v>
      </c>
      <c r="Y40" s="131">
        <f>618+1067.4+1334.9+142.1+3353.9+19427.11+2000+363.52</f>
        <v>28306.93</v>
      </c>
      <c r="Z40" s="131">
        <f>3699+13652.69+800+16258.74+11970.7+1500+22453+14121+5689.76+6341.2+7380+10249.78+11000+1744.32</f>
        <v>126860.19</v>
      </c>
      <c r="AA40" s="131"/>
      <c r="AB40" s="131"/>
      <c r="AC40" s="131">
        <f>5137.7+73210.11+18779.57+2622.57+38413.84+42255.66+89389.67+32608.31+72897.59+20071.4+57590.8+60024.45+10583-41057</f>
        <v>482527.67000000004</v>
      </c>
      <c r="AD40" s="131">
        <f>934.68+184178+69500+4575.64+13396+8904+49466+5680+111752+49781+45373.72+7205+22483</f>
        <v>573229.04</v>
      </c>
      <c r="AE40" s="131">
        <f>371.8+903.28+5048+6184+74.48+341.05+85817+83727.77+123122+63040+12166+12914+4504+73626+2113.33</f>
        <v>473952.71</v>
      </c>
      <c r="AF40" s="131">
        <f>326.22+7731+3463+1742+20410+9866+10740+23220+12631+8699+8875+6436+2007</f>
        <v>116146.22</v>
      </c>
      <c r="AG40" s="131">
        <f>23+9807+7472+13738+21511+11849+23376+11938+4402+7666+2855.75</f>
        <v>114637.75</v>
      </c>
      <c r="AH40" s="105">
        <f>SUM(C40:AG40)</f>
        <v>3810010.5900000003</v>
      </c>
      <c r="AI40" s="119"/>
      <c r="AJ40" s="275">
        <v>3863346.6592975734</v>
      </c>
      <c r="AK40" s="275"/>
      <c r="AL40" s="105">
        <v>4370953.061687801</v>
      </c>
      <c r="AM40" s="105">
        <f>AH40-AL40</f>
        <v>-560942.47168780072</v>
      </c>
      <c r="AN40" s="103" t="s">
        <v>400</v>
      </c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</row>
    <row r="41" spans="1:94" ht="15" thickBot="1" x14ac:dyDescent="0.2">
      <c r="A41" s="130" t="s">
        <v>229</v>
      </c>
      <c r="B41" s="129">
        <f t="shared" si="7"/>
        <v>1555527.69</v>
      </c>
      <c r="C41" s="127"/>
      <c r="D41" s="127">
        <f>15190+2800.2+398.65+1390.5</f>
        <v>19779.350000000002</v>
      </c>
      <c r="E41" s="127">
        <f>739.97+338.5+649.9</f>
        <v>1728.37</v>
      </c>
      <c r="F41" s="127"/>
      <c r="G41" s="127"/>
      <c r="H41" s="127">
        <f>21310.17+60.6+301+1271.01+2668+3070.35+1423+642+3263.2</f>
        <v>34009.329999999994</v>
      </c>
      <c r="I41" s="127">
        <f>2139.9+16300.5+231+1511.9</f>
        <v>20183.300000000003</v>
      </c>
      <c r="J41" s="127">
        <f>1919.8+5201.78+2339.39+568+423+2421.5</f>
        <v>12873.47</v>
      </c>
      <c r="K41" s="127">
        <f>30+622+27217</f>
        <v>27869</v>
      </c>
      <c r="L41" s="127">
        <f>5087.3+7301.84+910+238+140.24+129.8+1056+115+138+164+709.44+5235+1596.5+125.49+51018.54</f>
        <v>73965.149999999994</v>
      </c>
      <c r="M41" s="127"/>
      <c r="N41" s="127"/>
      <c r="O41" s="127">
        <f>893.5+4437+6721+2000+1003.92+8391+1067.91+5573</f>
        <v>30087.329999999998</v>
      </c>
      <c r="P41" s="127">
        <f>29013+98.1+1078.5+12591-3763</f>
        <v>39017.599999999999</v>
      </c>
      <c r="Q41" s="127">
        <f>1836+1246+228+126+6326+11235+1740+422.2+118.98+870.24+25101.59</f>
        <v>49250.01</v>
      </c>
      <c r="R41" s="127">
        <f>89+2142.4+127+127+127+2739+28545+15930+6767.62+522.12+8280.53+1972.6+123.2</f>
        <v>67492.47</v>
      </c>
      <c r="S41" s="127">
        <f>21941+838.5+3427+6+3356.5+1000+2350+360+140000+12402+11000.5+141+5206+8549+930.7+1039.8+314</f>
        <v>212862</v>
      </c>
      <c r="T41" s="127"/>
      <c r="U41" s="127"/>
      <c r="V41" s="127">
        <f>1149.01+5119.2+4308+2350+248.46+458.83+1595.62+5437+560</f>
        <v>21226.12</v>
      </c>
      <c r="W41" s="127">
        <f>139+2277.2+30885.29+102+10242.44+4009+9030+1292.75+5580+4632.25+1604.4</f>
        <v>69794.329999999987</v>
      </c>
      <c r="X41" s="127">
        <f>6539.1+1544.12+5760+212+12115+7544+591+390.21+3090.76+21189.43+1335.4</f>
        <v>60311.020000000004</v>
      </c>
      <c r="Y41" s="127">
        <f>16069+131+743+15037.94+8347.53+1051.47+26028.89+9846</f>
        <v>77254.83</v>
      </c>
      <c r="Z41" s="127">
        <f>8220+1471+8680+6027+128+1500+20607+23053+13349.94+38732+1000+39131+3461+3428.21</f>
        <v>168788.15</v>
      </c>
      <c r="AA41" s="127"/>
      <c r="AB41" s="127"/>
      <c r="AC41" s="127">
        <f>1000+5000+10000+8500</f>
        <v>24500</v>
      </c>
      <c r="AD41" s="127">
        <f>131+279.2+11297.2+1461+4658+38439+4051+3439+7526+46714</f>
        <v>117995.4</v>
      </c>
      <c r="AE41" s="127">
        <f>4816+1449+23792+6283+678+5892+1801+2880+2445+1812</f>
        <v>51848</v>
      </c>
      <c r="AF41" s="127">
        <f>2094+23685+2795+3927+5185+1628+8073+20345+159+2010+201739+345</f>
        <v>271985</v>
      </c>
      <c r="AG41" s="127">
        <f>2576+1637.37+975.09+8419+9164+18121+34616+394+394+7725+18686</f>
        <v>102707.45999999999</v>
      </c>
      <c r="AH41" s="128">
        <f>SUM(C41:AG41)</f>
        <v>1555527.69</v>
      </c>
      <c r="AI41" s="127"/>
      <c r="AJ41" s="277">
        <v>2063786.2039385911</v>
      </c>
      <c r="AK41" s="277"/>
      <c r="AL41" s="128">
        <v>3177414.0308438982</v>
      </c>
      <c r="AM41" s="105">
        <f>AH41-AL41</f>
        <v>-1621886.3408438982</v>
      </c>
      <c r="AN41" s="103" t="s">
        <v>401</v>
      </c>
      <c r="AO41" s="103" t="s">
        <v>228</v>
      </c>
      <c r="AP41" s="103">
        <f>'Exec Summary_Base Case'!D98*70%*1.07+'Exec Summary_Base Case'!D98*30%*1.19</f>
        <v>6500047.1398799997</v>
      </c>
      <c r="AQ41" s="103">
        <f>+AP41/$AO$38</f>
        <v>209678.93999612902</v>
      </c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  <c r="CO41" s="123"/>
      <c r="CP41" s="123"/>
    </row>
    <row r="42" spans="1:94" x14ac:dyDescent="0.15">
      <c r="A42" s="124" t="s">
        <v>227</v>
      </c>
      <c r="B42" s="122">
        <f>SUM(B40:B41)</f>
        <v>5365538.28</v>
      </c>
      <c r="C42" s="119">
        <f t="shared" ref="C42:AG42" si="9">SUM(C35:C41)</f>
        <v>0</v>
      </c>
      <c r="D42" s="119">
        <f t="shared" si="9"/>
        <v>19779.350000000002</v>
      </c>
      <c r="E42" s="119">
        <f t="shared" si="9"/>
        <v>4228.37</v>
      </c>
      <c r="F42" s="119">
        <f t="shared" si="9"/>
        <v>0</v>
      </c>
      <c r="G42" s="119">
        <f t="shared" si="9"/>
        <v>0</v>
      </c>
      <c r="H42" s="119">
        <f>SUM(H35:H41)</f>
        <v>34009.329999999994</v>
      </c>
      <c r="I42" s="119">
        <f t="shared" si="9"/>
        <v>20183.300000000003</v>
      </c>
      <c r="J42" s="119">
        <f t="shared" si="9"/>
        <v>12873.47</v>
      </c>
      <c r="K42" s="119">
        <f t="shared" si="9"/>
        <v>27869</v>
      </c>
      <c r="L42" s="119">
        <f t="shared" si="9"/>
        <v>79986.76999999999</v>
      </c>
      <c r="M42" s="119">
        <f t="shared" si="9"/>
        <v>0</v>
      </c>
      <c r="N42" s="119">
        <f t="shared" si="9"/>
        <v>0</v>
      </c>
      <c r="O42" s="119">
        <f t="shared" si="9"/>
        <v>1232372.81</v>
      </c>
      <c r="P42" s="119">
        <f t="shared" si="9"/>
        <v>49805.71</v>
      </c>
      <c r="Q42" s="119">
        <f t="shared" si="9"/>
        <v>64998.71</v>
      </c>
      <c r="R42" s="119">
        <f t="shared" si="9"/>
        <v>154387.11000000002</v>
      </c>
      <c r="S42" s="119">
        <f t="shared" si="9"/>
        <v>678345.53</v>
      </c>
      <c r="T42" s="119">
        <f t="shared" si="9"/>
        <v>0</v>
      </c>
      <c r="U42" s="119">
        <f t="shared" si="9"/>
        <v>0</v>
      </c>
      <c r="V42" s="119">
        <f t="shared" si="9"/>
        <v>105417.19000000002</v>
      </c>
      <c r="W42" s="119">
        <f t="shared" si="9"/>
        <v>73228.459999999992</v>
      </c>
      <c r="X42" s="119">
        <f t="shared" si="9"/>
        <v>77313.820000000007</v>
      </c>
      <c r="Y42" s="119">
        <f t="shared" si="9"/>
        <v>105561.76000000001</v>
      </c>
      <c r="Z42" s="119">
        <f t="shared" si="9"/>
        <v>295648.33999999997</v>
      </c>
      <c r="AA42" s="119">
        <f t="shared" si="9"/>
        <v>0</v>
      </c>
      <c r="AB42" s="119">
        <f t="shared" si="9"/>
        <v>0</v>
      </c>
      <c r="AC42" s="119">
        <f t="shared" si="9"/>
        <v>507027.67000000004</v>
      </c>
      <c r="AD42" s="119">
        <f t="shared" si="9"/>
        <v>691224.44000000006</v>
      </c>
      <c r="AE42" s="119">
        <f t="shared" si="9"/>
        <v>525800.71</v>
      </c>
      <c r="AF42" s="119">
        <f t="shared" si="9"/>
        <v>388131.22</v>
      </c>
      <c r="AG42" s="120">
        <f t="shared" si="9"/>
        <v>217345.21</v>
      </c>
      <c r="AH42" s="105">
        <f t="shared" si="8"/>
        <v>5365538.2799999993</v>
      </c>
      <c r="AI42" s="119"/>
      <c r="AJ42" s="275">
        <v>5927132.8632361647</v>
      </c>
      <c r="AK42" s="275"/>
      <c r="AL42" s="105">
        <v>7548367.0925316997</v>
      </c>
      <c r="AM42" s="232">
        <f>AH42-AL42</f>
        <v>-2182828.8125317004</v>
      </c>
      <c r="AN42" s="105"/>
      <c r="AO42" s="103" t="s">
        <v>226</v>
      </c>
      <c r="AP42" s="103">
        <f>AP41*AR42</f>
        <v>3250023.5699399998</v>
      </c>
      <c r="AQ42" s="103">
        <f>+AP42/$AO$38</f>
        <v>104839.46999806451</v>
      </c>
      <c r="AR42" s="174">
        <v>0.5</v>
      </c>
      <c r="AS42" s="103" t="s">
        <v>381</v>
      </c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  <c r="CN42" s="123"/>
      <c r="CO42" s="123"/>
      <c r="CP42" s="123"/>
    </row>
    <row r="43" spans="1:94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 t="s">
        <v>219</v>
      </c>
      <c r="AI43" s="119"/>
      <c r="AJ43" s="275" t="s">
        <v>219</v>
      </c>
      <c r="AK43" s="275"/>
      <c r="AL43" s="105" t="s">
        <v>219</v>
      </c>
      <c r="AM43" s="105"/>
      <c r="AN43" s="105"/>
      <c r="AO43" s="103" t="s">
        <v>225</v>
      </c>
      <c r="AP43" s="103">
        <f>AP41*AR43</f>
        <v>1625011.7849699999</v>
      </c>
      <c r="AQ43" s="103">
        <f>+AP43/$AO$38</f>
        <v>52419.734999032255</v>
      </c>
      <c r="AR43" s="174">
        <v>0.25</v>
      </c>
      <c r="AS43" s="103" t="s">
        <v>382</v>
      </c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  <c r="CO43" s="123"/>
      <c r="CP43" s="123"/>
    </row>
    <row r="44" spans="1:94" x14ac:dyDescent="0.15">
      <c r="A44" s="124" t="s">
        <v>224</v>
      </c>
      <c r="B44" s="122"/>
      <c r="C44" s="119">
        <f>-C32+C42</f>
        <v>0</v>
      </c>
      <c r="D44" s="119">
        <f t="shared" ref="D44:AH44" si="10">D42-D32</f>
        <v>-2695.119999999999</v>
      </c>
      <c r="E44" s="119">
        <f t="shared" si="10"/>
        <v>-163754.75</v>
      </c>
      <c r="F44" s="119">
        <f t="shared" si="10"/>
        <v>0</v>
      </c>
      <c r="G44" s="119">
        <f t="shared" si="10"/>
        <v>0</v>
      </c>
      <c r="H44" s="119">
        <f t="shared" si="10"/>
        <v>8886.7099999999919</v>
      </c>
      <c r="I44" s="119">
        <f t="shared" si="10"/>
        <v>-1181244.8800000001</v>
      </c>
      <c r="J44" s="119">
        <f t="shared" si="10"/>
        <v>-190135.23</v>
      </c>
      <c r="K44" s="119">
        <f t="shared" si="10"/>
        <v>-420278.43</v>
      </c>
      <c r="L44" s="119">
        <f t="shared" si="10"/>
        <v>33076.429999999993</v>
      </c>
      <c r="M44" s="119">
        <f t="shared" si="10"/>
        <v>0</v>
      </c>
      <c r="N44" s="119">
        <f t="shared" si="10"/>
        <v>0</v>
      </c>
      <c r="O44" s="119">
        <f t="shared" si="10"/>
        <v>1154484.95</v>
      </c>
      <c r="P44" s="119">
        <f t="shared" si="10"/>
        <v>47664.19</v>
      </c>
      <c r="Q44" s="119">
        <f t="shared" si="10"/>
        <v>64315.18</v>
      </c>
      <c r="R44" s="119">
        <f t="shared" si="10"/>
        <v>-96962.669999999984</v>
      </c>
      <c r="S44" s="119">
        <f t="shared" si="10"/>
        <v>452529.06000000006</v>
      </c>
      <c r="T44" s="119">
        <f t="shared" si="10"/>
        <v>0</v>
      </c>
      <c r="U44" s="119">
        <f t="shared" si="10"/>
        <v>0</v>
      </c>
      <c r="V44" s="119">
        <f t="shared" si="10"/>
        <v>55871.220000000016</v>
      </c>
      <c r="W44" s="119">
        <f t="shared" si="10"/>
        <v>-413845.61999999988</v>
      </c>
      <c r="X44" s="119">
        <f t="shared" si="10"/>
        <v>-22009.25</v>
      </c>
      <c r="Y44" s="119">
        <f t="shared" si="10"/>
        <v>92441.420000000013</v>
      </c>
      <c r="Z44" s="119">
        <f t="shared" si="10"/>
        <v>-123760.97000000003</v>
      </c>
      <c r="AA44" s="119">
        <f t="shared" si="10"/>
        <v>0</v>
      </c>
      <c r="AB44" s="119">
        <f t="shared" si="10"/>
        <v>0</v>
      </c>
      <c r="AC44" s="119">
        <f t="shared" si="10"/>
        <v>455261.79000000004</v>
      </c>
      <c r="AD44" s="119">
        <f t="shared" si="10"/>
        <v>526557.3600000001</v>
      </c>
      <c r="AE44" s="119">
        <f t="shared" si="10"/>
        <v>525800.71</v>
      </c>
      <c r="AF44" s="120">
        <f t="shared" si="10"/>
        <v>213826.28999999998</v>
      </c>
      <c r="AG44" s="120">
        <f t="shared" si="10"/>
        <v>-363140.29000000015</v>
      </c>
      <c r="AH44" s="125">
        <f t="shared" si="10"/>
        <v>652888.0999999987</v>
      </c>
      <c r="AI44" s="119"/>
      <c r="AJ44" s="275">
        <v>-696758.356763836</v>
      </c>
      <c r="AK44" s="275"/>
      <c r="AL44" s="125">
        <v>1353056.4703463251</v>
      </c>
      <c r="AM44" s="105">
        <f>AH44-AL44</f>
        <v>-700168.37034632638</v>
      </c>
      <c r="AN44" s="125"/>
      <c r="AO44" s="103" t="s">
        <v>319</v>
      </c>
      <c r="AP44" s="103">
        <f>AR44*Dezember24!AN41*1.5</f>
        <v>725812.5</v>
      </c>
      <c r="AQ44" s="103">
        <f>+AP44/$AO$38</f>
        <v>23413.306451612902</v>
      </c>
      <c r="AR44" s="175">
        <v>0.125</v>
      </c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  <c r="CO44" s="123"/>
      <c r="CP44" s="123"/>
    </row>
    <row r="45" spans="1:94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 t="s">
        <v>219</v>
      </c>
      <c r="AI45" s="119"/>
      <c r="AJ45" s="275" t="s">
        <v>219</v>
      </c>
      <c r="AK45" s="275"/>
      <c r="AL45" s="105" t="s">
        <v>219</v>
      </c>
      <c r="AM45" s="105"/>
      <c r="AN45" s="105"/>
      <c r="AO45" s="103" t="s">
        <v>320</v>
      </c>
      <c r="AP45" s="103">
        <f>500000*1.5</f>
        <v>750000</v>
      </c>
      <c r="AQ45" s="103">
        <f>+AP45/$AO$38</f>
        <v>24193.548387096773</v>
      </c>
      <c r="AR45" s="175">
        <v>0.125</v>
      </c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</row>
    <row r="46" spans="1:94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>SUM(C46:AG46)</f>
        <v>0</v>
      </c>
      <c r="AI46" s="119"/>
      <c r="AJ46" s="275">
        <v>0</v>
      </c>
      <c r="AK46" s="275"/>
      <c r="AL46" s="105">
        <v>0</v>
      </c>
      <c r="AM46" s="105"/>
      <c r="AN46" s="105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</row>
    <row r="47" spans="1:94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>SUM(C47:AG47)</f>
        <v>0</v>
      </c>
      <c r="AI47" s="119"/>
      <c r="AJ47" s="275">
        <v>0</v>
      </c>
      <c r="AK47" s="275"/>
      <c r="AL47" s="105">
        <v>0</v>
      </c>
      <c r="AM47" s="105"/>
      <c r="AN47" s="105"/>
      <c r="AP47" s="103">
        <f>+AP42+AP43+Februar!AN44+März!AN45</f>
        <v>6500047.1398799997</v>
      </c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</row>
    <row r="48" spans="1:94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>SUM(C48:AG48)</f>
        <v>0</v>
      </c>
      <c r="AI48" s="119"/>
      <c r="AJ48" s="275">
        <v>0</v>
      </c>
      <c r="AK48" s="275"/>
      <c r="AL48" s="105">
        <v>0</v>
      </c>
      <c r="AM48" s="105"/>
      <c r="AN48" s="105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</row>
    <row r="49" spans="1:40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275" t="s">
        <v>219</v>
      </c>
      <c r="AK49" s="275"/>
      <c r="AL49" s="105" t="s">
        <v>219</v>
      </c>
      <c r="AM49" s="105"/>
      <c r="AN49" s="105"/>
    </row>
    <row r="50" spans="1:40" s="105" customFormat="1" ht="12.75" customHeight="1" thickBot="1" x14ac:dyDescent="0.2">
      <c r="A50" s="159" t="s">
        <v>222</v>
      </c>
      <c r="B50" s="158">
        <f t="shared" ref="B50:AH50" si="11">B6+B44-B46-B47-B48</f>
        <v>3442499.73</v>
      </c>
      <c r="C50" s="114">
        <f t="shared" si="11"/>
        <v>3442499.73</v>
      </c>
      <c r="D50" s="114">
        <f t="shared" si="11"/>
        <v>3439804.61</v>
      </c>
      <c r="E50" s="114">
        <f t="shared" si="11"/>
        <v>3276049.86</v>
      </c>
      <c r="F50" s="114">
        <f t="shared" si="11"/>
        <v>3276049.86</v>
      </c>
      <c r="G50" s="114">
        <f t="shared" si="11"/>
        <v>3276049.86</v>
      </c>
      <c r="H50" s="114">
        <f t="shared" si="11"/>
        <v>3284936.57</v>
      </c>
      <c r="I50" s="114">
        <f t="shared" si="11"/>
        <v>2103691.6899999995</v>
      </c>
      <c r="J50" s="114">
        <f t="shared" si="11"/>
        <v>1913556.4599999995</v>
      </c>
      <c r="K50" s="114">
        <f t="shared" si="11"/>
        <v>1493278.0299999996</v>
      </c>
      <c r="L50" s="114">
        <f t="shared" si="11"/>
        <v>1526354.4599999995</v>
      </c>
      <c r="M50" s="114">
        <f t="shared" si="11"/>
        <v>1526354.4599999995</v>
      </c>
      <c r="N50" s="114">
        <f t="shared" si="11"/>
        <v>1526354.4599999995</v>
      </c>
      <c r="O50" s="114">
        <f t="shared" si="11"/>
        <v>2680839.4099999992</v>
      </c>
      <c r="P50" s="114">
        <f t="shared" si="11"/>
        <v>2728503.5999999992</v>
      </c>
      <c r="Q50" s="114">
        <f t="shared" si="11"/>
        <v>2792818.7799999993</v>
      </c>
      <c r="R50" s="114">
        <f t="shared" si="11"/>
        <v>2695856.1099999994</v>
      </c>
      <c r="S50" s="114">
        <f t="shared" si="11"/>
        <v>3148385.1699999995</v>
      </c>
      <c r="T50" s="114">
        <f t="shared" si="11"/>
        <v>3148385.1699999995</v>
      </c>
      <c r="U50" s="114">
        <f t="shared" si="11"/>
        <v>3148385.1699999995</v>
      </c>
      <c r="V50" s="114">
        <f t="shared" si="11"/>
        <v>3204256.3899999997</v>
      </c>
      <c r="W50" s="114">
        <f t="shared" si="11"/>
        <v>2790410.7699999996</v>
      </c>
      <c r="X50" s="114">
        <f t="shared" si="11"/>
        <v>2768401.5199999996</v>
      </c>
      <c r="Y50" s="114">
        <f t="shared" si="11"/>
        <v>2860842.9399999995</v>
      </c>
      <c r="Z50" s="114">
        <f t="shared" si="11"/>
        <v>2737081.9699999993</v>
      </c>
      <c r="AA50" s="114">
        <f t="shared" si="11"/>
        <v>2737081.9699999993</v>
      </c>
      <c r="AB50" s="114">
        <f t="shared" si="11"/>
        <v>2737081.9699999993</v>
      </c>
      <c r="AC50" s="114">
        <f t="shared" si="11"/>
        <v>3192343.7599999993</v>
      </c>
      <c r="AD50" s="114">
        <f t="shared" si="11"/>
        <v>3718901.1199999992</v>
      </c>
      <c r="AE50" s="114">
        <f t="shared" si="11"/>
        <v>4244701.8299999991</v>
      </c>
      <c r="AF50" s="116">
        <f t="shared" si="11"/>
        <v>4458528.1199999992</v>
      </c>
      <c r="AG50" s="116">
        <f t="shared" si="11"/>
        <v>4095387.8299999991</v>
      </c>
      <c r="AH50" s="115">
        <f t="shared" si="11"/>
        <v>4095387.8299999987</v>
      </c>
      <c r="AI50" s="157" t="s">
        <v>219</v>
      </c>
      <c r="AJ50" s="167">
        <v>2745741.373236164</v>
      </c>
      <c r="AK50" s="167"/>
      <c r="AL50" s="115">
        <v>6114525.2203463251</v>
      </c>
      <c r="AM50" s="231">
        <f>AH50-AL50</f>
        <v>-2019137.3903463264</v>
      </c>
      <c r="AN50" s="230"/>
    </row>
    <row r="51" spans="1:40" ht="16" thickTop="1" thickBot="1" x14ac:dyDescent="0.2">
      <c r="A51" s="146"/>
      <c r="B51" s="156"/>
      <c r="C51" s="110"/>
      <c r="D51" s="110"/>
      <c r="E51" s="110"/>
      <c r="F51" s="110"/>
      <c r="G51" s="110"/>
      <c r="H51" s="110"/>
      <c r="I51" s="110">
        <v>1048000</v>
      </c>
      <c r="J51" s="110"/>
      <c r="K51" s="110"/>
      <c r="L51" s="110">
        <f>L50-K50</f>
        <v>33076.429999999935</v>
      </c>
      <c r="M51" s="110"/>
      <c r="N51" s="110"/>
      <c r="O51" s="110">
        <f>122299.43+75863.96+4491.2+66806.17+138226.37+115543.85+177606.44+73946.03+80183.48+81447.91+189479.38+106478.7</f>
        <v>1232372.92</v>
      </c>
      <c r="P51" s="110">
        <f>1080.4-1410.88+1535.55+29013+916.6-730.64+1078.5+1337.7+2252.96+12590.86</f>
        <v>47664.049999999996</v>
      </c>
      <c r="Q51" s="110">
        <f>5609.1-683.53+2965.1+1385.5+975.54+8262.57+14340.1+570.98+1301.74+25101.59+4486.24</f>
        <v>64314.93</v>
      </c>
      <c r="R51" s="110">
        <f>69426.44+291+1195.1+806.1+12774.75+31827.39-251349.37+1582.2-6.85+17170.74+6767.62+10048.86+2503.8</f>
        <v>-96962.219999999958</v>
      </c>
      <c r="S51" s="274">
        <f>58289.23+33084.23-17394+5095.51-22868-29904+30316.01+38235.07+52968.75-61317.48+72384.32-27103.84+140000+88402.1+34606.39+36723.55+69749.16-18386.78-48842.37+18490.56</f>
        <v>452528.41</v>
      </c>
      <c r="T51" s="110"/>
      <c r="U51" s="110"/>
      <c r="V51" s="110">
        <f>1149.01-500+8873.89+388.11-271.44-330+3808.01+9521.65+15936.56-510+7503.09-47684.53+14726.35-250+1471.87+5872.06+30498.11+5660.21</f>
        <v>55862.950000000004</v>
      </c>
      <c r="W51" s="110">
        <f>-9214.75+2416.2-31128.52+30885.29-42464.28-18876.56+377-56069.77+10242.44-74013.16+5858.8-46114.91+9543.85-35746.68+1292.75-68031.3+5581-6174.5+788.13-79317.59+4632.25-19922.06+1611.5</f>
        <v>-413844.86999999994</v>
      </c>
      <c r="X51" s="110">
        <f>-9007.92+8314.5-4726.89-5701.62+6539.1-2534.3+6-3048.64+1954.52-5592+7263.75+13914.88-9149.87-3235.51+9141.5-13045.38+2477.55-3440.28+2086.52-15564.61+3089.76-22101.43+21189.43</f>
        <v>-21170.940000000002</v>
      </c>
      <c r="Y51" s="110">
        <f>16069-906.77-1848.16+1685.4-426.71+2351-185.18+3353.9+15037.94-3386.48+19427.11-94.47+10347.53-3135.68+363.52+1051.47-746.35+26028.89-1474.89+9846-915.65</f>
        <v>92441.42</v>
      </c>
      <c r="Z51" s="110">
        <f>-65297.96+11918.93-39733.09+13652.69+10949.82-21010.8+35755.97-1818.3+128-16129.37+22107.01-77803.93+45506.07+13349.94-7581.1-96876.75+52852.62+28157.81+6689.76-9848.25+10249.78-42395.39+14428.21-12756.56+1744.32</f>
        <v>-123760.57</v>
      </c>
      <c r="AA51" s="110"/>
      <c r="AB51" s="110"/>
      <c r="AC51" s="110"/>
      <c r="AD51" s="110"/>
      <c r="AE51" s="110"/>
      <c r="AF51" s="110"/>
      <c r="AG51" s="110"/>
      <c r="AH51" s="110"/>
      <c r="AI51" s="123"/>
      <c r="AJ51" s="123"/>
      <c r="AK51" s="123"/>
      <c r="AL51" s="110"/>
      <c r="AM51" s="110"/>
      <c r="AN51" s="110"/>
    </row>
    <row r="52" spans="1:40" x14ac:dyDescent="0.15">
      <c r="A52" s="149"/>
      <c r="B52" s="111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</row>
    <row r="53" spans="1:40" x14ac:dyDescent="0.15">
      <c r="A53" s="103" t="s">
        <v>370</v>
      </c>
      <c r="Z53" s="103">
        <f>-Z51+Z44</f>
        <v>-0.40000000002328306</v>
      </c>
      <c r="AN53" s="103" t="s">
        <v>384</v>
      </c>
    </row>
    <row r="55" spans="1:40" x14ac:dyDescent="0.15">
      <c r="L55" s="273"/>
      <c r="O55" s="273"/>
    </row>
    <row r="56" spans="1:40" x14ac:dyDescent="0.15">
      <c r="A56" s="106"/>
      <c r="L56" s="273"/>
      <c r="O56" s="273"/>
    </row>
    <row r="57" spans="1:40" x14ac:dyDescent="0.15">
      <c r="A57" s="106"/>
    </row>
    <row r="58" spans="1:40" x14ac:dyDescent="0.15">
      <c r="A58" s="106"/>
    </row>
    <row r="59" spans="1:40" x14ac:dyDescent="0.15">
      <c r="A59" s="106"/>
    </row>
    <row r="60" spans="1:40" x14ac:dyDescent="0.15">
      <c r="A60" s="106"/>
      <c r="N60" s="273"/>
    </row>
    <row r="61" spans="1:40" x14ac:dyDescent="0.15">
      <c r="A61" s="106"/>
    </row>
    <row r="62" spans="1:40" x14ac:dyDescent="0.15">
      <c r="A62" s="106"/>
    </row>
    <row r="63" spans="1:40" x14ac:dyDescent="0.15">
      <c r="A63" s="106"/>
    </row>
    <row r="64" spans="1:40" x14ac:dyDescent="0.15">
      <c r="A64" s="108"/>
      <c r="B64" s="105"/>
    </row>
    <row r="65" spans="1:2" x14ac:dyDescent="0.15">
      <c r="A65" s="107"/>
    </row>
    <row r="66" spans="1:2" x14ac:dyDescent="0.15">
      <c r="A66" s="106"/>
    </row>
    <row r="67" spans="1:2" x14ac:dyDescent="0.15">
      <c r="A67" s="106"/>
    </row>
    <row r="68" spans="1:2" x14ac:dyDescent="0.15">
      <c r="A68" s="106"/>
    </row>
    <row r="69" spans="1:2" x14ac:dyDescent="0.15">
      <c r="A69" s="106"/>
    </row>
    <row r="70" spans="1:2" x14ac:dyDescent="0.15">
      <c r="A70" s="106"/>
    </row>
    <row r="71" spans="1:2" x14ac:dyDescent="0.15">
      <c r="A71" s="106"/>
    </row>
    <row r="72" spans="1:2" x14ac:dyDescent="0.15">
      <c r="A72" s="106"/>
      <c r="B72" s="105"/>
    </row>
    <row r="77" spans="1:2" x14ac:dyDescent="0.15">
      <c r="B77" s="104"/>
    </row>
    <row r="78" spans="1:2" x14ac:dyDescent="0.15">
      <c r="A78" s="104"/>
    </row>
    <row r="79" spans="1:2" x14ac:dyDescent="0.15">
      <c r="A79" s="104"/>
    </row>
    <row r="83" spans="1:1" x14ac:dyDescent="0.15">
      <c r="A83" s="104"/>
    </row>
  </sheetData>
  <conditionalFormatting sqref="C2:AG2">
    <cfRule type="cellIs" dxfId="2" priority="1" operator="equal">
      <formula>"So"</formula>
    </cfRule>
  </conditionalFormatting>
  <pageMargins left="0.23622047244094491" right="0.23622047244094491" top="0.55118110236220474" bottom="0.15748031496062992" header="0.31496062992125984" footer="0.11811023622047245"/>
  <pageSetup paperSize="8" scale="66" fitToWidth="2" fitToHeight="2" orientation="landscape" cellComments="asDisplayed" r:id="rId1"/>
  <headerFooter alignWithMargins="0">
    <oddHeader>&amp;F</oddHeader>
    <oddFooter>Seite &amp;P von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AA01-26E6-412D-B473-0972155ABFA8}">
  <sheetPr>
    <pageSetUpPr fitToPage="1"/>
  </sheetPr>
  <dimension ref="A1:CN83"/>
  <sheetViews>
    <sheetView zoomScale="80" zoomScaleNormal="80" workbookViewId="0">
      <pane xSplit="2" ySplit="6" topLeftCell="T10" activePane="bottomRight" state="frozen"/>
      <selection activeCell="B27" sqref="B27"/>
      <selection pane="topRight" activeCell="B27" sqref="B27"/>
      <selection pane="bottomLeft" activeCell="B27" sqref="B27"/>
      <selection pane="bottomRight" activeCell="Z41" sqref="Z41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18" style="103" customWidth="1"/>
    <col min="3" max="3" width="16.1640625" style="103" customWidth="1"/>
    <col min="4" max="4" width="12" style="103" bestFit="1" customWidth="1"/>
    <col min="5" max="8" width="11.33203125" style="103" bestFit="1" customWidth="1"/>
    <col min="9" max="9" width="13.5" style="103" customWidth="1"/>
    <col min="10" max="10" width="12.6640625" style="103" customWidth="1"/>
    <col min="11" max="11" width="12" style="103" bestFit="1" customWidth="1"/>
    <col min="12" max="12" width="11.83203125" style="103" customWidth="1"/>
    <col min="13" max="14" width="11.5" style="103"/>
    <col min="15" max="15" width="14.6640625" style="103" customWidth="1"/>
    <col min="16" max="16" width="15.1640625" style="103" customWidth="1"/>
    <col min="17" max="17" width="11.5" style="103"/>
    <col min="18" max="18" width="12" style="103" bestFit="1" customWidth="1"/>
    <col min="19" max="19" width="13.33203125" style="103" customWidth="1"/>
    <col min="20" max="24" width="11.5" style="103"/>
    <col min="25" max="25" width="12" style="103" bestFit="1" customWidth="1"/>
    <col min="26" max="26" width="13.5" style="103" customWidth="1"/>
    <col min="27" max="29" width="11.5" style="103"/>
    <col min="30" max="30" width="13.33203125" style="103" customWidth="1"/>
    <col min="31" max="33" width="11.5" style="103"/>
    <col min="34" max="34" width="14.1640625" style="103" bestFit="1" customWidth="1"/>
    <col min="35" max="35" width="10.6640625" style="103" customWidth="1"/>
    <col min="36" max="36" width="14.5" style="103" bestFit="1" customWidth="1"/>
    <col min="37" max="37" width="16.1640625" style="103" customWidth="1"/>
    <col min="38" max="38" width="29" style="103" bestFit="1" customWidth="1"/>
    <col min="39" max="16384" width="11.5" style="103"/>
  </cols>
  <sheetData>
    <row r="1" spans="1:92" x14ac:dyDescent="0.15">
      <c r="A1" s="103" t="s">
        <v>303</v>
      </c>
      <c r="B1" s="103">
        <v>21</v>
      </c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</row>
    <row r="2" spans="1:92" x14ac:dyDescent="0.15">
      <c r="A2" s="154" t="s">
        <v>219</v>
      </c>
      <c r="B2" s="154" t="s">
        <v>297</v>
      </c>
      <c r="C2" s="155">
        <v>45689</v>
      </c>
      <c r="D2" s="155">
        <v>45690</v>
      </c>
      <c r="E2" s="155">
        <v>45691</v>
      </c>
      <c r="F2" s="155">
        <v>45692</v>
      </c>
      <c r="G2" s="155">
        <v>45693</v>
      </c>
      <c r="H2" s="155">
        <v>45694</v>
      </c>
      <c r="I2" s="155">
        <v>45695</v>
      </c>
      <c r="J2" s="155">
        <v>45696</v>
      </c>
      <c r="K2" s="155">
        <v>45697</v>
      </c>
      <c r="L2" s="155">
        <v>45698</v>
      </c>
      <c r="M2" s="155">
        <v>45699</v>
      </c>
      <c r="N2" s="155">
        <v>45700</v>
      </c>
      <c r="O2" s="155">
        <v>45701</v>
      </c>
      <c r="P2" s="155">
        <v>45702</v>
      </c>
      <c r="Q2" s="155">
        <v>45703</v>
      </c>
      <c r="R2" s="155">
        <v>45704</v>
      </c>
      <c r="S2" s="155">
        <v>45705</v>
      </c>
      <c r="T2" s="155">
        <v>45706</v>
      </c>
      <c r="U2" s="155">
        <v>45707</v>
      </c>
      <c r="V2" s="155">
        <v>45708</v>
      </c>
      <c r="W2" s="155">
        <v>45709</v>
      </c>
      <c r="X2" s="155">
        <v>45710</v>
      </c>
      <c r="Y2" s="155">
        <v>45711</v>
      </c>
      <c r="Z2" s="155">
        <v>45712</v>
      </c>
      <c r="AA2" s="155">
        <v>45713</v>
      </c>
      <c r="AB2" s="155">
        <v>45714</v>
      </c>
      <c r="AC2" s="155">
        <v>45715</v>
      </c>
      <c r="AD2" s="155">
        <v>45716</v>
      </c>
      <c r="AE2" s="155"/>
      <c r="AF2" s="155"/>
      <c r="AG2" s="154" t="s">
        <v>219</v>
      </c>
      <c r="AH2" s="154" t="s">
        <v>297</v>
      </c>
      <c r="AI2" s="154" t="s">
        <v>219</v>
      </c>
      <c r="AJ2" s="154" t="s">
        <v>375</v>
      </c>
      <c r="AK2" s="154" t="s">
        <v>376</v>
      </c>
      <c r="AL2" s="228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</row>
    <row r="3" spans="1:92" x14ac:dyDescent="0.15">
      <c r="A3" s="153" t="s">
        <v>296</v>
      </c>
      <c r="B3" s="151"/>
      <c r="C3" s="272" t="s">
        <v>295</v>
      </c>
      <c r="D3" s="272" t="s">
        <v>294</v>
      </c>
      <c r="E3" s="272" t="s">
        <v>293</v>
      </c>
      <c r="F3" s="272" t="s">
        <v>292</v>
      </c>
      <c r="G3" s="272" t="s">
        <v>291</v>
      </c>
      <c r="H3" s="272" t="s">
        <v>290</v>
      </c>
      <c r="I3" s="272" t="s">
        <v>289</v>
      </c>
      <c r="J3" s="272" t="s">
        <v>288</v>
      </c>
      <c r="K3" s="272" t="s">
        <v>287</v>
      </c>
      <c r="L3" s="272" t="s">
        <v>286</v>
      </c>
      <c r="M3" s="272" t="s">
        <v>285</v>
      </c>
      <c r="N3" s="272" t="s">
        <v>284</v>
      </c>
      <c r="O3" s="272" t="s">
        <v>283</v>
      </c>
      <c r="P3" s="272" t="s">
        <v>282</v>
      </c>
      <c r="Q3" s="272" t="s">
        <v>281</v>
      </c>
      <c r="R3" s="272" t="s">
        <v>280</v>
      </c>
      <c r="S3" s="272" t="s">
        <v>279</v>
      </c>
      <c r="T3" s="272" t="s">
        <v>278</v>
      </c>
      <c r="U3" s="272" t="s">
        <v>277</v>
      </c>
      <c r="V3" s="272" t="s">
        <v>276</v>
      </c>
      <c r="W3" s="272" t="s">
        <v>275</v>
      </c>
      <c r="X3" s="272" t="s">
        <v>274</v>
      </c>
      <c r="Y3" s="272" t="s">
        <v>273</v>
      </c>
      <c r="Z3" s="272" t="s">
        <v>272</v>
      </c>
      <c r="AA3" s="153" t="s">
        <v>271</v>
      </c>
      <c r="AB3" s="153" t="s">
        <v>270</v>
      </c>
      <c r="AC3" s="153" t="s">
        <v>269</v>
      </c>
      <c r="AD3" s="171" t="s">
        <v>268</v>
      </c>
      <c r="AE3" s="153"/>
      <c r="AF3" s="153"/>
      <c r="AG3" s="153" t="s">
        <v>219</v>
      </c>
      <c r="AH3" s="152" t="s">
        <v>264</v>
      </c>
      <c r="AI3" s="151"/>
      <c r="AJ3" s="152"/>
      <c r="AK3" s="152"/>
      <c r="AL3" s="229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</row>
    <row r="4" spans="1:92" x14ac:dyDescent="0.15">
      <c r="A4" s="112" t="s">
        <v>302</v>
      </c>
      <c r="B4" s="150">
        <f>+Januar!AG50</f>
        <v>4095387.8299999991</v>
      </c>
      <c r="C4" s="149">
        <f>B4</f>
        <v>4095387.8299999991</v>
      </c>
      <c r="D4" s="149">
        <f t="shared" ref="D4:AG4" si="0">+C50</f>
        <v>4095387.8299999991</v>
      </c>
      <c r="E4" s="149">
        <f t="shared" si="0"/>
        <v>4095387.8299999991</v>
      </c>
      <c r="F4" s="149">
        <f t="shared" si="0"/>
        <v>4544569.4299999988</v>
      </c>
      <c r="G4" s="149">
        <f t="shared" si="0"/>
        <v>4620588.0499999989</v>
      </c>
      <c r="H4" s="149">
        <f t="shared" si="0"/>
        <v>4883984.209999999</v>
      </c>
      <c r="I4" s="149">
        <f t="shared" si="0"/>
        <v>5169302.2899999991</v>
      </c>
      <c r="J4" s="149">
        <f t="shared" si="0"/>
        <v>5398011.3999999994</v>
      </c>
      <c r="K4" s="149">
        <f t="shared" si="0"/>
        <v>5398011.3999999994</v>
      </c>
      <c r="L4" s="149">
        <f t="shared" si="0"/>
        <v>5398011.3999999994</v>
      </c>
      <c r="M4" s="149">
        <f t="shared" si="0"/>
        <v>5160091.3699999992</v>
      </c>
      <c r="N4" s="149">
        <f t="shared" si="0"/>
        <v>5322901.1199999992</v>
      </c>
      <c r="O4" s="149">
        <f t="shared" si="0"/>
        <v>5718564.1199999992</v>
      </c>
      <c r="P4" s="149">
        <f t="shared" si="0"/>
        <v>6000937.8899999987</v>
      </c>
      <c r="Q4" s="149">
        <f t="shared" si="0"/>
        <v>5328178.7699999986</v>
      </c>
      <c r="R4" s="149">
        <f t="shared" si="0"/>
        <v>5328178.7699999986</v>
      </c>
      <c r="S4" s="149">
        <f t="shared" si="0"/>
        <v>5328178.7699999986</v>
      </c>
      <c r="T4" s="149">
        <f t="shared" si="0"/>
        <v>5816522.8599999985</v>
      </c>
      <c r="U4" s="149">
        <f t="shared" si="0"/>
        <v>6024022.4799999986</v>
      </c>
      <c r="V4" s="149">
        <f t="shared" si="0"/>
        <v>6026816.6799999988</v>
      </c>
      <c r="W4" s="149">
        <f t="shared" si="0"/>
        <v>6614436.6799999988</v>
      </c>
      <c r="X4" s="149">
        <f t="shared" si="0"/>
        <v>6567601.6799999988</v>
      </c>
      <c r="Y4" s="149">
        <f t="shared" si="0"/>
        <v>6567601.6799999988</v>
      </c>
      <c r="Z4" s="149">
        <f t="shared" si="0"/>
        <v>6567601.6799999988</v>
      </c>
      <c r="AA4" s="149">
        <f t="shared" si="0"/>
        <v>6971829.6799999988</v>
      </c>
      <c r="AB4" s="149">
        <f t="shared" si="0"/>
        <v>7159404.3124149991</v>
      </c>
      <c r="AC4" s="149">
        <f t="shared" si="0"/>
        <v>5916978.9448299985</v>
      </c>
      <c r="AD4" s="149">
        <f t="shared" si="0"/>
        <v>6148553.5772449989</v>
      </c>
      <c r="AE4" s="149">
        <f t="shared" si="0"/>
        <v>4710438.2096599992</v>
      </c>
      <c r="AF4" s="149">
        <f t="shared" si="0"/>
        <v>4710438.2096599992</v>
      </c>
      <c r="AG4" s="149">
        <f t="shared" si="0"/>
        <v>4710438.2096599992</v>
      </c>
      <c r="AH4" s="105">
        <f>+B4</f>
        <v>4095387.8299999991</v>
      </c>
      <c r="AI4" s="148"/>
      <c r="AJ4" s="105"/>
      <c r="AK4" s="105"/>
      <c r="AL4" s="105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</row>
    <row r="5" spans="1:92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/>
      <c r="AK5" s="145"/>
      <c r="AL5" s="105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</row>
    <row r="6" spans="1:92" x14ac:dyDescent="0.15">
      <c r="A6" s="133" t="s">
        <v>261</v>
      </c>
      <c r="B6" s="142">
        <f t="shared" ref="B6:AG6" si="1">+B4+B5</f>
        <v>4095387.8299999991</v>
      </c>
      <c r="C6" s="142">
        <f t="shared" si="1"/>
        <v>4095387.8299999991</v>
      </c>
      <c r="D6" s="142">
        <f t="shared" si="1"/>
        <v>4095387.8299999991</v>
      </c>
      <c r="E6" s="142">
        <f t="shared" si="1"/>
        <v>4095387.8299999991</v>
      </c>
      <c r="F6" s="142">
        <f t="shared" si="1"/>
        <v>4544569.4299999988</v>
      </c>
      <c r="G6" s="142">
        <f t="shared" si="1"/>
        <v>4620588.0499999989</v>
      </c>
      <c r="H6" s="142">
        <f t="shared" si="1"/>
        <v>4883984.209999999</v>
      </c>
      <c r="I6" s="142">
        <f t="shared" si="1"/>
        <v>5169302.2899999991</v>
      </c>
      <c r="J6" s="142">
        <f t="shared" si="1"/>
        <v>5398011.3999999994</v>
      </c>
      <c r="K6" s="142">
        <f t="shared" si="1"/>
        <v>5398011.3999999994</v>
      </c>
      <c r="L6" s="142">
        <f t="shared" si="1"/>
        <v>5398011.3999999994</v>
      </c>
      <c r="M6" s="142">
        <f t="shared" si="1"/>
        <v>5160091.3699999992</v>
      </c>
      <c r="N6" s="142">
        <f t="shared" si="1"/>
        <v>5322901.1199999992</v>
      </c>
      <c r="O6" s="142">
        <f t="shared" si="1"/>
        <v>5718564.1199999992</v>
      </c>
      <c r="P6" s="142">
        <f t="shared" si="1"/>
        <v>6000937.8899999987</v>
      </c>
      <c r="Q6" s="142">
        <f t="shared" si="1"/>
        <v>5328178.7699999986</v>
      </c>
      <c r="R6" s="142">
        <f t="shared" si="1"/>
        <v>5328178.7699999986</v>
      </c>
      <c r="S6" s="142">
        <f t="shared" si="1"/>
        <v>5328178.7699999986</v>
      </c>
      <c r="T6" s="142">
        <f t="shared" si="1"/>
        <v>5816522.8599999985</v>
      </c>
      <c r="U6" s="142">
        <f t="shared" si="1"/>
        <v>6024022.4799999986</v>
      </c>
      <c r="V6" s="142">
        <f t="shared" si="1"/>
        <v>6026816.6799999988</v>
      </c>
      <c r="W6" s="142">
        <f t="shared" si="1"/>
        <v>6614436.6799999988</v>
      </c>
      <c r="X6" s="142">
        <f t="shared" si="1"/>
        <v>6567601.6799999988</v>
      </c>
      <c r="Y6" s="142">
        <f t="shared" si="1"/>
        <v>6567601.6799999988</v>
      </c>
      <c r="Z6" s="142">
        <f t="shared" si="1"/>
        <v>6567601.6799999988</v>
      </c>
      <c r="AA6" s="142">
        <f t="shared" si="1"/>
        <v>6971829.6799999988</v>
      </c>
      <c r="AB6" s="142">
        <f t="shared" si="1"/>
        <v>7159404.3124149991</v>
      </c>
      <c r="AC6" s="142">
        <f t="shared" si="1"/>
        <v>5916978.9448299985</v>
      </c>
      <c r="AD6" s="142">
        <f t="shared" si="1"/>
        <v>6148553.5772449989</v>
      </c>
      <c r="AE6" s="142">
        <f t="shared" si="1"/>
        <v>4710438.2096599992</v>
      </c>
      <c r="AF6" s="132">
        <f t="shared" si="1"/>
        <v>4710438.2096599992</v>
      </c>
      <c r="AG6" s="132">
        <f t="shared" si="1"/>
        <v>4710438.2096599992</v>
      </c>
      <c r="AH6" s="105">
        <f>AH5+AH4</f>
        <v>4095387.8299999991</v>
      </c>
      <c r="AI6" s="142"/>
      <c r="AJ6" s="105"/>
      <c r="AK6" s="105"/>
      <c r="AL6" s="105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</row>
    <row r="7" spans="1:92" x14ac:dyDescent="0.15">
      <c r="A7" s="133" t="s">
        <v>260</v>
      </c>
      <c r="B7" s="142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>
        <f t="shared" ref="AH7:AH31" si="2">SUM(C7:AG7)</f>
        <v>0</v>
      </c>
      <c r="AI7" s="142"/>
      <c r="AJ7" s="105">
        <v>0</v>
      </c>
      <c r="AK7" s="105"/>
      <c r="AL7" s="105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</row>
    <row r="8" spans="1:92" x14ac:dyDescent="0.15">
      <c r="A8" s="136" t="s">
        <v>259</v>
      </c>
      <c r="B8" s="122">
        <f>SUM(C8:AG8)</f>
        <v>-227726.59999999998</v>
      </c>
      <c r="C8" s="120"/>
      <c r="D8" s="120"/>
      <c r="F8" s="120">
        <f>-222947.74-4778.86</f>
        <v>-227726.59999999998</v>
      </c>
      <c r="G8" s="120"/>
      <c r="H8" s="120"/>
      <c r="I8" s="120"/>
      <c r="J8" s="120"/>
      <c r="K8" s="120"/>
      <c r="L8" s="120"/>
      <c r="N8" s="120"/>
      <c r="O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 t="shared" si="2"/>
        <v>-227726.59999999998</v>
      </c>
      <c r="AI8" s="119"/>
      <c r="AJ8" s="105">
        <v>0</v>
      </c>
      <c r="AK8" s="105">
        <f>AH8-AJ8</f>
        <v>-227726.59999999998</v>
      </c>
      <c r="AL8" s="105"/>
      <c r="AM8" s="103" t="s">
        <v>301</v>
      </c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</row>
    <row r="9" spans="1:92" x14ac:dyDescent="0.15">
      <c r="A9" s="141" t="s">
        <v>258</v>
      </c>
      <c r="B9" s="122">
        <f>SUM(C9:AG9)</f>
        <v>0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2"/>
        <v>0</v>
      </c>
      <c r="AI9" s="119"/>
      <c r="AJ9" s="105">
        <v>0</v>
      </c>
      <c r="AK9" s="105">
        <f>AH9-AJ9</f>
        <v>0</v>
      </c>
      <c r="AL9" s="105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</row>
    <row r="10" spans="1:92" x14ac:dyDescent="0.15">
      <c r="A10" s="136" t="s">
        <v>257</v>
      </c>
      <c r="B10" s="122">
        <f>SUM(C10:AG10)</f>
        <v>5020228.13</v>
      </c>
      <c r="C10" s="120"/>
      <c r="D10" s="120"/>
      <c r="E10" s="120">
        <f>16488.05+37926.29+8441.35</f>
        <v>62855.689999999995</v>
      </c>
      <c r="F10" s="120">
        <f>49432.49+31626.73+26444.98+12300+2734.98+19179.89+13971.5+28333.23+32410.68+29413.9+28353.69+63726.73+23089.95</f>
        <v>361018.75</v>
      </c>
      <c r="G10" s="120">
        <v>17500</v>
      </c>
      <c r="J10" s="120"/>
      <c r="K10" s="120"/>
      <c r="L10" s="103">
        <f>10724.49+30198+74719+41195+28990+45762+74471+138517+72600+3712+16279+160352+6317</f>
        <v>703836.49</v>
      </c>
      <c r="M10" s="120">
        <v>657</v>
      </c>
      <c r="N10" s="120">
        <f>48645+13300+1040</f>
        <v>62985</v>
      </c>
      <c r="O10" s="120">
        <v>4832.09</v>
      </c>
      <c r="P10" s="120">
        <f>462593.5+3478.64+24389.44+23773.22+11967.79+24704.7+61071.52+83659.42+50845.05+54882.82+18333.13+56625.02+23186.68</f>
        <v>899510.93000000017</v>
      </c>
      <c r="Q10" s="120"/>
      <c r="R10" s="120"/>
      <c r="S10" s="120">
        <f>21908.08+1448.59+710.61+346.61+531+5679+507+1181+324</f>
        <v>32635.890000000003</v>
      </c>
      <c r="T10" s="120">
        <f>10235.2+481.58</f>
        <v>10716.78</v>
      </c>
      <c r="U10" s="120">
        <f>9923.96+23084.39+16197.25+1077.5+25191.88+48603.7+11904.35+14587.69+8895.06+14+36091.73</f>
        <v>195571.51</v>
      </c>
      <c r="V10" s="103">
        <f>9421+35891+43963+9725+38977+32910+100375+72505+54837+26110+21366+62396+35638</f>
        <v>544114</v>
      </c>
      <c r="W10" s="120">
        <f>33604+5675+29796+6207+2468+21289+20742+68029+14977+20479+8045+10786+56397+29132</f>
        <v>327626</v>
      </c>
      <c r="X10" s="120"/>
      <c r="Y10" s="120"/>
      <c r="Z10" s="120">
        <f>219407+11761+706+21930+26661+47662+1241</f>
        <v>329368</v>
      </c>
      <c r="AA10" s="120">
        <v>70000</v>
      </c>
      <c r="AB10" s="120"/>
      <c r="AC10" s="103">
        <v>26000</v>
      </c>
      <c r="AD10" s="120">
        <f>750000+100000+45000+26000+450000</f>
        <v>1371000</v>
      </c>
      <c r="AE10" s="120"/>
      <c r="AF10" s="120"/>
      <c r="AG10" s="120"/>
      <c r="AH10" s="105">
        <f t="shared" si="2"/>
        <v>5020228.13</v>
      </c>
      <c r="AI10" s="119"/>
      <c r="AJ10" s="105">
        <v>5142904.9284360018</v>
      </c>
      <c r="AK10" s="105">
        <f>AH10-AJ10</f>
        <v>-122676.79843600187</v>
      </c>
      <c r="AL10" s="103" t="s">
        <v>387</v>
      </c>
      <c r="AM10" s="103">
        <f>'Exec Summary_Base Case'!E103*1.19-AH25</f>
        <v>5138866.5636839988</v>
      </c>
      <c r="AN10" s="103">
        <f>AM10/4</f>
        <v>1284716.6409209997</v>
      </c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</row>
    <row r="11" spans="1:92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0</v>
      </c>
      <c r="AI11" s="119"/>
      <c r="AJ11" s="105">
        <v>0</v>
      </c>
      <c r="AK11" s="105"/>
      <c r="AL11" s="105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</row>
    <row r="12" spans="1:92" x14ac:dyDescent="0.15">
      <c r="A12" s="136" t="s">
        <v>255</v>
      </c>
      <c r="B12" s="122">
        <f>SUM(C12:AG12)</f>
        <v>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70"/>
      <c r="AH12" s="105">
        <f t="shared" si="2"/>
        <v>0</v>
      </c>
      <c r="AI12" s="119"/>
      <c r="AJ12" s="105">
        <v>0</v>
      </c>
      <c r="AK12" s="105"/>
      <c r="AL12" s="105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</row>
    <row r="13" spans="1:92" outlineLevel="1" x14ac:dyDescent="0.15">
      <c r="A13" s="169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7">
        <f t="shared" si="2"/>
        <v>0</v>
      </c>
      <c r="AI13" s="119"/>
      <c r="AJ13" s="163">
        <v>0</v>
      </c>
      <c r="AK13" s="163"/>
      <c r="AL13" s="16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</row>
    <row r="14" spans="1:92" outlineLevel="1" x14ac:dyDescent="0.15">
      <c r="A14" s="169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7">
        <f t="shared" si="2"/>
        <v>0</v>
      </c>
      <c r="AI14" s="119"/>
      <c r="AJ14" s="163">
        <v>0</v>
      </c>
      <c r="AK14" s="163"/>
      <c r="AL14" s="16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</row>
    <row r="15" spans="1:92" outlineLevel="1" x14ac:dyDescent="0.15">
      <c r="A15" s="169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7">
        <f t="shared" si="2"/>
        <v>0</v>
      </c>
      <c r="AI15" s="119"/>
      <c r="AJ15" s="163">
        <v>0</v>
      </c>
      <c r="AK15" s="163"/>
      <c r="AL15" s="16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</row>
    <row r="16" spans="1:92" outlineLevel="1" x14ac:dyDescent="0.15">
      <c r="A16" s="169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7">
        <f t="shared" si="2"/>
        <v>0</v>
      </c>
      <c r="AI16" s="119"/>
      <c r="AJ16" s="163">
        <v>0</v>
      </c>
      <c r="AK16" s="163"/>
      <c r="AL16" s="16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</row>
    <row r="17" spans="1:92" outlineLevel="1" x14ac:dyDescent="0.15">
      <c r="A17" s="169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7">
        <f t="shared" si="2"/>
        <v>0</v>
      </c>
      <c r="AI17" s="119"/>
      <c r="AJ17" s="163">
        <v>0</v>
      </c>
      <c r="AK17" s="163"/>
      <c r="AL17" s="16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</row>
    <row r="18" spans="1:92" outlineLevel="1" x14ac:dyDescent="0.15">
      <c r="A18" s="169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7">
        <f t="shared" si="2"/>
        <v>0</v>
      </c>
      <c r="AI18" s="119"/>
      <c r="AJ18" s="163">
        <v>0</v>
      </c>
      <c r="AK18" s="163"/>
      <c r="AL18" s="16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</row>
    <row r="19" spans="1:92" outlineLevel="1" x14ac:dyDescent="0.15">
      <c r="A19" s="169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7">
        <f t="shared" si="2"/>
        <v>0</v>
      </c>
      <c r="AI19" s="119"/>
      <c r="AJ19" s="163">
        <v>0</v>
      </c>
      <c r="AK19" s="163"/>
      <c r="AL19" s="16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</row>
    <row r="20" spans="1:92" outlineLevel="1" x14ac:dyDescent="0.15">
      <c r="A20" s="169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7">
        <f t="shared" si="2"/>
        <v>0</v>
      </c>
      <c r="AI20" s="119"/>
      <c r="AJ20" s="163">
        <v>0</v>
      </c>
      <c r="AK20" s="163"/>
      <c r="AL20" s="16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</row>
    <row r="21" spans="1:92" outlineLevel="1" x14ac:dyDescent="0.15">
      <c r="A21" s="169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7">
        <f t="shared" si="2"/>
        <v>0</v>
      </c>
      <c r="AI21" s="119"/>
      <c r="AJ21" s="163">
        <v>0</v>
      </c>
      <c r="AK21" s="163"/>
      <c r="AL21" s="16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</row>
    <row r="22" spans="1:92" outlineLevel="1" x14ac:dyDescent="0.15">
      <c r="A22" s="169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7">
        <f t="shared" si="2"/>
        <v>0</v>
      </c>
      <c r="AI22" s="119"/>
      <c r="AJ22" s="163">
        <v>0</v>
      </c>
      <c r="AK22" s="163"/>
      <c r="AL22" s="16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</row>
    <row r="23" spans="1:92" x14ac:dyDescent="0.15">
      <c r="A23" s="136" t="s">
        <v>244</v>
      </c>
      <c r="B23" s="122">
        <f>SUM(C23:AG23)</f>
        <v>0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0</v>
      </c>
      <c r="AI23" s="119"/>
      <c r="AJ23" s="105">
        <v>0</v>
      </c>
      <c r="AK23" s="105">
        <f>AH23-AJ23</f>
        <v>0</v>
      </c>
      <c r="AL23" s="105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</row>
    <row r="24" spans="1:92" x14ac:dyDescent="0.15">
      <c r="A24" s="136" t="s">
        <v>232</v>
      </c>
      <c r="B24" s="122">
        <f>SUM(C24:AG24)</f>
        <v>0</v>
      </c>
      <c r="C24" s="120"/>
      <c r="D24" s="120"/>
      <c r="E24" s="120"/>
      <c r="F24" s="120"/>
      <c r="G24" s="120"/>
      <c r="H24" s="120"/>
      <c r="I24" s="120"/>
      <c r="J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C24" s="120"/>
      <c r="AD24" s="120"/>
      <c r="AE24" s="120"/>
      <c r="AF24" s="120"/>
      <c r="AG24" s="120"/>
      <c r="AH24" s="105">
        <f t="shared" si="2"/>
        <v>0</v>
      </c>
      <c r="AI24" s="119"/>
      <c r="AJ24" s="105">
        <v>100000</v>
      </c>
      <c r="AK24" s="105">
        <f>AH24-AJ24</f>
        <v>-100000</v>
      </c>
      <c r="AL24" s="103" t="s">
        <v>422</v>
      </c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  <c r="CN24" s="123"/>
    </row>
    <row r="25" spans="1:92" x14ac:dyDescent="0.15">
      <c r="A25" s="136" t="s">
        <v>243</v>
      </c>
      <c r="B25" s="122"/>
      <c r="C25" s="120"/>
      <c r="D25" s="120"/>
      <c r="E25" s="120"/>
      <c r="F25" s="120"/>
      <c r="G25" s="120"/>
      <c r="H25" s="120"/>
      <c r="J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si="2"/>
        <v>0</v>
      </c>
      <c r="AI25" s="119"/>
      <c r="AJ25" s="105">
        <v>10000</v>
      </c>
      <c r="AK25" s="105">
        <f>AH25-AJ25</f>
        <v>-10000</v>
      </c>
      <c r="AL25" s="105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</row>
    <row r="26" spans="1:92" x14ac:dyDescent="0.15">
      <c r="A26" s="136" t="s">
        <v>242</v>
      </c>
      <c r="B26" s="122">
        <f>SUM(C26:AG26)</f>
        <v>170000</v>
      </c>
      <c r="C26" s="120"/>
      <c r="D26" s="120"/>
      <c r="F26" s="120"/>
      <c r="G26" s="120"/>
      <c r="J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>
        <v>170000</v>
      </c>
      <c r="AE26" s="120"/>
      <c r="AF26" s="120"/>
      <c r="AG26" s="120"/>
      <c r="AH26" s="105">
        <f t="shared" si="2"/>
        <v>170000</v>
      </c>
      <c r="AI26" s="119"/>
      <c r="AJ26" s="105">
        <v>170000</v>
      </c>
      <c r="AK26" s="105">
        <f>AH26-AJ26</f>
        <v>0</v>
      </c>
      <c r="AL26" s="105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  <c r="CN26" s="123"/>
    </row>
    <row r="27" spans="1:92" x14ac:dyDescent="0.15">
      <c r="A27" s="136" t="s">
        <v>241</v>
      </c>
      <c r="B27" s="122">
        <f>SUM(C27:AG27)</f>
        <v>0</v>
      </c>
      <c r="C27" s="120"/>
      <c r="D27" s="120"/>
      <c r="F27" s="120"/>
      <c r="G27" s="120"/>
      <c r="J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05">
        <f t="shared" si="2"/>
        <v>0</v>
      </c>
      <c r="AI27" s="119"/>
      <c r="AJ27" s="105">
        <v>0</v>
      </c>
      <c r="AK27" s="105"/>
      <c r="AL27" s="105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</row>
    <row r="28" spans="1:92" x14ac:dyDescent="0.15">
      <c r="A28" s="136" t="s">
        <v>240</v>
      </c>
      <c r="B28" s="122">
        <f>SUM(C28:AG28)</f>
        <v>0</v>
      </c>
      <c r="C28" s="120"/>
      <c r="D28" s="120"/>
      <c r="F28" s="120"/>
      <c r="G28" s="120"/>
      <c r="J28" s="120"/>
      <c r="L28" s="120"/>
      <c r="M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2"/>
        <v>0</v>
      </c>
      <c r="AI28" s="119"/>
      <c r="AJ28" s="105">
        <v>0</v>
      </c>
      <c r="AK28" s="105"/>
      <c r="AL28" s="103" t="s">
        <v>406</v>
      </c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</row>
    <row r="29" spans="1:92" x14ac:dyDescent="0.15">
      <c r="A29" s="136" t="s">
        <v>300</v>
      </c>
      <c r="B29" s="122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 t="shared" si="2"/>
        <v>0</v>
      </c>
      <c r="AI29" s="119"/>
      <c r="AJ29" s="105">
        <v>-73565.065378302475</v>
      </c>
      <c r="AK29" s="105">
        <f>AH29-AJ29</f>
        <v>73565.065378302475</v>
      </c>
      <c r="AL29" s="105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</row>
    <row r="30" spans="1:92" x14ac:dyDescent="0.15">
      <c r="A30" s="136" t="s">
        <v>365</v>
      </c>
      <c r="B30" s="122">
        <f>SUM(C30:AG30)</f>
        <v>1500000</v>
      </c>
      <c r="C30" s="121"/>
      <c r="D30" s="121"/>
      <c r="E30" s="121"/>
      <c r="F30" s="121"/>
      <c r="G30" s="120"/>
      <c r="H30" s="121"/>
      <c r="I30" s="121"/>
      <c r="J30" s="120"/>
      <c r="K30" s="120"/>
      <c r="L30" s="121"/>
      <c r="M30" s="121"/>
      <c r="N30" s="120"/>
      <c r="O30" s="120"/>
      <c r="P30" s="120"/>
      <c r="Q30" s="121"/>
      <c r="R30" s="121"/>
      <c r="S30" s="121"/>
      <c r="T30" s="121"/>
      <c r="U30" s="121"/>
      <c r="V30" s="121"/>
      <c r="W30" s="120"/>
      <c r="X30" s="121"/>
      <c r="Y30" s="121"/>
      <c r="Z30" s="121"/>
      <c r="AA30" s="121"/>
      <c r="AB30" s="121">
        <v>1500000</v>
      </c>
      <c r="AC30" s="121"/>
      <c r="AD30" s="121"/>
      <c r="AE30" s="121"/>
      <c r="AF30" s="121"/>
      <c r="AG30" s="120"/>
      <c r="AH30" s="105">
        <f t="shared" si="2"/>
        <v>1500000</v>
      </c>
      <c r="AI30" s="119"/>
      <c r="AJ30" s="105">
        <v>1500000</v>
      </c>
      <c r="AK30" s="105"/>
      <c r="AL30" s="105"/>
      <c r="AP30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</row>
    <row r="31" spans="1:92" ht="15" thickBot="1" x14ac:dyDescent="0.2">
      <c r="A31" s="113" t="s">
        <v>238</v>
      </c>
      <c r="B31" s="129">
        <f>SUM(C31:AG31)</f>
        <v>98500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>
        <v>98500</v>
      </c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4"/>
      <c r="AH31" s="128">
        <f t="shared" si="2"/>
        <v>98500</v>
      </c>
      <c r="AI31" s="127"/>
      <c r="AJ31" s="128">
        <v>0</v>
      </c>
      <c r="AK31" s="128"/>
      <c r="AL31" s="105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</row>
    <row r="32" spans="1:92" x14ac:dyDescent="0.15">
      <c r="A32" s="133" t="s">
        <v>237</v>
      </c>
      <c r="B32" s="122">
        <f>SUM(B8:B31)</f>
        <v>6561001.5300000003</v>
      </c>
      <c r="C32" s="119">
        <f t="shared" ref="C32:N32" si="3">SUM(C8:C31)-C12</f>
        <v>0</v>
      </c>
      <c r="D32" s="119">
        <f t="shared" si="3"/>
        <v>0</v>
      </c>
      <c r="E32" s="119">
        <f t="shared" si="3"/>
        <v>62855.689999999995</v>
      </c>
      <c r="F32" s="119">
        <f>SUM(F8:F31)-F12</f>
        <v>133292.15000000002</v>
      </c>
      <c r="G32" s="119">
        <f t="shared" si="3"/>
        <v>17500</v>
      </c>
      <c r="H32" s="119">
        <f t="shared" si="3"/>
        <v>0</v>
      </c>
      <c r="I32" s="119">
        <f t="shared" si="3"/>
        <v>0</v>
      </c>
      <c r="J32" s="119">
        <f t="shared" si="3"/>
        <v>0</v>
      </c>
      <c r="K32" s="119">
        <f t="shared" si="3"/>
        <v>0</v>
      </c>
      <c r="L32" s="119">
        <f t="shared" si="3"/>
        <v>802336.49</v>
      </c>
      <c r="M32" s="119">
        <f t="shared" si="3"/>
        <v>657</v>
      </c>
      <c r="N32" s="119">
        <f t="shared" si="3"/>
        <v>62985</v>
      </c>
      <c r="O32" s="119">
        <f t="shared" ref="O32:AH32" si="4">SUM(O8:O31)-O12</f>
        <v>4832.09</v>
      </c>
      <c r="P32" s="119">
        <f t="shared" si="4"/>
        <v>899510.93000000017</v>
      </c>
      <c r="Q32" s="119">
        <f>SUM(Q8:Q31)-Q12</f>
        <v>0</v>
      </c>
      <c r="R32" s="119">
        <f t="shared" si="4"/>
        <v>0</v>
      </c>
      <c r="S32" s="119">
        <f t="shared" si="4"/>
        <v>32635.890000000003</v>
      </c>
      <c r="T32" s="119">
        <f t="shared" si="4"/>
        <v>10716.78</v>
      </c>
      <c r="U32" s="119">
        <f>SUM(U8:U31)-U12</f>
        <v>195571.51</v>
      </c>
      <c r="V32" s="119">
        <f t="shared" si="4"/>
        <v>544114</v>
      </c>
      <c r="W32" s="119">
        <f t="shared" si="4"/>
        <v>327626</v>
      </c>
      <c r="X32" s="119">
        <f t="shared" si="4"/>
        <v>0</v>
      </c>
      <c r="Y32" s="119">
        <f t="shared" si="4"/>
        <v>0</v>
      </c>
      <c r="Z32" s="119">
        <f t="shared" si="4"/>
        <v>329368</v>
      </c>
      <c r="AA32" s="119">
        <f t="shared" si="4"/>
        <v>70000</v>
      </c>
      <c r="AB32" s="119">
        <f t="shared" si="4"/>
        <v>1500000</v>
      </c>
      <c r="AC32" s="119">
        <f t="shared" si="4"/>
        <v>26000</v>
      </c>
      <c r="AD32" s="119">
        <f t="shared" si="4"/>
        <v>1541000</v>
      </c>
      <c r="AE32" s="119">
        <f t="shared" si="4"/>
        <v>0</v>
      </c>
      <c r="AF32" s="119">
        <f t="shared" si="4"/>
        <v>0</v>
      </c>
      <c r="AG32" s="119">
        <f t="shared" si="4"/>
        <v>0</v>
      </c>
      <c r="AH32" s="160">
        <f t="shared" si="4"/>
        <v>6561001.5300000003</v>
      </c>
      <c r="AI32" s="119"/>
      <c r="AJ32" s="160">
        <v>6849339.8630576991</v>
      </c>
      <c r="AK32" s="105">
        <f>AH32-AJ32</f>
        <v>-288338.33305769879</v>
      </c>
      <c r="AL32" s="105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</row>
    <row r="33" spans="1:92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 t="s">
        <v>219</v>
      </c>
      <c r="AI33" s="119"/>
      <c r="AJ33" s="105" t="s">
        <v>219</v>
      </c>
      <c r="AK33" s="105"/>
      <c r="AL33" s="105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  <c r="CN33" s="123"/>
    </row>
    <row r="34" spans="1:92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/>
      <c r="AI34" s="119"/>
      <c r="AJ34" s="105"/>
      <c r="AK34" s="105"/>
      <c r="AL34" s="105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</row>
    <row r="35" spans="1:92" hidden="1" x14ac:dyDescent="0.15">
      <c r="A35" s="124" t="s">
        <v>235</v>
      </c>
      <c r="B35" s="122">
        <f t="shared" ref="B35:B41" si="5">SUM(C35:AG35)</f>
        <v>0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ref="AH35:AH42" si="6">SUM(C35:AG35)</f>
        <v>0</v>
      </c>
      <c r="AI35" s="119"/>
      <c r="AJ35" s="105">
        <v>0</v>
      </c>
      <c r="AK35" s="105"/>
      <c r="AL35" s="105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</row>
    <row r="36" spans="1:92" hidden="1" x14ac:dyDescent="0.15">
      <c r="A36" s="124" t="s">
        <v>234</v>
      </c>
      <c r="B36" s="122">
        <f t="shared" si="5"/>
        <v>0</v>
      </c>
      <c r="C36" s="120"/>
      <c r="D36" s="120"/>
      <c r="E36" s="120"/>
      <c r="F36" s="120">
        <v>0</v>
      </c>
      <c r="G36" s="120">
        <v>0</v>
      </c>
      <c r="H36" s="120"/>
      <c r="I36" s="120"/>
      <c r="J36" s="120"/>
      <c r="K36" s="120"/>
      <c r="L36" s="120"/>
      <c r="M36" s="120">
        <v>0</v>
      </c>
      <c r="N36" s="120">
        <v>0</v>
      </c>
      <c r="O36" s="120"/>
      <c r="P36" s="120"/>
      <c r="Q36" s="120"/>
      <c r="R36" s="120"/>
      <c r="S36" s="120"/>
      <c r="T36" s="120">
        <v>0</v>
      </c>
      <c r="U36" s="120">
        <v>0</v>
      </c>
      <c r="V36" s="120"/>
      <c r="W36" s="120"/>
      <c r="X36" s="120"/>
      <c r="Y36" s="120"/>
      <c r="Z36" s="120"/>
      <c r="AA36" s="120">
        <v>0</v>
      </c>
      <c r="AB36" s="120">
        <v>0</v>
      </c>
      <c r="AC36" s="120"/>
      <c r="AD36" s="120"/>
      <c r="AE36" s="120"/>
      <c r="AF36" s="120"/>
      <c r="AG36" s="120"/>
      <c r="AH36" s="105">
        <f t="shared" si="6"/>
        <v>0</v>
      </c>
      <c r="AI36" s="119"/>
      <c r="AJ36" s="105">
        <v>0</v>
      </c>
      <c r="AK36" s="105"/>
      <c r="AL36" s="105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</row>
    <row r="37" spans="1:92" hidden="1" x14ac:dyDescent="0.15">
      <c r="A37" s="124" t="s">
        <v>233</v>
      </c>
      <c r="B37" s="122">
        <f t="shared" si="5"/>
        <v>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6"/>
        <v>0</v>
      </c>
      <c r="AI37" s="119"/>
      <c r="AJ37" s="105">
        <v>0</v>
      </c>
      <c r="AK37" s="105"/>
      <c r="AL37" s="105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</row>
    <row r="38" spans="1:92" x14ac:dyDescent="0.15">
      <c r="A38" s="124" t="s">
        <v>232</v>
      </c>
      <c r="B38" s="122">
        <f t="shared" si="5"/>
        <v>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6"/>
        <v>0</v>
      </c>
      <c r="AI38" s="119"/>
      <c r="AJ38" s="105">
        <v>0</v>
      </c>
      <c r="AK38" s="105"/>
      <c r="AL38" s="105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</row>
    <row r="39" spans="1:92" x14ac:dyDescent="0.15">
      <c r="A39" s="124" t="s">
        <v>231</v>
      </c>
      <c r="B39" s="122">
        <f t="shared" si="5"/>
        <v>20889.36</v>
      </c>
      <c r="C39" s="120"/>
      <c r="D39" s="120"/>
      <c r="E39" s="120">
        <v>20889.36</v>
      </c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6"/>
        <v>20889.36</v>
      </c>
      <c r="AI39" s="119"/>
      <c r="AJ39" s="105">
        <v>0</v>
      </c>
      <c r="AK39" s="105"/>
      <c r="AL39" s="105"/>
      <c r="AO39" s="103">
        <v>28</v>
      </c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</row>
    <row r="40" spans="1:92" x14ac:dyDescent="0.15">
      <c r="A40" s="124" t="s">
        <v>230</v>
      </c>
      <c r="B40" s="122">
        <f t="shared" si="5"/>
        <v>4298434.4028699994</v>
      </c>
      <c r="C40" s="131"/>
      <c r="D40" s="131"/>
      <c r="E40" s="131">
        <f>3290+1781+13877+13072+19922+47811+37991+67137+26308+58347+19766+61184+9559.93</f>
        <v>380045.93</v>
      </c>
      <c r="F40" s="131">
        <f>3954.5+333.14+12232+6289+1352.72+4195+7952+10468+23358+11310+8144+5595+14776+7299</f>
        <v>117258.36</v>
      </c>
      <c r="G40" s="131">
        <f>4688+48.57+2547+47949+23.93+6533.98+7046+12869+28557+10131+8414+4993+8649+4161.68</f>
        <v>146611.15999999997</v>
      </c>
      <c r="H40" s="131">
        <f>121.05+1039+353.68+278.42+13331+5387+16229+11627+19730+18483+16696+19961+6779+21891+994</f>
        <v>152900.15</v>
      </c>
      <c r="I40" s="131">
        <f>2664.58+2951.68+12336+500.39+12340+16626.56+14513+25547+11238+24037+5121+23499+1485-22724</f>
        <v>130135.21000000002</v>
      </c>
      <c r="J40" s="131"/>
      <c r="K40" s="131"/>
      <c r="L40" s="131">
        <f>5668+1289+42889+2261.46+25579+51243+35306+64956+78355+39068+57895+72758+16851</f>
        <v>494118.45999999996</v>
      </c>
      <c r="M40" s="131">
        <f>56.75+922+5984+1019+5060+8113+16513+19013+31274+15162+5906+18550+5923</f>
        <v>133495.75</v>
      </c>
      <c r="N40" s="131">
        <f>2274+2696+6799+840+12217+6731+10688+30914+34565+12269+4056+17959+2610-1432+41047</f>
        <v>184233</v>
      </c>
      <c r="O40" s="131">
        <f>590.8+12016+5959.51+33483+17487+15716+15517+40573+9929+1562+45794+2750</f>
        <v>201377.31</v>
      </c>
      <c r="P40" s="131">
        <f>829+3595+12973+1227+20698+21090+25135+35432+22741+9307+7241+18379+1628.81</f>
        <v>180275.81</v>
      </c>
      <c r="Q40" s="131"/>
      <c r="R40" s="131"/>
      <c r="S40" s="131">
        <f>6168.2+198.78+44243+32855+7804.76+36200+21063+56328+63737+35953+36572.28+21832.96+78781+17363</f>
        <v>459099.98000000004</v>
      </c>
      <c r="T40" s="131">
        <f>2024.2+13972.2+6+15500+17796+6040+13108+41443+26933+7941+9744+10280+13877</f>
        <v>178664.4</v>
      </c>
      <c r="U40" s="131">
        <f>4705.52+6261+6235+1330.7+18989+6449+14956.72+24367+11188+7177+18791.77+8813+3249</f>
        <v>132512.71000000002</v>
      </c>
      <c r="V40" s="131">
        <f>2716+7556+9039+34404+10866+13341+21390+15550+7928+41927+18174+2077</f>
        <v>184968</v>
      </c>
      <c r="W40" s="131">
        <f>4824+4762+9177+6038+20572+17011+28426+23401+15731+9180+16373+14375+1928</f>
        <v>171798</v>
      </c>
      <c r="X40" s="131"/>
      <c r="Y40" s="131"/>
      <c r="Z40" s="131">
        <f>11001+21793+33952+13042+24751+59741+59425+109262+78665+47413+41387+68900+15855+25394</f>
        <v>610581</v>
      </c>
      <c r="AA40" s="131">
        <f>+$AO$42</f>
        <v>135089.79321749997</v>
      </c>
      <c r="AB40" s="131">
        <f>+$AO$42</f>
        <v>135089.79321749997</v>
      </c>
      <c r="AC40" s="131">
        <f>+$AO$42</f>
        <v>135089.79321749997</v>
      </c>
      <c r="AD40" s="320">
        <f>+$AO$42-100000</f>
        <v>35089.793217499973</v>
      </c>
      <c r="AE40" s="131"/>
      <c r="AF40" s="131"/>
      <c r="AG40" s="131"/>
      <c r="AH40" s="105">
        <f t="shared" si="6"/>
        <v>4298434.4028699994</v>
      </c>
      <c r="AI40" s="119"/>
      <c r="AJ40" s="105">
        <v>3908393.5171814733</v>
      </c>
      <c r="AK40" s="105">
        <f>AH40-AJ40</f>
        <v>390040.88568852609</v>
      </c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</row>
    <row r="41" spans="1:92" ht="15" thickBot="1" x14ac:dyDescent="0.2">
      <c r="A41" s="130" t="s">
        <v>229</v>
      </c>
      <c r="B41" s="129">
        <f t="shared" si="5"/>
        <v>2856728.1467900006</v>
      </c>
      <c r="C41" s="127"/>
      <c r="D41" s="127"/>
      <c r="E41" s="127">
        <f>1839+24226+33288+2408+2977+1341+15129+13630+2629+3895+9740</f>
        <v>111102</v>
      </c>
      <c r="F41" s="127">
        <f>270.5+50+249.66+12036+981+2667.25+45081+1912+11063+4218+10021+2417+257+829</f>
        <v>92052.41</v>
      </c>
      <c r="G41" s="127">
        <f>758+11877+14659+638+76912+7994+592+13981+2286+4588</f>
        <v>134285</v>
      </c>
      <c r="H41" s="127">
        <f>5231.25+19543.9+10092+1029.78+1574+5925+14223+24183+450+9405+20646+17400+2715</f>
        <v>132417.93</v>
      </c>
      <c r="I41" s="127">
        <f>2459+4385+1148.9+877+5591+19651+33711+3559+5219+12289+9684</f>
        <v>98573.9</v>
      </c>
      <c r="J41" s="127"/>
      <c r="K41" s="127"/>
      <c r="L41" s="127">
        <f>35+3063+19406+70+11665+12259+241+5567+4745+13247</f>
        <v>70298</v>
      </c>
      <c r="M41" s="127">
        <f>9028+450+1627+5882+8718+4266</f>
        <v>29971</v>
      </c>
      <c r="N41" s="127">
        <f>5350+22186+1177+20042+1700+40863+590+179316+3191</f>
        <v>274415</v>
      </c>
      <c r="O41" s="127">
        <f>277.55+109+802+408+3093+23786+3617+5123+7003+16757+4394+20459</f>
        <v>85828.55</v>
      </c>
      <c r="P41" s="127">
        <f>866+6571+5992+3394+3394+3335+7235+2908+6801+123+5857</f>
        <v>46476</v>
      </c>
      <c r="Q41" s="127"/>
      <c r="R41" s="127"/>
      <c r="S41" s="127">
        <f>9805+15867+4703+875+2289+10146+5858+7000+5337</f>
        <v>61880</v>
      </c>
      <c r="T41" s="127">
        <f>3107+2888+1980+2080+2454+5679+10404+5322+1247+120+4271</f>
        <v>39552</v>
      </c>
      <c r="U41" s="127">
        <f>23+4484+3330+2576+3871+239+30605+20725</f>
        <v>65853</v>
      </c>
      <c r="V41" s="127">
        <f>586569+5788+39495+3531+17516+6336+95528+6461+147120+863+1266+36293</f>
        <v>946766</v>
      </c>
      <c r="W41" s="127">
        <f>8858+13311+3464+1092+10719+10890+4660+55999</f>
        <v>108993</v>
      </c>
      <c r="X41" s="127"/>
      <c r="Y41" s="127"/>
      <c r="Z41" s="127">
        <f>850+1917+4000+22296+1493+104+939+20677+5400+700+700+25684+38255</f>
        <v>123015</v>
      </c>
      <c r="AA41" s="127">
        <f>SUM($AO$43:$AO$45)</f>
        <v>122484.83919749998</v>
      </c>
      <c r="AB41" s="127">
        <f>SUM($AO$43:$AO$45)</f>
        <v>122484.83919749998</v>
      </c>
      <c r="AC41" s="127">
        <f>SUM($AO$43:$AO$45)</f>
        <v>122484.83919749998</v>
      </c>
      <c r="AD41" s="321">
        <f>SUM($AO$43:$AO$45)-60000+5310</f>
        <v>67794.839197499983</v>
      </c>
      <c r="AE41" s="127"/>
      <c r="AF41" s="127"/>
      <c r="AG41" s="134"/>
      <c r="AH41" s="128">
        <f t="shared" si="6"/>
        <v>2856728.1467900006</v>
      </c>
      <c r="AI41" s="127"/>
      <c r="AJ41" s="128">
        <v>3530810.0240126872</v>
      </c>
      <c r="AK41" s="105">
        <f>AH41-AJ41</f>
        <v>-674081.87722268654</v>
      </c>
      <c r="AL41" s="105"/>
      <c r="AM41" s="103" t="s">
        <v>228</v>
      </c>
      <c r="AN41" s="103">
        <f>'Exec Summary_Base Case'!E98*70%*1.07+'Exec Summary_Base Case'!E98*30%*1.19</f>
        <v>7565028.4201799985</v>
      </c>
      <c r="AO41" s="103">
        <f>+AN41/$AO$39</f>
        <v>270179.58643499995</v>
      </c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</row>
    <row r="42" spans="1:92" x14ac:dyDescent="0.15">
      <c r="A42" s="124" t="s">
        <v>227</v>
      </c>
      <c r="B42" s="122">
        <f>SUM(B40:B41)</f>
        <v>7155162.54966</v>
      </c>
      <c r="C42" s="119">
        <f t="shared" ref="C42:N42" si="7">SUM(C35:C41)</f>
        <v>0</v>
      </c>
      <c r="D42" s="119">
        <f t="shared" si="7"/>
        <v>0</v>
      </c>
      <c r="E42" s="119">
        <f t="shared" si="7"/>
        <v>512037.29</v>
      </c>
      <c r="F42" s="119">
        <f t="shared" si="7"/>
        <v>209310.77000000002</v>
      </c>
      <c r="G42" s="119">
        <f t="shared" si="7"/>
        <v>280896.15999999997</v>
      </c>
      <c r="H42" s="119">
        <f t="shared" si="7"/>
        <v>285318.07999999996</v>
      </c>
      <c r="I42" s="119">
        <f t="shared" si="7"/>
        <v>228709.11000000002</v>
      </c>
      <c r="J42" s="119">
        <f t="shared" si="7"/>
        <v>0</v>
      </c>
      <c r="K42" s="119">
        <f t="shared" si="7"/>
        <v>0</v>
      </c>
      <c r="L42" s="119">
        <f t="shared" si="7"/>
        <v>564416.46</v>
      </c>
      <c r="M42" s="119">
        <f t="shared" si="7"/>
        <v>163466.75</v>
      </c>
      <c r="N42" s="119">
        <f t="shared" si="7"/>
        <v>458648</v>
      </c>
      <c r="O42" s="119">
        <f t="shared" ref="O42:AG42" si="8">SUM(O35:O41)</f>
        <v>287205.86</v>
      </c>
      <c r="P42" s="119">
        <f t="shared" si="8"/>
        <v>226751.81</v>
      </c>
      <c r="Q42" s="119">
        <f t="shared" si="8"/>
        <v>0</v>
      </c>
      <c r="R42" s="119">
        <f t="shared" si="8"/>
        <v>0</v>
      </c>
      <c r="S42" s="119">
        <f t="shared" si="8"/>
        <v>520979.98000000004</v>
      </c>
      <c r="T42" s="119">
        <f t="shared" si="8"/>
        <v>218216.4</v>
      </c>
      <c r="U42" s="119">
        <f t="shared" si="8"/>
        <v>198365.71000000002</v>
      </c>
      <c r="V42" s="119">
        <f t="shared" si="8"/>
        <v>1131734</v>
      </c>
      <c r="W42" s="119">
        <f t="shared" si="8"/>
        <v>280791</v>
      </c>
      <c r="X42" s="119">
        <f t="shared" si="8"/>
        <v>0</v>
      </c>
      <c r="Y42" s="119">
        <f t="shared" si="8"/>
        <v>0</v>
      </c>
      <c r="Z42" s="119">
        <f t="shared" si="8"/>
        <v>733596</v>
      </c>
      <c r="AA42" s="119">
        <f t="shared" si="8"/>
        <v>257574.63241499994</v>
      </c>
      <c r="AB42" s="119">
        <f t="shared" si="8"/>
        <v>257574.63241499994</v>
      </c>
      <c r="AC42" s="119">
        <f t="shared" si="8"/>
        <v>257574.63241499994</v>
      </c>
      <c r="AD42" s="119">
        <f t="shared" si="8"/>
        <v>102884.63241499996</v>
      </c>
      <c r="AE42" s="119">
        <f t="shared" si="8"/>
        <v>0</v>
      </c>
      <c r="AF42" s="119">
        <f t="shared" si="8"/>
        <v>0</v>
      </c>
      <c r="AG42" s="120">
        <f t="shared" si="8"/>
        <v>0</v>
      </c>
      <c r="AH42" s="105">
        <f t="shared" si="6"/>
        <v>7176051.9096600013</v>
      </c>
      <c r="AI42" s="119"/>
      <c r="AJ42" s="105">
        <v>7439203.5411941605</v>
      </c>
      <c r="AK42" s="232">
        <f>AH42-AJ42</f>
        <v>-263151.63153415918</v>
      </c>
      <c r="AL42" s="105"/>
      <c r="AM42" s="103" t="s">
        <v>226</v>
      </c>
      <c r="AN42" s="103">
        <f>AN41*AP42</f>
        <v>3782514.2100899993</v>
      </c>
      <c r="AO42" s="103">
        <f>+AN42/$AO$39</f>
        <v>135089.79321749997</v>
      </c>
      <c r="AP42" s="174">
        <v>0.5</v>
      </c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  <c r="CN42" s="123"/>
    </row>
    <row r="43" spans="1:92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 t="s">
        <v>219</v>
      </c>
      <c r="AI43" s="119"/>
      <c r="AJ43" s="105" t="s">
        <v>219</v>
      </c>
      <c r="AK43" s="105"/>
      <c r="AL43" s="105"/>
      <c r="AM43" s="103" t="s">
        <v>225</v>
      </c>
      <c r="AN43" s="103">
        <f>AN41*AP43</f>
        <v>1891257.1050449996</v>
      </c>
      <c r="AO43" s="103">
        <f>+AN43/$AO$39</f>
        <v>67544.896608749987</v>
      </c>
      <c r="AP43" s="174">
        <v>0.25</v>
      </c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</row>
    <row r="44" spans="1:92" x14ac:dyDescent="0.15">
      <c r="A44" s="124" t="s">
        <v>224</v>
      </c>
      <c r="B44" s="122"/>
      <c r="C44" s="119">
        <f t="shared" ref="C44:AH44" si="9">C42-C32</f>
        <v>0</v>
      </c>
      <c r="D44" s="119">
        <f t="shared" si="9"/>
        <v>0</v>
      </c>
      <c r="E44" s="119">
        <f t="shared" si="9"/>
        <v>449181.6</v>
      </c>
      <c r="F44" s="119">
        <f t="shared" si="9"/>
        <v>76018.62</v>
      </c>
      <c r="G44" s="119">
        <f t="shared" si="9"/>
        <v>263396.15999999997</v>
      </c>
      <c r="H44" s="119">
        <f t="shared" si="9"/>
        <v>285318.07999999996</v>
      </c>
      <c r="I44" s="119">
        <f t="shared" si="9"/>
        <v>228709.11000000002</v>
      </c>
      <c r="J44" s="119">
        <f t="shared" si="9"/>
        <v>0</v>
      </c>
      <c r="K44" s="119">
        <f t="shared" si="9"/>
        <v>0</v>
      </c>
      <c r="L44" s="119">
        <f t="shared" si="9"/>
        <v>-237920.03000000003</v>
      </c>
      <c r="M44" s="119">
        <f t="shared" si="9"/>
        <v>162809.75</v>
      </c>
      <c r="N44" s="119">
        <f t="shared" si="9"/>
        <v>395663</v>
      </c>
      <c r="O44" s="119">
        <f t="shared" si="9"/>
        <v>282373.76999999996</v>
      </c>
      <c r="P44" s="119">
        <f t="shared" si="9"/>
        <v>-672759.12000000011</v>
      </c>
      <c r="Q44" s="119">
        <f t="shared" si="9"/>
        <v>0</v>
      </c>
      <c r="R44" s="119">
        <f t="shared" si="9"/>
        <v>0</v>
      </c>
      <c r="S44" s="119">
        <f t="shared" si="9"/>
        <v>488344.09</v>
      </c>
      <c r="T44" s="119">
        <f t="shared" si="9"/>
        <v>207499.62</v>
      </c>
      <c r="U44" s="119">
        <f t="shared" si="9"/>
        <v>2794.2000000000116</v>
      </c>
      <c r="V44" s="119">
        <f t="shared" si="9"/>
        <v>587620</v>
      </c>
      <c r="W44" s="119">
        <f t="shared" si="9"/>
        <v>-46835</v>
      </c>
      <c r="X44" s="119">
        <f t="shared" si="9"/>
        <v>0</v>
      </c>
      <c r="Y44" s="119">
        <f t="shared" si="9"/>
        <v>0</v>
      </c>
      <c r="Z44" s="119">
        <f t="shared" si="9"/>
        <v>404228</v>
      </c>
      <c r="AA44" s="119">
        <f t="shared" si="9"/>
        <v>187574.63241499994</v>
      </c>
      <c r="AB44" s="119">
        <f t="shared" si="9"/>
        <v>-1242425.3675850001</v>
      </c>
      <c r="AC44" s="119">
        <f t="shared" si="9"/>
        <v>231574.63241499994</v>
      </c>
      <c r="AD44" s="119">
        <f t="shared" si="9"/>
        <v>-1438115.3675850001</v>
      </c>
      <c r="AE44" s="119">
        <f t="shared" si="9"/>
        <v>0</v>
      </c>
      <c r="AF44" s="120">
        <f t="shared" si="9"/>
        <v>0</v>
      </c>
      <c r="AG44" s="120">
        <f t="shared" si="9"/>
        <v>0</v>
      </c>
      <c r="AH44" s="125">
        <f t="shared" si="9"/>
        <v>615050.37966000102</v>
      </c>
      <c r="AI44" s="119"/>
      <c r="AJ44" s="125">
        <v>589863.67813646141</v>
      </c>
      <c r="AK44" s="105">
        <f>AH44-AJ44</f>
        <v>25186.70152353961</v>
      </c>
      <c r="AL44" s="105"/>
      <c r="AM44" s="103" t="s">
        <v>319</v>
      </c>
      <c r="AN44" s="103">
        <f>Januar!AP41*Februar!AP44</f>
        <v>812505.89248499996</v>
      </c>
      <c r="AO44" s="103">
        <f>+AN44/$AO$39</f>
        <v>29018.06758875</v>
      </c>
      <c r="AP44" s="175">
        <v>0.125</v>
      </c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</row>
    <row r="45" spans="1:92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 t="s">
        <v>219</v>
      </c>
      <c r="AI45" s="119"/>
      <c r="AJ45" s="105" t="s">
        <v>219</v>
      </c>
      <c r="AK45" s="105"/>
      <c r="AL45" s="105"/>
      <c r="AM45" s="103" t="s">
        <v>320</v>
      </c>
      <c r="AN45" s="103">
        <f>Dezember24!AN41*Februar!AP44*1.5</f>
        <v>725812.5</v>
      </c>
      <c r="AO45" s="103">
        <f>+AN45/$AO$39</f>
        <v>25921.875</v>
      </c>
      <c r="AP45" s="175">
        <v>0.125</v>
      </c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</row>
    <row r="46" spans="1:92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>SUM(C46:AG46)</f>
        <v>0</v>
      </c>
      <c r="AI46" s="119"/>
      <c r="AJ46" s="105">
        <v>0</v>
      </c>
      <c r="AK46" s="105"/>
      <c r="AL46" s="105"/>
      <c r="AN46" s="103">
        <f>SUM(AN43:AN45)</f>
        <v>3429575.4975299994</v>
      </c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</row>
    <row r="47" spans="1:92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>SUM(C47:AG47)</f>
        <v>0</v>
      </c>
      <c r="AI47" s="119"/>
      <c r="AJ47" s="105">
        <v>0</v>
      </c>
      <c r="AK47" s="105"/>
      <c r="AL47" s="105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</row>
    <row r="48" spans="1:92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>SUM(C48:AG48)</f>
        <v>0</v>
      </c>
      <c r="AI48" s="119"/>
      <c r="AJ48" s="105">
        <v>0</v>
      </c>
      <c r="AK48" s="105"/>
      <c r="AL48" s="105"/>
      <c r="AN48" s="103">
        <f>+AN42+AN43+März!AN44+April!AM45</f>
        <v>7565028.4201799985</v>
      </c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</row>
    <row r="49" spans="1:38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105" t="s">
        <v>219</v>
      </c>
      <c r="AK49" s="105"/>
      <c r="AL49" s="105"/>
    </row>
    <row r="50" spans="1:38" s="105" customFormat="1" ht="12.75" customHeight="1" thickBot="1" x14ac:dyDescent="0.2">
      <c r="A50" s="159" t="s">
        <v>299</v>
      </c>
      <c r="B50" s="158">
        <f t="shared" ref="B50:AH50" si="10">B6+B44-B46-B47-B48</f>
        <v>4095387.8299999991</v>
      </c>
      <c r="C50" s="157">
        <f t="shared" si="10"/>
        <v>4095387.8299999991</v>
      </c>
      <c r="D50" s="157">
        <f t="shared" si="10"/>
        <v>4095387.8299999991</v>
      </c>
      <c r="E50" s="157">
        <f t="shared" si="10"/>
        <v>4544569.4299999988</v>
      </c>
      <c r="F50" s="157">
        <f t="shared" si="10"/>
        <v>4620588.0499999989</v>
      </c>
      <c r="G50" s="157">
        <f t="shared" si="10"/>
        <v>4883984.209999999</v>
      </c>
      <c r="H50" s="157">
        <f t="shared" si="10"/>
        <v>5169302.2899999991</v>
      </c>
      <c r="I50" s="157">
        <f t="shared" si="10"/>
        <v>5398011.3999999994</v>
      </c>
      <c r="J50" s="157">
        <f t="shared" si="10"/>
        <v>5398011.3999999994</v>
      </c>
      <c r="K50" s="157">
        <f t="shared" si="10"/>
        <v>5398011.3999999994</v>
      </c>
      <c r="L50" s="157">
        <f t="shared" si="10"/>
        <v>5160091.3699999992</v>
      </c>
      <c r="M50" s="157">
        <f t="shared" si="10"/>
        <v>5322901.1199999992</v>
      </c>
      <c r="N50" s="292">
        <f t="shared" si="10"/>
        <v>5718564.1199999992</v>
      </c>
      <c r="O50" s="157">
        <f t="shared" si="10"/>
        <v>6000937.8899999987</v>
      </c>
      <c r="P50" s="157">
        <f t="shared" si="10"/>
        <v>5328178.7699999986</v>
      </c>
      <c r="Q50" s="157">
        <f t="shared" si="10"/>
        <v>5328178.7699999986</v>
      </c>
      <c r="R50" s="157">
        <f t="shared" si="10"/>
        <v>5328178.7699999986</v>
      </c>
      <c r="S50" s="157">
        <f t="shared" si="10"/>
        <v>5816522.8599999985</v>
      </c>
      <c r="T50" s="157">
        <f t="shared" si="10"/>
        <v>6024022.4799999986</v>
      </c>
      <c r="U50" s="157">
        <f t="shared" si="10"/>
        <v>6026816.6799999988</v>
      </c>
      <c r="V50" s="157">
        <f t="shared" si="10"/>
        <v>6614436.6799999988</v>
      </c>
      <c r="W50" s="157">
        <f t="shared" si="10"/>
        <v>6567601.6799999988</v>
      </c>
      <c r="X50" s="157">
        <f t="shared" si="10"/>
        <v>6567601.6799999988</v>
      </c>
      <c r="Y50" s="157">
        <f t="shared" si="10"/>
        <v>6567601.6799999988</v>
      </c>
      <c r="Z50" s="157">
        <f t="shared" si="10"/>
        <v>6971829.6799999988</v>
      </c>
      <c r="AA50" s="157">
        <f t="shared" si="10"/>
        <v>7159404.3124149991</v>
      </c>
      <c r="AB50" s="157">
        <f t="shared" si="10"/>
        <v>5916978.9448299985</v>
      </c>
      <c r="AC50" s="157">
        <f t="shared" si="10"/>
        <v>6148553.5772449989</v>
      </c>
      <c r="AD50" s="292">
        <f t="shared" si="10"/>
        <v>4710438.2096599992</v>
      </c>
      <c r="AE50" s="157">
        <f t="shared" si="10"/>
        <v>4710438.2096599992</v>
      </c>
      <c r="AF50" s="168">
        <f t="shared" si="10"/>
        <v>4710438.2096599992</v>
      </c>
      <c r="AG50" s="168">
        <f t="shared" si="10"/>
        <v>4710438.2096599992</v>
      </c>
      <c r="AH50" s="167">
        <f t="shared" si="10"/>
        <v>4710438.2096600002</v>
      </c>
      <c r="AI50" s="157" t="s">
        <v>219</v>
      </c>
      <c r="AJ50" s="115">
        <v>6704388.8984827874</v>
      </c>
      <c r="AK50" s="231">
        <f>AH50-AJ50</f>
        <v>-1993950.6888227873</v>
      </c>
    </row>
    <row r="51" spans="1:38" ht="16" thickTop="1" thickBot="1" x14ac:dyDescent="0.2">
      <c r="A51" s="146"/>
      <c r="B51" s="156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>
        <v>6971830</v>
      </c>
      <c r="AA51" s="110"/>
      <c r="AB51" s="110"/>
      <c r="AC51" s="110"/>
      <c r="AD51" s="110"/>
      <c r="AE51" s="110"/>
      <c r="AF51" s="110"/>
      <c r="AG51" s="110"/>
      <c r="AH51" s="110"/>
      <c r="AI51" s="123"/>
      <c r="AJ51" s="123"/>
      <c r="AK51" s="123"/>
      <c r="AL51" s="123"/>
    </row>
    <row r="52" spans="1:38" x14ac:dyDescent="0.15">
      <c r="A52" s="149"/>
      <c r="B52" s="111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274"/>
      <c r="P52" s="293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 t="s">
        <v>388</v>
      </c>
      <c r="AK52" s="110">
        <v>-1892871</v>
      </c>
      <c r="AL52" s="110"/>
    </row>
    <row r="55" spans="1:38" x14ac:dyDescent="0.15">
      <c r="AE55" s="103" t="s">
        <v>511</v>
      </c>
      <c r="AF55" s="103" t="s">
        <v>452</v>
      </c>
      <c r="AG55" s="103" t="s">
        <v>512</v>
      </c>
      <c r="AH55" s="103" t="s">
        <v>490</v>
      </c>
    </row>
    <row r="56" spans="1:38" x14ac:dyDescent="0.15">
      <c r="A56" s="106"/>
      <c r="AC56" s="103" t="s">
        <v>451</v>
      </c>
      <c r="AE56" s="103">
        <v>444819</v>
      </c>
      <c r="AF56" s="103">
        <v>451282</v>
      </c>
      <c r="AG56" s="103">
        <v>466110</v>
      </c>
      <c r="AH56" s="103">
        <v>527440</v>
      </c>
    </row>
    <row r="57" spans="1:38" x14ac:dyDescent="0.15">
      <c r="A57" s="106"/>
      <c r="AC57" s="103" t="s">
        <v>453</v>
      </c>
      <c r="AE57" s="103">
        <v>664995</v>
      </c>
      <c r="AF57" s="103">
        <v>680660</v>
      </c>
      <c r="AG57" s="103">
        <v>751070</v>
      </c>
      <c r="AH57" s="103">
        <v>735297</v>
      </c>
    </row>
    <row r="58" spans="1:38" x14ac:dyDescent="0.15">
      <c r="A58" s="106"/>
      <c r="AC58" s="103" t="s">
        <v>454</v>
      </c>
      <c r="AE58" s="103">
        <v>379796</v>
      </c>
      <c r="AF58" s="103">
        <v>389833</v>
      </c>
      <c r="AG58" s="103">
        <v>413940</v>
      </c>
      <c r="AH58" s="103">
        <v>423046</v>
      </c>
    </row>
    <row r="59" spans="1:38" x14ac:dyDescent="0.15">
      <c r="A59" s="106"/>
      <c r="AC59" s="103" t="s">
        <v>455</v>
      </c>
      <c r="AE59" s="103">
        <v>859360</v>
      </c>
      <c r="AF59" s="103">
        <v>718602</v>
      </c>
      <c r="AG59" s="103">
        <v>832640</v>
      </c>
      <c r="AH59" s="103">
        <v>602899</v>
      </c>
    </row>
    <row r="60" spans="1:38" x14ac:dyDescent="0.15">
      <c r="A60" s="106"/>
      <c r="AC60" s="103" t="s">
        <v>163</v>
      </c>
      <c r="AE60" s="103">
        <v>469138</v>
      </c>
      <c r="AF60" s="103">
        <v>502454</v>
      </c>
      <c r="AG60" s="103">
        <v>530096</v>
      </c>
      <c r="AH60" s="103">
        <v>587038</v>
      </c>
    </row>
    <row r="61" spans="1:38" x14ac:dyDescent="0.15">
      <c r="A61" s="106"/>
      <c r="AC61" s="103" t="s">
        <v>456</v>
      </c>
      <c r="AE61" s="103">
        <v>351711</v>
      </c>
      <c r="AF61" s="103">
        <v>347234</v>
      </c>
      <c r="AG61" s="103">
        <v>407103</v>
      </c>
      <c r="AH61" s="103">
        <v>259130</v>
      </c>
    </row>
    <row r="62" spans="1:38" x14ac:dyDescent="0.15">
      <c r="A62" s="106"/>
      <c r="AC62" s="103" t="s">
        <v>130</v>
      </c>
      <c r="AE62" s="103">
        <v>8160</v>
      </c>
      <c r="AF62" s="103">
        <v>82996.479999999996</v>
      </c>
      <c r="AG62" s="103">
        <v>129111.03</v>
      </c>
      <c r="AH62" s="103">
        <v>65242</v>
      </c>
    </row>
    <row r="63" spans="1:38" x14ac:dyDescent="0.15">
      <c r="A63" s="106"/>
      <c r="AC63" s="103" t="s">
        <v>134</v>
      </c>
      <c r="AE63" s="103">
        <v>372286</v>
      </c>
      <c r="AF63" s="103">
        <v>361109</v>
      </c>
      <c r="AG63" s="103">
        <v>386809</v>
      </c>
      <c r="AH63" s="103">
        <v>446091</v>
      </c>
    </row>
    <row r="64" spans="1:38" x14ac:dyDescent="0.15">
      <c r="A64" s="108"/>
      <c r="B64" s="105"/>
      <c r="AC64" s="103" t="s">
        <v>457</v>
      </c>
      <c r="AE64" s="103">
        <v>134378</v>
      </c>
      <c r="AF64" s="103">
        <v>113345</v>
      </c>
      <c r="AG64" s="103">
        <v>138686</v>
      </c>
      <c r="AH64" s="103">
        <v>184428</v>
      </c>
    </row>
    <row r="65" spans="1:34" x14ac:dyDescent="0.15">
      <c r="A65" s="107"/>
      <c r="AC65" s="103" t="s">
        <v>458</v>
      </c>
      <c r="AE65" s="103">
        <v>347431</v>
      </c>
      <c r="AF65" s="103">
        <v>341964</v>
      </c>
      <c r="AG65" s="103">
        <v>377383</v>
      </c>
      <c r="AH65" s="103">
        <v>297589</v>
      </c>
    </row>
    <row r="66" spans="1:34" x14ac:dyDescent="0.15">
      <c r="A66" s="106"/>
      <c r="AC66" s="103" t="s">
        <v>169</v>
      </c>
      <c r="AE66" s="103">
        <v>2219</v>
      </c>
      <c r="AF66" s="103">
        <v>1193</v>
      </c>
      <c r="AG66" s="103">
        <v>5726</v>
      </c>
      <c r="AH66" s="103">
        <v>63191</v>
      </c>
    </row>
    <row r="67" spans="1:34" x14ac:dyDescent="0.15">
      <c r="A67" s="106"/>
      <c r="AC67" s="103" t="s">
        <v>162</v>
      </c>
      <c r="AE67" s="103">
        <v>436505</v>
      </c>
      <c r="AF67" s="103">
        <v>435478</v>
      </c>
      <c r="AG67" s="103">
        <v>468041</v>
      </c>
      <c r="AH67" s="103">
        <v>593137</v>
      </c>
    </row>
    <row r="68" spans="1:34" x14ac:dyDescent="0.15">
      <c r="A68" s="106"/>
      <c r="AC68" s="103" t="s">
        <v>171</v>
      </c>
      <c r="AE68" s="103">
        <v>235132</v>
      </c>
      <c r="AF68" s="103">
        <v>171381</v>
      </c>
      <c r="AG68" s="103">
        <v>194101</v>
      </c>
      <c r="AH68" s="103">
        <v>231497</v>
      </c>
    </row>
    <row r="69" spans="1:34" x14ac:dyDescent="0.15">
      <c r="A69" s="106"/>
      <c r="AC69" s="103" t="s">
        <v>170</v>
      </c>
      <c r="AE69" s="103">
        <v>28755</v>
      </c>
      <c r="AF69" s="103">
        <v>21560</v>
      </c>
      <c r="AG69" s="103">
        <v>27167</v>
      </c>
      <c r="AH69" s="103">
        <v>70676</v>
      </c>
    </row>
    <row r="70" spans="1:34" x14ac:dyDescent="0.15">
      <c r="A70" s="106"/>
      <c r="AE70" s="103">
        <f>SUM(AE56:AE69)</f>
        <v>4734685</v>
      </c>
      <c r="AF70" s="103">
        <f>SUM(AF56:AF69)</f>
        <v>4619091.4800000004</v>
      </c>
      <c r="AG70" s="103">
        <f>SUM(AG56:AG69)</f>
        <v>5127983.0299999993</v>
      </c>
      <c r="AH70" s="103">
        <f>SUM(AH56:AH69)</f>
        <v>5086701</v>
      </c>
    </row>
    <row r="71" spans="1:34" x14ac:dyDescent="0.15">
      <c r="A71" s="106"/>
    </row>
    <row r="72" spans="1:34" x14ac:dyDescent="0.15">
      <c r="A72" s="106"/>
      <c r="B72" s="105"/>
    </row>
    <row r="77" spans="1:34" x14ac:dyDescent="0.15">
      <c r="B77" s="104"/>
    </row>
    <row r="78" spans="1:34" x14ac:dyDescent="0.15">
      <c r="A78" s="104"/>
    </row>
    <row r="79" spans="1:34" x14ac:dyDescent="0.15">
      <c r="A79" s="104"/>
    </row>
    <row r="83" spans="1:1" x14ac:dyDescent="0.15">
      <c r="A83" s="104"/>
    </row>
  </sheetData>
  <pageMargins left="0.23622047244094491" right="0.23622047244094491" top="0.55118110236220474" bottom="0.15748031496062992" header="0.31496062992125984" footer="0.11811023622047245"/>
  <pageSetup paperSize="9" scale="85" fitToWidth="0" orientation="landscape" r:id="rId1"/>
  <headerFooter alignWithMargins="0">
    <oddHeader>&amp;F</oddHeader>
    <oddFooter>Seite &amp;P von &amp;N</oddFooter>
  </headerFooter>
  <colBreaks count="1" manualBreakCount="1">
    <brk id="17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73C4-6DF4-4E57-890E-F8693A2AFA51}">
  <sheetPr>
    <pageSetUpPr fitToPage="1"/>
  </sheetPr>
  <dimension ref="A1:CN103"/>
  <sheetViews>
    <sheetView zoomScale="70" zoomScaleNormal="70" workbookViewId="0">
      <pane xSplit="2" ySplit="6" topLeftCell="I38" activePane="bottomRight" state="frozen"/>
      <selection activeCell="B27" sqref="B27"/>
      <selection pane="topRight" activeCell="B27" sqref="B27"/>
      <selection pane="bottomLeft" activeCell="B27" sqref="B27"/>
      <selection pane="bottomRight" activeCell="AB50" sqref="AB50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39.5" style="103" bestFit="1" customWidth="1"/>
    <col min="3" max="3" width="12" style="103" bestFit="1" customWidth="1"/>
    <col min="4" max="4" width="11" style="103" customWidth="1"/>
    <col min="5" max="5" width="13" style="103" customWidth="1"/>
    <col min="6" max="6" width="12.5" style="103" customWidth="1"/>
    <col min="7" max="7" width="11.1640625" style="103" customWidth="1"/>
    <col min="8" max="9" width="11.33203125" style="103" bestFit="1" customWidth="1"/>
    <col min="10" max="10" width="12" style="103" bestFit="1" customWidth="1"/>
    <col min="11" max="12" width="11.33203125" style="103" bestFit="1" customWidth="1"/>
    <col min="13" max="14" width="11.5" style="103"/>
    <col min="15" max="15" width="11.83203125" style="103" bestFit="1" customWidth="1"/>
    <col min="16" max="16" width="11.5" style="103"/>
    <col min="17" max="17" width="11.83203125" style="103" bestFit="1" customWidth="1"/>
    <col min="18" max="18" width="11.5" style="103"/>
    <col min="19" max="19" width="12.1640625" style="103" customWidth="1"/>
    <col min="20" max="21" width="11.5" style="103"/>
    <col min="22" max="22" width="11.83203125" style="103" bestFit="1" customWidth="1"/>
    <col min="23" max="23" width="12.1640625" style="103" bestFit="1" customWidth="1"/>
    <col min="24" max="24" width="12" style="103" bestFit="1" customWidth="1"/>
    <col min="25" max="25" width="11.5" style="103"/>
    <col min="26" max="27" width="12.5" style="103" customWidth="1"/>
    <col min="28" max="28" width="11.5" style="103"/>
    <col min="29" max="29" width="11.83203125" style="103" bestFit="1" customWidth="1"/>
    <col min="30" max="30" width="12.1640625" style="103" customWidth="1"/>
    <col min="31" max="33" width="11.5" style="103"/>
    <col min="34" max="34" width="14.83203125" style="103" bestFit="1" customWidth="1"/>
    <col min="35" max="35" width="10.6640625" style="103" customWidth="1"/>
    <col min="36" max="36" width="15.1640625" style="103" bestFit="1" customWidth="1"/>
    <col min="37" max="37" width="12.6640625" style="103" customWidth="1"/>
    <col min="38" max="38" width="25.5" style="103" bestFit="1" customWidth="1"/>
    <col min="39" max="39" width="11.5" style="103"/>
    <col min="40" max="40" width="12.5" style="103" customWidth="1"/>
    <col min="41" max="16384" width="11.5" style="103"/>
  </cols>
  <sheetData>
    <row r="1" spans="1:92" x14ac:dyDescent="0.15">
      <c r="A1" s="103" t="s">
        <v>305</v>
      </c>
      <c r="B1" s="103">
        <v>20</v>
      </c>
      <c r="AE1" s="103" t="s">
        <v>304</v>
      </c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</row>
    <row r="2" spans="1:92" x14ac:dyDescent="0.15">
      <c r="A2" s="154"/>
      <c r="B2" s="154" t="s">
        <v>297</v>
      </c>
      <c r="C2" s="155">
        <v>45717</v>
      </c>
      <c r="D2" s="155">
        <v>45718</v>
      </c>
      <c r="E2" s="155">
        <v>45719</v>
      </c>
      <c r="F2" s="155">
        <v>45720</v>
      </c>
      <c r="G2" s="155">
        <v>45721</v>
      </c>
      <c r="H2" s="155">
        <v>45722</v>
      </c>
      <c r="I2" s="155">
        <v>45723</v>
      </c>
      <c r="J2" s="155">
        <v>45724</v>
      </c>
      <c r="K2" s="155">
        <v>45725</v>
      </c>
      <c r="L2" s="155">
        <v>45726</v>
      </c>
      <c r="M2" s="155">
        <v>45727</v>
      </c>
      <c r="N2" s="155">
        <v>45728</v>
      </c>
      <c r="O2" s="155">
        <v>45729</v>
      </c>
      <c r="P2" s="155">
        <v>45730</v>
      </c>
      <c r="Q2" s="155">
        <v>45731</v>
      </c>
      <c r="R2" s="155">
        <v>45732</v>
      </c>
      <c r="S2" s="155">
        <v>45733</v>
      </c>
      <c r="T2" s="155">
        <v>45734</v>
      </c>
      <c r="U2" s="155">
        <v>45735</v>
      </c>
      <c r="V2" s="155">
        <v>45736</v>
      </c>
      <c r="W2" s="155">
        <v>45737</v>
      </c>
      <c r="X2" s="155">
        <v>45738</v>
      </c>
      <c r="Y2" s="155">
        <v>45739</v>
      </c>
      <c r="Z2" s="155">
        <v>45740</v>
      </c>
      <c r="AA2" s="155">
        <v>45741</v>
      </c>
      <c r="AB2" s="155">
        <v>45742</v>
      </c>
      <c r="AC2" s="155">
        <v>45743</v>
      </c>
      <c r="AD2" s="155">
        <v>45744</v>
      </c>
      <c r="AE2" s="155">
        <v>45745</v>
      </c>
      <c r="AF2" s="155">
        <v>45746</v>
      </c>
      <c r="AG2" s="155">
        <v>45747</v>
      </c>
      <c r="AH2" s="154" t="s">
        <v>297</v>
      </c>
      <c r="AI2" s="154" t="s">
        <v>219</v>
      </c>
      <c r="AJ2" s="154" t="s">
        <v>375</v>
      </c>
      <c r="AK2" s="154" t="s">
        <v>376</v>
      </c>
      <c r="AL2" s="228" t="s">
        <v>389</v>
      </c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</row>
    <row r="3" spans="1:92" x14ac:dyDescent="0.15">
      <c r="A3" s="153" t="s">
        <v>296</v>
      </c>
      <c r="B3" s="151"/>
      <c r="C3" s="153" t="s">
        <v>295</v>
      </c>
      <c r="D3" s="153" t="s">
        <v>294</v>
      </c>
      <c r="E3" s="153" t="s">
        <v>293</v>
      </c>
      <c r="F3" s="153" t="s">
        <v>292</v>
      </c>
      <c r="G3" s="153" t="s">
        <v>291</v>
      </c>
      <c r="H3" s="153" t="s">
        <v>290</v>
      </c>
      <c r="I3" s="153" t="s">
        <v>289</v>
      </c>
      <c r="J3" s="153" t="s">
        <v>288</v>
      </c>
      <c r="K3" s="153" t="s">
        <v>287</v>
      </c>
      <c r="L3" s="153" t="s">
        <v>286</v>
      </c>
      <c r="M3" s="153" t="s">
        <v>285</v>
      </c>
      <c r="N3" s="153" t="s">
        <v>284</v>
      </c>
      <c r="O3" s="153" t="s">
        <v>283</v>
      </c>
      <c r="P3" s="153" t="s">
        <v>282</v>
      </c>
      <c r="Q3" s="153" t="s">
        <v>281</v>
      </c>
      <c r="R3" s="153" t="s">
        <v>280</v>
      </c>
      <c r="S3" s="153" t="s">
        <v>279</v>
      </c>
      <c r="T3" s="153" t="s">
        <v>278</v>
      </c>
      <c r="U3" s="153" t="s">
        <v>277</v>
      </c>
      <c r="V3" s="153" t="s">
        <v>276</v>
      </c>
      <c r="W3" s="153" t="s">
        <v>275</v>
      </c>
      <c r="X3" s="153" t="s">
        <v>274</v>
      </c>
      <c r="Y3" s="153" t="s">
        <v>273</v>
      </c>
      <c r="Z3" s="153" t="s">
        <v>272</v>
      </c>
      <c r="AA3" s="153" t="s">
        <v>271</v>
      </c>
      <c r="AB3" s="153" t="s">
        <v>270</v>
      </c>
      <c r="AC3" s="153" t="s">
        <v>269</v>
      </c>
      <c r="AD3" s="153" t="s">
        <v>268</v>
      </c>
      <c r="AE3" s="153" t="s">
        <v>267</v>
      </c>
      <c r="AF3" s="153" t="s">
        <v>266</v>
      </c>
      <c r="AG3" s="153" t="s">
        <v>265</v>
      </c>
      <c r="AH3" s="152" t="s">
        <v>264</v>
      </c>
      <c r="AI3" s="151"/>
      <c r="AJ3" s="152"/>
      <c r="AK3" s="152"/>
      <c r="AL3" s="229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</row>
    <row r="4" spans="1:92" x14ac:dyDescent="0.15">
      <c r="A4" s="112" t="s">
        <v>263</v>
      </c>
      <c r="B4" s="150">
        <f>+Februar!AE50</f>
        <v>4710438.2096599992</v>
      </c>
      <c r="C4" s="149">
        <f>B4</f>
        <v>4710438.2096599992</v>
      </c>
      <c r="D4" s="149">
        <f t="shared" ref="D4:AG4" si="0">+C50</f>
        <v>4710438.2096599992</v>
      </c>
      <c r="E4" s="149">
        <f t="shared" si="0"/>
        <v>4710438.2096599992</v>
      </c>
      <c r="F4" s="149">
        <f t="shared" si="0"/>
        <v>5025101.8558726609</v>
      </c>
      <c r="G4" s="149">
        <f t="shared" si="0"/>
        <v>5683698.3445620965</v>
      </c>
      <c r="H4" s="149">
        <f t="shared" si="0"/>
        <v>5938361.9907747582</v>
      </c>
      <c r="I4" s="149">
        <f t="shared" si="0"/>
        <v>6253025.6369874198</v>
      </c>
      <c r="J4" s="149">
        <f t="shared" si="0"/>
        <v>3944627.8469420816</v>
      </c>
      <c r="K4" s="149">
        <f t="shared" si="0"/>
        <v>3944627.8469420816</v>
      </c>
      <c r="L4" s="149">
        <f t="shared" si="0"/>
        <v>3944627.8469420816</v>
      </c>
      <c r="M4" s="149">
        <f t="shared" si="0"/>
        <v>4544685.9431032911</v>
      </c>
      <c r="N4" s="149">
        <f t="shared" si="0"/>
        <v>5014857.4317927267</v>
      </c>
      <c r="O4" s="149">
        <f t="shared" si="0"/>
        <v>5037905.0780053884</v>
      </c>
      <c r="P4" s="149">
        <f t="shared" si="0"/>
        <v>5352568.72421805</v>
      </c>
      <c r="Q4" s="149">
        <f t="shared" si="0"/>
        <v>5094961.1204307117</v>
      </c>
      <c r="R4" s="149">
        <f t="shared" si="0"/>
        <v>5094961.1204307117</v>
      </c>
      <c r="S4" s="149">
        <f t="shared" si="0"/>
        <v>5094961.1204307117</v>
      </c>
      <c r="T4" s="149">
        <f t="shared" si="0"/>
        <v>5695019.2165919207</v>
      </c>
      <c r="U4" s="149">
        <f t="shared" si="0"/>
        <v>8583343.0452813562</v>
      </c>
      <c r="V4" s="149">
        <f t="shared" si="0"/>
        <v>8898006.6914940178</v>
      </c>
      <c r="W4" s="149">
        <f t="shared" si="0"/>
        <v>9212670.3377066795</v>
      </c>
      <c r="X4" s="149">
        <f t="shared" si="0"/>
        <v>9321594.9839193411</v>
      </c>
      <c r="Y4" s="149">
        <f t="shared" si="0"/>
        <v>9321594.9839193411</v>
      </c>
      <c r="Z4" s="149">
        <f t="shared" si="0"/>
        <v>9321594.9839193411</v>
      </c>
      <c r="AA4" s="149">
        <f t="shared" si="0"/>
        <v>9921653.0800805502</v>
      </c>
      <c r="AB4" s="149">
        <f t="shared" si="0"/>
        <v>8200324.9987699855</v>
      </c>
      <c r="AC4" s="149">
        <f t="shared" si="0"/>
        <v>8256022.2237442601</v>
      </c>
      <c r="AD4" s="149">
        <f t="shared" si="0"/>
        <v>8570685.8699569218</v>
      </c>
      <c r="AE4" s="149">
        <f t="shared" si="0"/>
        <v>7481398.209911583</v>
      </c>
      <c r="AF4" s="149">
        <f t="shared" si="0"/>
        <v>7481398.209911583</v>
      </c>
      <c r="AG4" s="149">
        <f t="shared" si="0"/>
        <v>7481398.209911583</v>
      </c>
      <c r="AH4" s="105">
        <f>+B4</f>
        <v>4710438.2096599992</v>
      </c>
      <c r="AI4" s="148"/>
      <c r="AJ4" s="105"/>
      <c r="AK4" s="105"/>
      <c r="AL4" s="105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</row>
    <row r="5" spans="1:92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/>
      <c r="AK5" s="145"/>
      <c r="AL5" s="105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</row>
    <row r="6" spans="1:92" x14ac:dyDescent="0.15">
      <c r="A6" s="133" t="s">
        <v>261</v>
      </c>
      <c r="B6" s="142">
        <f t="shared" ref="B6:AG6" si="1">+B4+B5</f>
        <v>4710438.2096599992</v>
      </c>
      <c r="C6" s="142">
        <f t="shared" si="1"/>
        <v>4710438.2096599992</v>
      </c>
      <c r="D6" s="142">
        <f t="shared" si="1"/>
        <v>4710438.2096599992</v>
      </c>
      <c r="E6" s="142">
        <f t="shared" si="1"/>
        <v>4710438.2096599992</v>
      </c>
      <c r="F6" s="142">
        <f t="shared" si="1"/>
        <v>5025101.8558726609</v>
      </c>
      <c r="G6" s="142">
        <f t="shared" si="1"/>
        <v>5683698.3445620965</v>
      </c>
      <c r="H6" s="142">
        <f t="shared" si="1"/>
        <v>5938361.9907747582</v>
      </c>
      <c r="I6" s="142">
        <f t="shared" si="1"/>
        <v>6253025.6369874198</v>
      </c>
      <c r="J6" s="142">
        <f t="shared" si="1"/>
        <v>3944627.8469420816</v>
      </c>
      <c r="K6" s="142">
        <f t="shared" si="1"/>
        <v>3944627.8469420816</v>
      </c>
      <c r="L6" s="142">
        <f t="shared" si="1"/>
        <v>3944627.8469420816</v>
      </c>
      <c r="M6" s="142">
        <f t="shared" si="1"/>
        <v>4544685.9431032911</v>
      </c>
      <c r="N6" s="142">
        <f t="shared" si="1"/>
        <v>5014857.4317927267</v>
      </c>
      <c r="O6" s="142">
        <f t="shared" si="1"/>
        <v>5037905.0780053884</v>
      </c>
      <c r="P6" s="142">
        <f t="shared" si="1"/>
        <v>5352568.72421805</v>
      </c>
      <c r="Q6" s="142">
        <f t="shared" si="1"/>
        <v>5094961.1204307117</v>
      </c>
      <c r="R6" s="142">
        <f t="shared" si="1"/>
        <v>5094961.1204307117</v>
      </c>
      <c r="S6" s="142">
        <f t="shared" si="1"/>
        <v>5094961.1204307117</v>
      </c>
      <c r="T6" s="142">
        <f t="shared" si="1"/>
        <v>5695019.2165919207</v>
      </c>
      <c r="U6" s="142">
        <f t="shared" si="1"/>
        <v>8583343.0452813562</v>
      </c>
      <c r="V6" s="142">
        <f t="shared" si="1"/>
        <v>8898006.6914940178</v>
      </c>
      <c r="W6" s="142">
        <f t="shared" si="1"/>
        <v>9212670.3377066795</v>
      </c>
      <c r="X6" s="142">
        <f t="shared" si="1"/>
        <v>9321594.9839193411</v>
      </c>
      <c r="Y6" s="142">
        <f t="shared" si="1"/>
        <v>9321594.9839193411</v>
      </c>
      <c r="Z6" s="142">
        <f t="shared" si="1"/>
        <v>9321594.9839193411</v>
      </c>
      <c r="AA6" s="142">
        <f t="shared" si="1"/>
        <v>9921653.0800805502</v>
      </c>
      <c r="AB6" s="142">
        <f t="shared" si="1"/>
        <v>8200324.9987699855</v>
      </c>
      <c r="AC6" s="142">
        <f t="shared" si="1"/>
        <v>8256022.2237442601</v>
      </c>
      <c r="AD6" s="142">
        <f t="shared" si="1"/>
        <v>8570685.8699569218</v>
      </c>
      <c r="AE6" s="142">
        <f t="shared" si="1"/>
        <v>7481398.209911583</v>
      </c>
      <c r="AF6" s="132">
        <f t="shared" si="1"/>
        <v>7481398.209911583</v>
      </c>
      <c r="AG6" s="132">
        <f t="shared" si="1"/>
        <v>7481398.209911583</v>
      </c>
      <c r="AH6" s="105">
        <f>AH5+AH4</f>
        <v>4710438.2096599992</v>
      </c>
      <c r="AI6" s="142"/>
      <c r="AJ6" s="105"/>
      <c r="AK6" s="105"/>
      <c r="AL6" s="105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</row>
    <row r="7" spans="1:92" x14ac:dyDescent="0.15">
      <c r="A7" s="133" t="s">
        <v>260</v>
      </c>
      <c r="B7" s="166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>
        <f>SUM(C7:AG7)</f>
        <v>0</v>
      </c>
      <c r="AI7" s="142"/>
      <c r="AJ7" s="105">
        <v>0</v>
      </c>
      <c r="AK7" s="105"/>
      <c r="AL7" s="105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</row>
    <row r="8" spans="1:92" x14ac:dyDescent="0.15">
      <c r="A8" s="136" t="s">
        <v>259</v>
      </c>
      <c r="B8" s="122"/>
      <c r="C8" s="120"/>
      <c r="D8" s="120"/>
      <c r="E8" s="120"/>
      <c r="F8" s="120"/>
      <c r="G8" s="120"/>
      <c r="H8" s="120"/>
      <c r="I8" s="120">
        <v>1546824.13</v>
      </c>
      <c r="J8" s="120"/>
      <c r="K8" s="120"/>
      <c r="L8" s="120"/>
      <c r="M8" s="120">
        <f>179500+8925</f>
        <v>188425</v>
      </c>
      <c r="N8" s="120"/>
      <c r="O8" s="120"/>
      <c r="P8" s="120">
        <v>21271.25</v>
      </c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 t="shared" ref="AH8:AH49" si="2">SUM(C8:AG8)</f>
        <v>1756520.38</v>
      </c>
      <c r="AI8" s="119"/>
      <c r="AJ8" s="105">
        <v>2155965.0853739991</v>
      </c>
      <c r="AK8" s="105">
        <f>AH8-AJ8</f>
        <v>-399444.7053739992</v>
      </c>
      <c r="AL8" s="105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</row>
    <row r="9" spans="1:92" x14ac:dyDescent="0.15">
      <c r="A9" s="141" t="s">
        <v>258</v>
      </c>
      <c r="B9" s="122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2"/>
        <v>0</v>
      </c>
      <c r="AI9" s="119"/>
      <c r="AJ9" s="105">
        <v>0</v>
      </c>
      <c r="AK9" s="105">
        <f>AH9-AJ9</f>
        <v>0</v>
      </c>
      <c r="AL9" s="105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</row>
    <row r="10" spans="1:92" x14ac:dyDescent="0.15">
      <c r="A10" s="136" t="s">
        <v>257</v>
      </c>
      <c r="B10" s="122"/>
      <c r="C10" s="120"/>
      <c r="D10" s="120"/>
      <c r="E10" s="120"/>
      <c r="F10" s="120"/>
      <c r="G10" s="120"/>
      <c r="H10" s="120"/>
      <c r="I10" s="120">
        <f>$AN$10+100000-550000+11000+5547</f>
        <v>1076237.3062579997</v>
      </c>
      <c r="J10" s="120"/>
      <c r="K10" s="120"/>
      <c r="L10" s="120"/>
      <c r="M10" s="120"/>
      <c r="N10" s="120">
        <v>291616</v>
      </c>
      <c r="O10" s="120"/>
      <c r="P10" s="120"/>
      <c r="Q10" s="120"/>
      <c r="R10" s="120"/>
      <c r="S10" s="120"/>
      <c r="T10" s="120"/>
      <c r="U10" s="120"/>
      <c r="V10" s="120"/>
      <c r="W10" s="120">
        <v>205739</v>
      </c>
      <c r="X10" s="120"/>
      <c r="Y10" s="120"/>
      <c r="Z10" s="120"/>
      <c r="AA10" s="120">
        <v>145028</v>
      </c>
      <c r="AB10" s="120">
        <v>87000</v>
      </c>
      <c r="AC10" s="120"/>
      <c r="AD10" s="120">
        <f>$AN$10+100000-W10</f>
        <v>1403951.3062579997</v>
      </c>
      <c r="AE10" s="120"/>
      <c r="AF10" s="120"/>
      <c r="AG10" s="120"/>
      <c r="AH10" s="105">
        <f t="shared" si="2"/>
        <v>3209571.6125159995</v>
      </c>
      <c r="AI10" s="119"/>
      <c r="AJ10" s="105">
        <v>6097028.2576802382</v>
      </c>
      <c r="AK10" s="105">
        <f>AH10-AJ10</f>
        <v>-2887456.6451642388</v>
      </c>
      <c r="AL10" s="105"/>
      <c r="AM10" s="103">
        <f>'Exec Summary_Base Case'!F103*1.19-AH23-AH25</f>
        <v>6038761.2250319989</v>
      </c>
      <c r="AN10" s="103">
        <f>AM10/4</f>
        <v>1509690.3062579997</v>
      </c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</row>
    <row r="11" spans="1:92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0</v>
      </c>
      <c r="AI11" s="119"/>
      <c r="AJ11" s="105">
        <v>0</v>
      </c>
      <c r="AK11" s="105"/>
      <c r="AL11" s="105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</row>
    <row r="12" spans="1:92" x14ac:dyDescent="0.15">
      <c r="A12" s="136" t="s">
        <v>255</v>
      </c>
      <c r="B12" s="122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05">
        <f t="shared" si="2"/>
        <v>0</v>
      </c>
      <c r="AI12" s="119"/>
      <c r="AJ12" s="105">
        <v>0</v>
      </c>
      <c r="AK12" s="105"/>
      <c r="AL12" s="105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</row>
    <row r="13" spans="1:92" hidden="1" outlineLevel="1" x14ac:dyDescent="0.15">
      <c r="A13" s="140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65"/>
      <c r="AG13" s="165"/>
      <c r="AH13" s="105">
        <f t="shared" si="2"/>
        <v>0</v>
      </c>
      <c r="AI13" s="164"/>
      <c r="AJ13" s="163">
        <v>0</v>
      </c>
      <c r="AK13" s="163"/>
      <c r="AL13" s="16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</row>
    <row r="14" spans="1:92" hidden="1" outlineLevel="1" x14ac:dyDescent="0.15">
      <c r="A14" s="140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65"/>
      <c r="AG14" s="165"/>
      <c r="AH14" s="105">
        <f t="shared" si="2"/>
        <v>0</v>
      </c>
      <c r="AI14" s="164"/>
      <c r="AJ14" s="163">
        <v>0</v>
      </c>
      <c r="AK14" s="163"/>
      <c r="AL14" s="16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</row>
    <row r="15" spans="1:92" hidden="1" outlineLevel="1" x14ac:dyDescent="0.15">
      <c r="A15" s="140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65"/>
      <c r="AG15" s="165"/>
      <c r="AH15" s="105">
        <f t="shared" si="2"/>
        <v>0</v>
      </c>
      <c r="AI15" s="164"/>
      <c r="AJ15" s="163">
        <v>0</v>
      </c>
      <c r="AK15" s="163"/>
      <c r="AL15" s="16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</row>
    <row r="16" spans="1:92" hidden="1" outlineLevel="1" x14ac:dyDescent="0.15">
      <c r="A16" s="140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65"/>
      <c r="AG16" s="165"/>
      <c r="AH16" s="105">
        <f t="shared" si="2"/>
        <v>0</v>
      </c>
      <c r="AI16" s="164"/>
      <c r="AJ16" s="163">
        <v>0</v>
      </c>
      <c r="AK16" s="163"/>
      <c r="AL16" s="16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</row>
    <row r="17" spans="1:92" hidden="1" outlineLevel="1" x14ac:dyDescent="0.15">
      <c r="A17" s="140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65"/>
      <c r="AG17" s="165"/>
      <c r="AH17" s="105">
        <f t="shared" si="2"/>
        <v>0</v>
      </c>
      <c r="AI17" s="164"/>
      <c r="AJ17" s="163">
        <v>0</v>
      </c>
      <c r="AK17" s="163"/>
      <c r="AL17" s="16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</row>
    <row r="18" spans="1:92" hidden="1" outlineLevel="1" x14ac:dyDescent="0.15">
      <c r="A18" s="140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65"/>
      <c r="AG18" s="165"/>
      <c r="AH18" s="105">
        <f t="shared" si="2"/>
        <v>0</v>
      </c>
      <c r="AI18" s="164"/>
      <c r="AJ18" s="163">
        <v>0</v>
      </c>
      <c r="AK18" s="163"/>
      <c r="AL18" s="16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</row>
    <row r="19" spans="1:92" hidden="1" outlineLevel="1" x14ac:dyDescent="0.15">
      <c r="A19" s="140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65"/>
      <c r="AG19" s="165"/>
      <c r="AH19" s="105">
        <f t="shared" si="2"/>
        <v>0</v>
      </c>
      <c r="AI19" s="164"/>
      <c r="AJ19" s="163">
        <v>0</v>
      </c>
      <c r="AK19" s="163"/>
      <c r="AL19" s="16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</row>
    <row r="20" spans="1:92" hidden="1" outlineLevel="1" x14ac:dyDescent="0.15">
      <c r="A20" s="140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65"/>
      <c r="AG20" s="165"/>
      <c r="AH20" s="105">
        <f t="shared" si="2"/>
        <v>0</v>
      </c>
      <c r="AI20" s="164"/>
      <c r="AJ20" s="163">
        <v>0</v>
      </c>
      <c r="AK20" s="163"/>
      <c r="AL20" s="16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</row>
    <row r="21" spans="1:92" hidden="1" outlineLevel="1" x14ac:dyDescent="0.15">
      <c r="A21" s="140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65"/>
      <c r="AG21" s="165"/>
      <c r="AH21" s="105">
        <f t="shared" si="2"/>
        <v>0</v>
      </c>
      <c r="AI21" s="164"/>
      <c r="AJ21" s="163">
        <v>0</v>
      </c>
      <c r="AK21" s="163"/>
      <c r="AL21" s="16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</row>
    <row r="22" spans="1:92" hidden="1" outlineLevel="1" x14ac:dyDescent="0.15">
      <c r="A22" s="140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65"/>
      <c r="AG22" s="165"/>
      <c r="AH22" s="105">
        <f t="shared" si="2"/>
        <v>0</v>
      </c>
      <c r="AI22" s="164"/>
      <c r="AJ22" s="163">
        <v>0</v>
      </c>
      <c r="AK22" s="163"/>
      <c r="AL22" s="16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</row>
    <row r="23" spans="1:92" collapsed="1" x14ac:dyDescent="0.15">
      <c r="A23" s="136" t="s">
        <v>244</v>
      </c>
      <c r="B23" s="122"/>
      <c r="C23" s="120"/>
      <c r="D23" s="120"/>
      <c r="E23" s="120"/>
      <c r="F23" s="120"/>
      <c r="G23" s="120">
        <v>60000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60000</v>
      </c>
      <c r="AI23" s="119"/>
      <c r="AJ23" s="105">
        <v>60000</v>
      </c>
      <c r="AK23" s="105">
        <f>AH23-AJ23</f>
        <v>0</v>
      </c>
      <c r="AL23" s="105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</row>
    <row r="24" spans="1:92" x14ac:dyDescent="0.15">
      <c r="A24" s="136" t="s">
        <v>232</v>
      </c>
      <c r="B24" s="122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05">
        <f t="shared" si="2"/>
        <v>0</v>
      </c>
      <c r="AI24" s="119"/>
      <c r="AJ24" s="105">
        <v>100000</v>
      </c>
      <c r="AK24" s="105">
        <f>AH24-AJ24</f>
        <v>-100000</v>
      </c>
      <c r="AL24" s="105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  <c r="CN24" s="123"/>
    </row>
    <row r="25" spans="1:92" x14ac:dyDescent="0.15">
      <c r="A25" s="136" t="s">
        <v>243</v>
      </c>
      <c r="B25" s="162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si="2"/>
        <v>0</v>
      </c>
      <c r="AI25" s="119"/>
      <c r="AJ25" s="105">
        <v>10000</v>
      </c>
      <c r="AK25" s="105">
        <f>AH25-AJ25</f>
        <v>-10000</v>
      </c>
      <c r="AL25" s="105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</row>
    <row r="26" spans="1:92" x14ac:dyDescent="0.15">
      <c r="A26" s="136" t="s">
        <v>242</v>
      </c>
      <c r="B26" s="162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>
        <v>1429283.49</v>
      </c>
      <c r="AB26" s="120"/>
      <c r="AC26" s="120"/>
      <c r="AD26" s="120"/>
      <c r="AE26" s="120"/>
      <c r="AF26" s="120"/>
      <c r="AG26" s="120"/>
      <c r="AH26" s="105">
        <f t="shared" si="2"/>
        <v>1429283.49</v>
      </c>
      <c r="AI26" s="119"/>
      <c r="AJ26" s="105">
        <v>1550000</v>
      </c>
      <c r="AK26" s="105">
        <f>AH26-AJ26</f>
        <v>-120716.51000000001</v>
      </c>
      <c r="AL26" s="105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  <c r="CN26" s="123"/>
    </row>
    <row r="27" spans="1:92" x14ac:dyDescent="0.15">
      <c r="A27" s="136" t="s">
        <v>241</v>
      </c>
      <c r="B27" s="162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>
        <v>805613.08</v>
      </c>
      <c r="AB27" s="120"/>
      <c r="AC27" s="120"/>
      <c r="AD27" s="120"/>
      <c r="AE27" s="120"/>
      <c r="AF27" s="120"/>
      <c r="AG27" s="120"/>
      <c r="AH27" s="105">
        <f t="shared" si="2"/>
        <v>805613.08</v>
      </c>
      <c r="AI27" s="119"/>
      <c r="AJ27" s="105">
        <v>850000</v>
      </c>
      <c r="AK27" s="105"/>
      <c r="AL27" s="105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</row>
    <row r="28" spans="1:92" x14ac:dyDescent="0.15">
      <c r="A28" s="136" t="s">
        <v>240</v>
      </c>
      <c r="B28" s="162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>
        <f>350000+67000+67000+67000</f>
        <v>551000</v>
      </c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2"/>
        <v>551000</v>
      </c>
      <c r="AI28" s="119"/>
      <c r="AJ28" s="105">
        <v>350000</v>
      </c>
      <c r="AK28" s="105"/>
      <c r="AL28" s="105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</row>
    <row r="29" spans="1:92" x14ac:dyDescent="0.15">
      <c r="A29" s="136" t="s">
        <v>239</v>
      </c>
      <c r="B29" s="162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 t="shared" si="2"/>
        <v>0</v>
      </c>
      <c r="AI29" s="119"/>
      <c r="AJ29" s="105">
        <v>-327098.9827555333</v>
      </c>
      <c r="AK29" s="105">
        <f>AH29-AJ29</f>
        <v>327098.9827555333</v>
      </c>
      <c r="AL29" s="105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</row>
    <row r="30" spans="1:92" x14ac:dyDescent="0.15">
      <c r="A30" s="136" t="s">
        <v>365</v>
      </c>
      <c r="B30" s="162"/>
      <c r="C30" s="120"/>
      <c r="D30" s="121"/>
      <c r="E30" s="121"/>
      <c r="F30" s="121"/>
      <c r="G30" s="121"/>
      <c r="H30" s="120"/>
      <c r="I30" s="121"/>
      <c r="J30" s="121"/>
      <c r="K30" s="121"/>
      <c r="L30" s="121"/>
      <c r="M30" s="121"/>
      <c r="N30" s="121"/>
      <c r="O30" s="121"/>
      <c r="P30" s="120"/>
      <c r="R30" s="121"/>
      <c r="S30" s="121"/>
      <c r="T30" s="121"/>
      <c r="U30" s="120"/>
      <c r="V30" s="121"/>
      <c r="W30" s="121"/>
      <c r="X30" s="120"/>
      <c r="Y30" s="121"/>
      <c r="Z30" s="121"/>
      <c r="AA30" s="121"/>
      <c r="AB30" s="121"/>
      <c r="AC30" s="121"/>
      <c r="AD30" s="121"/>
      <c r="AE30" s="121"/>
      <c r="AF30" s="121"/>
      <c r="AG30" s="120"/>
      <c r="AH30" s="105">
        <f t="shared" si="2"/>
        <v>0</v>
      </c>
      <c r="AI30" s="119"/>
      <c r="AJ30" s="105">
        <v>0</v>
      </c>
      <c r="AK30" s="105"/>
      <c r="AL30" s="105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</row>
    <row r="31" spans="1:92" ht="15" thickBot="1" x14ac:dyDescent="0.2">
      <c r="A31" s="113" t="s">
        <v>238</v>
      </c>
      <c r="B31" s="161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4"/>
      <c r="AH31" s="105">
        <f t="shared" si="2"/>
        <v>0</v>
      </c>
      <c r="AI31" s="127"/>
      <c r="AJ31" s="128">
        <v>0</v>
      </c>
      <c r="AK31" s="128"/>
      <c r="AL31" s="105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</row>
    <row r="32" spans="1:92" x14ac:dyDescent="0.15">
      <c r="A32" s="133" t="s">
        <v>237</v>
      </c>
      <c r="B32" s="122"/>
      <c r="C32" s="119">
        <f t="shared" ref="C32:AG32" si="3">SUM(C8:C31)-C12</f>
        <v>0</v>
      </c>
      <c r="D32" s="119">
        <f t="shared" si="3"/>
        <v>0</v>
      </c>
      <c r="E32" s="119">
        <f t="shared" si="3"/>
        <v>0</v>
      </c>
      <c r="F32" s="119">
        <f t="shared" si="3"/>
        <v>0</v>
      </c>
      <c r="G32" s="119">
        <f t="shared" si="3"/>
        <v>60000</v>
      </c>
      <c r="H32" s="119">
        <f t="shared" si="3"/>
        <v>0</v>
      </c>
      <c r="I32" s="119">
        <f t="shared" si="3"/>
        <v>2623061.4362579994</v>
      </c>
      <c r="J32" s="119">
        <f t="shared" si="3"/>
        <v>0</v>
      </c>
      <c r="K32" s="119">
        <f t="shared" si="3"/>
        <v>0</v>
      </c>
      <c r="L32" s="119">
        <f t="shared" si="3"/>
        <v>0</v>
      </c>
      <c r="M32" s="119">
        <f t="shared" si="3"/>
        <v>188425</v>
      </c>
      <c r="N32" s="119">
        <f t="shared" si="3"/>
        <v>291616</v>
      </c>
      <c r="O32" s="119">
        <f t="shared" si="3"/>
        <v>0</v>
      </c>
      <c r="P32" s="119">
        <f t="shared" si="3"/>
        <v>572271.25</v>
      </c>
      <c r="Q32" s="119">
        <f t="shared" si="3"/>
        <v>0</v>
      </c>
      <c r="R32" s="119">
        <f t="shared" si="3"/>
        <v>0</v>
      </c>
      <c r="S32" s="119">
        <f t="shared" si="3"/>
        <v>0</v>
      </c>
      <c r="T32" s="119">
        <f t="shared" si="3"/>
        <v>0</v>
      </c>
      <c r="U32" s="119">
        <f t="shared" si="3"/>
        <v>0</v>
      </c>
      <c r="V32" s="119">
        <f t="shared" si="3"/>
        <v>0</v>
      </c>
      <c r="W32" s="119">
        <f t="shared" si="3"/>
        <v>205739</v>
      </c>
      <c r="X32" s="119">
        <f t="shared" si="3"/>
        <v>0</v>
      </c>
      <c r="Y32" s="119">
        <f t="shared" si="3"/>
        <v>0</v>
      </c>
      <c r="Z32" s="119">
        <f t="shared" si="3"/>
        <v>0</v>
      </c>
      <c r="AA32" s="119">
        <f t="shared" si="3"/>
        <v>2379924.5699999998</v>
      </c>
      <c r="AB32" s="119">
        <f t="shared" si="3"/>
        <v>87000</v>
      </c>
      <c r="AC32" s="119">
        <f t="shared" si="3"/>
        <v>0</v>
      </c>
      <c r="AD32" s="119">
        <f t="shared" si="3"/>
        <v>1403951.3062579997</v>
      </c>
      <c r="AE32" s="119">
        <f t="shared" si="3"/>
        <v>0</v>
      </c>
      <c r="AF32" s="119">
        <f t="shared" si="3"/>
        <v>0</v>
      </c>
      <c r="AG32" s="119">
        <f t="shared" si="3"/>
        <v>0</v>
      </c>
      <c r="AH32" s="112">
        <f t="shared" si="2"/>
        <v>7811988.5625159992</v>
      </c>
      <c r="AI32" s="119"/>
      <c r="AJ32" s="160">
        <v>10845894.360298704</v>
      </c>
      <c r="AK32" s="105">
        <f>AH32-AJ32</f>
        <v>-3033905.7977827052</v>
      </c>
      <c r="AL32" s="105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</row>
    <row r="33" spans="1:92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>
        <f t="shared" si="2"/>
        <v>0</v>
      </c>
      <c r="AI33" s="119"/>
      <c r="AJ33" s="105">
        <v>0</v>
      </c>
      <c r="AK33" s="105"/>
      <c r="AL33" s="105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  <c r="CN33" s="123"/>
    </row>
    <row r="34" spans="1:92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>
        <f t="shared" si="2"/>
        <v>0</v>
      </c>
      <c r="AI34" s="119"/>
      <c r="AJ34" s="105">
        <v>0</v>
      </c>
      <c r="AK34" s="105"/>
      <c r="AL34" s="105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</row>
    <row r="35" spans="1:92" hidden="1" x14ac:dyDescent="0.15">
      <c r="A35" s="124" t="s">
        <v>235</v>
      </c>
      <c r="B35" s="122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si="2"/>
        <v>0</v>
      </c>
      <c r="AI35" s="119"/>
      <c r="AJ35" s="105">
        <v>0</v>
      </c>
      <c r="AK35" s="105"/>
      <c r="AL35" s="105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</row>
    <row r="36" spans="1:92" hidden="1" x14ac:dyDescent="0.15">
      <c r="A36" s="124" t="s">
        <v>234</v>
      </c>
      <c r="B36" s="122"/>
      <c r="C36" s="120"/>
      <c r="D36" s="120">
        <v>0</v>
      </c>
      <c r="E36" s="120">
        <v>0</v>
      </c>
      <c r="F36" s="120"/>
      <c r="G36" s="120"/>
      <c r="H36" s="120"/>
      <c r="I36" s="120"/>
      <c r="J36" s="120"/>
      <c r="K36" s="120">
        <v>0</v>
      </c>
      <c r="L36" s="120">
        <v>0</v>
      </c>
      <c r="M36" s="120"/>
      <c r="N36" s="120"/>
      <c r="O36" s="120"/>
      <c r="P36" s="120"/>
      <c r="Q36" s="120"/>
      <c r="R36" s="120">
        <v>0</v>
      </c>
      <c r="S36" s="120">
        <v>0</v>
      </c>
      <c r="T36" s="120"/>
      <c r="U36" s="120"/>
      <c r="V36" s="120"/>
      <c r="W36" s="120"/>
      <c r="X36" s="120"/>
      <c r="Y36" s="120">
        <v>0</v>
      </c>
      <c r="Z36" s="120">
        <v>0</v>
      </c>
      <c r="AA36" s="120">
        <v>0</v>
      </c>
      <c r="AB36" s="120">
        <v>0</v>
      </c>
      <c r="AC36" s="120"/>
      <c r="AD36" s="120"/>
      <c r="AE36" s="120"/>
      <c r="AF36" s="120">
        <v>0</v>
      </c>
      <c r="AG36" s="120">
        <v>0</v>
      </c>
      <c r="AH36" s="105">
        <f t="shared" si="2"/>
        <v>0</v>
      </c>
      <c r="AI36" s="119"/>
      <c r="AJ36" s="105">
        <v>0</v>
      </c>
      <c r="AK36" s="105"/>
      <c r="AL36" s="105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</row>
    <row r="37" spans="1:92" hidden="1" x14ac:dyDescent="0.15">
      <c r="A37" s="124" t="s">
        <v>233</v>
      </c>
      <c r="B37" s="122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2"/>
        <v>0</v>
      </c>
      <c r="AI37" s="119"/>
      <c r="AJ37" s="105">
        <v>0</v>
      </c>
      <c r="AK37" s="105"/>
      <c r="AL37" s="105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</row>
    <row r="38" spans="1:92" x14ac:dyDescent="0.15">
      <c r="A38" s="124" t="s">
        <v>232</v>
      </c>
      <c r="B38" s="122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2"/>
        <v>0</v>
      </c>
      <c r="AI38" s="119"/>
      <c r="AJ38" s="105">
        <v>0</v>
      </c>
      <c r="AK38" s="105"/>
      <c r="AL38" s="105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</row>
    <row r="39" spans="1:92" ht="15" thickBot="1" x14ac:dyDescent="0.2">
      <c r="A39" s="124" t="s">
        <v>231</v>
      </c>
      <c r="B39" s="122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260">
        <f>+W60</f>
        <v>2229727.34</v>
      </c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2"/>
        <v>2229727.34</v>
      </c>
      <c r="AI39" s="119"/>
      <c r="AJ39" s="105">
        <v>0</v>
      </c>
      <c r="AK39" s="105"/>
      <c r="AL39" s="105"/>
      <c r="AO39" s="103">
        <v>31</v>
      </c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</row>
    <row r="40" spans="1:92" x14ac:dyDescent="0.15">
      <c r="A40" s="124" t="s">
        <v>230</v>
      </c>
      <c r="B40" s="122"/>
      <c r="C40" s="131"/>
      <c r="D40" s="132"/>
      <c r="E40" s="131">
        <f>+$AO$42</f>
        <v>171966.42123838706</v>
      </c>
      <c r="F40" s="131">
        <f>+$AO$42*3</f>
        <v>515899.26371516119</v>
      </c>
      <c r="G40" s="131">
        <f>+$AO$42</f>
        <v>171966.42123838706</v>
      </c>
      <c r="H40" s="131">
        <f>+$AO$42</f>
        <v>171966.42123838706</v>
      </c>
      <c r="I40" s="131">
        <f>+$AO$42</f>
        <v>171966.42123838706</v>
      </c>
      <c r="J40" s="131"/>
      <c r="K40" s="132"/>
      <c r="L40" s="131">
        <f>+$AO$42</f>
        <v>171966.42123838706</v>
      </c>
      <c r="M40" s="131">
        <f>+$AO$42*3</f>
        <v>515899.26371516119</v>
      </c>
      <c r="N40" s="131">
        <f>+$AO$42</f>
        <v>171966.42123838706</v>
      </c>
      <c r="O40" s="131">
        <f>+$AO$42</f>
        <v>171966.42123838706</v>
      </c>
      <c r="P40" s="131">
        <f>+$AO$42</f>
        <v>171966.42123838706</v>
      </c>
      <c r="Q40" s="132"/>
      <c r="R40" s="132"/>
      <c r="S40" s="131">
        <f>+$AO$42</f>
        <v>171966.42123838706</v>
      </c>
      <c r="T40" s="131">
        <f>+$AO$42*3</f>
        <v>515899.26371516119</v>
      </c>
      <c r="U40" s="131">
        <f>+$AO$42</f>
        <v>171966.42123838706</v>
      </c>
      <c r="V40" s="131">
        <f>+$AO$42</f>
        <v>171966.42123838706</v>
      </c>
      <c r="W40" s="131">
        <f>+$AO$42</f>
        <v>171966.42123838706</v>
      </c>
      <c r="X40" s="132"/>
      <c r="Y40" s="132"/>
      <c r="Z40" s="131">
        <f>+$AO$42</f>
        <v>171966.42123838706</v>
      </c>
      <c r="AA40" s="131">
        <f>+$AO$42*3</f>
        <v>515899.26371516119</v>
      </c>
      <c r="AB40" s="131"/>
      <c r="AC40" s="131">
        <f>+$AO$42</f>
        <v>171966.42123838706</v>
      </c>
      <c r="AD40" s="131">
        <f>+$AO$42</f>
        <v>171966.42123838706</v>
      </c>
      <c r="AE40" s="131"/>
      <c r="AF40" s="132"/>
      <c r="AG40" s="131">
        <f>+$AO$42</f>
        <v>171966.42123838706</v>
      </c>
      <c r="AH40" s="105">
        <f t="shared" si="2"/>
        <v>4815059.794674837</v>
      </c>
      <c r="AI40" s="119"/>
      <c r="AJ40" s="105">
        <v>5226279.3956934735</v>
      </c>
      <c r="AK40" s="105">
        <f>AH40-AJ40</f>
        <v>-411219.60101863649</v>
      </c>
      <c r="AL40" s="103" t="s">
        <v>402</v>
      </c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</row>
    <row r="41" spans="1:92" ht="15" thickBot="1" x14ac:dyDescent="0.2">
      <c r="A41" s="130" t="s">
        <v>229</v>
      </c>
      <c r="B41" s="129"/>
      <c r="C41" s="127"/>
      <c r="D41" s="127"/>
      <c r="E41" s="127">
        <f>SUM($AO$43:$AO$45)</f>
        <v>142697.22497427417</v>
      </c>
      <c r="F41" s="127">
        <f>SUM($AO$43:$AO$45)</f>
        <v>142697.22497427417</v>
      </c>
      <c r="G41" s="127">
        <f>SUM($AO$43:$AO$45)</f>
        <v>142697.22497427417</v>
      </c>
      <c r="H41" s="127">
        <f>SUM($AO$43:$AO$45)</f>
        <v>142697.22497427417</v>
      </c>
      <c r="I41" s="127">
        <f>SUM($AO$43:$AO$45)</f>
        <v>142697.22497427417</v>
      </c>
      <c r="J41" s="127"/>
      <c r="K41" s="127"/>
      <c r="L41" s="127">
        <f>SUM($AO$43:$AO$45)*3</f>
        <v>428091.67492282251</v>
      </c>
      <c r="M41" s="127">
        <f>SUM($AO$43:$AO$45)</f>
        <v>142697.22497427417</v>
      </c>
      <c r="N41" s="127">
        <f>SUM($AO$43:$AO$45)</f>
        <v>142697.22497427417</v>
      </c>
      <c r="O41" s="127">
        <f>SUM($AO$43:$AO$45)</f>
        <v>142697.22497427417</v>
      </c>
      <c r="P41" s="127">
        <f>SUM($AO$43:$AO$45)</f>
        <v>142697.22497427417</v>
      </c>
      <c r="Q41" s="127"/>
      <c r="R41" s="127"/>
      <c r="S41" s="127">
        <f>SUM($AO$43:$AO$45)*3</f>
        <v>428091.67492282251</v>
      </c>
      <c r="T41" s="127">
        <f>SUM($AO$43:$AO$45)</f>
        <v>142697.22497427417</v>
      </c>
      <c r="U41" s="127">
        <f>SUM($AO$43:$AO$45)</f>
        <v>142697.22497427417</v>
      </c>
      <c r="V41" s="127">
        <f>SUM($AO$43:$AO$45)</f>
        <v>142697.22497427417</v>
      </c>
      <c r="W41" s="127">
        <f>SUM($AO$43:$AO$45)</f>
        <v>142697.22497427417</v>
      </c>
      <c r="X41" s="127"/>
      <c r="Y41" s="127"/>
      <c r="Z41" s="127">
        <f>SUM($AO$43:$AO$45)*3</f>
        <v>428091.67492282251</v>
      </c>
      <c r="AA41" s="127">
        <f>SUM($AO$43:$AO$45)</f>
        <v>142697.22497427417</v>
      </c>
      <c r="AB41" s="127">
        <f>SUM($AO$43:$AO$45)</f>
        <v>142697.22497427417</v>
      </c>
      <c r="AC41" s="127">
        <f>SUM($AO$43:$AO$45)</f>
        <v>142697.22497427417</v>
      </c>
      <c r="AD41" s="127">
        <f>SUM($AO$43:$AO$45)</f>
        <v>142697.22497427417</v>
      </c>
      <c r="AE41" s="127"/>
      <c r="AF41" s="127"/>
      <c r="AG41" s="127">
        <f>SUM($AO$43:$AO$45)*3</f>
        <v>428091.67492282251</v>
      </c>
      <c r="AH41" s="105">
        <f t="shared" si="2"/>
        <v>4138219.5242539509</v>
      </c>
      <c r="AI41" s="127"/>
      <c r="AJ41" s="128">
        <v>4441038.8425640566</v>
      </c>
      <c r="AK41" s="105">
        <f>AH41-AJ41</f>
        <v>-302819.31831010571</v>
      </c>
      <c r="AL41" s="105"/>
      <c r="AM41" s="103" t="s">
        <v>228</v>
      </c>
      <c r="AN41" s="103">
        <f>'Exec Summary_Base Case'!F98*70%*1.07+'Exec Summary_Base Case'!F98*30%*1.19</f>
        <v>10661918.116779998</v>
      </c>
      <c r="AO41" s="103">
        <f>+AN41/$AO$39</f>
        <v>343932.84247677412</v>
      </c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</row>
    <row r="42" spans="1:92" x14ac:dyDescent="0.15">
      <c r="A42" s="124" t="s">
        <v>227</v>
      </c>
      <c r="B42" s="122">
        <f>SUM(B40:B41)</f>
        <v>0</v>
      </c>
      <c r="C42" s="119">
        <f t="shared" ref="C42:AG42" si="4">SUM(C35:C41)</f>
        <v>0</v>
      </c>
      <c r="D42" s="119">
        <f t="shared" si="4"/>
        <v>0</v>
      </c>
      <c r="E42" s="119">
        <f t="shared" si="4"/>
        <v>314663.64621266123</v>
      </c>
      <c r="F42" s="119">
        <f t="shared" si="4"/>
        <v>658596.48868943541</v>
      </c>
      <c r="G42" s="119">
        <f t="shared" si="4"/>
        <v>314663.64621266123</v>
      </c>
      <c r="H42" s="119">
        <f t="shared" si="4"/>
        <v>314663.64621266123</v>
      </c>
      <c r="I42" s="119">
        <f t="shared" si="4"/>
        <v>314663.64621266123</v>
      </c>
      <c r="J42" s="119">
        <f t="shared" si="4"/>
        <v>0</v>
      </c>
      <c r="K42" s="119">
        <f t="shared" si="4"/>
        <v>0</v>
      </c>
      <c r="L42" s="119">
        <f t="shared" si="4"/>
        <v>600058.09616120951</v>
      </c>
      <c r="M42" s="119">
        <f t="shared" si="4"/>
        <v>658596.48868943541</v>
      </c>
      <c r="N42" s="119">
        <f t="shared" si="4"/>
        <v>314663.64621266123</v>
      </c>
      <c r="O42" s="119">
        <f t="shared" si="4"/>
        <v>314663.64621266123</v>
      </c>
      <c r="P42" s="119">
        <f t="shared" si="4"/>
        <v>314663.64621266123</v>
      </c>
      <c r="Q42" s="119">
        <f t="shared" si="4"/>
        <v>0</v>
      </c>
      <c r="R42" s="119">
        <f t="shared" si="4"/>
        <v>0</v>
      </c>
      <c r="S42" s="119">
        <f t="shared" si="4"/>
        <v>600058.09616120951</v>
      </c>
      <c r="T42" s="119">
        <f t="shared" si="4"/>
        <v>2888323.828689435</v>
      </c>
      <c r="U42" s="119">
        <f t="shared" si="4"/>
        <v>314663.64621266123</v>
      </c>
      <c r="V42" s="119">
        <f t="shared" si="4"/>
        <v>314663.64621266123</v>
      </c>
      <c r="W42" s="119">
        <f t="shared" si="4"/>
        <v>314663.64621266123</v>
      </c>
      <c r="X42" s="119">
        <f t="shared" si="4"/>
        <v>0</v>
      </c>
      <c r="Y42" s="119">
        <f t="shared" si="4"/>
        <v>0</v>
      </c>
      <c r="Z42" s="119">
        <f t="shared" si="4"/>
        <v>600058.09616120951</v>
      </c>
      <c r="AA42" s="119">
        <f t="shared" si="4"/>
        <v>658596.48868943541</v>
      </c>
      <c r="AB42" s="119">
        <f t="shared" si="4"/>
        <v>142697.22497427417</v>
      </c>
      <c r="AC42" s="119">
        <f t="shared" si="4"/>
        <v>314663.64621266123</v>
      </c>
      <c r="AD42" s="119">
        <f t="shared" si="4"/>
        <v>314663.64621266123</v>
      </c>
      <c r="AE42" s="119">
        <f t="shared" si="4"/>
        <v>0</v>
      </c>
      <c r="AF42" s="119">
        <f t="shared" si="4"/>
        <v>0</v>
      </c>
      <c r="AG42" s="120">
        <f t="shared" si="4"/>
        <v>600058.09616120951</v>
      </c>
      <c r="AH42" s="112">
        <f t="shared" si="2"/>
        <v>11183006.658928789</v>
      </c>
      <c r="AI42" s="119"/>
      <c r="AJ42" s="105">
        <v>9667318.2382575292</v>
      </c>
      <c r="AK42" s="232">
        <f>AH42-AJ42</f>
        <v>1515688.42067126</v>
      </c>
      <c r="AL42" s="105"/>
      <c r="AM42" s="103" t="s">
        <v>226</v>
      </c>
      <c r="AN42" s="103">
        <f>AN41*AP42</f>
        <v>5330959.058389999</v>
      </c>
      <c r="AO42" s="103">
        <f>+AN42/$AO$39</f>
        <v>171966.42123838706</v>
      </c>
      <c r="AP42" s="174">
        <v>0.5</v>
      </c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  <c r="CN42" s="123"/>
    </row>
    <row r="43" spans="1:92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>
        <f t="shared" si="2"/>
        <v>0</v>
      </c>
      <c r="AI43" s="119"/>
      <c r="AJ43" s="105">
        <v>0</v>
      </c>
      <c r="AK43" s="105"/>
      <c r="AL43" s="105"/>
      <c r="AM43" s="103" t="s">
        <v>225</v>
      </c>
      <c r="AN43" s="103">
        <f>AN41*AP43</f>
        <v>2665479.5291949995</v>
      </c>
      <c r="AO43" s="103">
        <f>+AN43/$AO$39</f>
        <v>85983.210619193531</v>
      </c>
      <c r="AP43" s="174">
        <v>0.25</v>
      </c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</row>
    <row r="44" spans="1:92" x14ac:dyDescent="0.15">
      <c r="A44" s="124" t="s">
        <v>224</v>
      </c>
      <c r="B44" s="122">
        <f t="shared" ref="B44:AG44" si="5">B42-B32</f>
        <v>0</v>
      </c>
      <c r="C44" s="119">
        <f t="shared" si="5"/>
        <v>0</v>
      </c>
      <c r="D44" s="119">
        <f t="shared" si="5"/>
        <v>0</v>
      </c>
      <c r="E44" s="119">
        <f t="shared" si="5"/>
        <v>314663.64621266123</v>
      </c>
      <c r="F44" s="119">
        <f t="shared" si="5"/>
        <v>658596.48868943541</v>
      </c>
      <c r="G44" s="119">
        <f t="shared" si="5"/>
        <v>254663.64621266123</v>
      </c>
      <c r="H44" s="119">
        <f t="shared" si="5"/>
        <v>314663.64621266123</v>
      </c>
      <c r="I44" s="119">
        <f t="shared" si="5"/>
        <v>-2308397.7900453382</v>
      </c>
      <c r="J44" s="119">
        <f t="shared" si="5"/>
        <v>0</v>
      </c>
      <c r="K44" s="119">
        <f t="shared" si="5"/>
        <v>0</v>
      </c>
      <c r="L44" s="119">
        <f t="shared" si="5"/>
        <v>600058.09616120951</v>
      </c>
      <c r="M44" s="119">
        <f t="shared" si="5"/>
        <v>470171.48868943541</v>
      </c>
      <c r="N44" s="119">
        <f t="shared" si="5"/>
        <v>23047.646212661231</v>
      </c>
      <c r="O44" s="119">
        <f t="shared" si="5"/>
        <v>314663.64621266123</v>
      </c>
      <c r="P44" s="119">
        <f t="shared" si="5"/>
        <v>-257607.60378733877</v>
      </c>
      <c r="Q44" s="119">
        <f t="shared" si="5"/>
        <v>0</v>
      </c>
      <c r="R44" s="119">
        <f t="shared" si="5"/>
        <v>0</v>
      </c>
      <c r="S44" s="119">
        <f t="shared" si="5"/>
        <v>600058.09616120951</v>
      </c>
      <c r="T44" s="119">
        <f t="shared" si="5"/>
        <v>2888323.828689435</v>
      </c>
      <c r="U44" s="119">
        <f t="shared" si="5"/>
        <v>314663.64621266123</v>
      </c>
      <c r="V44" s="119">
        <f t="shared" si="5"/>
        <v>314663.64621266123</v>
      </c>
      <c r="W44" s="119">
        <f t="shared" si="5"/>
        <v>108924.64621266123</v>
      </c>
      <c r="X44" s="119">
        <f t="shared" si="5"/>
        <v>0</v>
      </c>
      <c r="Y44" s="119">
        <f t="shared" si="5"/>
        <v>0</v>
      </c>
      <c r="Z44" s="119">
        <f t="shared" si="5"/>
        <v>600058.09616120951</v>
      </c>
      <c r="AA44" s="119">
        <f t="shared" si="5"/>
        <v>-1721328.0813105644</v>
      </c>
      <c r="AB44" s="119">
        <f t="shared" si="5"/>
        <v>55697.22497427417</v>
      </c>
      <c r="AC44" s="119">
        <f t="shared" si="5"/>
        <v>314663.64621266123</v>
      </c>
      <c r="AD44" s="119">
        <f t="shared" si="5"/>
        <v>-1089287.6600453386</v>
      </c>
      <c r="AE44" s="119">
        <f t="shared" si="5"/>
        <v>0</v>
      </c>
      <c r="AF44" s="120">
        <f t="shared" si="5"/>
        <v>0</v>
      </c>
      <c r="AG44" s="120">
        <f t="shared" si="5"/>
        <v>600058.09616120951</v>
      </c>
      <c r="AH44" s="105">
        <f t="shared" si="2"/>
        <v>3371018.0964127886</v>
      </c>
      <c r="AI44" s="119"/>
      <c r="AJ44" s="125">
        <v>-1178576.1220411737</v>
      </c>
      <c r="AK44" s="105">
        <f>AH44-AJ44</f>
        <v>4549594.2184539624</v>
      </c>
      <c r="AL44" s="105"/>
      <c r="AM44" s="103" t="s">
        <v>319</v>
      </c>
      <c r="AN44" s="103">
        <f>Februar!AN41*März!AP44</f>
        <v>945628.55252249981</v>
      </c>
      <c r="AO44" s="103">
        <f>+AN44/$AO$39</f>
        <v>30504.146855564511</v>
      </c>
      <c r="AP44" s="175">
        <v>0.125</v>
      </c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</row>
    <row r="45" spans="1:92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>
        <f t="shared" si="2"/>
        <v>0</v>
      </c>
      <c r="AI45" s="119"/>
      <c r="AJ45" s="105">
        <v>0</v>
      </c>
      <c r="AK45" s="105"/>
      <c r="AL45" s="105"/>
      <c r="AM45" s="103" t="s">
        <v>320</v>
      </c>
      <c r="AN45" s="103">
        <f>Januar!AP41*März!AP45</f>
        <v>812505.89248499996</v>
      </c>
      <c r="AO45" s="103">
        <f>+AN45/$AO$39</f>
        <v>26209.867499516127</v>
      </c>
      <c r="AP45" s="175">
        <v>0.125</v>
      </c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</row>
    <row r="46" spans="1:92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 t="shared" si="2"/>
        <v>0</v>
      </c>
      <c r="AI46" s="119"/>
      <c r="AJ46" s="105">
        <v>0</v>
      </c>
      <c r="AK46" s="105"/>
      <c r="AL46" s="105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</row>
    <row r="47" spans="1:92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 t="shared" si="2"/>
        <v>0</v>
      </c>
      <c r="AI47" s="119"/>
      <c r="AJ47" s="105">
        <v>0</v>
      </c>
      <c r="AK47" s="105"/>
      <c r="AL47" s="105"/>
      <c r="AN47" s="103">
        <f>+AN42+AN43+April!AM44+Mai!AM45</f>
        <v>10661918.116779998</v>
      </c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</row>
    <row r="48" spans="1:92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 t="shared" si="2"/>
        <v>0</v>
      </c>
      <c r="AI48" s="119"/>
      <c r="AJ48" s="105">
        <v>0</v>
      </c>
      <c r="AK48" s="105"/>
      <c r="AL48" s="105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</row>
    <row r="49" spans="1:38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>
        <f t="shared" si="2"/>
        <v>0</v>
      </c>
      <c r="AI49" s="119"/>
      <c r="AJ49" s="105">
        <v>0</v>
      </c>
      <c r="AK49" s="105"/>
      <c r="AL49" s="105"/>
    </row>
    <row r="50" spans="1:38" s="105" customFormat="1" ht="12.75" customHeight="1" thickBot="1" x14ac:dyDescent="0.2">
      <c r="A50" s="159" t="s">
        <v>222</v>
      </c>
      <c r="B50" s="158">
        <f t="shared" ref="B50:AH50" si="6">B6+B44-B46-B47-B48</f>
        <v>4710438.2096599992</v>
      </c>
      <c r="C50" s="114">
        <f t="shared" si="6"/>
        <v>4710438.2096599992</v>
      </c>
      <c r="D50" s="114">
        <f t="shared" si="6"/>
        <v>4710438.2096599992</v>
      </c>
      <c r="E50" s="114">
        <f t="shared" si="6"/>
        <v>5025101.8558726609</v>
      </c>
      <c r="F50" s="114">
        <f t="shared" si="6"/>
        <v>5683698.3445620965</v>
      </c>
      <c r="G50" s="114">
        <f t="shared" si="6"/>
        <v>5938361.9907747582</v>
      </c>
      <c r="H50" s="114">
        <f t="shared" si="6"/>
        <v>6253025.6369874198</v>
      </c>
      <c r="I50" s="114">
        <f t="shared" si="6"/>
        <v>3944627.8469420816</v>
      </c>
      <c r="J50" s="114">
        <f t="shared" si="6"/>
        <v>3944627.8469420816</v>
      </c>
      <c r="K50" s="114">
        <f t="shared" si="6"/>
        <v>3944627.8469420816</v>
      </c>
      <c r="L50" s="114">
        <f t="shared" si="6"/>
        <v>4544685.9431032911</v>
      </c>
      <c r="M50" s="114">
        <f t="shared" si="6"/>
        <v>5014857.4317927267</v>
      </c>
      <c r="N50" s="322">
        <f t="shared" si="6"/>
        <v>5037905.0780053884</v>
      </c>
      <c r="O50" s="114">
        <f t="shared" si="6"/>
        <v>5352568.72421805</v>
      </c>
      <c r="P50" s="114">
        <f t="shared" si="6"/>
        <v>5094961.1204307117</v>
      </c>
      <c r="Q50" s="114">
        <f t="shared" si="6"/>
        <v>5094961.1204307117</v>
      </c>
      <c r="R50" s="114">
        <f t="shared" si="6"/>
        <v>5094961.1204307117</v>
      </c>
      <c r="S50" s="114">
        <f t="shared" si="6"/>
        <v>5695019.2165919207</v>
      </c>
      <c r="T50" s="114">
        <f t="shared" si="6"/>
        <v>8583343.0452813562</v>
      </c>
      <c r="U50" s="114">
        <f t="shared" si="6"/>
        <v>8898006.6914940178</v>
      </c>
      <c r="V50" s="114">
        <f t="shared" si="6"/>
        <v>9212670.3377066795</v>
      </c>
      <c r="W50" s="322">
        <f t="shared" si="6"/>
        <v>9321594.9839193411</v>
      </c>
      <c r="X50" s="114">
        <f t="shared" si="6"/>
        <v>9321594.9839193411</v>
      </c>
      <c r="Y50" s="114">
        <f t="shared" si="6"/>
        <v>9321594.9839193411</v>
      </c>
      <c r="Z50" s="114">
        <f t="shared" si="6"/>
        <v>9921653.0800805502</v>
      </c>
      <c r="AA50" s="322">
        <f t="shared" si="6"/>
        <v>8200324.9987699855</v>
      </c>
      <c r="AB50" s="322">
        <f t="shared" si="6"/>
        <v>8256022.2237442601</v>
      </c>
      <c r="AC50" s="114">
        <f t="shared" si="6"/>
        <v>8570685.8699569218</v>
      </c>
      <c r="AD50" s="114">
        <f t="shared" si="6"/>
        <v>7481398.209911583</v>
      </c>
      <c r="AE50" s="114">
        <f t="shared" si="6"/>
        <v>7481398.209911583</v>
      </c>
      <c r="AF50" s="116">
        <f t="shared" si="6"/>
        <v>7481398.209911583</v>
      </c>
      <c r="AG50" s="116">
        <f t="shared" si="6"/>
        <v>8081456.306072792</v>
      </c>
      <c r="AH50" s="115">
        <f t="shared" si="6"/>
        <v>8081456.3060727883</v>
      </c>
      <c r="AI50" s="157" t="s">
        <v>219</v>
      </c>
      <c r="AJ50" s="115">
        <v>5525812.7764416132</v>
      </c>
      <c r="AK50" s="231">
        <f>AH50-AJ50</f>
        <v>2555643.5296311751</v>
      </c>
    </row>
    <row r="51" spans="1:38" ht="16" thickTop="1" thickBot="1" x14ac:dyDescent="0.2">
      <c r="A51" s="146" t="s">
        <v>221</v>
      </c>
      <c r="B51" s="156">
        <f>+B5</f>
        <v>0</v>
      </c>
      <c r="C51" s="110">
        <f t="shared" ref="C51:AH51" si="7">+C50-C52</f>
        <v>4710438.2096599992</v>
      </c>
      <c r="D51" s="110">
        <f t="shared" si="7"/>
        <v>4710438.2096599992</v>
      </c>
      <c r="E51" s="110">
        <f t="shared" si="7"/>
        <v>5025101.8558726609</v>
      </c>
      <c r="F51" s="110">
        <f t="shared" si="7"/>
        <v>5683698.3445620965</v>
      </c>
      <c r="G51" s="110">
        <f t="shared" si="7"/>
        <v>5938361.9907747582</v>
      </c>
      <c r="H51" s="110">
        <f t="shared" si="7"/>
        <v>6253025.6369874198</v>
      </c>
      <c r="I51" s="110">
        <f t="shared" si="7"/>
        <v>3944627.8469420816</v>
      </c>
      <c r="J51" s="110">
        <f t="shared" si="7"/>
        <v>3944627.8469420816</v>
      </c>
      <c r="K51" s="110">
        <f t="shared" si="7"/>
        <v>3944627.8469420816</v>
      </c>
      <c r="L51" s="110">
        <f t="shared" si="7"/>
        <v>4544685.9431032911</v>
      </c>
      <c r="M51" s="110">
        <f t="shared" si="7"/>
        <v>5014857.4317927267</v>
      </c>
      <c r="N51" s="110">
        <f t="shared" si="7"/>
        <v>5037905.0780053884</v>
      </c>
      <c r="O51" s="110">
        <f t="shared" si="7"/>
        <v>5352568.72421805</v>
      </c>
      <c r="P51" s="110">
        <f t="shared" si="7"/>
        <v>5094961.1204307117</v>
      </c>
      <c r="Q51" s="110">
        <f t="shared" si="7"/>
        <v>5094961.1204307117</v>
      </c>
      <c r="R51" s="110">
        <f t="shared" si="7"/>
        <v>5094961.1204307117</v>
      </c>
      <c r="S51" s="110">
        <f t="shared" si="7"/>
        <v>5695019.2165919207</v>
      </c>
      <c r="T51" s="110">
        <f t="shared" si="7"/>
        <v>8583343.0452813562</v>
      </c>
      <c r="U51" s="110">
        <f t="shared" si="7"/>
        <v>8898006.6914940178</v>
      </c>
      <c r="V51" s="110">
        <f t="shared" si="7"/>
        <v>9212670.3377066795</v>
      </c>
      <c r="W51" s="110">
        <f t="shared" si="7"/>
        <v>9321594.9839193411</v>
      </c>
      <c r="X51" s="110">
        <f t="shared" si="7"/>
        <v>9321594.9839193411</v>
      </c>
      <c r="Y51" s="110">
        <f t="shared" si="7"/>
        <v>9321594.9839193411</v>
      </c>
      <c r="Z51" s="110">
        <f t="shared" si="7"/>
        <v>9921653.0800805502</v>
      </c>
      <c r="AA51" s="110">
        <f t="shared" si="7"/>
        <v>8200324.9987699855</v>
      </c>
      <c r="AB51" s="110">
        <f t="shared" si="7"/>
        <v>8256022.2237442601</v>
      </c>
      <c r="AC51" s="110">
        <f t="shared" si="7"/>
        <v>8570685.8699569218</v>
      </c>
      <c r="AD51" s="110">
        <f t="shared" si="7"/>
        <v>7481398.209911583</v>
      </c>
      <c r="AE51" s="110">
        <f t="shared" si="7"/>
        <v>7481398.209911583</v>
      </c>
      <c r="AF51" s="110">
        <f t="shared" si="7"/>
        <v>7481398.209911583</v>
      </c>
      <c r="AG51" s="110">
        <f t="shared" si="7"/>
        <v>8081456.306072792</v>
      </c>
      <c r="AH51" s="110">
        <f t="shared" si="7"/>
        <v>8081456.3060727883</v>
      </c>
      <c r="AI51" s="123"/>
      <c r="AJ51" s="110"/>
      <c r="AK51" s="110"/>
      <c r="AL51" s="110"/>
    </row>
    <row r="52" spans="1:38" x14ac:dyDescent="0.15">
      <c r="A52" s="149" t="s">
        <v>220</v>
      </c>
      <c r="B52" s="111">
        <f>B50-B51</f>
        <v>4710438.2096599992</v>
      </c>
      <c r="C52" s="110">
        <f>+Februar!AE52</f>
        <v>0</v>
      </c>
      <c r="D52" s="110">
        <f t="shared" ref="D52:AH52" si="8">+C52</f>
        <v>0</v>
      </c>
      <c r="E52" s="110">
        <f t="shared" si="8"/>
        <v>0</v>
      </c>
      <c r="F52" s="110">
        <f t="shared" si="8"/>
        <v>0</v>
      </c>
      <c r="G52" s="110">
        <f t="shared" si="8"/>
        <v>0</v>
      </c>
      <c r="H52" s="110">
        <f t="shared" si="8"/>
        <v>0</v>
      </c>
      <c r="I52" s="110">
        <f t="shared" si="8"/>
        <v>0</v>
      </c>
      <c r="J52" s="110">
        <f t="shared" si="8"/>
        <v>0</v>
      </c>
      <c r="K52" s="110">
        <f t="shared" si="8"/>
        <v>0</v>
      </c>
      <c r="L52" s="110">
        <f t="shared" si="8"/>
        <v>0</v>
      </c>
      <c r="M52" s="110">
        <f t="shared" si="8"/>
        <v>0</v>
      </c>
      <c r="N52" s="110">
        <f t="shared" si="8"/>
        <v>0</v>
      </c>
      <c r="O52" s="110">
        <f t="shared" si="8"/>
        <v>0</v>
      </c>
      <c r="P52" s="110">
        <f t="shared" si="8"/>
        <v>0</v>
      </c>
      <c r="Q52" s="110">
        <f t="shared" si="8"/>
        <v>0</v>
      </c>
      <c r="R52" s="110">
        <f t="shared" si="8"/>
        <v>0</v>
      </c>
      <c r="S52" s="110">
        <f t="shared" si="8"/>
        <v>0</v>
      </c>
      <c r="T52" s="110">
        <f t="shared" si="8"/>
        <v>0</v>
      </c>
      <c r="U52" s="110">
        <f t="shared" si="8"/>
        <v>0</v>
      </c>
      <c r="V52" s="110">
        <f t="shared" si="8"/>
        <v>0</v>
      </c>
      <c r="W52" s="110">
        <f t="shared" si="8"/>
        <v>0</v>
      </c>
      <c r="X52" s="110">
        <f t="shared" si="8"/>
        <v>0</v>
      </c>
      <c r="Y52" s="110">
        <f t="shared" si="8"/>
        <v>0</v>
      </c>
      <c r="Z52" s="110">
        <f t="shared" si="8"/>
        <v>0</v>
      </c>
      <c r="AA52" s="110">
        <f t="shared" si="8"/>
        <v>0</v>
      </c>
      <c r="AB52" s="110">
        <f t="shared" si="8"/>
        <v>0</v>
      </c>
      <c r="AC52" s="110">
        <f t="shared" si="8"/>
        <v>0</v>
      </c>
      <c r="AD52" s="110">
        <f t="shared" si="8"/>
        <v>0</v>
      </c>
      <c r="AE52" s="110">
        <f t="shared" si="8"/>
        <v>0</v>
      </c>
      <c r="AF52" s="110">
        <f t="shared" si="8"/>
        <v>0</v>
      </c>
      <c r="AG52" s="110">
        <f t="shared" si="8"/>
        <v>0</v>
      </c>
      <c r="AH52" s="110">
        <f t="shared" si="8"/>
        <v>0</v>
      </c>
      <c r="AI52" s="110"/>
      <c r="AJ52" s="110"/>
      <c r="AK52" s="110"/>
      <c r="AL52" s="110"/>
    </row>
    <row r="55" spans="1:38" x14ac:dyDescent="0.15">
      <c r="AA55" s="280">
        <v>45741</v>
      </c>
      <c r="AD55" s="280">
        <v>45742</v>
      </c>
      <c r="AG55" s="280"/>
    </row>
    <row r="56" spans="1:38" x14ac:dyDescent="0.15">
      <c r="A56" s="106"/>
    </row>
    <row r="57" spans="1:38" x14ac:dyDescent="0.15">
      <c r="A57" s="106"/>
    </row>
    <row r="58" spans="1:38" x14ac:dyDescent="0.15">
      <c r="A58" s="106"/>
      <c r="U58" s="103" t="s">
        <v>491</v>
      </c>
    </row>
    <row r="59" spans="1:38" x14ac:dyDescent="0.15">
      <c r="A59" s="106"/>
      <c r="U59" s="103" t="s">
        <v>492</v>
      </c>
      <c r="W59" s="103">
        <f>1850000+667000-750000-140000</f>
        <v>1627000</v>
      </c>
      <c r="X59" s="103" t="s">
        <v>495</v>
      </c>
    </row>
    <row r="60" spans="1:38" x14ac:dyDescent="0.15">
      <c r="A60" s="106"/>
      <c r="N60" s="103" t="s">
        <v>490</v>
      </c>
      <c r="O60" s="103" t="s">
        <v>515</v>
      </c>
      <c r="U60" s="103" t="s">
        <v>493</v>
      </c>
      <c r="W60" s="103">
        <v>2229727.34</v>
      </c>
      <c r="X60" s="103">
        <f>+W60-W59</f>
        <v>602727.33999999985</v>
      </c>
    </row>
    <row r="61" spans="1:38" x14ac:dyDescent="0.15">
      <c r="A61" s="106"/>
      <c r="H61" s="103" t="s">
        <v>451</v>
      </c>
      <c r="N61" s="103">
        <v>527440</v>
      </c>
      <c r="O61" s="103">
        <v>664627</v>
      </c>
    </row>
    <row r="62" spans="1:38" x14ac:dyDescent="0.15">
      <c r="A62" s="106"/>
      <c r="H62" s="103" t="s">
        <v>453</v>
      </c>
      <c r="N62" s="103">
        <v>735297</v>
      </c>
      <c r="O62" s="103">
        <v>1074152</v>
      </c>
      <c r="U62" s="103" t="s">
        <v>496</v>
      </c>
      <c r="W62" s="103">
        <v>750000</v>
      </c>
      <c r="X62" s="103" t="s">
        <v>513</v>
      </c>
    </row>
    <row r="63" spans="1:38" x14ac:dyDescent="0.15">
      <c r="A63" s="106"/>
      <c r="H63" s="103" t="s">
        <v>454</v>
      </c>
      <c r="N63" s="103">
        <v>423046</v>
      </c>
      <c r="O63" s="103">
        <v>553303</v>
      </c>
      <c r="W63" s="263"/>
      <c r="X63" s="103" t="s">
        <v>494</v>
      </c>
    </row>
    <row r="64" spans="1:38" x14ac:dyDescent="0.15">
      <c r="A64" s="108"/>
      <c r="B64" s="105"/>
      <c r="H64" s="103" t="s">
        <v>455</v>
      </c>
      <c r="N64" s="103">
        <v>602899</v>
      </c>
      <c r="O64" s="103">
        <v>835802</v>
      </c>
    </row>
    <row r="65" spans="1:15" x14ac:dyDescent="0.15">
      <c r="A65" s="107"/>
      <c r="H65" s="103" t="s">
        <v>163</v>
      </c>
      <c r="N65" s="103">
        <v>587038</v>
      </c>
      <c r="O65" s="103">
        <v>505215</v>
      </c>
    </row>
    <row r="66" spans="1:15" x14ac:dyDescent="0.15">
      <c r="A66" s="106"/>
      <c r="H66" s="103" t="s">
        <v>456</v>
      </c>
      <c r="N66" s="103">
        <v>259130</v>
      </c>
      <c r="O66" s="103">
        <v>465820</v>
      </c>
    </row>
    <row r="67" spans="1:15" x14ac:dyDescent="0.15">
      <c r="A67" s="106"/>
      <c r="H67" s="103" t="s">
        <v>130</v>
      </c>
      <c r="N67" s="103">
        <v>65242</v>
      </c>
      <c r="O67" s="103">
        <v>2089660</v>
      </c>
    </row>
    <row r="68" spans="1:15" x14ac:dyDescent="0.15">
      <c r="A68" s="106"/>
      <c r="H68" s="103" t="s">
        <v>134</v>
      </c>
      <c r="N68" s="103">
        <v>446091</v>
      </c>
      <c r="O68" s="103">
        <v>538634</v>
      </c>
    </row>
    <row r="69" spans="1:15" x14ac:dyDescent="0.15">
      <c r="A69" s="106"/>
      <c r="H69" s="103" t="s">
        <v>457</v>
      </c>
      <c r="N69" s="103">
        <v>184428</v>
      </c>
      <c r="O69" s="103">
        <v>340003</v>
      </c>
    </row>
    <row r="70" spans="1:15" x14ac:dyDescent="0.15">
      <c r="A70" s="106"/>
      <c r="H70" s="103" t="s">
        <v>458</v>
      </c>
      <c r="N70" s="103">
        <v>297589</v>
      </c>
      <c r="O70" s="103">
        <v>442447</v>
      </c>
    </row>
    <row r="71" spans="1:15" x14ac:dyDescent="0.15">
      <c r="A71" s="106"/>
      <c r="H71" s="103" t="s">
        <v>169</v>
      </c>
      <c r="N71" s="103">
        <v>63191</v>
      </c>
      <c r="O71" s="103">
        <v>375133</v>
      </c>
    </row>
    <row r="72" spans="1:15" x14ac:dyDescent="0.15">
      <c r="A72" s="106"/>
      <c r="B72" s="105"/>
      <c r="H72" s="103" t="s">
        <v>162</v>
      </c>
      <c r="N72" s="103">
        <v>593137</v>
      </c>
      <c r="O72" s="103">
        <v>1015817</v>
      </c>
    </row>
    <row r="73" spans="1:15" x14ac:dyDescent="0.15">
      <c r="H73" s="103" t="s">
        <v>171</v>
      </c>
      <c r="N73" s="103">
        <v>231497</v>
      </c>
      <c r="O73" s="103">
        <v>327535</v>
      </c>
    </row>
    <row r="74" spans="1:15" x14ac:dyDescent="0.15">
      <c r="H74" s="103" t="s">
        <v>170</v>
      </c>
      <c r="N74" s="103">
        <v>70676</v>
      </c>
      <c r="O74" s="103">
        <v>103790</v>
      </c>
    </row>
    <row r="75" spans="1:15" x14ac:dyDescent="0.15">
      <c r="N75" s="103">
        <f>SUM(N61:N74)</f>
        <v>5086701</v>
      </c>
      <c r="O75" s="103">
        <f>SUM(O61:O74)</f>
        <v>9331938</v>
      </c>
    </row>
    <row r="77" spans="1:15" x14ac:dyDescent="0.15">
      <c r="B77" s="104"/>
      <c r="N77" s="103">
        <f>+N75-N51</f>
        <v>48795.921994611621</v>
      </c>
    </row>
    <row r="78" spans="1:15" x14ac:dyDescent="0.15">
      <c r="A78" s="104"/>
    </row>
    <row r="79" spans="1:15" x14ac:dyDescent="0.15">
      <c r="A79" s="104"/>
    </row>
    <row r="95" spans="1:34" x14ac:dyDescent="0.15">
      <c r="A95" s="104"/>
      <c r="B95" s="103" t="s">
        <v>579</v>
      </c>
      <c r="C95" s="314"/>
      <c r="D95" s="314"/>
      <c r="E95" s="314" t="s">
        <v>538</v>
      </c>
      <c r="F95" s="314" t="s">
        <v>539</v>
      </c>
      <c r="G95" s="314" t="s">
        <v>540</v>
      </c>
      <c r="H95" s="314" t="s">
        <v>541</v>
      </c>
      <c r="I95" s="314" t="s">
        <v>542</v>
      </c>
      <c r="J95" s="314"/>
      <c r="K95" s="314"/>
      <c r="L95" s="314" t="s">
        <v>543</v>
      </c>
      <c r="M95" s="314" t="s">
        <v>544</v>
      </c>
      <c r="N95" s="314" t="s">
        <v>545</v>
      </c>
      <c r="O95" s="314" t="s">
        <v>546</v>
      </c>
      <c r="P95" s="314" t="s">
        <v>547</v>
      </c>
      <c r="Q95" s="314"/>
      <c r="R95" s="314"/>
      <c r="S95" s="314" t="s">
        <v>548</v>
      </c>
      <c r="T95" s="314" t="s">
        <v>549</v>
      </c>
      <c r="U95" s="314" t="s">
        <v>550</v>
      </c>
      <c r="V95" s="314" t="s">
        <v>551</v>
      </c>
      <c r="W95" s="314" t="s">
        <v>552</v>
      </c>
      <c r="X95" s="314"/>
      <c r="Y95" s="314"/>
      <c r="Z95" s="314" t="s">
        <v>553</v>
      </c>
      <c r="AA95" s="314" t="s">
        <v>554</v>
      </c>
      <c r="AB95" s="314" t="s">
        <v>555</v>
      </c>
      <c r="AC95" s="314" t="s">
        <v>556</v>
      </c>
      <c r="AD95" s="314" t="s">
        <v>557</v>
      </c>
      <c r="AE95" s="314"/>
      <c r="AF95" s="314"/>
      <c r="AG95" s="314" t="s">
        <v>558</v>
      </c>
    </row>
    <row r="96" spans="1:34" x14ac:dyDescent="0.15">
      <c r="B96" s="103" t="s">
        <v>580</v>
      </c>
      <c r="C96" s="314"/>
      <c r="D96" s="314"/>
      <c r="E96" s="314"/>
      <c r="F96" s="314">
        <v>-795.23</v>
      </c>
      <c r="G96" s="314">
        <v>-8805.619999999999</v>
      </c>
      <c r="H96" s="314"/>
      <c r="I96" s="314">
        <v>-1992092.6600000001</v>
      </c>
      <c r="J96" s="314"/>
      <c r="K96" s="314"/>
      <c r="L96" s="314">
        <v>-394530.73</v>
      </c>
      <c r="M96" s="314">
        <v>-5214.5</v>
      </c>
      <c r="N96" s="314">
        <v>-268048.83999999997</v>
      </c>
      <c r="O96" s="314">
        <v>-201042.81999999998</v>
      </c>
      <c r="P96" s="314">
        <v>-14269.400000000001</v>
      </c>
      <c r="Q96" s="314"/>
      <c r="R96" s="314"/>
      <c r="S96" s="314">
        <v>-179232.34000000003</v>
      </c>
      <c r="T96" s="314"/>
      <c r="U96" s="314">
        <v>-384077.88000000006</v>
      </c>
      <c r="V96" s="314"/>
      <c r="W96" s="314">
        <v>-134615.51</v>
      </c>
      <c r="X96" s="314"/>
      <c r="Y96" s="314"/>
      <c r="Z96" s="314">
        <v>-5884.51</v>
      </c>
      <c r="AA96" s="314">
        <v>-2231291.3800000004</v>
      </c>
      <c r="AB96" s="314">
        <v>-29931.48</v>
      </c>
      <c r="AC96" s="314">
        <v>-1050910.97</v>
      </c>
      <c r="AD96" s="314">
        <v>-15567.65</v>
      </c>
      <c r="AE96" s="314"/>
      <c r="AF96" s="314"/>
      <c r="AG96" s="314">
        <v>-42397.950000000004</v>
      </c>
      <c r="AH96" s="103">
        <f>SUM(C96:AG96)</f>
        <v>-6958709.4700000007</v>
      </c>
    </row>
    <row r="97" spans="2:36" x14ac:dyDescent="0.15">
      <c r="B97" s="103" t="s">
        <v>581</v>
      </c>
      <c r="C97" s="314"/>
      <c r="D97" s="314"/>
      <c r="E97" s="314">
        <v>522105.89</v>
      </c>
      <c r="F97" s="314">
        <v>186828.57000000007</v>
      </c>
      <c r="G97" s="314">
        <v>448364.02999999985</v>
      </c>
      <c r="H97" s="314">
        <v>518340.13999999996</v>
      </c>
      <c r="I97" s="314">
        <v>314447.89</v>
      </c>
      <c r="J97" s="314"/>
      <c r="K97" s="314"/>
      <c r="L97" s="314">
        <v>643910.83000000007</v>
      </c>
      <c r="M97" s="314">
        <v>338452.72999999992</v>
      </c>
      <c r="N97" s="314">
        <v>177859.81999999995</v>
      </c>
      <c r="O97" s="314">
        <v>2941972.8699999996</v>
      </c>
      <c r="P97" s="314">
        <v>245202.90999999995</v>
      </c>
      <c r="Q97" s="314"/>
      <c r="R97" s="314"/>
      <c r="S97" s="314">
        <v>630405.75999999989</v>
      </c>
      <c r="T97" s="314">
        <v>254308.68000000002</v>
      </c>
      <c r="U97" s="314">
        <v>287755.85000000003</v>
      </c>
      <c r="V97" s="314">
        <v>443233</v>
      </c>
      <c r="W97" s="314">
        <v>356595.72000000009</v>
      </c>
      <c r="X97" s="314"/>
      <c r="Y97" s="314"/>
      <c r="Z97" s="314">
        <v>563276.65999999992</v>
      </c>
      <c r="AA97" s="314">
        <v>332424.10000000003</v>
      </c>
      <c r="AB97" s="314">
        <v>252529.7</v>
      </c>
      <c r="AC97" s="314">
        <v>336745.94000000012</v>
      </c>
      <c r="AD97" s="314">
        <v>419973.95999999985</v>
      </c>
      <c r="AE97" s="314"/>
      <c r="AF97" s="314"/>
      <c r="AG97" s="314">
        <v>833904.57999999973</v>
      </c>
      <c r="AH97" s="103">
        <f>SUM(C97:AG97)</f>
        <v>11048639.629999995</v>
      </c>
      <c r="AI97" s="103">
        <f>+AH97+AH96</f>
        <v>4089930.1599999946</v>
      </c>
    </row>
    <row r="99" spans="2:36" x14ac:dyDescent="0.15">
      <c r="C99" s="103">
        <f>+C32</f>
        <v>0</v>
      </c>
      <c r="D99" s="103">
        <f t="shared" ref="D99:AG99" si="9">+D32</f>
        <v>0</v>
      </c>
      <c r="E99" s="103">
        <f t="shared" si="9"/>
        <v>0</v>
      </c>
      <c r="F99" s="103">
        <f t="shared" si="9"/>
        <v>0</v>
      </c>
      <c r="G99" s="103">
        <f t="shared" si="9"/>
        <v>60000</v>
      </c>
      <c r="H99" s="103">
        <f t="shared" si="9"/>
        <v>0</v>
      </c>
      <c r="I99" s="103">
        <f t="shared" si="9"/>
        <v>2623061.4362579994</v>
      </c>
      <c r="J99" s="103">
        <f t="shared" si="9"/>
        <v>0</v>
      </c>
      <c r="K99" s="103">
        <f t="shared" si="9"/>
        <v>0</v>
      </c>
      <c r="L99" s="103">
        <f t="shared" si="9"/>
        <v>0</v>
      </c>
      <c r="M99" s="103">
        <f t="shared" si="9"/>
        <v>188425</v>
      </c>
      <c r="N99" s="103">
        <f t="shared" si="9"/>
        <v>291616</v>
      </c>
      <c r="O99" s="103">
        <f t="shared" si="9"/>
        <v>0</v>
      </c>
      <c r="P99" s="103">
        <f t="shared" si="9"/>
        <v>572271.25</v>
      </c>
      <c r="Q99" s="103">
        <f t="shared" si="9"/>
        <v>0</v>
      </c>
      <c r="R99" s="103">
        <f t="shared" si="9"/>
        <v>0</v>
      </c>
      <c r="S99" s="103">
        <f t="shared" si="9"/>
        <v>0</v>
      </c>
      <c r="T99" s="103">
        <f t="shared" si="9"/>
        <v>0</v>
      </c>
      <c r="U99" s="103">
        <f t="shared" si="9"/>
        <v>0</v>
      </c>
      <c r="V99" s="103">
        <f t="shared" si="9"/>
        <v>0</v>
      </c>
      <c r="W99" s="103">
        <f t="shared" si="9"/>
        <v>205739</v>
      </c>
      <c r="X99" s="103">
        <f t="shared" si="9"/>
        <v>0</v>
      </c>
      <c r="Y99" s="103">
        <f t="shared" si="9"/>
        <v>0</v>
      </c>
      <c r="Z99" s="103">
        <f t="shared" si="9"/>
        <v>0</v>
      </c>
      <c r="AA99" s="103">
        <f t="shared" si="9"/>
        <v>2379924.5699999998</v>
      </c>
      <c r="AB99" s="103">
        <f t="shared" si="9"/>
        <v>87000</v>
      </c>
      <c r="AC99" s="103">
        <f t="shared" si="9"/>
        <v>0</v>
      </c>
      <c r="AD99" s="103">
        <f t="shared" si="9"/>
        <v>1403951.3062579997</v>
      </c>
      <c r="AE99" s="103">
        <f t="shared" si="9"/>
        <v>0</v>
      </c>
      <c r="AF99" s="103">
        <f t="shared" si="9"/>
        <v>0</v>
      </c>
      <c r="AG99" s="103">
        <f t="shared" si="9"/>
        <v>0</v>
      </c>
      <c r="AH99" s="103">
        <f>SUM(C99:AG99)</f>
        <v>7811988.5625159992</v>
      </c>
    </row>
    <row r="100" spans="2:36" x14ac:dyDescent="0.15">
      <c r="C100" s="103">
        <f>+C42</f>
        <v>0</v>
      </c>
      <c r="D100" s="103">
        <f t="shared" ref="D100:AG100" si="10">+D42</f>
        <v>0</v>
      </c>
      <c r="E100" s="103">
        <f t="shared" si="10"/>
        <v>314663.64621266123</v>
      </c>
      <c r="F100" s="103">
        <f t="shared" si="10"/>
        <v>658596.48868943541</v>
      </c>
      <c r="G100" s="103">
        <f t="shared" si="10"/>
        <v>314663.64621266123</v>
      </c>
      <c r="H100" s="103">
        <f t="shared" si="10"/>
        <v>314663.64621266123</v>
      </c>
      <c r="I100" s="103">
        <f t="shared" si="10"/>
        <v>314663.64621266123</v>
      </c>
      <c r="J100" s="103">
        <f t="shared" si="10"/>
        <v>0</v>
      </c>
      <c r="K100" s="103">
        <f t="shared" si="10"/>
        <v>0</v>
      </c>
      <c r="L100" s="103">
        <f t="shared" si="10"/>
        <v>600058.09616120951</v>
      </c>
      <c r="M100" s="103">
        <f t="shared" si="10"/>
        <v>658596.48868943541</v>
      </c>
      <c r="N100" s="103">
        <f t="shared" si="10"/>
        <v>314663.64621266123</v>
      </c>
      <c r="O100" s="103">
        <f t="shared" si="10"/>
        <v>314663.64621266123</v>
      </c>
      <c r="P100" s="103">
        <f t="shared" si="10"/>
        <v>314663.64621266123</v>
      </c>
      <c r="Q100" s="103">
        <f t="shared" si="10"/>
        <v>0</v>
      </c>
      <c r="R100" s="103">
        <f t="shared" si="10"/>
        <v>0</v>
      </c>
      <c r="S100" s="103">
        <f t="shared" si="10"/>
        <v>600058.09616120951</v>
      </c>
      <c r="T100" s="103">
        <f t="shared" si="10"/>
        <v>2888323.828689435</v>
      </c>
      <c r="U100" s="103">
        <f t="shared" si="10"/>
        <v>314663.64621266123</v>
      </c>
      <c r="V100" s="103">
        <f t="shared" si="10"/>
        <v>314663.64621266123</v>
      </c>
      <c r="W100" s="103">
        <f t="shared" si="10"/>
        <v>314663.64621266123</v>
      </c>
      <c r="X100" s="103">
        <f t="shared" si="10"/>
        <v>0</v>
      </c>
      <c r="Y100" s="103">
        <f t="shared" si="10"/>
        <v>0</v>
      </c>
      <c r="Z100" s="103">
        <f t="shared" si="10"/>
        <v>600058.09616120951</v>
      </c>
      <c r="AA100" s="103">
        <f t="shared" si="10"/>
        <v>658596.48868943541</v>
      </c>
      <c r="AB100" s="103">
        <f t="shared" si="10"/>
        <v>142697.22497427417</v>
      </c>
      <c r="AC100" s="103">
        <f t="shared" si="10"/>
        <v>314663.64621266123</v>
      </c>
      <c r="AD100" s="103">
        <f t="shared" si="10"/>
        <v>314663.64621266123</v>
      </c>
      <c r="AE100" s="103">
        <f t="shared" si="10"/>
        <v>0</v>
      </c>
      <c r="AF100" s="103">
        <f t="shared" si="10"/>
        <v>0</v>
      </c>
      <c r="AG100" s="103">
        <f t="shared" si="10"/>
        <v>600058.09616120951</v>
      </c>
      <c r="AH100" s="103">
        <f>SUM(C100:AG100)</f>
        <v>11183006.658928789</v>
      </c>
      <c r="AI100" s="103">
        <f>+AH100-AH99</f>
        <v>3371018.09641279</v>
      </c>
      <c r="AJ100" s="103">
        <f>+AI100-AI97</f>
        <v>-718912.06358720455</v>
      </c>
    </row>
    <row r="102" spans="2:36" x14ac:dyDescent="0.15">
      <c r="C102" s="103">
        <f>+C99+C96</f>
        <v>0</v>
      </c>
      <c r="D102" s="103">
        <f>+C102+D99+D96</f>
        <v>0</v>
      </c>
      <c r="E102" s="103">
        <f t="shared" ref="E102:AG102" si="11">+D102+E99+E96</f>
        <v>0</v>
      </c>
      <c r="F102" s="103">
        <f t="shared" si="11"/>
        <v>-795.23</v>
      </c>
      <c r="G102" s="103">
        <f t="shared" si="11"/>
        <v>50399.149999999994</v>
      </c>
      <c r="H102" s="103">
        <f t="shared" si="11"/>
        <v>50399.149999999994</v>
      </c>
      <c r="I102" s="103">
        <f t="shared" si="11"/>
        <v>681367.92625799915</v>
      </c>
      <c r="J102" s="103">
        <f t="shared" si="11"/>
        <v>681367.92625799915</v>
      </c>
      <c r="K102" s="103">
        <f t="shared" si="11"/>
        <v>681367.92625799915</v>
      </c>
      <c r="L102" s="103">
        <f t="shared" si="11"/>
        <v>286837.19625799917</v>
      </c>
      <c r="M102" s="103">
        <f t="shared" si="11"/>
        <v>470047.69625799917</v>
      </c>
      <c r="N102" s="103">
        <f t="shared" si="11"/>
        <v>493614.8562579992</v>
      </c>
      <c r="O102" s="103">
        <f t="shared" si="11"/>
        <v>292572.03625799925</v>
      </c>
      <c r="P102" s="103">
        <f t="shared" si="11"/>
        <v>850573.88625799923</v>
      </c>
      <c r="Q102" s="103">
        <f t="shared" si="11"/>
        <v>850573.88625799923</v>
      </c>
      <c r="R102" s="103">
        <f t="shared" si="11"/>
        <v>850573.88625799923</v>
      </c>
      <c r="S102" s="103">
        <f t="shared" si="11"/>
        <v>671341.54625799926</v>
      </c>
      <c r="T102" s="103">
        <f t="shared" si="11"/>
        <v>671341.54625799926</v>
      </c>
      <c r="U102" s="103">
        <f t="shared" si="11"/>
        <v>287263.6662579992</v>
      </c>
      <c r="V102" s="103">
        <f t="shared" si="11"/>
        <v>287263.6662579992</v>
      </c>
      <c r="W102" s="103">
        <f t="shared" si="11"/>
        <v>358387.15625799919</v>
      </c>
      <c r="X102" s="103">
        <f t="shared" si="11"/>
        <v>358387.15625799919</v>
      </c>
      <c r="Y102" s="103">
        <f t="shared" si="11"/>
        <v>358387.15625799919</v>
      </c>
      <c r="Z102" s="103">
        <f t="shared" si="11"/>
        <v>352502.64625799918</v>
      </c>
      <c r="AA102" s="103">
        <f t="shared" si="11"/>
        <v>501135.83625799883</v>
      </c>
      <c r="AB102" s="103">
        <f t="shared" si="11"/>
        <v>558204.35625799885</v>
      </c>
      <c r="AC102" s="103">
        <f t="shared" si="11"/>
        <v>-492706.61374200112</v>
      </c>
      <c r="AD102" s="103">
        <f t="shared" si="11"/>
        <v>895677.04251599859</v>
      </c>
      <c r="AE102" s="103">
        <f t="shared" si="11"/>
        <v>895677.04251599859</v>
      </c>
      <c r="AF102" s="103">
        <f t="shared" si="11"/>
        <v>895677.04251599859</v>
      </c>
      <c r="AG102" s="103">
        <f t="shared" si="11"/>
        <v>853279.09251599864</v>
      </c>
    </row>
    <row r="103" spans="2:36" x14ac:dyDescent="0.15">
      <c r="C103" s="103">
        <f>+C100-C97</f>
        <v>0</v>
      </c>
      <c r="D103" s="103">
        <f>+C103+D100-D97</f>
        <v>0</v>
      </c>
      <c r="E103" s="103">
        <f t="shared" ref="E103:AG103" si="12">+D103+E100-E97</f>
        <v>-207442.24378733878</v>
      </c>
      <c r="F103" s="103">
        <f t="shared" si="12"/>
        <v>264325.67490209657</v>
      </c>
      <c r="G103" s="103">
        <f t="shared" si="12"/>
        <v>130625.29111475794</v>
      </c>
      <c r="H103" s="103">
        <f t="shared" si="12"/>
        <v>-73051.202672580781</v>
      </c>
      <c r="I103" s="103">
        <f t="shared" si="12"/>
        <v>-72835.446459919563</v>
      </c>
      <c r="J103" s="103">
        <f t="shared" si="12"/>
        <v>-72835.446459919563</v>
      </c>
      <c r="K103" s="103">
        <f t="shared" si="12"/>
        <v>-72835.446459919563</v>
      </c>
      <c r="L103" s="103">
        <f t="shared" si="12"/>
        <v>-116688.18029871013</v>
      </c>
      <c r="M103" s="103">
        <f t="shared" si="12"/>
        <v>203455.57839072536</v>
      </c>
      <c r="N103" s="103">
        <f t="shared" si="12"/>
        <v>340259.40460338665</v>
      </c>
      <c r="O103" s="103">
        <f t="shared" si="12"/>
        <v>-2287049.8191839517</v>
      </c>
      <c r="P103" s="103">
        <f t="shared" si="12"/>
        <v>-2217589.0829712907</v>
      </c>
      <c r="Q103" s="103">
        <f t="shared" si="12"/>
        <v>-2217589.0829712907</v>
      </c>
      <c r="R103" s="103">
        <f t="shared" si="12"/>
        <v>-2217589.0829712907</v>
      </c>
      <c r="S103" s="103">
        <f t="shared" si="12"/>
        <v>-2247936.7468100809</v>
      </c>
      <c r="T103" s="103">
        <f t="shared" si="12"/>
        <v>386078.40187935403</v>
      </c>
      <c r="U103" s="103">
        <f t="shared" si="12"/>
        <v>412986.19809201529</v>
      </c>
      <c r="V103" s="103">
        <f t="shared" si="12"/>
        <v>284416.84430467652</v>
      </c>
      <c r="W103" s="103">
        <f t="shared" si="12"/>
        <v>242484.77051733772</v>
      </c>
      <c r="X103" s="103">
        <f t="shared" si="12"/>
        <v>242484.77051733772</v>
      </c>
      <c r="Y103" s="103">
        <f t="shared" si="12"/>
        <v>242484.77051733772</v>
      </c>
      <c r="Z103" s="103">
        <f t="shared" si="12"/>
        <v>279266.20667854731</v>
      </c>
      <c r="AA103" s="103">
        <f t="shared" si="12"/>
        <v>605438.59536798275</v>
      </c>
      <c r="AB103" s="103">
        <f t="shared" si="12"/>
        <v>495606.12034225691</v>
      </c>
      <c r="AC103" s="103">
        <f t="shared" si="12"/>
        <v>473523.82655491802</v>
      </c>
      <c r="AD103" s="103">
        <f t="shared" si="12"/>
        <v>368213.51276757941</v>
      </c>
      <c r="AE103" s="103">
        <f t="shared" si="12"/>
        <v>368213.51276757941</v>
      </c>
      <c r="AF103" s="103">
        <f t="shared" si="12"/>
        <v>368213.51276757941</v>
      </c>
      <c r="AG103" s="103">
        <f t="shared" si="12"/>
        <v>134367.02892878919</v>
      </c>
      <c r="AJ103" s="103">
        <f>+AG103-AG102</f>
        <v>-718912.06358720944</v>
      </c>
    </row>
  </sheetData>
  <conditionalFormatting sqref="C2:AG2">
    <cfRule type="cellIs" dxfId="1" priority="1" operator="equal">
      <formula>"So"</formula>
    </cfRule>
  </conditionalFormatting>
  <pageMargins left="0.25" right="0.25" top="0.75" bottom="0.75" header="0.3" footer="0.3"/>
  <pageSetup paperSize="9" scale="30" orientation="landscape" r:id="rId1"/>
  <headerFooter alignWithMargins="0">
    <oddHeader>&amp;F</oddHeader>
    <oddFooter>Seite &amp;P von &amp;N</oddFooter>
  </headerFooter>
  <colBreaks count="1" manualBreakCount="1">
    <brk id="20" max="1048575" man="1"/>
  </col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287A-5B4F-492D-AB28-AD0AAFCCC5B8}">
  <sheetPr>
    <pageSetUpPr fitToPage="1"/>
  </sheetPr>
  <dimension ref="A1:CM103"/>
  <sheetViews>
    <sheetView zoomScale="70" zoomScaleNormal="70" workbookViewId="0">
      <pane xSplit="2" ySplit="6" topLeftCell="V38" activePane="bottomRight" state="frozen"/>
      <selection activeCell="B27" sqref="B27"/>
      <selection pane="topRight" activeCell="B27" sqref="B27"/>
      <selection pane="bottomLeft" activeCell="B27" sqref="B27"/>
      <selection pane="bottomRight" activeCell="Z41" sqref="Z41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39.5" style="103" bestFit="1" customWidth="1"/>
    <col min="3" max="33" width="13.5" style="103" customWidth="1"/>
    <col min="34" max="34" width="14.1640625" style="103" bestFit="1" customWidth="1"/>
    <col min="35" max="35" width="10.6640625" style="103" customWidth="1"/>
    <col min="36" max="36" width="18.33203125" style="103" customWidth="1"/>
    <col min="37" max="37" width="12.83203125" style="103" customWidth="1"/>
    <col min="38" max="38" width="12.33203125" style="103" customWidth="1"/>
    <col min="39" max="16384" width="11.5" style="103"/>
  </cols>
  <sheetData>
    <row r="1" spans="1:91" x14ac:dyDescent="0.15">
      <c r="A1" s="103" t="s">
        <v>307</v>
      </c>
      <c r="B1" s="103">
        <v>21</v>
      </c>
      <c r="C1" s="103" t="s">
        <v>306</v>
      </c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</row>
    <row r="2" spans="1:91" x14ac:dyDescent="0.15">
      <c r="A2" s="154" t="s">
        <v>219</v>
      </c>
      <c r="B2" s="154" t="s">
        <v>297</v>
      </c>
      <c r="C2" s="155">
        <v>45748</v>
      </c>
      <c r="D2" s="155">
        <v>45749</v>
      </c>
      <c r="E2" s="155">
        <v>45750</v>
      </c>
      <c r="F2" s="155">
        <v>45751</v>
      </c>
      <c r="G2" s="155">
        <v>45752</v>
      </c>
      <c r="H2" s="155">
        <v>45753</v>
      </c>
      <c r="I2" s="155">
        <v>45754</v>
      </c>
      <c r="J2" s="155">
        <v>45755</v>
      </c>
      <c r="K2" s="155">
        <v>45756</v>
      </c>
      <c r="L2" s="155">
        <v>45757</v>
      </c>
      <c r="M2" s="155">
        <v>45758</v>
      </c>
      <c r="N2" s="155">
        <v>45759</v>
      </c>
      <c r="O2" s="155">
        <v>45760</v>
      </c>
      <c r="P2" s="155">
        <v>45761</v>
      </c>
      <c r="Q2" s="155">
        <v>45762</v>
      </c>
      <c r="R2" s="155">
        <v>45763</v>
      </c>
      <c r="S2" s="155">
        <v>45764</v>
      </c>
      <c r="T2" s="155">
        <v>45765</v>
      </c>
      <c r="U2" s="155">
        <v>45766</v>
      </c>
      <c r="V2" s="155">
        <v>45767</v>
      </c>
      <c r="W2" s="155">
        <v>45768</v>
      </c>
      <c r="X2" s="155">
        <v>45769</v>
      </c>
      <c r="Y2" s="155">
        <v>45770</v>
      </c>
      <c r="Z2" s="155">
        <v>45771</v>
      </c>
      <c r="AA2" s="155">
        <v>45772</v>
      </c>
      <c r="AB2" s="155">
        <v>45773</v>
      </c>
      <c r="AC2" s="155">
        <v>45774</v>
      </c>
      <c r="AD2" s="155">
        <v>45775</v>
      </c>
      <c r="AE2" s="155">
        <v>45776</v>
      </c>
      <c r="AF2" s="155">
        <v>45777</v>
      </c>
      <c r="AG2" s="154" t="s">
        <v>219</v>
      </c>
      <c r="AH2" s="154" t="s">
        <v>297</v>
      </c>
      <c r="AI2" s="154" t="s">
        <v>219</v>
      </c>
      <c r="AJ2" s="154" t="s">
        <v>375</v>
      </c>
      <c r="AK2" s="154" t="s">
        <v>376</v>
      </c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</row>
    <row r="3" spans="1:91" x14ac:dyDescent="0.15">
      <c r="A3" s="153" t="s">
        <v>296</v>
      </c>
      <c r="B3" s="151"/>
      <c r="C3" s="153" t="s">
        <v>295</v>
      </c>
      <c r="D3" s="153" t="s">
        <v>294</v>
      </c>
      <c r="E3" s="153" t="s">
        <v>293</v>
      </c>
      <c r="F3" s="153" t="s">
        <v>292</v>
      </c>
      <c r="G3" s="153" t="s">
        <v>291</v>
      </c>
      <c r="H3" s="153" t="s">
        <v>290</v>
      </c>
      <c r="I3" s="153" t="s">
        <v>289</v>
      </c>
      <c r="J3" s="153" t="s">
        <v>288</v>
      </c>
      <c r="K3" s="153" t="s">
        <v>287</v>
      </c>
      <c r="L3" s="153" t="s">
        <v>286</v>
      </c>
      <c r="M3" s="153" t="s">
        <v>285</v>
      </c>
      <c r="N3" s="153" t="s">
        <v>284</v>
      </c>
      <c r="O3" s="153" t="s">
        <v>283</v>
      </c>
      <c r="P3" s="153" t="s">
        <v>282</v>
      </c>
      <c r="Q3" s="153" t="s">
        <v>281</v>
      </c>
      <c r="R3" s="153" t="s">
        <v>280</v>
      </c>
      <c r="S3" s="153" t="s">
        <v>279</v>
      </c>
      <c r="T3" s="153" t="s">
        <v>278</v>
      </c>
      <c r="U3" s="153" t="s">
        <v>277</v>
      </c>
      <c r="V3" s="153" t="s">
        <v>276</v>
      </c>
      <c r="W3" s="153" t="s">
        <v>275</v>
      </c>
      <c r="X3" s="153" t="s">
        <v>274</v>
      </c>
      <c r="Y3" s="153" t="s">
        <v>273</v>
      </c>
      <c r="Z3" s="153" t="s">
        <v>272</v>
      </c>
      <c r="AA3" s="153" t="s">
        <v>271</v>
      </c>
      <c r="AB3" s="153" t="s">
        <v>270</v>
      </c>
      <c r="AC3" s="153" t="s">
        <v>269</v>
      </c>
      <c r="AD3" s="153" t="s">
        <v>268</v>
      </c>
      <c r="AE3" s="153" t="s">
        <v>267</v>
      </c>
      <c r="AF3" s="153" t="s">
        <v>266</v>
      </c>
      <c r="AG3" s="153" t="s">
        <v>219</v>
      </c>
      <c r="AH3" s="152" t="s">
        <v>264</v>
      </c>
      <c r="AI3" s="151"/>
      <c r="AJ3" s="152"/>
      <c r="AK3" s="152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</row>
    <row r="4" spans="1:91" x14ac:dyDescent="0.15">
      <c r="A4" s="112" t="s">
        <v>302</v>
      </c>
      <c r="B4" s="150">
        <f>+März!AG50</f>
        <v>8081456.306072792</v>
      </c>
      <c r="C4" s="149">
        <f>B4</f>
        <v>8081456.306072792</v>
      </c>
      <c r="D4" s="149">
        <f t="shared" ref="D4:AG4" si="0">+C50</f>
        <v>7143021.0090156253</v>
      </c>
      <c r="E4" s="149">
        <f t="shared" si="0"/>
        <v>7413754.9210791253</v>
      </c>
      <c r="F4" s="149">
        <f t="shared" si="0"/>
        <v>8184488.8331426252</v>
      </c>
      <c r="G4" s="149">
        <f t="shared" si="0"/>
        <v>8955222.7452061251</v>
      </c>
      <c r="H4" s="149">
        <f t="shared" si="0"/>
        <v>8955222.7452061251</v>
      </c>
      <c r="I4" s="149">
        <f t="shared" si="0"/>
        <v>8955222.7452061251</v>
      </c>
      <c r="J4" s="149">
        <f t="shared" si="0"/>
        <v>9387199.1905172914</v>
      </c>
      <c r="K4" s="149">
        <f t="shared" si="0"/>
        <v>8919872.3934601247</v>
      </c>
      <c r="L4" s="149">
        <f t="shared" si="0"/>
        <v>9148606.3055236246</v>
      </c>
      <c r="M4" s="149">
        <f t="shared" si="0"/>
        <v>9253225.1875871252</v>
      </c>
      <c r="N4" s="149">
        <f t="shared" si="0"/>
        <v>9479959.0996506251</v>
      </c>
      <c r="O4" s="149">
        <f t="shared" si="0"/>
        <v>9479959.0996506251</v>
      </c>
      <c r="P4" s="149">
        <f t="shared" si="0"/>
        <v>9479959.0996506251</v>
      </c>
      <c r="Q4" s="149">
        <f t="shared" si="0"/>
        <v>10030221.544961791</v>
      </c>
      <c r="R4" s="149">
        <f t="shared" si="0"/>
        <v>10212894.747904625</v>
      </c>
      <c r="S4" s="149">
        <f t="shared" si="0"/>
        <v>10483628.659968125</v>
      </c>
      <c r="T4" s="149">
        <f t="shared" si="0"/>
        <v>10654362.572031625</v>
      </c>
      <c r="U4" s="149">
        <f t="shared" si="0"/>
        <v>10925096.484095125</v>
      </c>
      <c r="V4" s="149">
        <f t="shared" si="0"/>
        <v>10925096.484095125</v>
      </c>
      <c r="W4" s="149">
        <f t="shared" si="0"/>
        <v>10925096.484095125</v>
      </c>
      <c r="X4" s="149">
        <f t="shared" si="0"/>
        <v>11475358.929406291</v>
      </c>
      <c r="Y4" s="149">
        <f t="shared" si="0"/>
        <v>11310869.132349124</v>
      </c>
      <c r="Z4" s="149">
        <f t="shared" si="0"/>
        <v>11915147.044412624</v>
      </c>
      <c r="AA4" s="149">
        <f t="shared" si="0"/>
        <v>12249761.956476124</v>
      </c>
      <c r="AB4" s="149">
        <f t="shared" si="0"/>
        <v>11141499.673485624</v>
      </c>
      <c r="AC4" s="149">
        <f t="shared" si="0"/>
        <v>10891499.673485624</v>
      </c>
      <c r="AD4" s="149">
        <f t="shared" si="0"/>
        <v>10891499.673485624</v>
      </c>
      <c r="AE4" s="149">
        <f t="shared" si="0"/>
        <v>9874172.876428457</v>
      </c>
      <c r="AF4" s="149">
        <f t="shared" si="0"/>
        <v>10444906.788491957</v>
      </c>
      <c r="AG4" s="149">
        <f t="shared" si="0"/>
        <v>10995169.233803123</v>
      </c>
      <c r="AH4" s="105">
        <f>+B4</f>
        <v>8081456.306072792</v>
      </c>
      <c r="AI4" s="148"/>
      <c r="AJ4" s="105"/>
      <c r="AK4" s="105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</row>
    <row r="5" spans="1:91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/>
      <c r="AK5" s="145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</row>
    <row r="6" spans="1:91" x14ac:dyDescent="0.15">
      <c r="A6" s="133" t="s">
        <v>261</v>
      </c>
      <c r="B6" s="142">
        <f t="shared" ref="B6:AG6" si="1">+B4+B5</f>
        <v>8081456.306072792</v>
      </c>
      <c r="C6" s="142">
        <f t="shared" si="1"/>
        <v>8081456.306072792</v>
      </c>
      <c r="D6" s="142">
        <f t="shared" si="1"/>
        <v>7143021.0090156253</v>
      </c>
      <c r="E6" s="142">
        <f t="shared" si="1"/>
        <v>7413754.9210791253</v>
      </c>
      <c r="F6" s="142">
        <f t="shared" si="1"/>
        <v>8184488.8331426252</v>
      </c>
      <c r="G6" s="142">
        <f t="shared" si="1"/>
        <v>8955222.7452061251</v>
      </c>
      <c r="H6" s="142">
        <f t="shared" si="1"/>
        <v>8955222.7452061251</v>
      </c>
      <c r="I6" s="142">
        <f t="shared" si="1"/>
        <v>8955222.7452061251</v>
      </c>
      <c r="J6" s="142">
        <f t="shared" si="1"/>
        <v>9387199.1905172914</v>
      </c>
      <c r="K6" s="142">
        <f t="shared" si="1"/>
        <v>8919872.3934601247</v>
      </c>
      <c r="L6" s="142">
        <f t="shared" si="1"/>
        <v>9148606.3055236246</v>
      </c>
      <c r="M6" s="142">
        <f t="shared" si="1"/>
        <v>9253225.1875871252</v>
      </c>
      <c r="N6" s="142">
        <f t="shared" si="1"/>
        <v>9479959.0996506251</v>
      </c>
      <c r="O6" s="142">
        <f t="shared" si="1"/>
        <v>9479959.0996506251</v>
      </c>
      <c r="P6" s="142">
        <f t="shared" si="1"/>
        <v>9479959.0996506251</v>
      </c>
      <c r="Q6" s="142">
        <f t="shared" si="1"/>
        <v>10030221.544961791</v>
      </c>
      <c r="R6" s="142">
        <f t="shared" si="1"/>
        <v>10212894.747904625</v>
      </c>
      <c r="S6" s="142">
        <f t="shared" si="1"/>
        <v>10483628.659968125</v>
      </c>
      <c r="T6" s="142">
        <f t="shared" si="1"/>
        <v>10654362.572031625</v>
      </c>
      <c r="U6" s="142">
        <f t="shared" si="1"/>
        <v>10925096.484095125</v>
      </c>
      <c r="V6" s="142">
        <f t="shared" si="1"/>
        <v>10925096.484095125</v>
      </c>
      <c r="W6" s="142">
        <f t="shared" si="1"/>
        <v>10925096.484095125</v>
      </c>
      <c r="X6" s="142">
        <f t="shared" si="1"/>
        <v>11475358.929406291</v>
      </c>
      <c r="Y6" s="142">
        <f t="shared" si="1"/>
        <v>11310869.132349124</v>
      </c>
      <c r="Z6" s="142">
        <f t="shared" si="1"/>
        <v>11915147.044412624</v>
      </c>
      <c r="AA6" s="142">
        <f t="shared" si="1"/>
        <v>12249761.956476124</v>
      </c>
      <c r="AB6" s="142">
        <f t="shared" si="1"/>
        <v>11141499.673485624</v>
      </c>
      <c r="AC6" s="142">
        <f t="shared" si="1"/>
        <v>10891499.673485624</v>
      </c>
      <c r="AD6" s="142">
        <f t="shared" si="1"/>
        <v>10891499.673485624</v>
      </c>
      <c r="AE6" s="142">
        <f t="shared" si="1"/>
        <v>9874172.876428457</v>
      </c>
      <c r="AF6" s="132">
        <f t="shared" si="1"/>
        <v>10444906.788491957</v>
      </c>
      <c r="AG6" s="132">
        <f t="shared" si="1"/>
        <v>10995169.233803123</v>
      </c>
      <c r="AH6" s="105">
        <f>AH5+AH4</f>
        <v>8081456.306072792</v>
      </c>
      <c r="AI6" s="142"/>
      <c r="AJ6" s="105"/>
      <c r="AK6" s="105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</row>
    <row r="7" spans="1:91" x14ac:dyDescent="0.15">
      <c r="A7" s="133" t="s">
        <v>260</v>
      </c>
      <c r="B7" s="142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 t="s">
        <v>219</v>
      </c>
      <c r="AI7" s="142"/>
      <c r="AJ7" s="105" t="s">
        <v>219</v>
      </c>
      <c r="AK7" s="105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</row>
    <row r="8" spans="1:91" x14ac:dyDescent="0.15">
      <c r="A8" s="136" t="s">
        <v>259</v>
      </c>
      <c r="B8" s="122"/>
      <c r="C8" s="120">
        <f>1938056-222948-44000</f>
        <v>1671108</v>
      </c>
      <c r="D8" s="120"/>
      <c r="E8" s="120"/>
      <c r="F8" s="120"/>
      <c r="G8" s="120"/>
      <c r="H8" s="120"/>
      <c r="I8" s="120"/>
      <c r="J8" s="120">
        <v>1000000</v>
      </c>
      <c r="K8" s="120"/>
      <c r="L8" s="120"/>
      <c r="M8" s="120">
        <v>44000</v>
      </c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 t="shared" ref="AH8:AH31" si="2">SUM(C8:AG8)</f>
        <v>2715108</v>
      </c>
      <c r="AI8" s="119"/>
      <c r="AJ8" s="105">
        <v>1910266.6056409997</v>
      </c>
      <c r="AK8" s="105">
        <f>AH8-AJ8</f>
        <v>804841.39435900026</v>
      </c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</row>
    <row r="9" spans="1:91" x14ac:dyDescent="0.15">
      <c r="A9" s="141" t="s">
        <v>258</v>
      </c>
      <c r="B9" s="122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2"/>
        <v>0</v>
      </c>
      <c r="AI9" s="119"/>
      <c r="AJ9" s="105">
        <v>0</v>
      </c>
      <c r="AK9" s="105">
        <f>AH9-AJ9</f>
        <v>0</v>
      </c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</row>
    <row r="10" spans="1:91" x14ac:dyDescent="0.15">
      <c r="A10" s="136" t="s">
        <v>257</v>
      </c>
      <c r="B10" s="122"/>
      <c r="C10" s="120"/>
      <c r="D10" s="120"/>
      <c r="F10" s="120"/>
      <c r="G10" s="120"/>
      <c r="H10" s="120"/>
      <c r="I10" s="120">
        <v>10075</v>
      </c>
      <c r="J10" s="120"/>
      <c r="K10" s="120">
        <v>42000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>
        <f>900000+148-202985</f>
        <v>697163</v>
      </c>
      <c r="Y10" s="120"/>
      <c r="Z10" s="120"/>
      <c r="AA10" s="120">
        <f>$AL$10/4</f>
        <v>978996.19505399978</v>
      </c>
      <c r="AB10" s="334">
        <v>250000</v>
      </c>
      <c r="AC10" s="120"/>
      <c r="AD10" s="120"/>
      <c r="AE10" s="120"/>
      <c r="AF10" s="120"/>
      <c r="AG10" s="120"/>
      <c r="AH10" s="105">
        <f t="shared" si="2"/>
        <v>1978234.1950539998</v>
      </c>
      <c r="AI10" s="119"/>
      <c r="AJ10" s="105">
        <v>4826493.0656050798</v>
      </c>
      <c r="AK10" s="105">
        <f>AH10-AJ10</f>
        <v>-2848258.87055108</v>
      </c>
      <c r="AL10" s="103">
        <f>'Exec Summary_Base Case'!G103*1.19-AH25</f>
        <v>3915984.7802159991</v>
      </c>
      <c r="AM10" s="103">
        <f>AL10/4</f>
        <v>978996.19505399978</v>
      </c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</row>
    <row r="11" spans="1:91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0</v>
      </c>
      <c r="AI11" s="119"/>
      <c r="AJ11" s="105">
        <v>0</v>
      </c>
      <c r="AK11" s="105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</row>
    <row r="12" spans="1:91" x14ac:dyDescent="0.15">
      <c r="A12" s="136" t="s">
        <v>255</v>
      </c>
      <c r="B12" s="122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70">
        <f>SUM(AG13:AG22)</f>
        <v>0</v>
      </c>
      <c r="AH12" s="105">
        <f t="shared" si="2"/>
        <v>0</v>
      </c>
      <c r="AI12" s="119"/>
      <c r="AJ12" s="105">
        <v>0</v>
      </c>
      <c r="AK12" s="105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</row>
    <row r="13" spans="1:91" hidden="1" outlineLevel="1" x14ac:dyDescent="0.15">
      <c r="A13" s="169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7">
        <f t="shared" si="2"/>
        <v>0</v>
      </c>
      <c r="AI13" s="119"/>
      <c r="AJ13" s="163">
        <v>0</v>
      </c>
      <c r="AK13" s="16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</row>
    <row r="14" spans="1:91" hidden="1" outlineLevel="1" x14ac:dyDescent="0.15">
      <c r="A14" s="169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7">
        <f t="shared" si="2"/>
        <v>0</v>
      </c>
      <c r="AI14" s="119"/>
      <c r="AJ14" s="163">
        <v>0</v>
      </c>
      <c r="AK14" s="16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</row>
    <row r="15" spans="1:91" hidden="1" outlineLevel="1" x14ac:dyDescent="0.15">
      <c r="A15" s="169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7">
        <f t="shared" si="2"/>
        <v>0</v>
      </c>
      <c r="AI15" s="119"/>
      <c r="AJ15" s="163">
        <v>0</v>
      </c>
      <c r="AK15" s="16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</row>
    <row r="16" spans="1:91" hidden="1" outlineLevel="1" x14ac:dyDescent="0.15">
      <c r="A16" s="169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7">
        <f t="shared" si="2"/>
        <v>0</v>
      </c>
      <c r="AI16" s="119"/>
      <c r="AJ16" s="163">
        <v>0</v>
      </c>
      <c r="AK16" s="16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</row>
    <row r="17" spans="1:91" hidden="1" outlineLevel="1" x14ac:dyDescent="0.15">
      <c r="A17" s="169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7">
        <f t="shared" si="2"/>
        <v>0</v>
      </c>
      <c r="AI17" s="119"/>
      <c r="AJ17" s="163">
        <v>0</v>
      </c>
      <c r="AK17" s="16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</row>
    <row r="18" spans="1:91" hidden="1" outlineLevel="1" x14ac:dyDescent="0.15">
      <c r="A18" s="169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7">
        <f t="shared" si="2"/>
        <v>0</v>
      </c>
      <c r="AI18" s="119"/>
      <c r="AJ18" s="163">
        <v>0</v>
      </c>
      <c r="AK18" s="16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</row>
    <row r="19" spans="1:91" hidden="1" outlineLevel="1" x14ac:dyDescent="0.15">
      <c r="A19" s="169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7">
        <f t="shared" si="2"/>
        <v>0</v>
      </c>
      <c r="AI19" s="119"/>
      <c r="AJ19" s="163">
        <v>0</v>
      </c>
      <c r="AK19" s="16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</row>
    <row r="20" spans="1:91" hidden="1" outlineLevel="1" x14ac:dyDescent="0.15">
      <c r="A20" s="169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7">
        <f t="shared" si="2"/>
        <v>0</v>
      </c>
      <c r="AI20" s="119"/>
      <c r="AJ20" s="163">
        <v>0</v>
      </c>
      <c r="AK20" s="16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</row>
    <row r="21" spans="1:91" hidden="1" outlineLevel="1" x14ac:dyDescent="0.15">
      <c r="A21" s="169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7">
        <f t="shared" si="2"/>
        <v>0</v>
      </c>
      <c r="AI21" s="119"/>
      <c r="AJ21" s="163">
        <v>0</v>
      </c>
      <c r="AK21" s="16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</row>
    <row r="22" spans="1:91" hidden="1" outlineLevel="1" x14ac:dyDescent="0.15">
      <c r="A22" s="169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7">
        <f t="shared" si="2"/>
        <v>0</v>
      </c>
      <c r="AI22" s="119"/>
      <c r="AJ22" s="163">
        <v>0</v>
      </c>
      <c r="AK22" s="16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</row>
    <row r="23" spans="1:91" collapsed="1" x14ac:dyDescent="0.15">
      <c r="A23" s="136" t="s">
        <v>244</v>
      </c>
      <c r="B23" s="122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0</v>
      </c>
      <c r="AI23" s="119"/>
      <c r="AJ23" s="105">
        <v>0</v>
      </c>
      <c r="AK23" s="105">
        <f>AH23-AJ23</f>
        <v>0</v>
      </c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</row>
    <row r="24" spans="1:91" x14ac:dyDescent="0.15">
      <c r="A24" s="136" t="s">
        <v>232</v>
      </c>
      <c r="B24" s="122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>
        <v>50000</v>
      </c>
      <c r="AE24" s="120"/>
      <c r="AF24" s="120"/>
      <c r="AG24" s="120"/>
      <c r="AH24" s="105">
        <f t="shared" si="2"/>
        <v>50000</v>
      </c>
      <c r="AI24" s="119"/>
      <c r="AJ24" s="105">
        <v>100000</v>
      </c>
      <c r="AK24" s="105">
        <f>AH24-AJ24</f>
        <v>-50000</v>
      </c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</row>
    <row r="25" spans="1:91" x14ac:dyDescent="0.15">
      <c r="A25" s="136" t="s">
        <v>243</v>
      </c>
      <c r="B25" s="122"/>
      <c r="C25" s="120"/>
      <c r="D25" s="120"/>
      <c r="E25" s="120"/>
      <c r="F25" s="120"/>
      <c r="G25" s="120"/>
      <c r="H25" s="120"/>
      <c r="I25" s="120">
        <v>150000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>
        <v>100000</v>
      </c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si="2"/>
        <v>250000</v>
      </c>
      <c r="AI25" s="119"/>
      <c r="AJ25" s="105">
        <v>250000</v>
      </c>
      <c r="AK25" s="105">
        <f>AH25-AJ25</f>
        <v>0</v>
      </c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</row>
    <row r="26" spans="1:91" x14ac:dyDescent="0.15">
      <c r="A26" s="136" t="s">
        <v>242</v>
      </c>
      <c r="B26" s="122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>
        <f>1800000-300000</f>
        <v>1500000</v>
      </c>
      <c r="AE26" s="120"/>
      <c r="AF26" s="120"/>
      <c r="AG26" s="120"/>
      <c r="AH26" s="105">
        <f t="shared" si="2"/>
        <v>1500000</v>
      </c>
      <c r="AI26" s="119"/>
      <c r="AJ26" s="105">
        <v>1550000</v>
      </c>
      <c r="AK26" s="105">
        <f>AH26-AJ26</f>
        <v>-50000</v>
      </c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</row>
    <row r="27" spans="1:91" x14ac:dyDescent="0.15">
      <c r="A27" s="136" t="s">
        <v>241</v>
      </c>
      <c r="B27" s="122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>
        <f>950000-100000</f>
        <v>850000</v>
      </c>
      <c r="AB27" s="120"/>
      <c r="AC27" s="120"/>
      <c r="AD27" s="120"/>
      <c r="AE27" s="120"/>
      <c r="AF27" s="120"/>
      <c r="AG27" s="120"/>
      <c r="AH27" s="105">
        <f t="shared" si="2"/>
        <v>850000</v>
      </c>
      <c r="AI27" s="119"/>
      <c r="AJ27" s="105">
        <v>850000</v>
      </c>
      <c r="AK27" s="105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</row>
    <row r="28" spans="1:91" x14ac:dyDescent="0.15">
      <c r="A28" s="136" t="s">
        <v>240</v>
      </c>
      <c r="B28" s="122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>
        <v>350000</v>
      </c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2"/>
        <v>350000</v>
      </c>
      <c r="AI28" s="119"/>
      <c r="AJ28" s="105">
        <v>350000</v>
      </c>
      <c r="AK28" s="105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</row>
    <row r="29" spans="1:91" x14ac:dyDescent="0.15">
      <c r="A29" s="136" t="s">
        <v>300</v>
      </c>
      <c r="B29" s="122"/>
      <c r="C29" s="120"/>
      <c r="E29" s="120"/>
      <c r="F29" s="120"/>
      <c r="G29" s="120"/>
      <c r="H29" s="120"/>
      <c r="I29" s="120"/>
      <c r="J29" s="120"/>
      <c r="K29" s="120"/>
      <c r="L29" s="120">
        <v>166115.03</v>
      </c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 t="shared" si="2"/>
        <v>166115.03</v>
      </c>
      <c r="AI29" s="119"/>
      <c r="AJ29" s="105">
        <v>-318831.0093025259</v>
      </c>
      <c r="AK29" s="105">
        <f>AH29-AJ29</f>
        <v>484946.03930252593</v>
      </c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</row>
    <row r="30" spans="1:91" x14ac:dyDescent="0.15">
      <c r="A30" s="136" t="s">
        <v>365</v>
      </c>
      <c r="B30" s="122"/>
      <c r="C30" s="121"/>
      <c r="D30" s="121"/>
      <c r="E30" s="121"/>
      <c r="F30" s="121"/>
      <c r="G30" s="121"/>
      <c r="H30" s="121"/>
      <c r="I30" s="121"/>
      <c r="J30" s="121"/>
      <c r="K30" s="120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0"/>
      <c r="AH30" s="105">
        <f t="shared" si="2"/>
        <v>0</v>
      </c>
      <c r="AI30" s="119"/>
      <c r="AJ30" s="105">
        <v>0</v>
      </c>
      <c r="AK30" s="105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</row>
    <row r="31" spans="1:91" ht="15" thickBot="1" x14ac:dyDescent="0.2">
      <c r="A31" s="113" t="s">
        <v>238</v>
      </c>
      <c r="B31" s="129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332">
        <f>136810-136810</f>
        <v>0</v>
      </c>
      <c r="AE31" s="135"/>
      <c r="AF31" s="135"/>
      <c r="AG31" s="134"/>
      <c r="AH31" s="128">
        <f t="shared" si="2"/>
        <v>0</v>
      </c>
      <c r="AI31" s="127"/>
      <c r="AJ31" s="128">
        <v>0</v>
      </c>
      <c r="AK31" s="128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</row>
    <row r="32" spans="1:91" x14ac:dyDescent="0.15">
      <c r="A32" s="133" t="s">
        <v>237</v>
      </c>
      <c r="B32" s="122"/>
      <c r="C32" s="119">
        <f t="shared" ref="C32:AH32" si="3">SUM(C8:C31)-C12</f>
        <v>1671108</v>
      </c>
      <c r="D32" s="119">
        <f t="shared" si="3"/>
        <v>0</v>
      </c>
      <c r="E32" s="119">
        <f t="shared" si="3"/>
        <v>0</v>
      </c>
      <c r="F32" s="119">
        <f t="shared" si="3"/>
        <v>0</v>
      </c>
      <c r="G32" s="119">
        <f t="shared" si="3"/>
        <v>0</v>
      </c>
      <c r="H32" s="119">
        <f t="shared" si="3"/>
        <v>0</v>
      </c>
      <c r="I32" s="119">
        <f t="shared" si="3"/>
        <v>160075</v>
      </c>
      <c r="J32" s="119">
        <f t="shared" si="3"/>
        <v>1000000</v>
      </c>
      <c r="K32" s="119">
        <f t="shared" si="3"/>
        <v>42000</v>
      </c>
      <c r="L32" s="119">
        <f t="shared" si="3"/>
        <v>166115.03</v>
      </c>
      <c r="M32" s="119">
        <f t="shared" si="3"/>
        <v>44000</v>
      </c>
      <c r="N32" s="119">
        <f t="shared" si="3"/>
        <v>0</v>
      </c>
      <c r="O32" s="119">
        <f t="shared" si="3"/>
        <v>0</v>
      </c>
      <c r="P32" s="119">
        <f t="shared" si="3"/>
        <v>0</v>
      </c>
      <c r="Q32" s="119">
        <f t="shared" si="3"/>
        <v>350000</v>
      </c>
      <c r="R32" s="119">
        <f t="shared" si="3"/>
        <v>0</v>
      </c>
      <c r="S32" s="119">
        <f t="shared" si="3"/>
        <v>100000</v>
      </c>
      <c r="T32" s="119">
        <f t="shared" si="3"/>
        <v>0</v>
      </c>
      <c r="U32" s="119">
        <f t="shared" si="3"/>
        <v>0</v>
      </c>
      <c r="V32" s="119">
        <f t="shared" si="3"/>
        <v>0</v>
      </c>
      <c r="W32" s="119">
        <f t="shared" si="3"/>
        <v>0</v>
      </c>
      <c r="X32" s="119">
        <f t="shared" si="3"/>
        <v>697163</v>
      </c>
      <c r="Y32" s="119">
        <f t="shared" si="3"/>
        <v>0</v>
      </c>
      <c r="Z32" s="119">
        <f t="shared" si="3"/>
        <v>0</v>
      </c>
      <c r="AA32" s="119">
        <f t="shared" si="3"/>
        <v>1828996.1950539998</v>
      </c>
      <c r="AB32" s="119">
        <f t="shared" si="3"/>
        <v>250000</v>
      </c>
      <c r="AC32" s="119">
        <f t="shared" si="3"/>
        <v>0</v>
      </c>
      <c r="AD32" s="119">
        <f t="shared" si="3"/>
        <v>1550000</v>
      </c>
      <c r="AE32" s="119">
        <f t="shared" si="3"/>
        <v>0</v>
      </c>
      <c r="AF32" s="119">
        <f t="shared" si="3"/>
        <v>0</v>
      </c>
      <c r="AG32" s="119">
        <f t="shared" si="3"/>
        <v>0</v>
      </c>
      <c r="AH32" s="160">
        <f t="shared" si="3"/>
        <v>7859457.2250540005</v>
      </c>
      <c r="AI32" s="119"/>
      <c r="AJ32" s="160">
        <v>9517928.661943553</v>
      </c>
      <c r="AK32" s="105">
        <f>AH32-AJ32</f>
        <v>-1658471.4368895525</v>
      </c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</row>
    <row r="33" spans="1:91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 t="s">
        <v>219</v>
      </c>
      <c r="AI33" s="119"/>
      <c r="AJ33" s="105" t="s">
        <v>219</v>
      </c>
      <c r="AK33" s="105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</row>
    <row r="34" spans="1:91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/>
      <c r="AI34" s="119"/>
      <c r="AJ34" s="105"/>
      <c r="AK34" s="105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</row>
    <row r="35" spans="1:91" hidden="1" x14ac:dyDescent="0.15">
      <c r="A35" s="124" t="s">
        <v>235</v>
      </c>
      <c r="B35" s="122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ref="AH35:AH42" si="4">SUM(C35:AG35)</f>
        <v>0</v>
      </c>
      <c r="AI35" s="119"/>
      <c r="AJ35" s="105">
        <v>0</v>
      </c>
      <c r="AK35" s="105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</row>
    <row r="36" spans="1:91" hidden="1" x14ac:dyDescent="0.15">
      <c r="A36" s="124" t="s">
        <v>234</v>
      </c>
      <c r="B36" s="122"/>
      <c r="C36" s="120"/>
      <c r="D36" s="120"/>
      <c r="E36" s="120"/>
      <c r="F36" s="120">
        <v>0</v>
      </c>
      <c r="G36" s="120">
        <v>0</v>
      </c>
      <c r="H36" s="120"/>
      <c r="I36" s="120"/>
      <c r="J36" s="120"/>
      <c r="K36" s="120"/>
      <c r="L36" s="120"/>
      <c r="M36" s="120">
        <v>0</v>
      </c>
      <c r="N36" s="120">
        <v>0</v>
      </c>
      <c r="O36" s="120"/>
      <c r="P36" s="120"/>
      <c r="Q36" s="120"/>
      <c r="R36" s="120"/>
      <c r="S36" s="120"/>
      <c r="T36" s="120">
        <v>0</v>
      </c>
      <c r="U36" s="120">
        <v>0</v>
      </c>
      <c r="V36" s="120"/>
      <c r="W36" s="120"/>
      <c r="X36" s="120"/>
      <c r="Y36" s="120"/>
      <c r="Z36" s="120"/>
      <c r="AA36" s="120">
        <v>0</v>
      </c>
      <c r="AB36" s="120">
        <v>0</v>
      </c>
      <c r="AC36" s="120"/>
      <c r="AD36" s="120"/>
      <c r="AE36" s="120"/>
      <c r="AF36" s="120"/>
      <c r="AG36" s="120"/>
      <c r="AH36" s="105">
        <f t="shared" si="4"/>
        <v>0</v>
      </c>
      <c r="AI36" s="119"/>
      <c r="AJ36" s="105">
        <v>0</v>
      </c>
      <c r="AK36" s="105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</row>
    <row r="37" spans="1:91" hidden="1" x14ac:dyDescent="0.15">
      <c r="A37" s="124" t="s">
        <v>233</v>
      </c>
      <c r="B37" s="122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4"/>
        <v>0</v>
      </c>
      <c r="AI37" s="119"/>
      <c r="AJ37" s="105">
        <v>0</v>
      </c>
      <c r="AK37" s="105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</row>
    <row r="38" spans="1:91" x14ac:dyDescent="0.15">
      <c r="A38" s="124" t="s">
        <v>232</v>
      </c>
      <c r="B38" s="122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4"/>
        <v>0</v>
      </c>
      <c r="AI38" s="119"/>
      <c r="AJ38" s="105">
        <v>0</v>
      </c>
      <c r="AK38" s="105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</row>
    <row r="39" spans="1:91" x14ac:dyDescent="0.15">
      <c r="A39" s="124" t="s">
        <v>231</v>
      </c>
      <c r="B39" s="122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4"/>
        <v>0</v>
      </c>
      <c r="AI39" s="119"/>
      <c r="AJ39" s="105">
        <v>0</v>
      </c>
      <c r="AK39" s="105"/>
      <c r="AN39" s="103">
        <v>30</v>
      </c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</row>
    <row r="40" spans="1:91" x14ac:dyDescent="0.15">
      <c r="A40" s="124" t="s">
        <v>230</v>
      </c>
      <c r="B40" s="122"/>
      <c r="C40" s="131">
        <f>+$AN$42*3</f>
        <v>392908.93631899997</v>
      </c>
      <c r="D40" s="131">
        <f>+$AN$42</f>
        <v>130969.64543966667</v>
      </c>
      <c r="E40" s="131">
        <f>+$AN$42+500000</f>
        <v>630969.6454396667</v>
      </c>
      <c r="F40" s="131">
        <f>+$AN$42+500000</f>
        <v>630969.6454396667</v>
      </c>
      <c r="G40" s="131"/>
      <c r="H40" s="131"/>
      <c r="I40" s="131">
        <f>+$AN$42+41789</f>
        <v>172758.64543966667</v>
      </c>
      <c r="J40" s="131">
        <f>+$AN$42*3</f>
        <v>392908.93631899997</v>
      </c>
      <c r="K40" s="131">
        <f>+$AN$42</f>
        <v>130969.64543966667</v>
      </c>
      <c r="L40" s="131">
        <f>+$AN$42</f>
        <v>130969.64543966667</v>
      </c>
      <c r="M40" s="131">
        <f>+$AN$42</f>
        <v>130969.64543966667</v>
      </c>
      <c r="N40" s="131"/>
      <c r="O40" s="131"/>
      <c r="P40" s="131">
        <f>+$AN$42</f>
        <v>130969.64543966667</v>
      </c>
      <c r="Q40" s="131">
        <f>+$AN$42*3</f>
        <v>392908.93631899997</v>
      </c>
      <c r="R40" s="131">
        <f>+$AN$42</f>
        <v>130969.64543966667</v>
      </c>
      <c r="S40" s="131">
        <f>+$AN$42</f>
        <v>130969.64543966667</v>
      </c>
      <c r="T40" s="131">
        <f>+$AN$42</f>
        <v>130969.64543966667</v>
      </c>
      <c r="U40" s="131"/>
      <c r="V40" s="131"/>
      <c r="W40" s="131">
        <f>+$AN$42</f>
        <v>130969.64543966667</v>
      </c>
      <c r="X40" s="131">
        <f>+$AN$42*3</f>
        <v>392908.93631899997</v>
      </c>
      <c r="Y40" s="131">
        <f>+$AN$42+333544</f>
        <v>464513.6454396667</v>
      </c>
      <c r="Z40" s="131">
        <f>+$AN$42+394425-330544</f>
        <v>194850.6454396667</v>
      </c>
      <c r="AA40" s="131">
        <f>+$AN$42+250000+200000</f>
        <v>580969.6454396667</v>
      </c>
      <c r="AB40" s="131"/>
      <c r="AC40" s="131"/>
      <c r="AD40" s="131">
        <f>+$AN$42*3</f>
        <v>392908.93631899997</v>
      </c>
      <c r="AE40" s="131">
        <f>+$AN$42+300000</f>
        <v>430969.6454396667</v>
      </c>
      <c r="AF40" s="131">
        <f>+$AN$42</f>
        <v>130969.64543966667</v>
      </c>
      <c r="AG40" s="131"/>
      <c r="AH40" s="105">
        <f t="shared" si="4"/>
        <v>6380242.6540693343</v>
      </c>
      <c r="AI40" s="119"/>
      <c r="AJ40" s="105">
        <v>4156379.5494380267</v>
      </c>
      <c r="AK40" s="105">
        <f>AH40-AJ40</f>
        <v>2223863.1046313075</v>
      </c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</row>
    <row r="41" spans="1:91" ht="15" thickBot="1" x14ac:dyDescent="0.2">
      <c r="A41" s="130" t="s">
        <v>229</v>
      </c>
      <c r="B41" s="129"/>
      <c r="C41" s="127">
        <f>SUM(AN43:$AN$45)+200000</f>
        <v>339763.76662383333</v>
      </c>
      <c r="D41" s="127">
        <f>SUM($AN43:AO$45)</f>
        <v>139764.2666238333</v>
      </c>
      <c r="E41" s="127">
        <f>SUM($AN43:AP$45)</f>
        <v>139764.2666238333</v>
      </c>
      <c r="F41" s="127">
        <f>SUM($AN43:AQ$45)</f>
        <v>139764.2666238333</v>
      </c>
      <c r="G41" s="127"/>
      <c r="H41" s="127"/>
      <c r="I41" s="127">
        <f>SUM($AN43:AT$45)*3</f>
        <v>419292.79987149988</v>
      </c>
      <c r="J41" s="127">
        <f>SUM($AN43:AU$45)</f>
        <v>139764.2666238333</v>
      </c>
      <c r="K41" s="127">
        <f>SUM($AN43:AV$45)</f>
        <v>139764.2666238333</v>
      </c>
      <c r="L41" s="127">
        <f>SUM($AN43:AW$45)</f>
        <v>139764.2666238333</v>
      </c>
      <c r="M41" s="127">
        <f>SUM($AN43:AX$45)</f>
        <v>139764.2666238333</v>
      </c>
      <c r="N41" s="127"/>
      <c r="O41" s="127"/>
      <c r="P41" s="127">
        <f>SUM($AN43:BA$45)*3</f>
        <v>419292.79987149988</v>
      </c>
      <c r="Q41" s="127">
        <f>SUM($AN43:BB$45)</f>
        <v>139764.2666238333</v>
      </c>
      <c r="R41" s="127">
        <f>SUM($AN43:BC$45)</f>
        <v>139764.2666238333</v>
      </c>
      <c r="S41" s="127">
        <f>SUM($AN43:BD$45)</f>
        <v>139764.2666238333</v>
      </c>
      <c r="T41" s="127">
        <f>SUM($AN43:BE$45)</f>
        <v>139764.2666238333</v>
      </c>
      <c r="U41" s="127"/>
      <c r="V41" s="127"/>
      <c r="W41" s="127">
        <f>SUM($AN43:BH$45)*3</f>
        <v>419292.79987149988</v>
      </c>
      <c r="X41" s="127">
        <f>SUM($AN43:BI$45)</f>
        <v>139764.2666238333</v>
      </c>
      <c r="Y41" s="127">
        <f>SUM($AN43:BJ$45)</f>
        <v>139764.2666238333</v>
      </c>
      <c r="Z41" s="127">
        <f>SUM($AN43:BK$45)</f>
        <v>139764.2666238333</v>
      </c>
      <c r="AA41" s="127">
        <f>SUM($AN43:BL$45)</f>
        <v>139764.2666238333</v>
      </c>
      <c r="AB41" s="127"/>
      <c r="AC41" s="127"/>
      <c r="AD41" s="127">
        <f>SUM($AN43:BO$45)</f>
        <v>139764.2666238333</v>
      </c>
      <c r="AE41" s="127">
        <f>SUM($AN43:BP$45)</f>
        <v>139764.2666238333</v>
      </c>
      <c r="AF41" s="127">
        <f>SUM($AN43:BQ$45)*3</f>
        <v>419292.79987149988</v>
      </c>
      <c r="AG41" s="134"/>
      <c r="AH41" s="128">
        <f t="shared" si="4"/>
        <v>4392927.4987149974</v>
      </c>
      <c r="AI41" s="127"/>
      <c r="AJ41" s="128">
        <v>4361872.502937749</v>
      </c>
      <c r="AK41" s="105">
        <f>AH41-AJ41</f>
        <v>31054.995777248405</v>
      </c>
      <c r="AL41" s="103" t="s">
        <v>228</v>
      </c>
      <c r="AM41" s="103">
        <f>'Exec Summary_Base Case'!G98*70%*1.07+'Exec Summary_Base Case'!G98*30%*1.19</f>
        <v>7658178.7263799999</v>
      </c>
      <c r="AN41" s="103">
        <f>+AM41/$AN$39</f>
        <v>255272.62421266668</v>
      </c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</row>
    <row r="42" spans="1:91" x14ac:dyDescent="0.15">
      <c r="A42" s="124" t="s">
        <v>227</v>
      </c>
      <c r="B42" s="122"/>
      <c r="C42" s="119">
        <f t="shared" ref="C42:AG42" si="5">SUM(C35:C41)</f>
        <v>732672.7029428333</v>
      </c>
      <c r="D42" s="119">
        <f t="shared" si="5"/>
        <v>270733.91206349997</v>
      </c>
      <c r="E42" s="119">
        <f t="shared" si="5"/>
        <v>770733.91206350003</v>
      </c>
      <c r="F42" s="119">
        <f t="shared" si="5"/>
        <v>770733.91206350003</v>
      </c>
      <c r="G42" s="119">
        <f t="shared" si="5"/>
        <v>0</v>
      </c>
      <c r="H42" s="119">
        <f t="shared" si="5"/>
        <v>0</v>
      </c>
      <c r="I42" s="119">
        <f t="shared" si="5"/>
        <v>592051.44531116658</v>
      </c>
      <c r="J42" s="119">
        <f t="shared" si="5"/>
        <v>532673.2029428333</v>
      </c>
      <c r="K42" s="119">
        <f t="shared" si="5"/>
        <v>270733.91206349997</v>
      </c>
      <c r="L42" s="119">
        <f t="shared" si="5"/>
        <v>270733.91206349997</v>
      </c>
      <c r="M42" s="119">
        <f t="shared" si="5"/>
        <v>270733.91206349997</v>
      </c>
      <c r="N42" s="119">
        <f t="shared" si="5"/>
        <v>0</v>
      </c>
      <c r="O42" s="119">
        <f t="shared" si="5"/>
        <v>0</v>
      </c>
      <c r="P42" s="119">
        <f t="shared" si="5"/>
        <v>550262.44531116658</v>
      </c>
      <c r="Q42" s="119">
        <f t="shared" si="5"/>
        <v>532673.2029428333</v>
      </c>
      <c r="R42" s="119">
        <f t="shared" si="5"/>
        <v>270733.91206349997</v>
      </c>
      <c r="S42" s="119">
        <f t="shared" si="5"/>
        <v>270733.91206349997</v>
      </c>
      <c r="T42" s="119">
        <f t="shared" si="5"/>
        <v>270733.91206349997</v>
      </c>
      <c r="U42" s="119">
        <f t="shared" si="5"/>
        <v>0</v>
      </c>
      <c r="V42" s="119">
        <f t="shared" si="5"/>
        <v>0</v>
      </c>
      <c r="W42" s="119">
        <f t="shared" si="5"/>
        <v>550262.44531116658</v>
      </c>
      <c r="X42" s="119">
        <f t="shared" si="5"/>
        <v>532673.2029428333</v>
      </c>
      <c r="Y42" s="119">
        <f t="shared" si="5"/>
        <v>604277.91206350003</v>
      </c>
      <c r="Z42" s="119">
        <f t="shared" si="5"/>
        <v>334614.91206350003</v>
      </c>
      <c r="AA42" s="119">
        <f t="shared" si="5"/>
        <v>720733.91206350003</v>
      </c>
      <c r="AB42" s="119">
        <f t="shared" si="5"/>
        <v>0</v>
      </c>
      <c r="AC42" s="119">
        <f t="shared" si="5"/>
        <v>0</v>
      </c>
      <c r="AD42" s="119">
        <f t="shared" si="5"/>
        <v>532673.2029428333</v>
      </c>
      <c r="AE42" s="119">
        <f t="shared" si="5"/>
        <v>570733.91206350003</v>
      </c>
      <c r="AF42" s="119">
        <f t="shared" si="5"/>
        <v>550262.44531116658</v>
      </c>
      <c r="AG42" s="120">
        <f t="shared" si="5"/>
        <v>0</v>
      </c>
      <c r="AH42" s="105">
        <f t="shared" si="4"/>
        <v>10773170.152784331</v>
      </c>
      <c r="AI42" s="119"/>
      <c r="AJ42" s="105">
        <v>8518252.0523757748</v>
      </c>
      <c r="AK42" s="232">
        <f>AH42-AJ42</f>
        <v>2254918.1004085559</v>
      </c>
      <c r="AL42" s="103" t="s">
        <v>226</v>
      </c>
      <c r="AM42" s="263">
        <f>AM41*AO42+100000</f>
        <v>3929089.3631899999</v>
      </c>
      <c r="AN42" s="103">
        <f>+AM42/$AN$39</f>
        <v>130969.64543966667</v>
      </c>
      <c r="AO42" s="174">
        <v>0.5</v>
      </c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</row>
    <row r="43" spans="1:91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 t="s">
        <v>219</v>
      </c>
      <c r="AI43" s="119"/>
      <c r="AJ43" s="105" t="s">
        <v>219</v>
      </c>
      <c r="AK43" s="105"/>
      <c r="AL43" s="103" t="s">
        <v>225</v>
      </c>
      <c r="AM43" s="103">
        <f>AM41*AO43</f>
        <v>1914544.681595</v>
      </c>
      <c r="AN43" s="103">
        <f>+AM43/$AN$39</f>
        <v>63818.156053166669</v>
      </c>
      <c r="AO43" s="174">
        <v>0.25</v>
      </c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</row>
    <row r="44" spans="1:91" x14ac:dyDescent="0.15">
      <c r="A44" s="124" t="s">
        <v>224</v>
      </c>
      <c r="B44" s="122"/>
      <c r="C44" s="119">
        <f t="shared" ref="C44:AH44" si="6">C42-C32</f>
        <v>-938435.2970571667</v>
      </c>
      <c r="D44" s="119">
        <f t="shared" si="6"/>
        <v>270733.91206349997</v>
      </c>
      <c r="E44" s="119">
        <f t="shared" si="6"/>
        <v>770733.91206350003</v>
      </c>
      <c r="F44" s="119">
        <f t="shared" si="6"/>
        <v>770733.91206350003</v>
      </c>
      <c r="G44" s="119">
        <f t="shared" si="6"/>
        <v>0</v>
      </c>
      <c r="H44" s="119">
        <f t="shared" si="6"/>
        <v>0</v>
      </c>
      <c r="I44" s="119">
        <f t="shared" si="6"/>
        <v>431976.44531116658</v>
      </c>
      <c r="J44" s="119">
        <f t="shared" si="6"/>
        <v>-467326.7970571667</v>
      </c>
      <c r="K44" s="119">
        <f t="shared" si="6"/>
        <v>228733.91206349997</v>
      </c>
      <c r="L44" s="119">
        <f t="shared" si="6"/>
        <v>104618.88206349997</v>
      </c>
      <c r="M44" s="119">
        <f t="shared" si="6"/>
        <v>226733.91206349997</v>
      </c>
      <c r="N44" s="119">
        <f t="shared" si="6"/>
        <v>0</v>
      </c>
      <c r="O44" s="119">
        <f t="shared" si="6"/>
        <v>0</v>
      </c>
      <c r="P44" s="119">
        <f t="shared" si="6"/>
        <v>550262.44531116658</v>
      </c>
      <c r="Q44" s="119">
        <f t="shared" si="6"/>
        <v>182673.2029428333</v>
      </c>
      <c r="R44" s="119">
        <f t="shared" si="6"/>
        <v>270733.91206349997</v>
      </c>
      <c r="S44" s="119">
        <f t="shared" si="6"/>
        <v>170733.91206349997</v>
      </c>
      <c r="T44" s="119">
        <f t="shared" si="6"/>
        <v>270733.91206349997</v>
      </c>
      <c r="U44" s="119">
        <f t="shared" si="6"/>
        <v>0</v>
      </c>
      <c r="V44" s="119">
        <f t="shared" si="6"/>
        <v>0</v>
      </c>
      <c r="W44" s="119">
        <f t="shared" si="6"/>
        <v>550262.44531116658</v>
      </c>
      <c r="X44" s="119">
        <f t="shared" si="6"/>
        <v>-164489.7970571667</v>
      </c>
      <c r="Y44" s="119">
        <f t="shared" si="6"/>
        <v>604277.91206350003</v>
      </c>
      <c r="Z44" s="119">
        <f t="shared" si="6"/>
        <v>334614.91206350003</v>
      </c>
      <c r="AA44" s="119">
        <f t="shared" si="6"/>
        <v>-1108262.2829904999</v>
      </c>
      <c r="AB44" s="119">
        <f t="shared" si="6"/>
        <v>-250000</v>
      </c>
      <c r="AC44" s="119">
        <f t="shared" si="6"/>
        <v>0</v>
      </c>
      <c r="AD44" s="119">
        <f t="shared" si="6"/>
        <v>-1017326.7970571667</v>
      </c>
      <c r="AE44" s="119">
        <f t="shared" si="6"/>
        <v>570733.91206350003</v>
      </c>
      <c r="AF44" s="120">
        <f t="shared" si="6"/>
        <v>550262.44531116658</v>
      </c>
      <c r="AG44" s="120">
        <f t="shared" si="6"/>
        <v>0</v>
      </c>
      <c r="AH44" s="125">
        <f t="shared" si="6"/>
        <v>2913712.9277303303</v>
      </c>
      <c r="AI44" s="119"/>
      <c r="AJ44" s="125">
        <v>-999676.60956777819</v>
      </c>
      <c r="AK44" s="105">
        <f>AH44-AJ44</f>
        <v>3913389.5372981085</v>
      </c>
      <c r="AL44" s="103" t="s">
        <v>319</v>
      </c>
      <c r="AM44" s="103">
        <f>März!AN41*März!AP44</f>
        <v>1332739.7645974997</v>
      </c>
      <c r="AN44" s="103">
        <f>+AM44/$AN$39</f>
        <v>44424.658819916658</v>
      </c>
      <c r="AO44" s="175">
        <v>0.125</v>
      </c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</row>
    <row r="45" spans="1:91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 t="s">
        <v>219</v>
      </c>
      <c r="AI45" s="119"/>
      <c r="AJ45" s="105" t="s">
        <v>219</v>
      </c>
      <c r="AK45" s="105"/>
      <c r="AL45" s="103" t="s">
        <v>320</v>
      </c>
      <c r="AM45" s="103">
        <f>Februar!AN41*März!AP45</f>
        <v>945628.55252249981</v>
      </c>
      <c r="AN45" s="103">
        <f>+AM45/$AN$39</f>
        <v>31520.951750749995</v>
      </c>
      <c r="AO45" s="175">
        <v>0.125</v>
      </c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</row>
    <row r="46" spans="1:91" x14ac:dyDescent="0.15">
      <c r="A46" s="124" t="s">
        <v>223</v>
      </c>
      <c r="B46" s="122"/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>SUM(C46:AG46)</f>
        <v>0</v>
      </c>
      <c r="AI46" s="119"/>
      <c r="AJ46" s="105">
        <v>0</v>
      </c>
      <c r="AK46" s="105"/>
      <c r="AM46" s="103">
        <f>SUM(AM43:AM45)</f>
        <v>4192912.9987149993</v>
      </c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</row>
    <row r="47" spans="1:91" x14ac:dyDescent="0.15">
      <c r="A47" s="124" t="s">
        <v>219</v>
      </c>
      <c r="B47" s="122"/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0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>SUM(C47:AG47)</f>
        <v>0</v>
      </c>
      <c r="AI47" s="119"/>
      <c r="AJ47" s="105">
        <v>0</v>
      </c>
      <c r="AK47" s="105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</row>
    <row r="48" spans="1:91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>SUM(C48:AG48)</f>
        <v>0</v>
      </c>
      <c r="AI48" s="119"/>
      <c r="AJ48" s="105">
        <v>0</v>
      </c>
      <c r="AK48" s="105"/>
      <c r="AM48" s="103">
        <f>+AM42+AM43+Mai!AM44+Juni!AM45</f>
        <v>7768740.9710799996</v>
      </c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</row>
    <row r="49" spans="1:41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105" t="s">
        <v>219</v>
      </c>
      <c r="AK49" s="105"/>
    </row>
    <row r="50" spans="1:41" s="105" customFormat="1" ht="12.75" customHeight="1" thickBot="1" x14ac:dyDescent="0.2">
      <c r="A50" s="159" t="s">
        <v>299</v>
      </c>
      <c r="B50" s="158">
        <f t="shared" ref="B50:AH50" si="7">B6+B44-B46-B47-B48</f>
        <v>8081456.306072792</v>
      </c>
      <c r="C50" s="157">
        <f t="shared" si="7"/>
        <v>7143021.0090156253</v>
      </c>
      <c r="D50" s="157">
        <f t="shared" si="7"/>
        <v>7413754.9210791253</v>
      </c>
      <c r="E50" s="157">
        <f t="shared" si="7"/>
        <v>8184488.8331426252</v>
      </c>
      <c r="F50" s="157">
        <f t="shared" si="7"/>
        <v>8955222.7452061251</v>
      </c>
      <c r="G50" s="157">
        <f t="shared" si="7"/>
        <v>8955222.7452061251</v>
      </c>
      <c r="H50" s="157">
        <f t="shared" si="7"/>
        <v>8955222.7452061251</v>
      </c>
      <c r="I50" s="157">
        <f t="shared" si="7"/>
        <v>9387199.1905172914</v>
      </c>
      <c r="J50" s="333">
        <f t="shared" si="7"/>
        <v>8919872.3934601247</v>
      </c>
      <c r="K50" s="333">
        <f t="shared" si="7"/>
        <v>9148606.3055236246</v>
      </c>
      <c r="L50" s="157">
        <f t="shared" si="7"/>
        <v>9253225.1875871252</v>
      </c>
      <c r="M50" s="157">
        <f t="shared" si="7"/>
        <v>9479959.0996506251</v>
      </c>
      <c r="N50" s="157">
        <f t="shared" si="7"/>
        <v>9479959.0996506251</v>
      </c>
      <c r="O50" s="157">
        <f t="shared" si="7"/>
        <v>9479959.0996506251</v>
      </c>
      <c r="P50" s="157">
        <f t="shared" si="7"/>
        <v>10030221.544961791</v>
      </c>
      <c r="Q50" s="157">
        <f t="shared" si="7"/>
        <v>10212894.747904625</v>
      </c>
      <c r="R50" s="157">
        <f t="shared" si="7"/>
        <v>10483628.659968125</v>
      </c>
      <c r="S50" s="157">
        <f t="shared" si="7"/>
        <v>10654362.572031625</v>
      </c>
      <c r="T50" s="157">
        <f t="shared" si="7"/>
        <v>10925096.484095125</v>
      </c>
      <c r="U50" s="157">
        <f t="shared" si="7"/>
        <v>10925096.484095125</v>
      </c>
      <c r="V50" s="157">
        <f t="shared" si="7"/>
        <v>10925096.484095125</v>
      </c>
      <c r="W50" s="157">
        <f t="shared" si="7"/>
        <v>11475358.929406291</v>
      </c>
      <c r="X50" s="157">
        <f t="shared" si="7"/>
        <v>11310869.132349124</v>
      </c>
      <c r="Y50" s="333">
        <f t="shared" si="7"/>
        <v>11915147.044412624</v>
      </c>
      <c r="Z50" s="333">
        <f t="shared" si="7"/>
        <v>12249761.956476124</v>
      </c>
      <c r="AA50" s="157">
        <f t="shared" si="7"/>
        <v>11141499.673485624</v>
      </c>
      <c r="AB50" s="157">
        <f t="shared" si="7"/>
        <v>10891499.673485624</v>
      </c>
      <c r="AC50" s="157">
        <f t="shared" si="7"/>
        <v>10891499.673485624</v>
      </c>
      <c r="AD50" s="157">
        <f t="shared" si="7"/>
        <v>9874172.876428457</v>
      </c>
      <c r="AE50" s="157">
        <f t="shared" si="7"/>
        <v>10444906.788491957</v>
      </c>
      <c r="AF50" s="168">
        <f t="shared" si="7"/>
        <v>10995169.233803123</v>
      </c>
      <c r="AG50" s="168">
        <f t="shared" si="7"/>
        <v>10995169.233803123</v>
      </c>
      <c r="AH50" s="167">
        <f t="shared" si="7"/>
        <v>10995169.233803123</v>
      </c>
      <c r="AI50" s="157" t="s">
        <v>219</v>
      </c>
      <c r="AJ50" s="115">
        <v>4526136.1668738332</v>
      </c>
      <c r="AK50" s="231">
        <f>AH50-AJ50</f>
        <v>6469033.0669292901</v>
      </c>
    </row>
    <row r="51" spans="1:41" ht="16" thickTop="1" thickBot="1" x14ac:dyDescent="0.2">
      <c r="A51" s="146" t="s">
        <v>221</v>
      </c>
      <c r="B51" s="156">
        <f>+B5</f>
        <v>0</v>
      </c>
      <c r="C51" s="110">
        <f t="shared" ref="C51:AH51" si="8">+C50-C52</f>
        <v>7143021.0090156253</v>
      </c>
      <c r="D51" s="110">
        <f t="shared" si="8"/>
        <v>7413754.9210791253</v>
      </c>
      <c r="E51" s="110">
        <f t="shared" si="8"/>
        <v>8184488.8331426252</v>
      </c>
      <c r="F51" s="110">
        <f t="shared" si="8"/>
        <v>8955222.7452061251</v>
      </c>
      <c r="G51" s="110">
        <f t="shared" si="8"/>
        <v>8955222.7452061251</v>
      </c>
      <c r="H51" s="110">
        <f t="shared" si="8"/>
        <v>8955222.7452061251</v>
      </c>
      <c r="I51" s="110">
        <f t="shared" si="8"/>
        <v>9387199.1905172914</v>
      </c>
      <c r="J51" s="110">
        <f t="shared" si="8"/>
        <v>8919872.3934601247</v>
      </c>
      <c r="K51" s="110">
        <f t="shared" si="8"/>
        <v>9148606.3055236246</v>
      </c>
      <c r="L51" s="110">
        <f t="shared" si="8"/>
        <v>9253225.1875871252</v>
      </c>
      <c r="M51" s="110">
        <f t="shared" si="8"/>
        <v>9479959.0996506251</v>
      </c>
      <c r="N51" s="110">
        <f t="shared" si="8"/>
        <v>9479959.0996506251</v>
      </c>
      <c r="O51" s="110">
        <f t="shared" si="8"/>
        <v>9479959.0996506251</v>
      </c>
      <c r="P51" s="110">
        <f t="shared" si="8"/>
        <v>10030221.544961791</v>
      </c>
      <c r="Q51" s="110">
        <f t="shared" si="8"/>
        <v>10212894.747904625</v>
      </c>
      <c r="R51" s="110">
        <f t="shared" si="8"/>
        <v>10483628.659968125</v>
      </c>
      <c r="S51" s="110">
        <f t="shared" si="8"/>
        <v>10654362.572031625</v>
      </c>
      <c r="T51" s="110">
        <f t="shared" si="8"/>
        <v>10925096.484095125</v>
      </c>
      <c r="U51" s="110">
        <f t="shared" si="8"/>
        <v>10925096.484095125</v>
      </c>
      <c r="V51" s="110">
        <f t="shared" si="8"/>
        <v>10925096.484095125</v>
      </c>
      <c r="W51" s="110">
        <f t="shared" si="8"/>
        <v>11475358.929406291</v>
      </c>
      <c r="X51" s="110">
        <f t="shared" si="8"/>
        <v>11310869.132349124</v>
      </c>
      <c r="Y51" s="110">
        <f t="shared" si="8"/>
        <v>11915147.044412624</v>
      </c>
      <c r="Z51" s="110">
        <f t="shared" si="8"/>
        <v>12249761.956476124</v>
      </c>
      <c r="AA51" s="110">
        <f t="shared" si="8"/>
        <v>11141499.673485624</v>
      </c>
      <c r="AB51" s="110">
        <f t="shared" si="8"/>
        <v>10891499.673485624</v>
      </c>
      <c r="AC51" s="110">
        <f t="shared" si="8"/>
        <v>10891499.673485624</v>
      </c>
      <c r="AD51" s="110">
        <f t="shared" si="8"/>
        <v>9874172.876428457</v>
      </c>
      <c r="AE51" s="110">
        <f t="shared" si="8"/>
        <v>10444906.788491957</v>
      </c>
      <c r="AF51" s="110">
        <f t="shared" si="8"/>
        <v>10995169.233803123</v>
      </c>
      <c r="AG51" s="110">
        <f t="shared" si="8"/>
        <v>10995169.233803123</v>
      </c>
      <c r="AH51" s="110">
        <f t="shared" si="8"/>
        <v>10995169.233803123</v>
      </c>
      <c r="AI51" s="123"/>
      <c r="AJ51" s="110"/>
      <c r="AK51" s="110"/>
    </row>
    <row r="52" spans="1:41" x14ac:dyDescent="0.15">
      <c r="A52" s="149" t="s">
        <v>220</v>
      </c>
      <c r="B52" s="111">
        <f>B50-B51</f>
        <v>8081456.306072792</v>
      </c>
      <c r="C52" s="110">
        <f>+März!AG52</f>
        <v>0</v>
      </c>
      <c r="D52" s="110">
        <f t="shared" ref="D52:AH52" si="9">+C52</f>
        <v>0</v>
      </c>
      <c r="E52" s="110">
        <f t="shared" si="9"/>
        <v>0</v>
      </c>
      <c r="F52" s="110">
        <f t="shared" si="9"/>
        <v>0</v>
      </c>
      <c r="G52" s="110">
        <f t="shared" si="9"/>
        <v>0</v>
      </c>
      <c r="H52" s="110">
        <f t="shared" si="9"/>
        <v>0</v>
      </c>
      <c r="I52" s="110">
        <f t="shared" si="9"/>
        <v>0</v>
      </c>
      <c r="J52" s="110">
        <f t="shared" si="9"/>
        <v>0</v>
      </c>
      <c r="K52" s="110">
        <f t="shared" si="9"/>
        <v>0</v>
      </c>
      <c r="L52" s="110">
        <f t="shared" si="9"/>
        <v>0</v>
      </c>
      <c r="M52" s="110">
        <f t="shared" si="9"/>
        <v>0</v>
      </c>
      <c r="N52" s="110">
        <f t="shared" si="9"/>
        <v>0</v>
      </c>
      <c r="O52" s="110">
        <f t="shared" si="9"/>
        <v>0</v>
      </c>
      <c r="P52" s="110">
        <f t="shared" si="9"/>
        <v>0</v>
      </c>
      <c r="Q52" s="110">
        <f t="shared" si="9"/>
        <v>0</v>
      </c>
      <c r="R52" s="110">
        <f t="shared" si="9"/>
        <v>0</v>
      </c>
      <c r="S52" s="110">
        <f t="shared" si="9"/>
        <v>0</v>
      </c>
      <c r="T52" s="110">
        <f t="shared" si="9"/>
        <v>0</v>
      </c>
      <c r="U52" s="110">
        <f t="shared" si="9"/>
        <v>0</v>
      </c>
      <c r="V52" s="110">
        <f t="shared" si="9"/>
        <v>0</v>
      </c>
      <c r="W52" s="110">
        <f t="shared" si="9"/>
        <v>0</v>
      </c>
      <c r="X52" s="110">
        <f t="shared" si="9"/>
        <v>0</v>
      </c>
      <c r="Y52" s="110">
        <f t="shared" si="9"/>
        <v>0</v>
      </c>
      <c r="Z52" s="110">
        <f t="shared" si="9"/>
        <v>0</v>
      </c>
      <c r="AA52" s="110">
        <f t="shared" si="9"/>
        <v>0</v>
      </c>
      <c r="AB52" s="110">
        <f t="shared" si="9"/>
        <v>0</v>
      </c>
      <c r="AC52" s="110">
        <f t="shared" si="9"/>
        <v>0</v>
      </c>
      <c r="AD52" s="110">
        <f t="shared" si="9"/>
        <v>0</v>
      </c>
      <c r="AE52" s="110">
        <f t="shared" si="9"/>
        <v>0</v>
      </c>
      <c r="AF52" s="110">
        <f t="shared" si="9"/>
        <v>0</v>
      </c>
      <c r="AG52" s="110">
        <f t="shared" si="9"/>
        <v>0</v>
      </c>
      <c r="AH52" s="110">
        <f t="shared" si="9"/>
        <v>0</v>
      </c>
      <c r="AI52" s="110"/>
      <c r="AJ52" s="110"/>
      <c r="AK52" s="110"/>
    </row>
    <row r="54" spans="1:41" x14ac:dyDescent="0.15">
      <c r="T54" s="103" t="s">
        <v>524</v>
      </c>
      <c r="V54" s="104" t="s">
        <v>525</v>
      </c>
      <c r="Z54" s="104" t="s">
        <v>526</v>
      </c>
      <c r="AD54" s="104" t="s">
        <v>527</v>
      </c>
      <c r="AH54" s="104" t="s">
        <v>528</v>
      </c>
      <c r="AK54" s="103" t="s">
        <v>530</v>
      </c>
      <c r="AM54" s="104" t="s">
        <v>529</v>
      </c>
      <c r="AO54" s="103">
        <f>12249762-Z50</f>
        <v>4.3523875996470451E-2</v>
      </c>
    </row>
    <row r="55" spans="1:41" x14ac:dyDescent="0.15">
      <c r="C55" s="104" t="s">
        <v>519</v>
      </c>
      <c r="G55" s="104" t="s">
        <v>520</v>
      </c>
      <c r="K55" s="104" t="s">
        <v>521</v>
      </c>
      <c r="O55" s="104" t="s">
        <v>522</v>
      </c>
      <c r="U55" s="104" t="s">
        <v>523</v>
      </c>
    </row>
    <row r="56" spans="1:41" x14ac:dyDescent="0.15">
      <c r="A56" s="106"/>
      <c r="T56" s="103" t="s">
        <v>451</v>
      </c>
      <c r="U56" s="103">
        <v>855746</v>
      </c>
      <c r="AK56" s="103" t="s">
        <v>451</v>
      </c>
      <c r="AL56" s="103">
        <v>921521</v>
      </c>
    </row>
    <row r="57" spans="1:41" x14ac:dyDescent="0.15">
      <c r="A57" s="106"/>
      <c r="T57" s="103" t="s">
        <v>453</v>
      </c>
      <c r="U57" s="103">
        <v>1126430</v>
      </c>
      <c r="AK57" s="103" t="s">
        <v>453</v>
      </c>
      <c r="AL57" s="103">
        <v>1589763</v>
      </c>
    </row>
    <row r="58" spans="1:41" x14ac:dyDescent="0.15">
      <c r="A58" s="106"/>
      <c r="T58" s="103" t="s">
        <v>454</v>
      </c>
      <c r="U58" s="103">
        <v>588773</v>
      </c>
      <c r="AK58" s="103" t="s">
        <v>454</v>
      </c>
      <c r="AL58" s="103">
        <v>756611</v>
      </c>
    </row>
    <row r="59" spans="1:41" x14ac:dyDescent="0.15">
      <c r="A59" s="106"/>
      <c r="T59" s="103" t="s">
        <v>455</v>
      </c>
      <c r="U59" s="103">
        <v>970474</v>
      </c>
      <c r="AK59" s="103" t="s">
        <v>455</v>
      </c>
      <c r="AL59" s="103">
        <v>1086915</v>
      </c>
    </row>
    <row r="60" spans="1:41" x14ac:dyDescent="0.15">
      <c r="A60" s="106"/>
      <c r="T60" s="103" t="s">
        <v>163</v>
      </c>
      <c r="U60" s="103">
        <v>532012</v>
      </c>
      <c r="AK60" s="103" t="s">
        <v>163</v>
      </c>
      <c r="AL60" s="103">
        <v>829340</v>
      </c>
    </row>
    <row r="61" spans="1:41" x14ac:dyDescent="0.15">
      <c r="A61" s="106"/>
      <c r="T61" s="103" t="s">
        <v>456</v>
      </c>
      <c r="U61" s="103">
        <v>542005</v>
      </c>
      <c r="AK61" s="103" t="s">
        <v>456</v>
      </c>
      <c r="AL61" s="103">
        <v>616883</v>
      </c>
    </row>
    <row r="62" spans="1:41" x14ac:dyDescent="0.15">
      <c r="A62" s="106"/>
      <c r="T62" s="103" t="s">
        <v>130</v>
      </c>
      <c r="U62" s="103">
        <v>838971</v>
      </c>
      <c r="AK62" s="103" t="s">
        <v>130</v>
      </c>
      <c r="AL62" s="103">
        <v>1290936</v>
      </c>
    </row>
    <row r="63" spans="1:41" x14ac:dyDescent="0.15">
      <c r="A63" s="106"/>
      <c r="T63" s="103" t="s">
        <v>134</v>
      </c>
      <c r="U63" s="103">
        <v>654966</v>
      </c>
      <c r="AK63" s="103" t="s">
        <v>134</v>
      </c>
      <c r="AL63" s="103">
        <v>622016</v>
      </c>
    </row>
    <row r="64" spans="1:41" x14ac:dyDescent="0.15">
      <c r="A64" s="108"/>
      <c r="B64" s="105"/>
      <c r="T64" s="103" t="s">
        <v>457</v>
      </c>
      <c r="U64" s="103">
        <v>288935</v>
      </c>
      <c r="AK64" s="103" t="s">
        <v>457</v>
      </c>
      <c r="AL64" s="103">
        <v>520772</v>
      </c>
    </row>
    <row r="65" spans="1:38" x14ac:dyDescent="0.15">
      <c r="A65" s="107"/>
      <c r="T65" s="103" t="s">
        <v>458</v>
      </c>
      <c r="U65" s="103">
        <v>426790</v>
      </c>
      <c r="AK65" s="103" t="s">
        <v>458</v>
      </c>
      <c r="AL65" s="103">
        <v>505615</v>
      </c>
    </row>
    <row r="66" spans="1:38" x14ac:dyDescent="0.15">
      <c r="A66" s="106"/>
      <c r="T66" s="103" t="s">
        <v>169</v>
      </c>
      <c r="U66" s="103">
        <v>416383</v>
      </c>
      <c r="AK66" s="103" t="s">
        <v>169</v>
      </c>
      <c r="AL66" s="103">
        <v>431853</v>
      </c>
    </row>
    <row r="67" spans="1:38" x14ac:dyDescent="0.15">
      <c r="A67" s="106"/>
      <c r="T67" s="103" t="s">
        <v>162</v>
      </c>
      <c r="U67" s="103">
        <v>1382479</v>
      </c>
      <c r="AK67" s="103" t="s">
        <v>162</v>
      </c>
      <c r="AL67" s="103">
        <v>1841859</v>
      </c>
    </row>
    <row r="68" spans="1:38" x14ac:dyDescent="0.15">
      <c r="A68" s="106"/>
      <c r="T68" s="103" t="s">
        <v>171</v>
      </c>
      <c r="U68" s="103">
        <v>410446</v>
      </c>
      <c r="AK68" s="103" t="s">
        <v>171</v>
      </c>
      <c r="AL68" s="103">
        <v>744897</v>
      </c>
    </row>
    <row r="69" spans="1:38" x14ac:dyDescent="0.15">
      <c r="A69" s="106"/>
      <c r="T69" s="103" t="s">
        <v>170</v>
      </c>
      <c r="U69" s="103">
        <v>86197</v>
      </c>
      <c r="AK69" s="103" t="s">
        <v>170</v>
      </c>
      <c r="AL69" s="103">
        <v>156166</v>
      </c>
    </row>
    <row r="70" spans="1:38" x14ac:dyDescent="0.15">
      <c r="A70" s="106"/>
    </row>
    <row r="71" spans="1:38" x14ac:dyDescent="0.15">
      <c r="A71" s="106"/>
      <c r="U71" s="103">
        <f>SUM(U56:U70)</f>
        <v>9120607</v>
      </c>
      <c r="AL71" s="103">
        <f>SUM(AL56:AL70)</f>
        <v>11915147</v>
      </c>
    </row>
    <row r="72" spans="1:38" x14ac:dyDescent="0.15">
      <c r="A72" s="106"/>
      <c r="B72" s="105"/>
      <c r="U72" s="103">
        <f>+U71-J50</f>
        <v>200734.60653987527</v>
      </c>
      <c r="AL72" s="103">
        <f>+AL71-Y50</f>
        <v>-4.4412624090909958E-2</v>
      </c>
    </row>
    <row r="77" spans="1:38" x14ac:dyDescent="0.15">
      <c r="B77" s="104"/>
    </row>
    <row r="78" spans="1:38" x14ac:dyDescent="0.15">
      <c r="A78" s="104"/>
    </row>
    <row r="79" spans="1:38" x14ac:dyDescent="0.15">
      <c r="A79" s="104"/>
    </row>
    <row r="83" spans="1:34" x14ac:dyDescent="0.15">
      <c r="A83" s="104"/>
    </row>
    <row r="95" spans="1:34" x14ac:dyDescent="0.15">
      <c r="B95" s="103" t="s">
        <v>579</v>
      </c>
      <c r="C95" s="314" t="s">
        <v>559</v>
      </c>
      <c r="D95" s="314" t="s">
        <v>560</v>
      </c>
      <c r="E95" s="314" t="s">
        <v>561</v>
      </c>
      <c r="F95" s="314" t="s">
        <v>562</v>
      </c>
      <c r="G95" s="314"/>
      <c r="H95" s="314"/>
      <c r="I95" s="314" t="s">
        <v>563</v>
      </c>
      <c r="J95" s="314" t="s">
        <v>564</v>
      </c>
      <c r="K95" s="314" t="s">
        <v>565</v>
      </c>
      <c r="L95" s="314" t="s">
        <v>566</v>
      </c>
      <c r="M95" s="314" t="s">
        <v>567</v>
      </c>
      <c r="N95" s="314"/>
      <c r="O95" s="314"/>
      <c r="P95" s="314" t="s">
        <v>568</v>
      </c>
      <c r="Q95" s="314" t="s">
        <v>569</v>
      </c>
      <c r="R95" s="314" t="s">
        <v>570</v>
      </c>
      <c r="S95" s="314" t="s">
        <v>571</v>
      </c>
      <c r="T95" s="314"/>
      <c r="U95" s="314"/>
      <c r="V95" s="314"/>
      <c r="W95" s="314"/>
      <c r="X95" s="314" t="s">
        <v>572</v>
      </c>
      <c r="Y95" s="314" t="s">
        <v>573</v>
      </c>
      <c r="Z95" s="314" t="s">
        <v>574</v>
      </c>
      <c r="AA95" s="314" t="s">
        <v>575</v>
      </c>
      <c r="AB95" s="314"/>
      <c r="AC95" s="314"/>
      <c r="AD95" s="314" t="s">
        <v>576</v>
      </c>
      <c r="AE95" s="314" t="s">
        <v>577</v>
      </c>
      <c r="AF95" s="314" t="s">
        <v>578</v>
      </c>
    </row>
    <row r="96" spans="1:34" x14ac:dyDescent="0.15">
      <c r="B96" s="103" t="s">
        <v>580</v>
      </c>
      <c r="C96" s="314">
        <v>-1795098.54</v>
      </c>
      <c r="D96" s="314"/>
      <c r="E96" s="314">
        <v>-1799.62</v>
      </c>
      <c r="F96" s="314"/>
      <c r="G96" s="314"/>
      <c r="H96" s="314"/>
      <c r="I96" s="314">
        <v>-364037.96999999991</v>
      </c>
      <c r="J96" s="314">
        <v>-993282.39999999991</v>
      </c>
      <c r="K96" s="314">
        <v>-166115.03</v>
      </c>
      <c r="L96" s="314">
        <v>-569248.70000000007</v>
      </c>
      <c r="M96" s="314">
        <v>-658662.55999999994</v>
      </c>
      <c r="N96" s="314"/>
      <c r="O96" s="314"/>
      <c r="P96" s="314">
        <v>-179580</v>
      </c>
      <c r="Q96" s="314">
        <v>-589114.38000000012</v>
      </c>
      <c r="R96" s="314">
        <v>-52927.63</v>
      </c>
      <c r="S96" s="314">
        <v>-44151.64</v>
      </c>
      <c r="T96" s="314"/>
      <c r="U96" s="314"/>
      <c r="V96" s="314"/>
      <c r="W96" s="314"/>
      <c r="X96" s="314"/>
      <c r="Y96" s="314">
        <v>-661591.61</v>
      </c>
      <c r="Z96" s="314">
        <v>-1547383.42</v>
      </c>
      <c r="AA96" s="314">
        <v>-336176.69</v>
      </c>
      <c r="AB96" s="314"/>
      <c r="AC96" s="314"/>
      <c r="AD96" s="314"/>
      <c r="AE96" s="314">
        <v>-797412.04999999993</v>
      </c>
      <c r="AF96" s="314">
        <v>-293205.88000000006</v>
      </c>
      <c r="AH96" s="103">
        <f>SUM(C96:AG96)</f>
        <v>-9049788.120000001</v>
      </c>
    </row>
    <row r="97" spans="2:36" x14ac:dyDescent="0.15">
      <c r="B97" s="103" t="s">
        <v>581</v>
      </c>
      <c r="C97" s="314">
        <v>312039.74</v>
      </c>
      <c r="D97" s="314">
        <v>304567.83000000013</v>
      </c>
      <c r="E97" s="314">
        <v>816392.49999999953</v>
      </c>
      <c r="F97" s="314">
        <v>989577.90000000037</v>
      </c>
      <c r="G97" s="314"/>
      <c r="H97" s="314"/>
      <c r="I97" s="314">
        <v>670682.35999999975</v>
      </c>
      <c r="J97" s="314">
        <v>522353.00000000006</v>
      </c>
      <c r="K97" s="314">
        <v>205798.9599999999</v>
      </c>
      <c r="L97" s="314">
        <v>648873.69000000006</v>
      </c>
      <c r="M97" s="314">
        <v>818170.64999999991</v>
      </c>
      <c r="N97" s="314"/>
      <c r="O97" s="314"/>
      <c r="P97" s="314">
        <v>753760.5700000003</v>
      </c>
      <c r="Q97" s="314">
        <v>835567.86</v>
      </c>
      <c r="R97" s="314">
        <v>448724.72000000009</v>
      </c>
      <c r="S97" s="314">
        <v>478935.68000000017</v>
      </c>
      <c r="T97" s="314"/>
      <c r="U97" s="314"/>
      <c r="V97" s="314"/>
      <c r="W97" s="314"/>
      <c r="X97" s="314">
        <v>1143429.6399999992</v>
      </c>
      <c r="Y97" s="314">
        <v>346072.29999999987</v>
      </c>
      <c r="Z97" s="314">
        <v>446988.77000000031</v>
      </c>
      <c r="AA97" s="314">
        <v>272529.56000000006</v>
      </c>
      <c r="AB97" s="314"/>
      <c r="AC97" s="314"/>
      <c r="AD97" s="314">
        <v>516169.42</v>
      </c>
      <c r="AE97" s="314">
        <v>266345.55000000005</v>
      </c>
      <c r="AF97" s="314">
        <v>466291.83000000013</v>
      </c>
      <c r="AH97" s="103">
        <f>SUM(C97:AG97)</f>
        <v>11263272.529999999</v>
      </c>
      <c r="AI97" s="103">
        <f>+AH97+AH96</f>
        <v>2213484.4099999983</v>
      </c>
    </row>
    <row r="99" spans="2:36" x14ac:dyDescent="0.15">
      <c r="B99" s="103" t="s">
        <v>591</v>
      </c>
      <c r="C99" s="103">
        <f>+C32</f>
        <v>1671108</v>
      </c>
      <c r="D99" s="103">
        <f t="shared" ref="D99:AG99" si="10">+D32</f>
        <v>0</v>
      </c>
      <c r="E99" s="103">
        <f t="shared" si="10"/>
        <v>0</v>
      </c>
      <c r="F99" s="103">
        <f t="shared" si="10"/>
        <v>0</v>
      </c>
      <c r="G99" s="103">
        <f t="shared" si="10"/>
        <v>0</v>
      </c>
      <c r="H99" s="103">
        <f t="shared" si="10"/>
        <v>0</v>
      </c>
      <c r="I99" s="103">
        <f t="shared" si="10"/>
        <v>160075</v>
      </c>
      <c r="J99" s="103">
        <f t="shared" si="10"/>
        <v>1000000</v>
      </c>
      <c r="K99" s="103">
        <f t="shared" si="10"/>
        <v>42000</v>
      </c>
      <c r="L99" s="103">
        <f t="shared" si="10"/>
        <v>166115.03</v>
      </c>
      <c r="M99" s="103">
        <f t="shared" si="10"/>
        <v>44000</v>
      </c>
      <c r="N99" s="103">
        <f t="shared" si="10"/>
        <v>0</v>
      </c>
      <c r="O99" s="103">
        <f t="shared" si="10"/>
        <v>0</v>
      </c>
      <c r="P99" s="103">
        <f t="shared" si="10"/>
        <v>0</v>
      </c>
      <c r="Q99" s="103">
        <f t="shared" si="10"/>
        <v>350000</v>
      </c>
      <c r="R99" s="103">
        <f t="shared" si="10"/>
        <v>0</v>
      </c>
      <c r="S99" s="103">
        <f t="shared" si="10"/>
        <v>100000</v>
      </c>
      <c r="T99" s="103">
        <f t="shared" si="10"/>
        <v>0</v>
      </c>
      <c r="U99" s="103">
        <f t="shared" si="10"/>
        <v>0</v>
      </c>
      <c r="V99" s="103">
        <f t="shared" si="10"/>
        <v>0</v>
      </c>
      <c r="W99" s="103">
        <f t="shared" si="10"/>
        <v>0</v>
      </c>
      <c r="X99" s="103">
        <f t="shared" si="10"/>
        <v>697163</v>
      </c>
      <c r="Y99" s="103">
        <f t="shared" si="10"/>
        <v>0</v>
      </c>
      <c r="Z99" s="103">
        <f t="shared" si="10"/>
        <v>0</v>
      </c>
      <c r="AA99" s="103">
        <f t="shared" si="10"/>
        <v>1828996.1950539998</v>
      </c>
      <c r="AB99" s="103">
        <f t="shared" si="10"/>
        <v>250000</v>
      </c>
      <c r="AC99" s="103">
        <f t="shared" si="10"/>
        <v>0</v>
      </c>
      <c r="AD99" s="103">
        <f t="shared" si="10"/>
        <v>1550000</v>
      </c>
      <c r="AE99" s="103">
        <f t="shared" si="10"/>
        <v>0</v>
      </c>
      <c r="AF99" s="103">
        <f t="shared" si="10"/>
        <v>0</v>
      </c>
      <c r="AG99" s="103">
        <f t="shared" si="10"/>
        <v>0</v>
      </c>
      <c r="AH99" s="103">
        <f>SUM(C99:AG99)</f>
        <v>7859457.2250539996</v>
      </c>
    </row>
    <row r="100" spans="2:36" x14ac:dyDescent="0.15">
      <c r="B100" s="103" t="s">
        <v>592</v>
      </c>
      <c r="C100" s="103">
        <f>+C42</f>
        <v>732672.7029428333</v>
      </c>
      <c r="D100" s="103">
        <f t="shared" ref="D100:AG100" si="11">+D42</f>
        <v>270733.91206349997</v>
      </c>
      <c r="E100" s="103">
        <f t="shared" si="11"/>
        <v>770733.91206350003</v>
      </c>
      <c r="F100" s="103">
        <f t="shared" si="11"/>
        <v>770733.91206350003</v>
      </c>
      <c r="G100" s="103">
        <f t="shared" si="11"/>
        <v>0</v>
      </c>
      <c r="H100" s="103">
        <f t="shared" si="11"/>
        <v>0</v>
      </c>
      <c r="I100" s="103">
        <f t="shared" si="11"/>
        <v>592051.44531116658</v>
      </c>
      <c r="J100" s="103">
        <f t="shared" si="11"/>
        <v>532673.2029428333</v>
      </c>
      <c r="K100" s="103">
        <f t="shared" si="11"/>
        <v>270733.91206349997</v>
      </c>
      <c r="L100" s="103">
        <f t="shared" si="11"/>
        <v>270733.91206349997</v>
      </c>
      <c r="M100" s="103">
        <f t="shared" si="11"/>
        <v>270733.91206349997</v>
      </c>
      <c r="N100" s="103">
        <f t="shared" si="11"/>
        <v>0</v>
      </c>
      <c r="O100" s="103">
        <f t="shared" si="11"/>
        <v>0</v>
      </c>
      <c r="P100" s="103">
        <f t="shared" si="11"/>
        <v>550262.44531116658</v>
      </c>
      <c r="Q100" s="103">
        <f t="shared" si="11"/>
        <v>532673.2029428333</v>
      </c>
      <c r="R100" s="103">
        <f t="shared" si="11"/>
        <v>270733.91206349997</v>
      </c>
      <c r="S100" s="103">
        <f t="shared" si="11"/>
        <v>270733.91206349997</v>
      </c>
      <c r="T100" s="103">
        <f t="shared" si="11"/>
        <v>270733.91206349997</v>
      </c>
      <c r="U100" s="103">
        <f t="shared" si="11"/>
        <v>0</v>
      </c>
      <c r="V100" s="103">
        <f t="shared" si="11"/>
        <v>0</v>
      </c>
      <c r="W100" s="103">
        <f t="shared" si="11"/>
        <v>550262.44531116658</v>
      </c>
      <c r="X100" s="103">
        <f t="shared" si="11"/>
        <v>532673.2029428333</v>
      </c>
      <c r="Y100" s="103">
        <f t="shared" si="11"/>
        <v>604277.91206350003</v>
      </c>
      <c r="Z100" s="103">
        <f t="shared" si="11"/>
        <v>334614.91206350003</v>
      </c>
      <c r="AA100" s="103">
        <f t="shared" si="11"/>
        <v>720733.91206350003</v>
      </c>
      <c r="AB100" s="103">
        <f t="shared" si="11"/>
        <v>0</v>
      </c>
      <c r="AC100" s="103">
        <f t="shared" si="11"/>
        <v>0</v>
      </c>
      <c r="AD100" s="103">
        <f t="shared" si="11"/>
        <v>532673.2029428333</v>
      </c>
      <c r="AE100" s="103">
        <f t="shared" si="11"/>
        <v>570733.91206350003</v>
      </c>
      <c r="AF100" s="103">
        <f t="shared" si="11"/>
        <v>550262.44531116658</v>
      </c>
      <c r="AG100" s="103">
        <f t="shared" si="11"/>
        <v>0</v>
      </c>
      <c r="AH100" s="103">
        <f>SUM(C100:AG100)</f>
        <v>10773170.152784331</v>
      </c>
      <c r="AI100" s="103">
        <f>+AH100-AH99</f>
        <v>2913712.9277303312</v>
      </c>
      <c r="AJ100" s="103">
        <f>+AI100-AI97+März!AI100-März!AI97</f>
        <v>-18683.545856871642</v>
      </c>
    </row>
    <row r="102" spans="2:36" x14ac:dyDescent="0.15">
      <c r="B102" s="103" t="s">
        <v>593</v>
      </c>
      <c r="C102" s="103">
        <f>+C99+C96</f>
        <v>-123990.54000000004</v>
      </c>
      <c r="D102" s="103">
        <f>+C102+D99+D96</f>
        <v>-123990.54000000004</v>
      </c>
      <c r="E102" s="103">
        <f t="shared" ref="E102:AF102" si="12">+D102+E99+E96</f>
        <v>-125790.16000000003</v>
      </c>
      <c r="F102" s="103">
        <f t="shared" si="12"/>
        <v>-125790.16000000003</v>
      </c>
      <c r="G102" s="103">
        <f t="shared" si="12"/>
        <v>-125790.16000000003</v>
      </c>
      <c r="H102" s="103">
        <f t="shared" si="12"/>
        <v>-125790.16000000003</v>
      </c>
      <c r="I102" s="103">
        <f t="shared" si="12"/>
        <v>-329753.12999999995</v>
      </c>
      <c r="J102" s="103">
        <f t="shared" si="12"/>
        <v>-323035.5299999998</v>
      </c>
      <c r="K102" s="103">
        <f t="shared" si="12"/>
        <v>-447150.55999999982</v>
      </c>
      <c r="L102" s="103">
        <f t="shared" si="12"/>
        <v>-850284.22999999986</v>
      </c>
      <c r="M102" s="103">
        <f t="shared" si="12"/>
        <v>-1464946.7899999998</v>
      </c>
      <c r="N102" s="103">
        <f t="shared" si="12"/>
        <v>-1464946.7899999998</v>
      </c>
      <c r="O102" s="103">
        <f t="shared" si="12"/>
        <v>-1464946.7899999998</v>
      </c>
      <c r="P102" s="103">
        <f t="shared" si="12"/>
        <v>-1644526.7899999998</v>
      </c>
      <c r="Q102" s="103">
        <f t="shared" si="12"/>
        <v>-1883641.17</v>
      </c>
      <c r="R102" s="103">
        <f t="shared" si="12"/>
        <v>-1936568.7999999998</v>
      </c>
      <c r="S102" s="103">
        <f t="shared" si="12"/>
        <v>-1880720.4399999997</v>
      </c>
      <c r="T102" s="103">
        <f t="shared" si="12"/>
        <v>-1880720.4399999997</v>
      </c>
      <c r="U102" s="103">
        <f t="shared" si="12"/>
        <v>-1880720.4399999997</v>
      </c>
      <c r="V102" s="103">
        <f t="shared" si="12"/>
        <v>-1880720.4399999997</v>
      </c>
      <c r="W102" s="103">
        <f t="shared" si="12"/>
        <v>-1880720.4399999997</v>
      </c>
      <c r="X102" s="103">
        <f t="shared" si="12"/>
        <v>-1183557.4399999997</v>
      </c>
      <c r="Y102" s="103">
        <f t="shared" si="12"/>
        <v>-1845149.0499999998</v>
      </c>
      <c r="Z102" s="103">
        <f t="shared" si="12"/>
        <v>-3392532.4699999997</v>
      </c>
      <c r="AA102" s="103">
        <f t="shared" si="12"/>
        <v>-1899712.9649459999</v>
      </c>
      <c r="AB102" s="103">
        <f t="shared" si="12"/>
        <v>-1649712.9649459999</v>
      </c>
      <c r="AC102" s="103">
        <f t="shared" si="12"/>
        <v>-1649712.9649459999</v>
      </c>
      <c r="AD102" s="103">
        <f t="shared" si="12"/>
        <v>-99712.964945999905</v>
      </c>
      <c r="AE102" s="103">
        <f t="shared" si="12"/>
        <v>-897125.01494599984</v>
      </c>
      <c r="AF102" s="103">
        <f t="shared" si="12"/>
        <v>-1190330.8949459998</v>
      </c>
    </row>
    <row r="103" spans="2:36" x14ac:dyDescent="0.15">
      <c r="B103" s="103" t="s">
        <v>594</v>
      </c>
      <c r="C103" s="103">
        <f>+C100-C97</f>
        <v>420632.96294283331</v>
      </c>
      <c r="D103" s="103">
        <f>+C103+D100-D97</f>
        <v>386799.04500633309</v>
      </c>
      <c r="E103" s="103">
        <f t="shared" ref="E103:AF103" si="13">+D103+E100-E97</f>
        <v>341140.45706983353</v>
      </c>
      <c r="F103" s="103">
        <f t="shared" si="13"/>
        <v>122296.4691333333</v>
      </c>
      <c r="G103" s="103">
        <f t="shared" si="13"/>
        <v>122296.4691333333</v>
      </c>
      <c r="H103" s="103">
        <f t="shared" si="13"/>
        <v>122296.4691333333</v>
      </c>
      <c r="I103" s="103">
        <f t="shared" si="13"/>
        <v>43665.554444500129</v>
      </c>
      <c r="J103" s="103">
        <f t="shared" si="13"/>
        <v>53985.757387333375</v>
      </c>
      <c r="K103" s="103">
        <f t="shared" si="13"/>
        <v>118920.70945083344</v>
      </c>
      <c r="L103" s="103">
        <f t="shared" si="13"/>
        <v>-259219.06848566665</v>
      </c>
      <c r="M103" s="103">
        <f t="shared" si="13"/>
        <v>-806655.80642216653</v>
      </c>
      <c r="N103" s="103">
        <f t="shared" si="13"/>
        <v>-806655.80642216653</v>
      </c>
      <c r="O103" s="103">
        <f t="shared" si="13"/>
        <v>-806655.80642216653</v>
      </c>
      <c r="P103" s="103">
        <f t="shared" si="13"/>
        <v>-1010153.9311110002</v>
      </c>
      <c r="Q103" s="103">
        <f t="shared" si="13"/>
        <v>-1313048.588168167</v>
      </c>
      <c r="R103" s="103">
        <f t="shared" si="13"/>
        <v>-1491039.3961046673</v>
      </c>
      <c r="S103" s="103">
        <f t="shared" si="13"/>
        <v>-1699241.1640411676</v>
      </c>
      <c r="T103" s="103">
        <f t="shared" si="13"/>
        <v>-1428507.2519776677</v>
      </c>
      <c r="U103" s="103">
        <f t="shared" si="13"/>
        <v>-1428507.2519776677</v>
      </c>
      <c r="V103" s="103">
        <f t="shared" si="13"/>
        <v>-1428507.2519776677</v>
      </c>
      <c r="W103" s="103">
        <f t="shared" si="13"/>
        <v>-878244.8066665011</v>
      </c>
      <c r="X103" s="103">
        <f t="shared" si="13"/>
        <v>-1489001.243723667</v>
      </c>
      <c r="Y103" s="103">
        <f t="shared" si="13"/>
        <v>-1230795.6316601669</v>
      </c>
      <c r="Z103" s="103">
        <f t="shared" si="13"/>
        <v>-1343169.4895966672</v>
      </c>
      <c r="AA103" s="103">
        <f t="shared" si="13"/>
        <v>-894965.13753316726</v>
      </c>
      <c r="AB103" s="103">
        <f t="shared" si="13"/>
        <v>-894965.13753316726</v>
      </c>
      <c r="AC103" s="103">
        <f t="shared" si="13"/>
        <v>-894965.13753316726</v>
      </c>
      <c r="AD103" s="103">
        <f t="shared" si="13"/>
        <v>-878461.354590334</v>
      </c>
      <c r="AE103" s="103">
        <f t="shared" si="13"/>
        <v>-574072.99252683402</v>
      </c>
      <c r="AF103" s="103">
        <f t="shared" si="13"/>
        <v>-490102.37721566757</v>
      </c>
      <c r="AI103" s="103">
        <f>+AF103-AF102-AI100+AI97</f>
        <v>0</v>
      </c>
    </row>
  </sheetData>
  <pageMargins left="0.23622047244094491" right="0.23622047244094491" top="0.55118110236220474" bottom="0.15748031496062992" header="0.31496062992125984" footer="0.11811023622047245"/>
  <pageSetup paperSize="9" scale="50" fitToWidth="2" fitToHeight="2" orientation="landscape" r:id="rId1"/>
  <headerFooter alignWithMargins="0">
    <oddHeader>&amp;F</oddHeader>
    <oddFooter>Seite &amp;P von &amp;N</oddFooter>
  </headerFooter>
  <colBreaks count="1" manualBreakCount="1">
    <brk id="17" max="61" man="1"/>
  </col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2AC2-87CA-4B48-ADE9-F6819AF226F6}">
  <sheetPr>
    <pageSetUpPr fitToPage="1"/>
  </sheetPr>
  <dimension ref="A1:CM103"/>
  <sheetViews>
    <sheetView zoomScale="70" zoomScaleNormal="70" workbookViewId="0">
      <pane xSplit="2" ySplit="6" topLeftCell="T7" activePane="bottomRight" state="frozen"/>
      <selection activeCell="B27" sqref="B27"/>
      <selection pane="topRight" activeCell="B27" sqref="B27"/>
      <selection pane="bottomLeft" activeCell="B27" sqref="B27"/>
      <selection pane="bottomRight" activeCell="AF50" sqref="AF50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39.5" style="103" bestFit="1" customWidth="1"/>
    <col min="3" max="3" width="12.6640625" style="103" customWidth="1"/>
    <col min="4" max="4" width="12" style="103" customWidth="1"/>
    <col min="5" max="5" width="11.6640625" style="103" customWidth="1"/>
    <col min="6" max="6" width="12.5" style="103" customWidth="1"/>
    <col min="7" max="7" width="12.6640625" style="103" customWidth="1"/>
    <col min="8" max="10" width="12.83203125" style="103" customWidth="1"/>
    <col min="11" max="11" width="12.33203125" style="103" customWidth="1"/>
    <col min="12" max="12" width="12" style="103" bestFit="1" customWidth="1"/>
    <col min="13" max="14" width="11.5" style="103"/>
    <col min="15" max="30" width="13" style="103" customWidth="1"/>
    <col min="31" max="31" width="12.6640625" style="103" customWidth="1"/>
    <col min="32" max="32" width="11.5" style="103"/>
    <col min="33" max="33" width="12" style="103" bestFit="1" customWidth="1"/>
    <col min="34" max="34" width="14.83203125" style="103" bestFit="1" customWidth="1"/>
    <col min="35" max="35" width="12.5" style="103" bestFit="1" customWidth="1"/>
    <col min="36" max="36" width="15.1640625" style="103" bestFit="1" customWidth="1"/>
    <col min="37" max="37" width="11.33203125" style="103" bestFit="1" customWidth="1"/>
    <col min="38" max="38" width="11.5" style="103"/>
    <col min="39" max="39" width="13" style="103" customWidth="1"/>
    <col min="40" max="16384" width="11.5" style="103"/>
  </cols>
  <sheetData>
    <row r="1" spans="1:91" x14ac:dyDescent="0.15">
      <c r="A1" s="103" t="s">
        <v>312</v>
      </c>
      <c r="B1" s="103">
        <v>19</v>
      </c>
      <c r="C1" s="103" t="s">
        <v>311</v>
      </c>
      <c r="K1" s="103" t="s">
        <v>310</v>
      </c>
      <c r="V1" s="103" t="s">
        <v>309</v>
      </c>
      <c r="AF1" s="103" t="s">
        <v>308</v>
      </c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</row>
    <row r="2" spans="1:91" x14ac:dyDescent="0.15">
      <c r="A2" s="154"/>
      <c r="B2" s="154" t="s">
        <v>297</v>
      </c>
      <c r="C2" s="155">
        <v>45778</v>
      </c>
      <c r="D2" s="155">
        <v>45779</v>
      </c>
      <c r="E2" s="155">
        <v>45780</v>
      </c>
      <c r="F2" s="155">
        <v>45781</v>
      </c>
      <c r="G2" s="155">
        <v>45782</v>
      </c>
      <c r="H2" s="155">
        <v>45783</v>
      </c>
      <c r="I2" s="155">
        <v>45784</v>
      </c>
      <c r="J2" s="155">
        <v>45785</v>
      </c>
      <c r="K2" s="155">
        <v>45786</v>
      </c>
      <c r="L2" s="155">
        <v>45787</v>
      </c>
      <c r="M2" s="155">
        <v>45788</v>
      </c>
      <c r="N2" s="155">
        <v>45789</v>
      </c>
      <c r="O2" s="155">
        <v>45790</v>
      </c>
      <c r="P2" s="155">
        <v>45791</v>
      </c>
      <c r="Q2" s="155">
        <v>45792</v>
      </c>
      <c r="R2" s="155">
        <v>45793</v>
      </c>
      <c r="S2" s="155">
        <v>45794</v>
      </c>
      <c r="T2" s="155">
        <v>45795</v>
      </c>
      <c r="U2" s="155">
        <v>45796</v>
      </c>
      <c r="V2" s="155">
        <v>45797</v>
      </c>
      <c r="W2" s="155">
        <v>45798</v>
      </c>
      <c r="X2" s="155">
        <v>45799</v>
      </c>
      <c r="Y2" s="155">
        <v>45800</v>
      </c>
      <c r="Z2" s="155">
        <v>45801</v>
      </c>
      <c r="AA2" s="155">
        <v>45802</v>
      </c>
      <c r="AB2" s="155">
        <v>45803</v>
      </c>
      <c r="AC2" s="155">
        <v>45804</v>
      </c>
      <c r="AD2" s="155">
        <v>45805</v>
      </c>
      <c r="AE2" s="155">
        <v>45806</v>
      </c>
      <c r="AF2" s="155">
        <v>45807</v>
      </c>
      <c r="AG2" s="155">
        <v>45808</v>
      </c>
      <c r="AH2" s="154" t="s">
        <v>297</v>
      </c>
      <c r="AI2" s="154" t="s">
        <v>219</v>
      </c>
      <c r="AJ2" s="154" t="s">
        <v>375</v>
      </c>
      <c r="AK2" s="154" t="s">
        <v>376</v>
      </c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</row>
    <row r="3" spans="1:91" x14ac:dyDescent="0.15">
      <c r="A3" s="153" t="s">
        <v>296</v>
      </c>
      <c r="B3" s="151"/>
      <c r="C3" s="153" t="s">
        <v>295</v>
      </c>
      <c r="D3" s="153" t="s">
        <v>294</v>
      </c>
      <c r="E3" s="153" t="s">
        <v>293</v>
      </c>
      <c r="F3" s="153" t="s">
        <v>292</v>
      </c>
      <c r="G3" s="153" t="s">
        <v>291</v>
      </c>
      <c r="H3" s="153" t="s">
        <v>290</v>
      </c>
      <c r="I3" s="153" t="s">
        <v>289</v>
      </c>
      <c r="J3" s="153" t="s">
        <v>288</v>
      </c>
      <c r="K3" s="153" t="s">
        <v>287</v>
      </c>
      <c r="L3" s="153" t="s">
        <v>286</v>
      </c>
      <c r="M3" s="153" t="s">
        <v>285</v>
      </c>
      <c r="N3" s="153" t="s">
        <v>284</v>
      </c>
      <c r="O3" s="153" t="s">
        <v>283</v>
      </c>
      <c r="P3" s="153" t="s">
        <v>282</v>
      </c>
      <c r="Q3" s="153" t="s">
        <v>281</v>
      </c>
      <c r="R3" s="153" t="s">
        <v>280</v>
      </c>
      <c r="S3" s="153" t="s">
        <v>279</v>
      </c>
      <c r="T3" s="153" t="s">
        <v>278</v>
      </c>
      <c r="U3" s="153" t="s">
        <v>277</v>
      </c>
      <c r="V3" s="153" t="s">
        <v>276</v>
      </c>
      <c r="W3" s="153" t="s">
        <v>275</v>
      </c>
      <c r="X3" s="153" t="s">
        <v>274</v>
      </c>
      <c r="Y3" s="153" t="s">
        <v>273</v>
      </c>
      <c r="Z3" s="153" t="s">
        <v>272</v>
      </c>
      <c r="AA3" s="153" t="s">
        <v>271</v>
      </c>
      <c r="AB3" s="153" t="s">
        <v>270</v>
      </c>
      <c r="AC3" s="153" t="s">
        <v>269</v>
      </c>
      <c r="AD3" s="153" t="s">
        <v>268</v>
      </c>
      <c r="AE3" s="153" t="s">
        <v>267</v>
      </c>
      <c r="AF3" s="153" t="s">
        <v>266</v>
      </c>
      <c r="AG3" s="153" t="s">
        <v>265</v>
      </c>
      <c r="AH3" s="152" t="s">
        <v>264</v>
      </c>
      <c r="AI3" s="151"/>
      <c r="AJ3" s="152"/>
      <c r="AK3" s="152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</row>
    <row r="4" spans="1:91" x14ac:dyDescent="0.15">
      <c r="A4" s="112" t="s">
        <v>263</v>
      </c>
      <c r="B4" s="150">
        <f>+April!AF50</f>
        <v>10995169.233803123</v>
      </c>
      <c r="C4" s="149">
        <f>B4</f>
        <v>10995169.233803123</v>
      </c>
      <c r="D4" s="149">
        <f t="shared" ref="D4:AG4" si="0">+C50</f>
        <v>11342629.882606832</v>
      </c>
      <c r="E4" s="149">
        <f t="shared" si="0"/>
        <v>9752035.0314105414</v>
      </c>
      <c r="F4" s="149">
        <f t="shared" si="0"/>
        <v>9752035.0314105414</v>
      </c>
      <c r="G4" s="149">
        <f t="shared" si="0"/>
        <v>9752035.0314105414</v>
      </c>
      <c r="H4" s="149">
        <f t="shared" si="0"/>
        <v>9262535.0550367758</v>
      </c>
      <c r="I4" s="149">
        <f t="shared" si="0"/>
        <v>9917618.9245940335</v>
      </c>
      <c r="J4" s="149">
        <f t="shared" si="0"/>
        <v>9741080.0733977426</v>
      </c>
      <c r="K4" s="149">
        <f t="shared" si="0"/>
        <v>9988541.2222014517</v>
      </c>
      <c r="L4" s="149">
        <f t="shared" si="0"/>
        <v>9901138.9478590321</v>
      </c>
      <c r="M4" s="149">
        <f t="shared" si="0"/>
        <v>9901138.9478590321</v>
      </c>
      <c r="N4" s="149">
        <f t="shared" si="0"/>
        <v>9901138.9478590321</v>
      </c>
      <c r="O4" s="149">
        <f t="shared" si="0"/>
        <v>10248600.096662741</v>
      </c>
      <c r="P4" s="149">
        <f t="shared" si="0"/>
        <v>10560846.966219999</v>
      </c>
      <c r="Q4" s="149">
        <f t="shared" si="0"/>
        <v>10758308.115023708</v>
      </c>
      <c r="R4" s="149">
        <f t="shared" si="0"/>
        <v>10755769.263827417</v>
      </c>
      <c r="S4" s="149">
        <f t="shared" si="0"/>
        <v>10741998.003930748</v>
      </c>
      <c r="T4" s="149">
        <f t="shared" si="0"/>
        <v>10741998.003930748</v>
      </c>
      <c r="U4" s="149">
        <f t="shared" si="0"/>
        <v>10741998.003930748</v>
      </c>
      <c r="V4" s="149">
        <f t="shared" si="0"/>
        <v>11089459.152734457</v>
      </c>
      <c r="W4" s="149">
        <f t="shared" si="0"/>
        <v>11401706.022291714</v>
      </c>
      <c r="X4" s="149">
        <f t="shared" si="0"/>
        <v>11749167.171095423</v>
      </c>
      <c r="Y4" s="149">
        <f t="shared" si="0"/>
        <v>12096628.319899132</v>
      </c>
      <c r="Z4" s="149">
        <f t="shared" si="0"/>
        <v>11482556.060002463</v>
      </c>
      <c r="AA4" s="149">
        <f t="shared" si="0"/>
        <v>11482556.060002463</v>
      </c>
      <c r="AB4" s="149">
        <f t="shared" si="0"/>
        <v>11482556.060002463</v>
      </c>
      <c r="AC4" s="149">
        <f t="shared" si="0"/>
        <v>11830017.208806172</v>
      </c>
      <c r="AD4" s="149">
        <f t="shared" si="0"/>
        <v>11692264.07836343</v>
      </c>
      <c r="AE4" s="149">
        <f t="shared" si="0"/>
        <v>10489725.227167139</v>
      </c>
      <c r="AF4" s="149">
        <f t="shared" si="0"/>
        <v>10026280.375970848</v>
      </c>
      <c r="AG4" s="149">
        <f t="shared" si="0"/>
        <v>9104878.2504321374</v>
      </c>
      <c r="AH4" s="105">
        <f>+B4</f>
        <v>10995169.233803123</v>
      </c>
      <c r="AI4" s="148"/>
      <c r="AJ4" s="105"/>
      <c r="AK4" s="105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</row>
    <row r="5" spans="1:91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/>
      <c r="AK5" s="145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</row>
    <row r="6" spans="1:91" x14ac:dyDescent="0.15">
      <c r="A6" s="133" t="s">
        <v>261</v>
      </c>
      <c r="B6" s="142">
        <f t="shared" ref="B6:AG6" si="1">+B4+B5</f>
        <v>10995169.233803123</v>
      </c>
      <c r="C6" s="142">
        <f t="shared" si="1"/>
        <v>10995169.233803123</v>
      </c>
      <c r="D6" s="142">
        <f t="shared" si="1"/>
        <v>11342629.882606832</v>
      </c>
      <c r="E6" s="142">
        <f t="shared" si="1"/>
        <v>9752035.0314105414</v>
      </c>
      <c r="F6" s="142">
        <f t="shared" si="1"/>
        <v>9752035.0314105414</v>
      </c>
      <c r="G6" s="142">
        <f t="shared" si="1"/>
        <v>9752035.0314105414</v>
      </c>
      <c r="H6" s="142">
        <f t="shared" si="1"/>
        <v>9262535.0550367758</v>
      </c>
      <c r="I6" s="142">
        <f t="shared" si="1"/>
        <v>9917618.9245940335</v>
      </c>
      <c r="J6" s="142">
        <f t="shared" si="1"/>
        <v>9741080.0733977426</v>
      </c>
      <c r="K6" s="142">
        <f t="shared" si="1"/>
        <v>9988541.2222014517</v>
      </c>
      <c r="L6" s="142">
        <f t="shared" si="1"/>
        <v>9901138.9478590321</v>
      </c>
      <c r="M6" s="142">
        <f t="shared" si="1"/>
        <v>9901138.9478590321</v>
      </c>
      <c r="N6" s="142">
        <f t="shared" si="1"/>
        <v>9901138.9478590321</v>
      </c>
      <c r="O6" s="142">
        <f t="shared" si="1"/>
        <v>10248600.096662741</v>
      </c>
      <c r="P6" s="142">
        <f t="shared" si="1"/>
        <v>10560846.966219999</v>
      </c>
      <c r="Q6" s="142">
        <f t="shared" si="1"/>
        <v>10758308.115023708</v>
      </c>
      <c r="R6" s="142">
        <f t="shared" si="1"/>
        <v>10755769.263827417</v>
      </c>
      <c r="S6" s="142">
        <f t="shared" si="1"/>
        <v>10741998.003930748</v>
      </c>
      <c r="T6" s="142">
        <f t="shared" si="1"/>
        <v>10741998.003930748</v>
      </c>
      <c r="U6" s="142">
        <f t="shared" si="1"/>
        <v>10741998.003930748</v>
      </c>
      <c r="V6" s="142">
        <f t="shared" si="1"/>
        <v>11089459.152734457</v>
      </c>
      <c r="W6" s="142">
        <f t="shared" si="1"/>
        <v>11401706.022291714</v>
      </c>
      <c r="X6" s="142">
        <f t="shared" si="1"/>
        <v>11749167.171095423</v>
      </c>
      <c r="Y6" s="142">
        <f t="shared" si="1"/>
        <v>12096628.319899132</v>
      </c>
      <c r="Z6" s="142">
        <f t="shared" si="1"/>
        <v>11482556.060002463</v>
      </c>
      <c r="AA6" s="142">
        <f t="shared" si="1"/>
        <v>11482556.060002463</v>
      </c>
      <c r="AB6" s="142">
        <f t="shared" si="1"/>
        <v>11482556.060002463</v>
      </c>
      <c r="AC6" s="142">
        <f t="shared" si="1"/>
        <v>11830017.208806172</v>
      </c>
      <c r="AD6" s="142">
        <f t="shared" si="1"/>
        <v>11692264.07836343</v>
      </c>
      <c r="AE6" s="142">
        <f t="shared" si="1"/>
        <v>10489725.227167139</v>
      </c>
      <c r="AF6" s="132">
        <f t="shared" si="1"/>
        <v>10026280.375970848</v>
      </c>
      <c r="AG6" s="132">
        <f t="shared" si="1"/>
        <v>9104878.2504321374</v>
      </c>
      <c r="AH6" s="105">
        <f>AH5+AH4</f>
        <v>10995169.233803123</v>
      </c>
      <c r="AI6" s="142"/>
      <c r="AJ6" s="105"/>
      <c r="AK6" s="105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</row>
    <row r="7" spans="1:91" x14ac:dyDescent="0.15">
      <c r="A7" s="133" t="s">
        <v>260</v>
      </c>
      <c r="B7" s="166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 t="s">
        <v>219</v>
      </c>
      <c r="AI7" s="142"/>
      <c r="AJ7" s="105" t="s">
        <v>219</v>
      </c>
      <c r="AK7" s="105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</row>
    <row r="8" spans="1:91" x14ac:dyDescent="0.15">
      <c r="A8" s="136" t="s">
        <v>259</v>
      </c>
      <c r="B8" s="122"/>
      <c r="C8" s="120"/>
      <c r="D8" s="120">
        <f>1938056</f>
        <v>1938056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>
        <f>1946461</f>
        <v>1946461</v>
      </c>
      <c r="AG8" s="120"/>
      <c r="AH8" s="105">
        <f t="shared" ref="AH8:AH31" si="2">SUM(C8:AG8)</f>
        <v>3884517</v>
      </c>
      <c r="AI8" s="119"/>
      <c r="AJ8" s="105">
        <v>2025043.0844159995</v>
      </c>
      <c r="AK8" s="105">
        <f>AH8-AJ8</f>
        <v>1859473.9155840005</v>
      </c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</row>
    <row r="9" spans="1:91" x14ac:dyDescent="0.15">
      <c r="A9" s="141" t="s">
        <v>258</v>
      </c>
      <c r="B9" s="122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2"/>
        <v>0</v>
      </c>
      <c r="AI9" s="119"/>
      <c r="AJ9" s="105">
        <v>0</v>
      </c>
      <c r="AK9" s="105">
        <f>AH9-AJ9</f>
        <v>0</v>
      </c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</row>
    <row r="10" spans="1:91" x14ac:dyDescent="0.15">
      <c r="A10" s="136" t="s">
        <v>257</v>
      </c>
      <c r="B10" s="122"/>
      <c r="C10" s="120"/>
      <c r="D10" s="120"/>
      <c r="E10" s="120"/>
      <c r="F10" s="120"/>
      <c r="G10" s="120">
        <f>$AM$10-109368-222948</f>
        <v>959353.98555425042</v>
      </c>
      <c r="H10" s="120"/>
      <c r="I10" s="120">
        <v>524000</v>
      </c>
      <c r="J10" s="120">
        <v>100000</v>
      </c>
      <c r="K10" s="120">
        <v>500000</v>
      </c>
      <c r="L10" s="120"/>
      <c r="M10" s="120"/>
      <c r="N10" s="120"/>
      <c r="O10" s="120"/>
      <c r="P10" s="120"/>
      <c r="Q10" s="120"/>
      <c r="R10" s="120">
        <f>$AM$10-600301</f>
        <v>691368.98555425042</v>
      </c>
      <c r="S10" s="120"/>
      <c r="T10" s="120"/>
      <c r="U10" s="120"/>
      <c r="V10" s="120"/>
      <c r="W10" s="120"/>
      <c r="X10" s="120"/>
      <c r="Y10" s="120">
        <f>$AM$10</f>
        <v>1291669.9855542504</v>
      </c>
      <c r="Z10" s="120"/>
      <c r="AA10" s="120"/>
      <c r="AB10" s="120"/>
      <c r="AC10" s="120"/>
      <c r="AD10" s="120"/>
      <c r="AE10" s="120">
        <v>739912</v>
      </c>
      <c r="AF10" s="120"/>
      <c r="AG10" s="120"/>
      <c r="AH10" s="105">
        <f t="shared" si="2"/>
        <v>4806304.9566627517</v>
      </c>
      <c r="AI10" s="119"/>
      <c r="AJ10" s="105">
        <v>5720424.9335143156</v>
      </c>
      <c r="AK10" s="105">
        <f>AH10-AJ10</f>
        <v>-914119.9768515639</v>
      </c>
      <c r="AL10" s="103">
        <f>'Exec Summary_Base Case'!H103*1.19-AH23-AH25</f>
        <v>5166679.9422170017</v>
      </c>
      <c r="AM10" s="103">
        <f>AL10/4</f>
        <v>1291669.9855542504</v>
      </c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</row>
    <row r="11" spans="1:91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0</v>
      </c>
      <c r="AI11" s="119"/>
      <c r="AJ11" s="105">
        <v>0</v>
      </c>
      <c r="AK11" s="105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</row>
    <row r="12" spans="1:91" x14ac:dyDescent="0.15">
      <c r="A12" s="136" t="s">
        <v>255</v>
      </c>
      <c r="B12" s="122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05">
        <f t="shared" si="2"/>
        <v>0</v>
      </c>
      <c r="AI12" s="119"/>
      <c r="AJ12" s="105">
        <v>0</v>
      </c>
      <c r="AK12" s="105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</row>
    <row r="13" spans="1:91" hidden="1" outlineLevel="1" x14ac:dyDescent="0.15">
      <c r="A13" s="140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65"/>
      <c r="AG13" s="165"/>
      <c r="AH13" s="163">
        <f t="shared" si="2"/>
        <v>0</v>
      </c>
      <c r="AI13" s="164"/>
      <c r="AJ13" s="163">
        <v>0</v>
      </c>
      <c r="AK13" s="16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</row>
    <row r="14" spans="1:91" hidden="1" outlineLevel="1" x14ac:dyDescent="0.15">
      <c r="A14" s="140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65"/>
      <c r="AG14" s="165"/>
      <c r="AH14" s="163">
        <f t="shared" si="2"/>
        <v>0</v>
      </c>
      <c r="AI14" s="164"/>
      <c r="AJ14" s="163">
        <v>0</v>
      </c>
      <c r="AK14" s="16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</row>
    <row r="15" spans="1:91" hidden="1" outlineLevel="1" x14ac:dyDescent="0.15">
      <c r="A15" s="140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65"/>
      <c r="AG15" s="165"/>
      <c r="AH15" s="163">
        <f t="shared" si="2"/>
        <v>0</v>
      </c>
      <c r="AI15" s="164"/>
      <c r="AJ15" s="163">
        <v>0</v>
      </c>
      <c r="AK15" s="16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</row>
    <row r="16" spans="1:91" hidden="1" outlineLevel="1" x14ac:dyDescent="0.15">
      <c r="A16" s="140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65"/>
      <c r="AG16" s="165"/>
      <c r="AH16" s="163">
        <f t="shared" si="2"/>
        <v>0</v>
      </c>
      <c r="AI16" s="164"/>
      <c r="AJ16" s="163">
        <v>0</v>
      </c>
      <c r="AK16" s="16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</row>
    <row r="17" spans="1:91" hidden="1" outlineLevel="1" x14ac:dyDescent="0.15">
      <c r="A17" s="140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65"/>
      <c r="AG17" s="165"/>
      <c r="AH17" s="163">
        <f t="shared" si="2"/>
        <v>0</v>
      </c>
      <c r="AI17" s="164"/>
      <c r="AJ17" s="163">
        <v>0</v>
      </c>
      <c r="AK17" s="16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</row>
    <row r="18" spans="1:91" hidden="1" outlineLevel="1" x14ac:dyDescent="0.15">
      <c r="A18" s="140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65"/>
      <c r="AG18" s="165"/>
      <c r="AH18" s="163">
        <f t="shared" si="2"/>
        <v>0</v>
      </c>
      <c r="AI18" s="164"/>
      <c r="AJ18" s="163">
        <v>0</v>
      </c>
      <c r="AK18" s="16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</row>
    <row r="19" spans="1:91" hidden="1" outlineLevel="1" x14ac:dyDescent="0.15">
      <c r="A19" s="140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65"/>
      <c r="AG19" s="165"/>
      <c r="AH19" s="163">
        <f t="shared" si="2"/>
        <v>0</v>
      </c>
      <c r="AI19" s="164"/>
      <c r="AJ19" s="163">
        <v>0</v>
      </c>
      <c r="AK19" s="16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</row>
    <row r="20" spans="1:91" hidden="1" outlineLevel="1" x14ac:dyDescent="0.15">
      <c r="A20" s="140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65"/>
      <c r="AG20" s="165"/>
      <c r="AH20" s="163">
        <f t="shared" si="2"/>
        <v>0</v>
      </c>
      <c r="AI20" s="164"/>
      <c r="AJ20" s="163">
        <v>0</v>
      </c>
      <c r="AK20" s="16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</row>
    <row r="21" spans="1:91" hidden="1" outlineLevel="1" x14ac:dyDescent="0.15">
      <c r="A21" s="140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65"/>
      <c r="AG21" s="165"/>
      <c r="AH21" s="163">
        <f t="shared" si="2"/>
        <v>0</v>
      </c>
      <c r="AI21" s="164"/>
      <c r="AJ21" s="163">
        <v>0</v>
      </c>
      <c r="AK21" s="16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</row>
    <row r="22" spans="1:91" hidden="1" outlineLevel="1" x14ac:dyDescent="0.15">
      <c r="A22" s="140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65"/>
      <c r="AG22" s="165"/>
      <c r="AH22" s="163">
        <f t="shared" si="2"/>
        <v>0</v>
      </c>
      <c r="AI22" s="164"/>
      <c r="AJ22" s="163">
        <v>0</v>
      </c>
      <c r="AK22" s="16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</row>
    <row r="23" spans="1:91" collapsed="1" x14ac:dyDescent="0.15">
      <c r="A23" s="136" t="s">
        <v>244</v>
      </c>
      <c r="B23" s="122"/>
      <c r="C23" s="120"/>
      <c r="D23" s="120"/>
      <c r="E23" s="120"/>
      <c r="F23" s="120"/>
      <c r="G23" s="120">
        <v>60000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60000</v>
      </c>
      <c r="AI23" s="119"/>
      <c r="AJ23" s="105">
        <v>60000</v>
      </c>
      <c r="AK23" s="105">
        <f>AH23-AJ23</f>
        <v>0</v>
      </c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</row>
    <row r="24" spans="1:91" x14ac:dyDescent="0.15">
      <c r="A24" s="136" t="s">
        <v>232</v>
      </c>
      <c r="B24" s="122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>
        <v>50000</v>
      </c>
      <c r="AE24" s="120"/>
      <c r="AF24" s="120"/>
      <c r="AG24" s="120"/>
      <c r="AH24" s="105">
        <f t="shared" si="2"/>
        <v>50000</v>
      </c>
      <c r="AI24" s="119"/>
      <c r="AJ24" s="105">
        <v>100000</v>
      </c>
      <c r="AK24" s="105">
        <f>AH24-AJ24</f>
        <v>-50000</v>
      </c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</row>
    <row r="25" spans="1:91" x14ac:dyDescent="0.15">
      <c r="A25" s="136" t="s">
        <v>243</v>
      </c>
      <c r="B25" s="162"/>
      <c r="C25" s="120"/>
      <c r="D25" s="120"/>
      <c r="E25" s="120"/>
      <c r="F25" s="120"/>
      <c r="G25" s="120"/>
      <c r="H25" s="120"/>
      <c r="I25" s="120"/>
      <c r="J25" s="120"/>
      <c r="K25" s="120">
        <v>265000</v>
      </c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si="2"/>
        <v>265000</v>
      </c>
      <c r="AI25" s="119"/>
      <c r="AJ25" s="105">
        <v>20000</v>
      </c>
      <c r="AK25" s="105">
        <f>AH25-AJ25</f>
        <v>245000</v>
      </c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</row>
    <row r="26" spans="1:91" x14ac:dyDescent="0.15">
      <c r="A26" s="136" t="s">
        <v>242</v>
      </c>
      <c r="B26" s="162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>
        <f>1800000-300000</f>
        <v>1500000</v>
      </c>
      <c r="AE26" s="120"/>
      <c r="AF26" s="120"/>
      <c r="AG26" s="120"/>
      <c r="AH26" s="105">
        <f t="shared" si="2"/>
        <v>1500000</v>
      </c>
      <c r="AI26" s="119"/>
      <c r="AJ26" s="105">
        <v>1550000</v>
      </c>
      <c r="AK26" s="105">
        <f>AH26-AJ26</f>
        <v>-50000</v>
      </c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</row>
    <row r="27" spans="1:91" x14ac:dyDescent="0.15">
      <c r="A27" s="136" t="s">
        <v>241</v>
      </c>
      <c r="B27" s="162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>
        <f>950000-100000</f>
        <v>850000</v>
      </c>
      <c r="AD27" s="120"/>
      <c r="AE27" s="120"/>
      <c r="AF27" s="120"/>
      <c r="AG27" s="120"/>
      <c r="AH27" s="105">
        <f t="shared" si="2"/>
        <v>850000</v>
      </c>
      <c r="AI27" s="119"/>
      <c r="AJ27" s="105">
        <v>850000</v>
      </c>
      <c r="AK27" s="105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</row>
    <row r="28" spans="1:91" x14ac:dyDescent="0.15">
      <c r="A28" s="136" t="s">
        <v>240</v>
      </c>
      <c r="B28" s="162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>
        <v>350000</v>
      </c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2"/>
        <v>350000</v>
      </c>
      <c r="AI28" s="119"/>
      <c r="AJ28" s="105">
        <v>350000</v>
      </c>
      <c r="AK28" s="105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</row>
    <row r="29" spans="1:91" x14ac:dyDescent="0.15">
      <c r="A29" s="136" t="s">
        <v>239</v>
      </c>
      <c r="B29" s="162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>
        <v>150000</v>
      </c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 t="shared" si="2"/>
        <v>150000</v>
      </c>
      <c r="AI29" s="119"/>
      <c r="AJ29" s="105">
        <v>-251345.76061425859</v>
      </c>
      <c r="AK29" s="105">
        <f>AH29-AJ29</f>
        <v>401345.76061425859</v>
      </c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</row>
    <row r="30" spans="1:91" x14ac:dyDescent="0.15">
      <c r="A30" s="136" t="s">
        <v>365</v>
      </c>
      <c r="B30" s="162"/>
      <c r="C30" s="121"/>
      <c r="D30" s="121"/>
      <c r="E30" s="120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0"/>
      <c r="AH30" s="105">
        <f t="shared" si="2"/>
        <v>0</v>
      </c>
      <c r="AI30" s="119"/>
      <c r="AJ30" s="105">
        <v>0</v>
      </c>
      <c r="AK30" s="105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</row>
    <row r="31" spans="1:91" ht="15" thickBot="1" x14ac:dyDescent="0.2">
      <c r="A31" s="113" t="s">
        <v>238</v>
      </c>
      <c r="B31" s="161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332"/>
      <c r="AG31" s="134"/>
      <c r="AH31" s="128">
        <f t="shared" si="2"/>
        <v>0</v>
      </c>
      <c r="AI31" s="127"/>
      <c r="AJ31" s="128">
        <v>0</v>
      </c>
      <c r="AK31" s="128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</row>
    <row r="32" spans="1:91" x14ac:dyDescent="0.15">
      <c r="A32" s="133" t="s">
        <v>237</v>
      </c>
      <c r="B32" s="122">
        <f>SUM(B8:B31)</f>
        <v>0</v>
      </c>
      <c r="C32" s="119">
        <f t="shared" ref="C32:AH32" si="3">SUM(C8:C31)-C12</f>
        <v>0</v>
      </c>
      <c r="D32" s="119">
        <f>SUM(D8:D31)-D12</f>
        <v>1938056</v>
      </c>
      <c r="E32" s="119">
        <f t="shared" si="3"/>
        <v>0</v>
      </c>
      <c r="F32" s="119">
        <f t="shared" si="3"/>
        <v>0</v>
      </c>
      <c r="G32" s="119">
        <f t="shared" si="3"/>
        <v>1019353.9855542504</v>
      </c>
      <c r="H32" s="119">
        <f t="shared" si="3"/>
        <v>0</v>
      </c>
      <c r="I32" s="119">
        <f t="shared" si="3"/>
        <v>524000</v>
      </c>
      <c r="J32" s="119">
        <f t="shared" si="3"/>
        <v>100000</v>
      </c>
      <c r="K32" s="119">
        <f t="shared" si="3"/>
        <v>765000</v>
      </c>
      <c r="L32" s="119">
        <f t="shared" si="3"/>
        <v>0</v>
      </c>
      <c r="M32" s="119">
        <f t="shared" si="3"/>
        <v>0</v>
      </c>
      <c r="N32" s="119">
        <f t="shared" si="3"/>
        <v>0</v>
      </c>
      <c r="O32" s="119">
        <f t="shared" si="3"/>
        <v>0</v>
      </c>
      <c r="P32" s="119">
        <f t="shared" si="3"/>
        <v>150000</v>
      </c>
      <c r="Q32" s="119">
        <f t="shared" si="3"/>
        <v>350000</v>
      </c>
      <c r="R32" s="119">
        <f t="shared" si="3"/>
        <v>691368.98555425042</v>
      </c>
      <c r="S32" s="119">
        <f t="shared" si="3"/>
        <v>0</v>
      </c>
      <c r="T32" s="119">
        <f t="shared" si="3"/>
        <v>0</v>
      </c>
      <c r="U32" s="119">
        <f t="shared" si="3"/>
        <v>0</v>
      </c>
      <c r="V32" s="119">
        <f t="shared" si="3"/>
        <v>0</v>
      </c>
      <c r="W32" s="119">
        <f t="shared" si="3"/>
        <v>0</v>
      </c>
      <c r="X32" s="119">
        <f t="shared" si="3"/>
        <v>0</v>
      </c>
      <c r="Y32" s="119">
        <f t="shared" si="3"/>
        <v>1291669.9855542504</v>
      </c>
      <c r="Z32" s="119">
        <f t="shared" si="3"/>
        <v>0</v>
      </c>
      <c r="AA32" s="119">
        <f t="shared" si="3"/>
        <v>0</v>
      </c>
      <c r="AB32" s="119">
        <f t="shared" si="3"/>
        <v>0</v>
      </c>
      <c r="AC32" s="119">
        <f t="shared" si="3"/>
        <v>850000</v>
      </c>
      <c r="AD32" s="119">
        <f t="shared" si="3"/>
        <v>1550000</v>
      </c>
      <c r="AE32" s="119">
        <f t="shared" si="3"/>
        <v>739912</v>
      </c>
      <c r="AF32" s="119">
        <f t="shared" si="3"/>
        <v>1946461</v>
      </c>
      <c r="AG32" s="119">
        <f t="shared" si="3"/>
        <v>0</v>
      </c>
      <c r="AH32" s="160">
        <f t="shared" si="3"/>
        <v>11915821.956662752</v>
      </c>
      <c r="AI32" s="119"/>
      <c r="AJ32" s="160">
        <v>10424122.257316055</v>
      </c>
      <c r="AK32" s="105">
        <f>AH32-AJ32</f>
        <v>1491699.699346697</v>
      </c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</row>
    <row r="33" spans="1:91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 t="s">
        <v>219</v>
      </c>
      <c r="AI33" s="119"/>
      <c r="AJ33" s="105" t="s">
        <v>219</v>
      </c>
      <c r="AK33" s="105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</row>
    <row r="34" spans="1:91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/>
      <c r="AI34" s="119"/>
      <c r="AJ34" s="105"/>
      <c r="AK34" s="105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</row>
    <row r="35" spans="1:91" hidden="1" x14ac:dyDescent="0.15">
      <c r="A35" s="124" t="s">
        <v>235</v>
      </c>
      <c r="B35" s="122">
        <f t="shared" ref="B35:B41" si="4">SUM(C35:AG35)</f>
        <v>0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ref="AH35:AH42" si="5">SUM(C35:AG35)</f>
        <v>0</v>
      </c>
      <c r="AI35" s="119"/>
      <c r="AJ35" s="105">
        <v>0</v>
      </c>
      <c r="AK35" s="105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</row>
    <row r="36" spans="1:91" hidden="1" x14ac:dyDescent="0.15">
      <c r="A36" s="124" t="s">
        <v>234</v>
      </c>
      <c r="B36" s="122">
        <f t="shared" si="4"/>
        <v>0</v>
      </c>
      <c r="C36" s="120"/>
      <c r="D36" s="120">
        <v>0</v>
      </c>
      <c r="E36" s="120">
        <v>0</v>
      </c>
      <c r="F36" s="120"/>
      <c r="G36" s="120"/>
      <c r="H36" s="120"/>
      <c r="I36" s="120"/>
      <c r="J36" s="120"/>
      <c r="K36" s="120">
        <v>0</v>
      </c>
      <c r="L36" s="120">
        <v>0</v>
      </c>
      <c r="M36" s="120"/>
      <c r="N36" s="120"/>
      <c r="O36" s="120"/>
      <c r="P36" s="120"/>
      <c r="Q36" s="120"/>
      <c r="R36" s="120">
        <v>0</v>
      </c>
      <c r="S36" s="120">
        <v>0</v>
      </c>
      <c r="T36" s="120"/>
      <c r="U36" s="120"/>
      <c r="V36" s="120"/>
      <c r="W36" s="120"/>
      <c r="X36" s="120"/>
      <c r="Y36" s="120">
        <v>0</v>
      </c>
      <c r="Z36" s="120">
        <v>0</v>
      </c>
      <c r="AA36" s="120">
        <v>0</v>
      </c>
      <c r="AB36" s="120">
        <v>0</v>
      </c>
      <c r="AC36" s="120"/>
      <c r="AD36" s="120"/>
      <c r="AE36" s="120"/>
      <c r="AF36" s="120">
        <v>0</v>
      </c>
      <c r="AG36" s="120">
        <v>0</v>
      </c>
      <c r="AH36" s="105">
        <f t="shared" si="5"/>
        <v>0</v>
      </c>
      <c r="AI36" s="119"/>
      <c r="AJ36" s="105">
        <v>0</v>
      </c>
      <c r="AK36" s="105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</row>
    <row r="37" spans="1:91" hidden="1" x14ac:dyDescent="0.15">
      <c r="A37" s="124" t="s">
        <v>233</v>
      </c>
      <c r="B37" s="122">
        <f t="shared" si="4"/>
        <v>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5"/>
        <v>0</v>
      </c>
      <c r="AI37" s="119"/>
      <c r="AJ37" s="105">
        <v>0</v>
      </c>
      <c r="AK37" s="105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</row>
    <row r="38" spans="1:91" x14ac:dyDescent="0.15">
      <c r="A38" s="124" t="s">
        <v>232</v>
      </c>
      <c r="B38" s="122">
        <f t="shared" si="4"/>
        <v>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5"/>
        <v>0</v>
      </c>
      <c r="AI38" s="119"/>
      <c r="AJ38" s="105">
        <v>0</v>
      </c>
      <c r="AK38" s="105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</row>
    <row r="39" spans="1:91" x14ac:dyDescent="0.15">
      <c r="A39" s="124" t="s">
        <v>231</v>
      </c>
      <c r="B39" s="122">
        <f t="shared" si="4"/>
        <v>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5"/>
        <v>0</v>
      </c>
      <c r="AI39" s="119"/>
      <c r="AJ39" s="105">
        <v>0</v>
      </c>
      <c r="AK39" s="105"/>
      <c r="AN39" s="103">
        <v>31</v>
      </c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</row>
    <row r="40" spans="1:91" x14ac:dyDescent="0.15">
      <c r="A40" s="124" t="s">
        <v>230</v>
      </c>
      <c r="B40" s="122">
        <f t="shared" si="4"/>
        <v>4908414.5320567749</v>
      </c>
      <c r="C40" s="131">
        <f t="shared" ref="C40:D40" si="6">+$AN$42</f>
        <v>182392.86037677419</v>
      </c>
      <c r="D40" s="131">
        <f t="shared" si="6"/>
        <v>182392.86037677419</v>
      </c>
      <c r="E40" s="132"/>
      <c r="F40" s="131"/>
      <c r="G40" s="131">
        <f>+$AN$42*2</f>
        <v>364785.72075354838</v>
      </c>
      <c r="H40" s="131">
        <f>+$AN$42*3-57163</f>
        <v>490015.58113032253</v>
      </c>
      <c r="I40" s="131">
        <f>+$AN$42</f>
        <v>182392.86037677419</v>
      </c>
      <c r="J40" s="131">
        <f>+$AN$42</f>
        <v>182392.86037677419</v>
      </c>
      <c r="K40" s="131">
        <f>+$AN$42</f>
        <v>182392.86037677419</v>
      </c>
      <c r="L40" s="131"/>
      <c r="M40" s="172"/>
      <c r="N40" s="131">
        <f>+$AN$42</f>
        <v>182392.86037677419</v>
      </c>
      <c r="O40" s="131">
        <f>+$AN$42*3-400000</f>
        <v>147178.58113032253</v>
      </c>
      <c r="P40" s="131">
        <f>+$AN$42</f>
        <v>182392.86037677419</v>
      </c>
      <c r="Q40" s="131">
        <f>+$AN$42</f>
        <v>182392.86037677419</v>
      </c>
      <c r="R40" s="131">
        <f>+$AN$42</f>
        <v>182392.86037677419</v>
      </c>
      <c r="S40" s="131"/>
      <c r="T40" s="131"/>
      <c r="U40" s="131">
        <f>+$AN$42</f>
        <v>182392.86037677419</v>
      </c>
      <c r="V40" s="131">
        <f>+$AN$42*3-400000</f>
        <v>147178.58113032253</v>
      </c>
      <c r="W40" s="131">
        <f>+$AN$42</f>
        <v>182392.86037677419</v>
      </c>
      <c r="X40" s="131">
        <f>+$AN$42</f>
        <v>182392.86037677419</v>
      </c>
      <c r="Y40" s="131">
        <f>+$AN$42</f>
        <v>182392.86037677419</v>
      </c>
      <c r="Z40" s="131"/>
      <c r="AA40" s="132"/>
      <c r="AB40" s="131">
        <f>+$AN$42</f>
        <v>182392.86037677419</v>
      </c>
      <c r="AC40" s="131">
        <f>+$AN$42*3</f>
        <v>547178.58113032253</v>
      </c>
      <c r="AD40" s="131">
        <f>+$AN$42</f>
        <v>182392.86037677419</v>
      </c>
      <c r="AE40" s="131">
        <f>+$AN$42-70994</f>
        <v>111398.86037677419</v>
      </c>
      <c r="AF40" s="131">
        <f>+$AN$42*2</f>
        <v>364785.72075354838</v>
      </c>
      <c r="AG40" s="131"/>
      <c r="AH40" s="105">
        <f t="shared" si="5"/>
        <v>4908414.5320567749</v>
      </c>
      <c r="AI40" s="119"/>
      <c r="AJ40" s="105">
        <v>5207062.1528183995</v>
      </c>
      <c r="AK40" s="105">
        <f>AH40-AJ40</f>
        <v>-298647.62076162454</v>
      </c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</row>
    <row r="41" spans="1:91" ht="15" thickBot="1" x14ac:dyDescent="0.2">
      <c r="A41" s="130" t="s">
        <v>229</v>
      </c>
      <c r="B41" s="129">
        <f t="shared" si="4"/>
        <v>5117116.4412350012</v>
      </c>
      <c r="C41" s="127">
        <f>SUM(AN43:$AN$45)</f>
        <v>165067.78842693547</v>
      </c>
      <c r="D41" s="127">
        <f>SUM($AN43:AO$45)</f>
        <v>165068.28842693547</v>
      </c>
      <c r="E41" s="127"/>
      <c r="F41" s="127"/>
      <c r="G41" s="127">
        <f>SUM($AN43:AR$45)</f>
        <v>165068.28842693547</v>
      </c>
      <c r="H41" s="127">
        <f>SUM($AN43:AS$45)</f>
        <v>165068.28842693547</v>
      </c>
      <c r="I41" s="127">
        <f>SUM($AN43:AT$45)</f>
        <v>165068.28842693547</v>
      </c>
      <c r="J41" s="127">
        <f>SUM($AN43:AU$45)</f>
        <v>165068.28842693547</v>
      </c>
      <c r="K41" s="127">
        <f>SUM($AN43:AV$45)*3</f>
        <v>495204.86528080644</v>
      </c>
      <c r="L41" s="127"/>
      <c r="M41" s="127"/>
      <c r="N41" s="127">
        <f>SUM($AN43:AY$45)</f>
        <v>165068.28842693547</v>
      </c>
      <c r="O41" s="127">
        <f>SUM($AN43:AZ$45)</f>
        <v>165068.28842693547</v>
      </c>
      <c r="P41" s="127">
        <f>SUM($AN43:BA$45)</f>
        <v>165068.28842693547</v>
      </c>
      <c r="Q41" s="127">
        <f>SUM($AN43:BB$45)</f>
        <v>165068.28842693547</v>
      </c>
      <c r="R41" s="127">
        <f>SUM($AN43:BC$45)*3</f>
        <v>495204.86528080644</v>
      </c>
      <c r="S41" s="127"/>
      <c r="T41" s="127"/>
      <c r="U41" s="127">
        <f>SUM($AN43:BF$45)</f>
        <v>165068.28842693547</v>
      </c>
      <c r="V41" s="127">
        <f>SUM($AN43:BG$45)</f>
        <v>165068.28842693547</v>
      </c>
      <c r="W41" s="127">
        <f>SUM($AN43:BH$45)</f>
        <v>165068.28842693547</v>
      </c>
      <c r="X41" s="127">
        <f>SUM($AN43:BI$45)</f>
        <v>165068.28842693547</v>
      </c>
      <c r="Y41" s="127">
        <f>SUM($AN43:BJ$45)*3</f>
        <v>495204.86528080644</v>
      </c>
      <c r="Z41" s="127"/>
      <c r="AA41" s="127"/>
      <c r="AB41" s="127">
        <f>SUM($AN43:BM$45)</f>
        <v>165068.28842693547</v>
      </c>
      <c r="AC41" s="127">
        <f>SUM($AN43:BN$45)</f>
        <v>165068.28842693547</v>
      </c>
      <c r="AD41" s="127">
        <f>SUM($AN43:BO$45)</f>
        <v>165068.28842693547</v>
      </c>
      <c r="AE41" s="127">
        <f>SUM($AN43:BP$45)</f>
        <v>165068.28842693547</v>
      </c>
      <c r="AF41" s="127">
        <f>SUM($AN43:BQ$45)*4</f>
        <v>660273.15370774188</v>
      </c>
      <c r="AG41" s="127"/>
      <c r="AH41" s="128">
        <f t="shared" si="5"/>
        <v>5117116.4412350012</v>
      </c>
      <c r="AI41" s="127"/>
      <c r="AJ41" s="128">
        <v>4949210.812692075</v>
      </c>
      <c r="AK41" s="105">
        <f>AH41-AJ41</f>
        <v>167905.62854292616</v>
      </c>
      <c r="AL41" s="103" t="s">
        <v>228</v>
      </c>
      <c r="AM41" s="103">
        <f>'Exec Summary_Base Case'!H98*70%*1.07+'Exec Summary_Base Case'!H98*30%*1.19</f>
        <v>11308357.343359999</v>
      </c>
      <c r="AN41" s="103">
        <f>+AM41/$AN$39</f>
        <v>364785.72075354838</v>
      </c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</row>
    <row r="42" spans="1:91" x14ac:dyDescent="0.15">
      <c r="A42" s="124" t="s">
        <v>227</v>
      </c>
      <c r="B42" s="122">
        <f>SUM(B40:B41)</f>
        <v>10025530.973291777</v>
      </c>
      <c r="C42" s="119">
        <f t="shared" ref="C42:AG42" si="7">SUM(C35:C41)</f>
        <v>347460.64880370966</v>
      </c>
      <c r="D42" s="119">
        <f t="shared" si="7"/>
        <v>347461.14880370966</v>
      </c>
      <c r="E42" s="119">
        <f t="shared" si="7"/>
        <v>0</v>
      </c>
      <c r="F42" s="119">
        <f t="shared" si="7"/>
        <v>0</v>
      </c>
      <c r="G42" s="119">
        <f t="shared" si="7"/>
        <v>529854.00918048387</v>
      </c>
      <c r="H42" s="119">
        <f t="shared" si="7"/>
        <v>655083.86955725797</v>
      </c>
      <c r="I42" s="119">
        <f t="shared" si="7"/>
        <v>347461.14880370966</v>
      </c>
      <c r="J42" s="119">
        <f t="shared" si="7"/>
        <v>347461.14880370966</v>
      </c>
      <c r="K42" s="119">
        <f t="shared" si="7"/>
        <v>677597.72565758065</v>
      </c>
      <c r="L42" s="119">
        <f t="shared" si="7"/>
        <v>0</v>
      </c>
      <c r="M42" s="119">
        <f t="shared" si="7"/>
        <v>0</v>
      </c>
      <c r="N42" s="119">
        <f t="shared" si="7"/>
        <v>347461.14880370966</v>
      </c>
      <c r="O42" s="119">
        <f t="shared" si="7"/>
        <v>312246.86955725797</v>
      </c>
      <c r="P42" s="119">
        <f t="shared" si="7"/>
        <v>347461.14880370966</v>
      </c>
      <c r="Q42" s="119">
        <f t="shared" si="7"/>
        <v>347461.14880370966</v>
      </c>
      <c r="R42" s="119">
        <f t="shared" si="7"/>
        <v>677597.72565758065</v>
      </c>
      <c r="S42" s="119">
        <f t="shared" si="7"/>
        <v>0</v>
      </c>
      <c r="T42" s="119">
        <f t="shared" si="7"/>
        <v>0</v>
      </c>
      <c r="U42" s="119">
        <f t="shared" si="7"/>
        <v>347461.14880370966</v>
      </c>
      <c r="V42" s="119">
        <f t="shared" si="7"/>
        <v>312246.86955725797</v>
      </c>
      <c r="W42" s="119">
        <f t="shared" si="7"/>
        <v>347461.14880370966</v>
      </c>
      <c r="X42" s="119">
        <f t="shared" si="7"/>
        <v>347461.14880370966</v>
      </c>
      <c r="Y42" s="119">
        <f t="shared" si="7"/>
        <v>677597.72565758065</v>
      </c>
      <c r="Z42" s="119">
        <f t="shared" si="7"/>
        <v>0</v>
      </c>
      <c r="AA42" s="119">
        <f t="shared" si="7"/>
        <v>0</v>
      </c>
      <c r="AB42" s="119">
        <f t="shared" si="7"/>
        <v>347461.14880370966</v>
      </c>
      <c r="AC42" s="119">
        <f t="shared" si="7"/>
        <v>712246.86955725797</v>
      </c>
      <c r="AD42" s="119">
        <f t="shared" si="7"/>
        <v>347461.14880370966</v>
      </c>
      <c r="AE42" s="119">
        <f t="shared" si="7"/>
        <v>276467.14880370966</v>
      </c>
      <c r="AF42" s="119">
        <f t="shared" si="7"/>
        <v>1025058.8744612902</v>
      </c>
      <c r="AG42" s="120">
        <f t="shared" si="7"/>
        <v>0</v>
      </c>
      <c r="AH42" s="105">
        <f t="shared" si="5"/>
        <v>10025530.973291773</v>
      </c>
      <c r="AI42" s="119"/>
      <c r="AJ42" s="105">
        <v>10156272.965510478</v>
      </c>
      <c r="AK42" s="232">
        <f>AH42-AJ42</f>
        <v>-130741.99221870489</v>
      </c>
      <c r="AL42" s="103" t="s">
        <v>226</v>
      </c>
      <c r="AM42" s="103">
        <f>AM41*AO42</f>
        <v>5654178.6716799997</v>
      </c>
      <c r="AN42" s="103">
        <f>+AM42/$AN$39</f>
        <v>182392.86037677419</v>
      </c>
      <c r="AO42" s="174">
        <v>0.5</v>
      </c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</row>
    <row r="43" spans="1:91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 t="s">
        <v>219</v>
      </c>
      <c r="AI43" s="119"/>
      <c r="AJ43" s="105" t="s">
        <v>219</v>
      </c>
      <c r="AK43" s="105"/>
      <c r="AL43" s="103" t="s">
        <v>225</v>
      </c>
      <c r="AM43" s="103">
        <f>AM41*AO43</f>
        <v>2827089.3358399998</v>
      </c>
      <c r="AN43" s="103">
        <f>+AM43/$AN$39</f>
        <v>91196.430188387094</v>
      </c>
      <c r="AO43" s="174">
        <v>0.25</v>
      </c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</row>
    <row r="44" spans="1:91" x14ac:dyDescent="0.15">
      <c r="A44" s="124" t="s">
        <v>224</v>
      </c>
      <c r="B44" s="122">
        <f t="shared" ref="B44:AH44" si="8">B42-B32</f>
        <v>10025530.973291777</v>
      </c>
      <c r="C44" s="119">
        <f t="shared" si="8"/>
        <v>347460.64880370966</v>
      </c>
      <c r="D44" s="119">
        <f t="shared" si="8"/>
        <v>-1590594.8511962905</v>
      </c>
      <c r="E44" s="119">
        <f t="shared" si="8"/>
        <v>0</v>
      </c>
      <c r="F44" s="119">
        <f t="shared" si="8"/>
        <v>0</v>
      </c>
      <c r="G44" s="119">
        <f t="shared" si="8"/>
        <v>-489499.97637376655</v>
      </c>
      <c r="H44" s="119">
        <f t="shared" si="8"/>
        <v>655083.86955725797</v>
      </c>
      <c r="I44" s="119">
        <f t="shared" si="8"/>
        <v>-176538.85119629034</v>
      </c>
      <c r="J44" s="119">
        <f t="shared" si="8"/>
        <v>247461.14880370966</v>
      </c>
      <c r="K44" s="119">
        <f t="shared" si="8"/>
        <v>-87402.274342419347</v>
      </c>
      <c r="L44" s="119">
        <f t="shared" si="8"/>
        <v>0</v>
      </c>
      <c r="M44" s="119">
        <f t="shared" si="8"/>
        <v>0</v>
      </c>
      <c r="N44" s="119">
        <f t="shared" si="8"/>
        <v>347461.14880370966</v>
      </c>
      <c r="O44" s="119">
        <f t="shared" si="8"/>
        <v>312246.86955725797</v>
      </c>
      <c r="P44" s="119">
        <f t="shared" si="8"/>
        <v>197461.14880370966</v>
      </c>
      <c r="Q44" s="119">
        <f t="shared" si="8"/>
        <v>-2538.8511962903431</v>
      </c>
      <c r="R44" s="119">
        <f t="shared" si="8"/>
        <v>-13771.25989666977</v>
      </c>
      <c r="S44" s="119">
        <f t="shared" si="8"/>
        <v>0</v>
      </c>
      <c r="T44" s="119">
        <f t="shared" si="8"/>
        <v>0</v>
      </c>
      <c r="U44" s="119">
        <f t="shared" si="8"/>
        <v>347461.14880370966</v>
      </c>
      <c r="V44" s="119">
        <f t="shared" si="8"/>
        <v>312246.86955725797</v>
      </c>
      <c r="W44" s="119">
        <f t="shared" si="8"/>
        <v>347461.14880370966</v>
      </c>
      <c r="X44" s="119">
        <f t="shared" si="8"/>
        <v>347461.14880370966</v>
      </c>
      <c r="Y44" s="119">
        <f t="shared" si="8"/>
        <v>-614072.25989666977</v>
      </c>
      <c r="Z44" s="119">
        <f t="shared" si="8"/>
        <v>0</v>
      </c>
      <c r="AA44" s="119">
        <f t="shared" si="8"/>
        <v>0</v>
      </c>
      <c r="AB44" s="119">
        <f t="shared" si="8"/>
        <v>347461.14880370966</v>
      </c>
      <c r="AC44" s="119">
        <f t="shared" si="8"/>
        <v>-137753.13044274203</v>
      </c>
      <c r="AD44" s="119">
        <f t="shared" si="8"/>
        <v>-1202538.8511962905</v>
      </c>
      <c r="AE44" s="119">
        <f t="shared" si="8"/>
        <v>-463444.85119629034</v>
      </c>
      <c r="AF44" s="120">
        <f t="shared" si="8"/>
        <v>-921402.12553870981</v>
      </c>
      <c r="AG44" s="120">
        <f t="shared" si="8"/>
        <v>0</v>
      </c>
      <c r="AH44" s="125">
        <f t="shared" si="8"/>
        <v>-1890290.9833709784</v>
      </c>
      <c r="AI44" s="119"/>
      <c r="AJ44" s="125">
        <v>-267849.29180557653</v>
      </c>
      <c r="AK44" s="105">
        <f>AH44-AJ44</f>
        <v>-1622441.6915654019</v>
      </c>
      <c r="AL44" s="103" t="s">
        <v>319</v>
      </c>
      <c r="AM44" s="103">
        <f>April!AM41*März!AP44</f>
        <v>957272.34079749999</v>
      </c>
      <c r="AN44" s="103">
        <f>+AM44/$AN$39</f>
        <v>30879.752928951613</v>
      </c>
      <c r="AO44" s="175">
        <v>0.125</v>
      </c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</row>
    <row r="45" spans="1:91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 t="s">
        <v>219</v>
      </c>
      <c r="AI45" s="119"/>
      <c r="AJ45" s="105" t="s">
        <v>219</v>
      </c>
      <c r="AK45" s="105"/>
      <c r="AL45" s="103" t="s">
        <v>320</v>
      </c>
      <c r="AM45" s="103">
        <f>März!AN41*März!AP45</f>
        <v>1332739.7645974997</v>
      </c>
      <c r="AN45" s="103">
        <f>+AM45/$AN$39</f>
        <v>42991.605309596765</v>
      </c>
      <c r="AO45" s="175">
        <v>0.125</v>
      </c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</row>
    <row r="46" spans="1:91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>SUM(C46:AG46)</f>
        <v>0</v>
      </c>
      <c r="AI46" s="119"/>
      <c r="AJ46" s="105">
        <v>0</v>
      </c>
      <c r="AK46" s="105"/>
      <c r="AM46" s="103">
        <f>SUM(AM43:AM45)</f>
        <v>5117101.4412349993</v>
      </c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</row>
    <row r="47" spans="1:91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>SUM(C47:AG47)</f>
        <v>0</v>
      </c>
      <c r="AI47" s="119"/>
      <c r="AJ47" s="105">
        <v>0</v>
      </c>
      <c r="AK47" s="105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</row>
    <row r="48" spans="1:91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>SUM(C48:AG48)</f>
        <v>0</v>
      </c>
      <c r="AI48" s="119"/>
      <c r="AJ48" s="105">
        <v>0</v>
      </c>
      <c r="AK48" s="105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</row>
    <row r="49" spans="1:37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105" t="s">
        <v>219</v>
      </c>
      <c r="AK49" s="105"/>
    </row>
    <row r="50" spans="1:37" s="105" customFormat="1" ht="12.75" customHeight="1" thickBot="1" x14ac:dyDescent="0.2">
      <c r="A50" s="159" t="s">
        <v>222</v>
      </c>
      <c r="B50" s="158">
        <f t="shared" ref="B50:AH50" si="9">B6+B44-B46-B47-B48</f>
        <v>21020700.2070949</v>
      </c>
      <c r="C50" s="114">
        <f t="shared" si="9"/>
        <v>11342629.882606832</v>
      </c>
      <c r="D50" s="114">
        <f t="shared" si="9"/>
        <v>9752035.0314105414</v>
      </c>
      <c r="E50" s="114">
        <f t="shared" si="9"/>
        <v>9752035.0314105414</v>
      </c>
      <c r="F50" s="114">
        <f t="shared" si="9"/>
        <v>9752035.0314105414</v>
      </c>
      <c r="G50" s="114">
        <f t="shared" si="9"/>
        <v>9262535.0550367758</v>
      </c>
      <c r="H50" s="337">
        <f t="shared" si="9"/>
        <v>9917618.9245940335</v>
      </c>
      <c r="I50" s="114">
        <f t="shared" si="9"/>
        <v>9741080.0733977426</v>
      </c>
      <c r="J50" s="114">
        <f t="shared" si="9"/>
        <v>9988541.2222014517</v>
      </c>
      <c r="K50" s="114">
        <f t="shared" si="9"/>
        <v>9901138.9478590321</v>
      </c>
      <c r="L50" s="114">
        <f t="shared" si="9"/>
        <v>9901138.9478590321</v>
      </c>
      <c r="M50" s="114">
        <f t="shared" si="9"/>
        <v>9901138.9478590321</v>
      </c>
      <c r="N50" s="114">
        <f t="shared" si="9"/>
        <v>10248600.096662741</v>
      </c>
      <c r="O50" s="114">
        <f t="shared" si="9"/>
        <v>10560846.966219999</v>
      </c>
      <c r="P50" s="114">
        <f t="shared" si="9"/>
        <v>10758308.115023708</v>
      </c>
      <c r="Q50" s="114">
        <f t="shared" si="9"/>
        <v>10755769.263827417</v>
      </c>
      <c r="R50" s="114">
        <f t="shared" si="9"/>
        <v>10741998.003930748</v>
      </c>
      <c r="S50" s="114">
        <f t="shared" si="9"/>
        <v>10741998.003930748</v>
      </c>
      <c r="T50" s="114">
        <f t="shared" si="9"/>
        <v>10741998.003930748</v>
      </c>
      <c r="U50" s="114">
        <f t="shared" si="9"/>
        <v>11089459.152734457</v>
      </c>
      <c r="V50" s="114">
        <f t="shared" si="9"/>
        <v>11401706.022291714</v>
      </c>
      <c r="W50" s="337">
        <f t="shared" si="9"/>
        <v>11749167.171095423</v>
      </c>
      <c r="X50" s="114">
        <f t="shared" si="9"/>
        <v>12096628.319899132</v>
      </c>
      <c r="Y50" s="114">
        <f t="shared" si="9"/>
        <v>11482556.060002463</v>
      </c>
      <c r="Z50" s="114">
        <f t="shared" si="9"/>
        <v>11482556.060002463</v>
      </c>
      <c r="AA50" s="114">
        <f t="shared" si="9"/>
        <v>11482556.060002463</v>
      </c>
      <c r="AB50" s="114">
        <f t="shared" si="9"/>
        <v>11830017.208806172</v>
      </c>
      <c r="AC50" s="114">
        <f t="shared" si="9"/>
        <v>11692264.07836343</v>
      </c>
      <c r="AD50" s="114">
        <f t="shared" si="9"/>
        <v>10489725.227167139</v>
      </c>
      <c r="AE50" s="114">
        <f t="shared" si="9"/>
        <v>10026280.375970848</v>
      </c>
      <c r="AF50" s="339">
        <f t="shared" si="9"/>
        <v>9104878.2504321374</v>
      </c>
      <c r="AG50" s="116">
        <f t="shared" si="9"/>
        <v>9104878.2504321374</v>
      </c>
      <c r="AH50" s="115">
        <f t="shared" si="9"/>
        <v>9104878.2504321449</v>
      </c>
      <c r="AI50" s="157" t="s">
        <v>219</v>
      </c>
      <c r="AJ50" s="115">
        <v>4258286.8750682548</v>
      </c>
      <c r="AK50" s="231">
        <f>AH50-AJ50</f>
        <v>4846591.3753638901</v>
      </c>
    </row>
    <row r="51" spans="1:37" ht="16" thickTop="1" thickBot="1" x14ac:dyDescent="0.2">
      <c r="A51" s="146" t="s">
        <v>221</v>
      </c>
      <c r="B51" s="156">
        <f>+B5</f>
        <v>0</v>
      </c>
      <c r="C51" s="110">
        <f t="shared" ref="C51:AH51" si="10">+C50-C52</f>
        <v>11342629.882606832</v>
      </c>
      <c r="D51" s="110">
        <f t="shared" si="10"/>
        <v>9752035.0314105414</v>
      </c>
      <c r="E51" s="110">
        <f t="shared" si="10"/>
        <v>9752035.0314105414</v>
      </c>
      <c r="F51" s="110">
        <f t="shared" si="10"/>
        <v>9752035.0314105414</v>
      </c>
      <c r="G51" s="110">
        <f t="shared" si="10"/>
        <v>9262535.0550367758</v>
      </c>
      <c r="H51" s="110">
        <f t="shared" si="10"/>
        <v>9917618.9245940335</v>
      </c>
      <c r="I51" s="110">
        <f t="shared" si="10"/>
        <v>9741080.0733977426</v>
      </c>
      <c r="J51" s="110">
        <f t="shared" si="10"/>
        <v>9988541.2222014517</v>
      </c>
      <c r="K51" s="110">
        <f t="shared" si="10"/>
        <v>9901138.9478590321</v>
      </c>
      <c r="L51" s="110">
        <f t="shared" si="10"/>
        <v>9901138.9478590321</v>
      </c>
      <c r="M51" s="110">
        <f t="shared" si="10"/>
        <v>9901138.9478590321</v>
      </c>
      <c r="N51" s="110">
        <f t="shared" si="10"/>
        <v>10248600.096662741</v>
      </c>
      <c r="O51" s="110">
        <f t="shared" si="10"/>
        <v>10560846.966219999</v>
      </c>
      <c r="P51" s="110">
        <f t="shared" si="10"/>
        <v>10758308.115023708</v>
      </c>
      <c r="Q51" s="110">
        <f t="shared" si="10"/>
        <v>10755769.263827417</v>
      </c>
      <c r="R51" s="110">
        <f t="shared" si="10"/>
        <v>10741998.003930748</v>
      </c>
      <c r="S51" s="110">
        <f t="shared" si="10"/>
        <v>10741998.003930748</v>
      </c>
      <c r="T51" s="110">
        <f t="shared" si="10"/>
        <v>10741998.003930748</v>
      </c>
      <c r="U51" s="110">
        <f t="shared" si="10"/>
        <v>11089459.152734457</v>
      </c>
      <c r="V51" s="110">
        <f t="shared" si="10"/>
        <v>11401706.022291714</v>
      </c>
      <c r="W51" s="110">
        <f t="shared" si="10"/>
        <v>11749167.171095423</v>
      </c>
      <c r="X51" s="110">
        <f t="shared" si="10"/>
        <v>12096628.319899132</v>
      </c>
      <c r="Y51" s="110">
        <f t="shared" si="10"/>
        <v>11482556.060002463</v>
      </c>
      <c r="Z51" s="110">
        <f t="shared" si="10"/>
        <v>11482556.060002463</v>
      </c>
      <c r="AA51" s="110">
        <f t="shared" si="10"/>
        <v>11482556.060002463</v>
      </c>
      <c r="AB51" s="110">
        <f t="shared" si="10"/>
        <v>11830017.208806172</v>
      </c>
      <c r="AC51" s="110">
        <f t="shared" si="10"/>
        <v>11692264.07836343</v>
      </c>
      <c r="AD51" s="110">
        <f t="shared" si="10"/>
        <v>10489725.227167139</v>
      </c>
      <c r="AE51" s="110">
        <f t="shared" si="10"/>
        <v>10026280.375970848</v>
      </c>
      <c r="AF51" s="110">
        <f t="shared" si="10"/>
        <v>9104878.2504321374</v>
      </c>
      <c r="AG51" s="110">
        <f t="shared" si="10"/>
        <v>9104878.2504321374</v>
      </c>
      <c r="AH51" s="110">
        <f t="shared" si="10"/>
        <v>9104878.2504321449</v>
      </c>
      <c r="AI51" s="123"/>
      <c r="AJ51" s="123"/>
      <c r="AK51" s="123"/>
    </row>
    <row r="52" spans="1:37" x14ac:dyDescent="0.15">
      <c r="A52" s="149" t="s">
        <v>220</v>
      </c>
      <c r="B52" s="111">
        <f>B50-B51</f>
        <v>21020700.2070949</v>
      </c>
      <c r="C52" s="110">
        <f>+April!AF52</f>
        <v>0</v>
      </c>
      <c r="D52" s="110">
        <f t="shared" ref="D52:AH52" si="11">+C52</f>
        <v>0</v>
      </c>
      <c r="E52" s="110">
        <f t="shared" si="11"/>
        <v>0</v>
      </c>
      <c r="F52" s="110">
        <f t="shared" si="11"/>
        <v>0</v>
      </c>
      <c r="G52" s="110">
        <f t="shared" si="11"/>
        <v>0</v>
      </c>
      <c r="H52" s="110">
        <f t="shared" si="11"/>
        <v>0</v>
      </c>
      <c r="I52" s="110">
        <f t="shared" si="11"/>
        <v>0</v>
      </c>
      <c r="J52" s="110">
        <f t="shared" si="11"/>
        <v>0</v>
      </c>
      <c r="K52" s="110">
        <f t="shared" si="11"/>
        <v>0</v>
      </c>
      <c r="L52" s="110">
        <f t="shared" si="11"/>
        <v>0</v>
      </c>
      <c r="M52" s="110">
        <f t="shared" si="11"/>
        <v>0</v>
      </c>
      <c r="N52" s="110">
        <f t="shared" si="11"/>
        <v>0</v>
      </c>
      <c r="O52" s="110">
        <f t="shared" si="11"/>
        <v>0</v>
      </c>
      <c r="P52" s="110">
        <f t="shared" si="11"/>
        <v>0</v>
      </c>
      <c r="Q52" s="110">
        <f t="shared" si="11"/>
        <v>0</v>
      </c>
      <c r="R52" s="110">
        <f t="shared" si="11"/>
        <v>0</v>
      </c>
      <c r="S52" s="110">
        <f t="shared" si="11"/>
        <v>0</v>
      </c>
      <c r="T52" s="110">
        <f t="shared" si="11"/>
        <v>0</v>
      </c>
      <c r="U52" s="110">
        <f t="shared" si="11"/>
        <v>0</v>
      </c>
      <c r="V52" s="110">
        <f t="shared" si="11"/>
        <v>0</v>
      </c>
      <c r="W52" s="110">
        <f t="shared" si="11"/>
        <v>0</v>
      </c>
      <c r="X52" s="110">
        <f t="shared" si="11"/>
        <v>0</v>
      </c>
      <c r="Y52" s="110">
        <f t="shared" si="11"/>
        <v>0</v>
      </c>
      <c r="Z52" s="110">
        <f t="shared" si="11"/>
        <v>0</v>
      </c>
      <c r="AA52" s="110">
        <f t="shared" si="11"/>
        <v>0</v>
      </c>
      <c r="AB52" s="110">
        <f t="shared" si="11"/>
        <v>0</v>
      </c>
      <c r="AC52" s="110">
        <f t="shared" si="11"/>
        <v>0</v>
      </c>
      <c r="AD52" s="110">
        <f t="shared" si="11"/>
        <v>0</v>
      </c>
      <c r="AE52" s="110">
        <f t="shared" si="11"/>
        <v>0</v>
      </c>
      <c r="AF52" s="110">
        <f t="shared" si="11"/>
        <v>0</v>
      </c>
      <c r="AG52" s="110">
        <f t="shared" si="11"/>
        <v>0</v>
      </c>
      <c r="AH52" s="110">
        <f t="shared" si="11"/>
        <v>0</v>
      </c>
      <c r="AI52" s="110"/>
      <c r="AJ52" s="110"/>
      <c r="AK52" s="110"/>
    </row>
    <row r="53" spans="1:37" x14ac:dyDescent="0.15">
      <c r="W53" s="103">
        <f>+T55-W50</f>
        <v>-3000.1710954234004</v>
      </c>
    </row>
    <row r="55" spans="1:37" x14ac:dyDescent="0.15">
      <c r="C55" s="104" t="s">
        <v>532</v>
      </c>
      <c r="F55" s="104" t="s">
        <v>532</v>
      </c>
      <c r="G55" s="104" t="s">
        <v>531</v>
      </c>
      <c r="J55" s="104" t="s">
        <v>533</v>
      </c>
      <c r="L55" s="104" t="s">
        <v>583</v>
      </c>
      <c r="O55" s="104" t="s">
        <v>584</v>
      </c>
      <c r="R55" s="104" t="s">
        <v>585</v>
      </c>
      <c r="T55" s="103">
        <v>11746167</v>
      </c>
      <c r="U55" s="104" t="s">
        <v>586</v>
      </c>
      <c r="X55" s="104" t="s">
        <v>587</v>
      </c>
      <c r="AA55" s="104" t="s">
        <v>588</v>
      </c>
      <c r="AB55" s="103" t="s">
        <v>589</v>
      </c>
      <c r="AD55" s="103">
        <v>9104878</v>
      </c>
      <c r="AE55" s="103">
        <f>+AF51-AD55</f>
        <v>0.25043213739991188</v>
      </c>
    </row>
    <row r="56" spans="1:37" x14ac:dyDescent="0.15">
      <c r="A56" s="106"/>
      <c r="J56" s="103" t="s">
        <v>130</v>
      </c>
      <c r="K56" s="103">
        <v>234507</v>
      </c>
    </row>
    <row r="57" spans="1:37" x14ac:dyDescent="0.15">
      <c r="A57" s="106"/>
      <c r="J57" s="103" t="s">
        <v>162</v>
      </c>
      <c r="K57" s="103">
        <v>1823698</v>
      </c>
    </row>
    <row r="58" spans="1:37" x14ac:dyDescent="0.15">
      <c r="A58" s="106"/>
      <c r="F58" s="336">
        <v>28942</v>
      </c>
      <c r="J58" s="103" t="s">
        <v>169</v>
      </c>
      <c r="K58" s="103">
        <v>432711</v>
      </c>
    </row>
    <row r="59" spans="1:37" x14ac:dyDescent="0.15">
      <c r="A59" s="106"/>
      <c r="F59" s="336">
        <v>1864449</v>
      </c>
      <c r="J59" s="103" t="s">
        <v>451</v>
      </c>
      <c r="K59" s="103">
        <v>842306</v>
      </c>
    </row>
    <row r="60" spans="1:37" x14ac:dyDescent="0.15">
      <c r="A60" s="106"/>
      <c r="F60" s="336"/>
      <c r="J60" s="103" t="s">
        <v>163</v>
      </c>
      <c r="K60" s="103">
        <v>575058</v>
      </c>
    </row>
    <row r="61" spans="1:37" x14ac:dyDescent="0.15">
      <c r="A61" s="106"/>
      <c r="F61" s="336">
        <v>912771</v>
      </c>
      <c r="J61" s="103" t="s">
        <v>454</v>
      </c>
      <c r="K61" s="103">
        <v>688533</v>
      </c>
    </row>
    <row r="62" spans="1:37" x14ac:dyDescent="0.15">
      <c r="A62" s="106"/>
      <c r="F62" s="336"/>
      <c r="J62" s="103" t="s">
        <v>171</v>
      </c>
      <c r="K62" s="103">
        <v>750814</v>
      </c>
    </row>
    <row r="63" spans="1:37" x14ac:dyDescent="0.15">
      <c r="A63" s="106"/>
      <c r="F63" s="336">
        <v>807963</v>
      </c>
      <c r="J63" s="103" t="s">
        <v>456</v>
      </c>
      <c r="K63" s="103">
        <v>592965</v>
      </c>
    </row>
    <row r="64" spans="1:37" x14ac:dyDescent="0.15">
      <c r="A64" s="108"/>
      <c r="B64" s="105"/>
      <c r="F64" s="336"/>
      <c r="J64" s="103" t="s">
        <v>170</v>
      </c>
      <c r="K64" s="103">
        <v>60503</v>
      </c>
    </row>
    <row r="65" spans="1:11" x14ac:dyDescent="0.15">
      <c r="A65" s="107"/>
      <c r="F65" s="336">
        <v>541740</v>
      </c>
      <c r="J65" s="103" t="s">
        <v>134</v>
      </c>
      <c r="K65" s="103">
        <v>472603</v>
      </c>
    </row>
    <row r="66" spans="1:11" x14ac:dyDescent="0.15">
      <c r="A66" s="106"/>
      <c r="F66" s="336"/>
      <c r="J66" s="103" t="s">
        <v>457</v>
      </c>
      <c r="K66" s="103">
        <v>487101</v>
      </c>
    </row>
    <row r="67" spans="1:11" x14ac:dyDescent="0.15">
      <c r="A67" s="106"/>
      <c r="F67" s="336">
        <v>743485</v>
      </c>
      <c r="J67" s="103" t="s">
        <v>453</v>
      </c>
      <c r="K67" s="103">
        <v>1493950</v>
      </c>
    </row>
    <row r="68" spans="1:11" x14ac:dyDescent="0.15">
      <c r="A68" s="106"/>
      <c r="F68" s="336"/>
      <c r="J68" s="103" t="s">
        <v>455</v>
      </c>
      <c r="K68" s="103">
        <v>941283</v>
      </c>
    </row>
    <row r="69" spans="1:11" x14ac:dyDescent="0.15">
      <c r="A69" s="106"/>
      <c r="F69" s="336">
        <v>1141669</v>
      </c>
      <c r="J69" s="103" t="s">
        <v>458</v>
      </c>
      <c r="K69" s="103">
        <v>396139</v>
      </c>
    </row>
    <row r="70" spans="1:11" x14ac:dyDescent="0.15">
      <c r="A70" s="106"/>
      <c r="F70" s="336"/>
    </row>
    <row r="71" spans="1:11" x14ac:dyDescent="0.15">
      <c r="A71" s="106"/>
      <c r="F71" s="336">
        <v>661374</v>
      </c>
    </row>
    <row r="72" spans="1:11" x14ac:dyDescent="0.15">
      <c r="A72" s="106"/>
      <c r="F72" s="336"/>
      <c r="K72" s="103">
        <f>SUM(K57:K71)</f>
        <v>9557664</v>
      </c>
    </row>
    <row r="73" spans="1:11" x14ac:dyDescent="0.15">
      <c r="F73" s="336">
        <v>645984</v>
      </c>
      <c r="K73" s="103">
        <f>+K72-H50</f>
        <v>-359954.92459403351</v>
      </c>
    </row>
    <row r="74" spans="1:11" x14ac:dyDescent="0.15">
      <c r="F74" s="336"/>
    </row>
    <row r="75" spans="1:11" x14ac:dyDescent="0.15">
      <c r="F75" s="336">
        <v>1649688</v>
      </c>
    </row>
    <row r="76" spans="1:11" x14ac:dyDescent="0.15">
      <c r="F76" s="336"/>
    </row>
    <row r="77" spans="1:11" x14ac:dyDescent="0.15">
      <c r="B77" s="104"/>
      <c r="F77" s="336">
        <v>391713</v>
      </c>
    </row>
    <row r="78" spans="1:11" x14ac:dyDescent="0.15">
      <c r="A78" s="104"/>
      <c r="F78" s="336"/>
    </row>
    <row r="79" spans="1:11" x14ac:dyDescent="0.15">
      <c r="A79" s="104"/>
      <c r="F79" s="336">
        <v>686454</v>
      </c>
    </row>
    <row r="80" spans="1:11" x14ac:dyDescent="0.15">
      <c r="F80" s="336"/>
    </row>
    <row r="81" spans="1:34" x14ac:dyDescent="0.15">
      <c r="F81" s="336">
        <v>172151</v>
      </c>
    </row>
    <row r="82" spans="1:34" x14ac:dyDescent="0.15">
      <c r="F82" s="336"/>
    </row>
    <row r="83" spans="1:34" x14ac:dyDescent="0.15">
      <c r="A83" s="104"/>
      <c r="F83" s="336">
        <v>511954</v>
      </c>
    </row>
    <row r="85" spans="1:34" x14ac:dyDescent="0.15">
      <c r="F85" s="103">
        <f>SUM(F58:F83)</f>
        <v>10760337</v>
      </c>
    </row>
    <row r="95" spans="1:34" x14ac:dyDescent="0.15">
      <c r="B95" s="103" t="s">
        <v>579</v>
      </c>
      <c r="D95" s="338">
        <v>45779</v>
      </c>
      <c r="E95" s="338"/>
      <c r="F95" s="338"/>
      <c r="G95" s="338">
        <v>45782</v>
      </c>
      <c r="H95" s="338">
        <v>45783</v>
      </c>
      <c r="I95" s="338">
        <v>45784</v>
      </c>
      <c r="J95" s="338">
        <v>45785</v>
      </c>
      <c r="K95" s="338">
        <v>45786</v>
      </c>
      <c r="L95" s="338"/>
      <c r="M95" s="338"/>
      <c r="N95" s="338">
        <v>45789</v>
      </c>
      <c r="O95" s="338">
        <v>45790</v>
      </c>
      <c r="P95" s="338">
        <v>45791</v>
      </c>
      <c r="Q95" s="338">
        <v>45792</v>
      </c>
      <c r="R95" s="338">
        <v>45793</v>
      </c>
      <c r="S95" s="338"/>
      <c r="T95" s="338"/>
      <c r="U95" s="338">
        <v>45796</v>
      </c>
      <c r="V95" s="338">
        <v>45797</v>
      </c>
      <c r="W95" s="338">
        <v>45798</v>
      </c>
      <c r="X95" s="338">
        <v>45799</v>
      </c>
      <c r="Y95" s="338">
        <v>45800</v>
      </c>
      <c r="Z95" s="338"/>
      <c r="AA95" s="338"/>
      <c r="AB95" s="338">
        <v>45803</v>
      </c>
      <c r="AC95" s="338">
        <v>45804</v>
      </c>
      <c r="AD95" s="338">
        <v>45805</v>
      </c>
      <c r="AE95" s="338"/>
      <c r="AF95" s="338">
        <v>45807</v>
      </c>
    </row>
    <row r="96" spans="1:34" x14ac:dyDescent="0.15">
      <c r="B96" s="103" t="s">
        <v>580</v>
      </c>
      <c r="D96" s="103">
        <v>-1982278.38</v>
      </c>
      <c r="E96" s="103">
        <v>0</v>
      </c>
      <c r="F96" s="103">
        <v>0</v>
      </c>
      <c r="G96" s="103">
        <v>-595404.29</v>
      </c>
      <c r="H96" s="103">
        <v>-201083.98</v>
      </c>
      <c r="I96" s="103">
        <v>-422736.77</v>
      </c>
      <c r="J96" s="103">
        <v>-570656.78</v>
      </c>
      <c r="K96" s="103">
        <v>-272254.87</v>
      </c>
      <c r="L96" s="103">
        <v>0</v>
      </c>
      <c r="M96" s="103">
        <v>0</v>
      </c>
      <c r="N96" s="103">
        <v>-530033.92000000004</v>
      </c>
      <c r="O96" s="103">
        <v>0</v>
      </c>
      <c r="P96" s="103">
        <v>-90523.12000000001</v>
      </c>
      <c r="Q96" s="103">
        <v>-819474.09000000008</v>
      </c>
      <c r="R96" s="103">
        <v>-109278.52</v>
      </c>
      <c r="S96" s="103">
        <v>0</v>
      </c>
      <c r="T96" s="103">
        <v>0</v>
      </c>
      <c r="U96" s="103">
        <v>-6381.48</v>
      </c>
      <c r="V96" s="103">
        <v>-242662.52</v>
      </c>
      <c r="W96" s="103">
        <v>-16842.439999999999</v>
      </c>
      <c r="X96" s="103">
        <v>-370595.95000000007</v>
      </c>
      <c r="Y96" s="103">
        <v>-5.5</v>
      </c>
      <c r="Z96" s="103">
        <v>0</v>
      </c>
      <c r="AA96" s="103">
        <v>0</v>
      </c>
      <c r="AB96" s="103">
        <v>-2637886.8099999996</v>
      </c>
      <c r="AC96" s="103">
        <v>-400076.87</v>
      </c>
      <c r="AD96" s="103">
        <v>-14049.380000000034</v>
      </c>
      <c r="AE96" s="103">
        <v>0</v>
      </c>
      <c r="AF96" s="103">
        <v>-2902204.71</v>
      </c>
      <c r="AH96" s="103">
        <f>SUM(C96:AG96)</f>
        <v>-12184430.379999999</v>
      </c>
    </row>
    <row r="97" spans="2:35" x14ac:dyDescent="0.15">
      <c r="B97" s="103" t="s">
        <v>581</v>
      </c>
      <c r="D97" s="103">
        <v>531038.72000000009</v>
      </c>
      <c r="E97" s="103">
        <v>0</v>
      </c>
      <c r="F97" s="103">
        <v>0</v>
      </c>
      <c r="G97" s="103">
        <v>541683.50999999989</v>
      </c>
      <c r="H97" s="103">
        <v>588922.59</v>
      </c>
      <c r="I97" s="103">
        <v>373029.17000000022</v>
      </c>
      <c r="J97" s="103">
        <v>408211.75000000017</v>
      </c>
      <c r="K97" s="103">
        <v>474387.67999999982</v>
      </c>
      <c r="L97" s="103">
        <v>0</v>
      </c>
      <c r="M97" s="103">
        <v>0</v>
      </c>
      <c r="N97" s="103">
        <v>683458.45000000019</v>
      </c>
      <c r="O97" s="103">
        <v>270155.16000000003</v>
      </c>
      <c r="P97" s="103">
        <v>255191.43999999997</v>
      </c>
      <c r="Q97" s="103">
        <v>631806.88999999966</v>
      </c>
      <c r="R97" s="103">
        <v>274248.07000000012</v>
      </c>
      <c r="S97" s="103">
        <v>0</v>
      </c>
      <c r="T97" s="103">
        <v>0</v>
      </c>
      <c r="U97" s="103">
        <v>1201407.81</v>
      </c>
      <c r="V97" s="103">
        <v>259956.1999999999</v>
      </c>
      <c r="W97" s="103">
        <v>202985.76000000007</v>
      </c>
      <c r="X97" s="103">
        <v>311444.91000000003</v>
      </c>
      <c r="Y97" s="103">
        <v>327453.99</v>
      </c>
      <c r="Z97" s="103">
        <v>0</v>
      </c>
      <c r="AA97" s="103">
        <v>0</v>
      </c>
      <c r="AB97" s="103">
        <v>920359.60999999929</v>
      </c>
      <c r="AC97" s="103">
        <v>346042.29</v>
      </c>
      <c r="AD97" s="103">
        <v>275166.52</v>
      </c>
      <c r="AE97" s="103">
        <v>0</v>
      </c>
      <c r="AF97" s="103">
        <v>769598.67999999982</v>
      </c>
      <c r="AH97" s="103">
        <f>SUM(C97:AG97)</f>
        <v>9646549.1999999993</v>
      </c>
    </row>
    <row r="99" spans="2:35" x14ac:dyDescent="0.15">
      <c r="B99" s="103" t="s">
        <v>591</v>
      </c>
      <c r="C99" s="103">
        <f>+C32</f>
        <v>0</v>
      </c>
      <c r="D99" s="103">
        <f t="shared" ref="D99:AG99" si="12">+D32</f>
        <v>1938056</v>
      </c>
      <c r="E99" s="103">
        <f t="shared" si="12"/>
        <v>0</v>
      </c>
      <c r="F99" s="103">
        <f t="shared" si="12"/>
        <v>0</v>
      </c>
      <c r="G99" s="103">
        <f t="shared" si="12"/>
        <v>1019353.9855542504</v>
      </c>
      <c r="H99" s="103">
        <f t="shared" si="12"/>
        <v>0</v>
      </c>
      <c r="I99" s="103">
        <f t="shared" si="12"/>
        <v>524000</v>
      </c>
      <c r="J99" s="103">
        <f t="shared" si="12"/>
        <v>100000</v>
      </c>
      <c r="K99" s="103">
        <f t="shared" si="12"/>
        <v>765000</v>
      </c>
      <c r="L99" s="103">
        <f t="shared" si="12"/>
        <v>0</v>
      </c>
      <c r="M99" s="103">
        <f t="shared" si="12"/>
        <v>0</v>
      </c>
      <c r="N99" s="103">
        <f t="shared" si="12"/>
        <v>0</v>
      </c>
      <c r="O99" s="103">
        <f t="shared" si="12"/>
        <v>0</v>
      </c>
      <c r="P99" s="103">
        <f t="shared" si="12"/>
        <v>150000</v>
      </c>
      <c r="Q99" s="103">
        <f t="shared" si="12"/>
        <v>350000</v>
      </c>
      <c r="R99" s="103">
        <f t="shared" si="12"/>
        <v>691368.98555425042</v>
      </c>
      <c r="S99" s="103">
        <f t="shared" si="12"/>
        <v>0</v>
      </c>
      <c r="T99" s="103">
        <f t="shared" si="12"/>
        <v>0</v>
      </c>
      <c r="U99" s="103">
        <f t="shared" si="12"/>
        <v>0</v>
      </c>
      <c r="V99" s="103">
        <f t="shared" si="12"/>
        <v>0</v>
      </c>
      <c r="W99" s="103">
        <f t="shared" si="12"/>
        <v>0</v>
      </c>
      <c r="X99" s="103">
        <f t="shared" si="12"/>
        <v>0</v>
      </c>
      <c r="Y99" s="103">
        <f t="shared" si="12"/>
        <v>1291669.9855542504</v>
      </c>
      <c r="Z99" s="103">
        <f t="shared" si="12"/>
        <v>0</v>
      </c>
      <c r="AA99" s="103">
        <f t="shared" si="12"/>
        <v>0</v>
      </c>
      <c r="AB99" s="103">
        <f t="shared" si="12"/>
        <v>0</v>
      </c>
      <c r="AC99" s="103">
        <f t="shared" si="12"/>
        <v>850000</v>
      </c>
      <c r="AD99" s="103">
        <f t="shared" si="12"/>
        <v>1550000</v>
      </c>
      <c r="AE99" s="103">
        <f t="shared" si="12"/>
        <v>739912</v>
      </c>
      <c r="AF99" s="103">
        <f t="shared" si="12"/>
        <v>1946461</v>
      </c>
      <c r="AG99" s="103">
        <f t="shared" si="12"/>
        <v>0</v>
      </c>
      <c r="AH99" s="103">
        <f>SUM(C99:AG99)</f>
        <v>11915821.95666275</v>
      </c>
    </row>
    <row r="100" spans="2:35" x14ac:dyDescent="0.15">
      <c r="B100" s="103" t="s">
        <v>592</v>
      </c>
      <c r="C100" s="103">
        <f>+C42</f>
        <v>347460.64880370966</v>
      </c>
      <c r="D100" s="103">
        <f t="shared" ref="D100:AG100" si="13">+D42</f>
        <v>347461.14880370966</v>
      </c>
      <c r="E100" s="103">
        <f t="shared" si="13"/>
        <v>0</v>
      </c>
      <c r="F100" s="103">
        <f t="shared" si="13"/>
        <v>0</v>
      </c>
      <c r="G100" s="103">
        <f t="shared" si="13"/>
        <v>529854.00918048387</v>
      </c>
      <c r="H100" s="103">
        <f t="shared" si="13"/>
        <v>655083.86955725797</v>
      </c>
      <c r="I100" s="103">
        <f t="shared" si="13"/>
        <v>347461.14880370966</v>
      </c>
      <c r="J100" s="103">
        <f t="shared" si="13"/>
        <v>347461.14880370966</v>
      </c>
      <c r="K100" s="103">
        <f t="shared" si="13"/>
        <v>677597.72565758065</v>
      </c>
      <c r="L100" s="103">
        <f t="shared" si="13"/>
        <v>0</v>
      </c>
      <c r="M100" s="103">
        <f t="shared" si="13"/>
        <v>0</v>
      </c>
      <c r="N100" s="103">
        <f t="shared" si="13"/>
        <v>347461.14880370966</v>
      </c>
      <c r="O100" s="103">
        <f t="shared" si="13"/>
        <v>312246.86955725797</v>
      </c>
      <c r="P100" s="103">
        <f t="shared" si="13"/>
        <v>347461.14880370966</v>
      </c>
      <c r="Q100" s="103">
        <f t="shared" si="13"/>
        <v>347461.14880370966</v>
      </c>
      <c r="R100" s="103">
        <f t="shared" si="13"/>
        <v>677597.72565758065</v>
      </c>
      <c r="S100" s="103">
        <f t="shared" si="13"/>
        <v>0</v>
      </c>
      <c r="T100" s="103">
        <f t="shared" si="13"/>
        <v>0</v>
      </c>
      <c r="U100" s="103">
        <f t="shared" si="13"/>
        <v>347461.14880370966</v>
      </c>
      <c r="V100" s="103">
        <f t="shared" si="13"/>
        <v>312246.86955725797</v>
      </c>
      <c r="W100" s="103">
        <f t="shared" si="13"/>
        <v>347461.14880370966</v>
      </c>
      <c r="X100" s="103">
        <f t="shared" si="13"/>
        <v>347461.14880370966</v>
      </c>
      <c r="Y100" s="103">
        <f t="shared" si="13"/>
        <v>677597.72565758065</v>
      </c>
      <c r="Z100" s="103">
        <f t="shared" si="13"/>
        <v>0</v>
      </c>
      <c r="AA100" s="103">
        <f t="shared" si="13"/>
        <v>0</v>
      </c>
      <c r="AB100" s="103">
        <f t="shared" si="13"/>
        <v>347461.14880370966</v>
      </c>
      <c r="AC100" s="103">
        <f t="shared" si="13"/>
        <v>712246.86955725797</v>
      </c>
      <c r="AD100" s="103">
        <f t="shared" si="13"/>
        <v>347461.14880370966</v>
      </c>
      <c r="AE100" s="103">
        <f t="shared" si="13"/>
        <v>276467.14880370966</v>
      </c>
      <c r="AF100" s="103">
        <f t="shared" si="13"/>
        <v>1025058.8744612902</v>
      </c>
      <c r="AG100" s="103">
        <f t="shared" si="13"/>
        <v>0</v>
      </c>
      <c r="AH100" s="103">
        <f>SUM(C100:AG100)</f>
        <v>10025530.973291773</v>
      </c>
      <c r="AI100" s="103">
        <f>+AH100-AH99</f>
        <v>-1890290.9833709765</v>
      </c>
    </row>
    <row r="102" spans="2:35" x14ac:dyDescent="0.15">
      <c r="B102" s="103" t="s">
        <v>593</v>
      </c>
      <c r="C102" s="103">
        <f>+C99+C96</f>
        <v>0</v>
      </c>
      <c r="D102" s="103">
        <f>+C102+D99+D96</f>
        <v>-44222.379999999888</v>
      </c>
      <c r="E102" s="103">
        <f t="shared" ref="E102:AF102" si="14">+D102+E99+E96</f>
        <v>-44222.379999999888</v>
      </c>
      <c r="F102" s="103">
        <f t="shared" si="14"/>
        <v>-44222.379999999888</v>
      </c>
      <c r="G102" s="103">
        <f t="shared" si="14"/>
        <v>379727.3155542505</v>
      </c>
      <c r="H102" s="103">
        <f t="shared" si="14"/>
        <v>178643.33555425049</v>
      </c>
      <c r="I102" s="103">
        <f t="shared" si="14"/>
        <v>279906.5655542505</v>
      </c>
      <c r="J102" s="103">
        <f t="shared" si="14"/>
        <v>-190750.21444574953</v>
      </c>
      <c r="K102" s="103">
        <f t="shared" si="14"/>
        <v>301994.91555425047</v>
      </c>
      <c r="L102" s="103">
        <f t="shared" si="14"/>
        <v>301994.91555425047</v>
      </c>
      <c r="M102" s="103">
        <f t="shared" si="14"/>
        <v>301994.91555425047</v>
      </c>
      <c r="N102" s="103">
        <f t="shared" si="14"/>
        <v>-228039.00444574957</v>
      </c>
      <c r="O102" s="103">
        <f t="shared" si="14"/>
        <v>-228039.00444574957</v>
      </c>
      <c r="P102" s="103">
        <f t="shared" si="14"/>
        <v>-168562.12444574956</v>
      </c>
      <c r="Q102" s="103">
        <f t="shared" si="14"/>
        <v>-638036.21444574965</v>
      </c>
      <c r="R102" s="103">
        <f t="shared" si="14"/>
        <v>-55945.748891499228</v>
      </c>
      <c r="S102" s="103">
        <f t="shared" si="14"/>
        <v>-55945.748891499228</v>
      </c>
      <c r="T102" s="103">
        <f t="shared" si="14"/>
        <v>-55945.748891499228</v>
      </c>
      <c r="U102" s="103">
        <f t="shared" si="14"/>
        <v>-62327.228891499224</v>
      </c>
      <c r="V102" s="103">
        <f t="shared" si="14"/>
        <v>-304989.74889149924</v>
      </c>
      <c r="W102" s="103">
        <f t="shared" si="14"/>
        <v>-321832.18889149925</v>
      </c>
      <c r="X102" s="103">
        <f t="shared" si="14"/>
        <v>-692428.13889149926</v>
      </c>
      <c r="Y102" s="103">
        <f t="shared" si="14"/>
        <v>599236.34666275117</v>
      </c>
      <c r="Z102" s="103">
        <f t="shared" si="14"/>
        <v>599236.34666275117</v>
      </c>
      <c r="AA102" s="103">
        <f t="shared" si="14"/>
        <v>599236.34666275117</v>
      </c>
      <c r="AB102" s="103">
        <f t="shared" si="14"/>
        <v>-2038650.4633372484</v>
      </c>
      <c r="AC102" s="103">
        <f t="shared" si="14"/>
        <v>-1588727.3333372483</v>
      </c>
      <c r="AD102" s="103">
        <f t="shared" si="14"/>
        <v>-52776.713337248337</v>
      </c>
      <c r="AE102" s="103">
        <f t="shared" si="14"/>
        <v>687135.28666275169</v>
      </c>
      <c r="AF102" s="103">
        <f t="shared" si="14"/>
        <v>-268608.42333724815</v>
      </c>
    </row>
    <row r="103" spans="2:35" x14ac:dyDescent="0.15">
      <c r="B103" s="103" t="s">
        <v>594</v>
      </c>
      <c r="C103" s="103">
        <f>+C100-C97</f>
        <v>347460.64880370966</v>
      </c>
      <c r="D103" s="103">
        <f>+C103+D100-D97</f>
        <v>163883.07760741923</v>
      </c>
      <c r="E103" s="103">
        <f t="shared" ref="E103:AF103" si="15">+D103+E100-E97</f>
        <v>163883.07760741923</v>
      </c>
      <c r="F103" s="103">
        <f t="shared" si="15"/>
        <v>163883.07760741923</v>
      </c>
      <c r="G103" s="103">
        <f t="shared" si="15"/>
        <v>152053.57678790321</v>
      </c>
      <c r="H103" s="103">
        <f t="shared" si="15"/>
        <v>218214.85634516121</v>
      </c>
      <c r="I103" s="103">
        <f t="shared" si="15"/>
        <v>192646.83514887065</v>
      </c>
      <c r="J103" s="103">
        <f t="shared" si="15"/>
        <v>131896.23395258008</v>
      </c>
      <c r="K103" s="103">
        <f t="shared" si="15"/>
        <v>335106.27961016085</v>
      </c>
      <c r="L103" s="103">
        <f t="shared" si="15"/>
        <v>335106.27961016085</v>
      </c>
      <c r="M103" s="103">
        <f t="shared" si="15"/>
        <v>335106.27961016085</v>
      </c>
      <c r="N103" s="103">
        <f t="shared" si="15"/>
        <v>-891.02158612967469</v>
      </c>
      <c r="O103" s="103">
        <f t="shared" si="15"/>
        <v>41200.687971128267</v>
      </c>
      <c r="P103" s="103">
        <f t="shared" si="15"/>
        <v>133470.39677483795</v>
      </c>
      <c r="Q103" s="103">
        <f t="shared" si="15"/>
        <v>-150875.34442145203</v>
      </c>
      <c r="R103" s="103">
        <f t="shared" si="15"/>
        <v>252474.3112361285</v>
      </c>
      <c r="S103" s="103">
        <f t="shared" si="15"/>
        <v>252474.3112361285</v>
      </c>
      <c r="T103" s="103">
        <f t="shared" si="15"/>
        <v>252474.3112361285</v>
      </c>
      <c r="U103" s="103">
        <f t="shared" si="15"/>
        <v>-601472.34996016184</v>
      </c>
      <c r="V103" s="103">
        <f t="shared" si="15"/>
        <v>-549181.68040290382</v>
      </c>
      <c r="W103" s="103">
        <f t="shared" si="15"/>
        <v>-404706.29159919423</v>
      </c>
      <c r="X103" s="103">
        <f t="shared" si="15"/>
        <v>-368690.0527954846</v>
      </c>
      <c r="Y103" s="103">
        <f t="shared" si="15"/>
        <v>-18546.317137903941</v>
      </c>
      <c r="Z103" s="103">
        <f t="shared" si="15"/>
        <v>-18546.317137903941</v>
      </c>
      <c r="AA103" s="103">
        <f t="shared" si="15"/>
        <v>-18546.317137903941</v>
      </c>
      <c r="AB103" s="103">
        <f t="shared" si="15"/>
        <v>-591444.77833419363</v>
      </c>
      <c r="AC103" s="103">
        <f t="shared" si="15"/>
        <v>-225240.19877693563</v>
      </c>
      <c r="AD103" s="103">
        <f t="shared" si="15"/>
        <v>-152945.569973226</v>
      </c>
      <c r="AE103" s="103">
        <f t="shared" si="15"/>
        <v>123521.57883048366</v>
      </c>
      <c r="AF103" s="103">
        <f t="shared" si="15"/>
        <v>378981.77329177398</v>
      </c>
      <c r="AI103" s="103">
        <f>+AF103-AF102-AI100+AI97</f>
        <v>2537881.1799999988</v>
      </c>
    </row>
  </sheetData>
  <conditionalFormatting sqref="C2:AG2">
    <cfRule type="cellIs" dxfId="0" priority="1" operator="equal">
      <formula>"So"</formula>
    </cfRule>
  </conditionalFormatting>
  <pageMargins left="0.23622047244094491" right="0.23622047244094491" top="0.55118110236220474" bottom="0.15748031496062992" header="0.31496062992125984" footer="0.11811023622047245"/>
  <pageSetup paperSize="9" scale="50" fitToWidth="2" fitToHeight="2" orientation="landscape" r:id="rId1"/>
  <headerFooter alignWithMargins="0">
    <oddHeader>&amp;F</oddHeader>
    <oddFooter>Seite &amp;P von &amp;N</oddFooter>
  </headerFooter>
  <colBreaks count="1" manualBreakCount="1">
    <brk id="20" max="1048575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5529-D9C4-488E-933F-A21CD20482D5}">
  <sheetPr>
    <pageSetUpPr fitToPage="1"/>
  </sheetPr>
  <dimension ref="A1:CM83"/>
  <sheetViews>
    <sheetView zoomScale="70" zoomScaleNormal="70" workbookViewId="0">
      <pane xSplit="2" ySplit="6" topLeftCell="N23" activePane="bottomRight" state="frozen"/>
      <selection activeCell="B27" sqref="B27"/>
      <selection pane="topRight" activeCell="B27" sqref="B27"/>
      <selection pane="bottomLeft" activeCell="B27" sqref="B27"/>
      <selection pane="bottomRight" activeCell="AG55" sqref="AG55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39.5" style="103" bestFit="1" customWidth="1"/>
    <col min="3" max="3" width="13.5" style="103" customWidth="1"/>
    <col min="4" max="7" width="12" style="103" customWidth="1"/>
    <col min="8" max="8" width="12.6640625" style="103" customWidth="1"/>
    <col min="9" max="9" width="12" style="103" bestFit="1" customWidth="1"/>
    <col min="10" max="10" width="12.83203125" style="103" customWidth="1"/>
    <col min="11" max="11" width="14" style="103" customWidth="1"/>
    <col min="12" max="12" width="13.33203125" style="103" customWidth="1"/>
    <col min="13" max="13" width="13.1640625" style="103" customWidth="1"/>
    <col min="14" max="14" width="14.33203125" style="103" customWidth="1"/>
    <col min="15" max="15" width="13.6640625" style="103" customWidth="1"/>
    <col min="16" max="16" width="12" style="103" bestFit="1" customWidth="1"/>
    <col min="17" max="17" width="11.5" style="103"/>
    <col min="18" max="18" width="13" style="103" bestFit="1" customWidth="1"/>
    <col min="19" max="26" width="12.83203125" style="103" customWidth="1"/>
    <col min="27" max="31" width="13.5" style="103" customWidth="1"/>
    <col min="32" max="33" width="11.83203125" style="103" bestFit="1" customWidth="1"/>
    <col min="34" max="34" width="14.5" style="103" bestFit="1" customWidth="1"/>
    <col min="35" max="35" width="1.6640625" style="103" bestFit="1" customWidth="1"/>
    <col min="36" max="36" width="15.1640625" style="103" bestFit="1" customWidth="1"/>
    <col min="37" max="37" width="11.6640625" style="103" bestFit="1" customWidth="1"/>
    <col min="38" max="38" width="15.5" style="103" bestFit="1" customWidth="1"/>
    <col min="39" max="39" width="13.5" style="103" customWidth="1"/>
    <col min="40" max="16384" width="11.5" style="103"/>
  </cols>
  <sheetData>
    <row r="1" spans="1:91" x14ac:dyDescent="0.15">
      <c r="A1" s="103" t="s">
        <v>314</v>
      </c>
      <c r="B1" s="103">
        <v>20</v>
      </c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</row>
    <row r="2" spans="1:91" x14ac:dyDescent="0.15">
      <c r="A2" s="154" t="s">
        <v>219</v>
      </c>
      <c r="B2" s="154" t="s">
        <v>297</v>
      </c>
      <c r="C2" s="155">
        <v>45809</v>
      </c>
      <c r="D2" s="155">
        <v>45810</v>
      </c>
      <c r="E2" s="155">
        <v>45811</v>
      </c>
      <c r="F2" s="155">
        <v>45812</v>
      </c>
      <c r="G2" s="155">
        <v>45813</v>
      </c>
      <c r="H2" s="155">
        <v>45814</v>
      </c>
      <c r="I2" s="155">
        <v>45815</v>
      </c>
      <c r="J2" s="155">
        <v>45816</v>
      </c>
      <c r="K2" s="155">
        <v>45817</v>
      </c>
      <c r="L2" s="155">
        <v>45818</v>
      </c>
      <c r="M2" s="155">
        <v>45819</v>
      </c>
      <c r="N2" s="155">
        <v>45820</v>
      </c>
      <c r="O2" s="155">
        <v>45821</v>
      </c>
      <c r="P2" s="155">
        <v>45822</v>
      </c>
      <c r="Q2" s="155">
        <v>45823</v>
      </c>
      <c r="R2" s="155">
        <v>45824</v>
      </c>
      <c r="S2" s="155">
        <v>45825</v>
      </c>
      <c r="T2" s="155">
        <v>45826</v>
      </c>
      <c r="U2" s="155">
        <v>45827</v>
      </c>
      <c r="V2" s="155">
        <v>45828</v>
      </c>
      <c r="W2" s="155">
        <v>45829</v>
      </c>
      <c r="X2" s="155">
        <v>45830</v>
      </c>
      <c r="Y2" s="155">
        <v>45831</v>
      </c>
      <c r="Z2" s="155">
        <v>45832</v>
      </c>
      <c r="AA2" s="155">
        <v>45833</v>
      </c>
      <c r="AB2" s="155">
        <v>45834</v>
      </c>
      <c r="AC2" s="155">
        <v>45835</v>
      </c>
      <c r="AD2" s="155">
        <v>45836</v>
      </c>
      <c r="AE2" s="155">
        <v>45837</v>
      </c>
      <c r="AF2" s="155">
        <v>45838</v>
      </c>
      <c r="AG2" s="155" t="s">
        <v>219</v>
      </c>
      <c r="AH2" s="154" t="s">
        <v>297</v>
      </c>
      <c r="AI2" s="154" t="s">
        <v>219</v>
      </c>
      <c r="AJ2" s="154" t="s">
        <v>375</v>
      </c>
      <c r="AK2" s="154" t="s">
        <v>376</v>
      </c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</row>
    <row r="3" spans="1:91" x14ac:dyDescent="0.15">
      <c r="A3" s="153" t="s">
        <v>296</v>
      </c>
      <c r="B3" s="151"/>
      <c r="C3" s="153" t="s">
        <v>295</v>
      </c>
      <c r="D3" s="153" t="s">
        <v>294</v>
      </c>
      <c r="E3" s="153" t="s">
        <v>293</v>
      </c>
      <c r="F3" s="153" t="s">
        <v>292</v>
      </c>
      <c r="G3" s="153" t="s">
        <v>291</v>
      </c>
      <c r="H3" s="153" t="s">
        <v>290</v>
      </c>
      <c r="I3" s="153" t="s">
        <v>289</v>
      </c>
      <c r="J3" s="153" t="s">
        <v>288</v>
      </c>
      <c r="K3" s="153" t="s">
        <v>287</v>
      </c>
      <c r="L3" s="153" t="s">
        <v>286</v>
      </c>
      <c r="M3" s="153" t="s">
        <v>313</v>
      </c>
      <c r="N3" s="153" t="s">
        <v>284</v>
      </c>
      <c r="O3" s="153" t="s">
        <v>283</v>
      </c>
      <c r="P3" s="153" t="s">
        <v>282</v>
      </c>
      <c r="Q3" s="153" t="s">
        <v>281</v>
      </c>
      <c r="R3" s="153" t="s">
        <v>280</v>
      </c>
      <c r="S3" s="153" t="s">
        <v>279</v>
      </c>
      <c r="T3" s="153" t="s">
        <v>278</v>
      </c>
      <c r="U3" s="153" t="s">
        <v>277</v>
      </c>
      <c r="V3" s="153" t="s">
        <v>276</v>
      </c>
      <c r="W3" s="153" t="s">
        <v>275</v>
      </c>
      <c r="X3" s="153" t="s">
        <v>274</v>
      </c>
      <c r="Y3" s="153" t="s">
        <v>273</v>
      </c>
      <c r="Z3" s="153" t="s">
        <v>272</v>
      </c>
      <c r="AA3" s="153" t="s">
        <v>271</v>
      </c>
      <c r="AB3" s="153" t="s">
        <v>270</v>
      </c>
      <c r="AC3" s="153" t="s">
        <v>269</v>
      </c>
      <c r="AD3" s="153" t="s">
        <v>268</v>
      </c>
      <c r="AE3" s="153" t="s">
        <v>267</v>
      </c>
      <c r="AF3" s="153" t="s">
        <v>266</v>
      </c>
      <c r="AG3" s="153" t="s">
        <v>219</v>
      </c>
      <c r="AH3" s="152" t="s">
        <v>264</v>
      </c>
      <c r="AI3" s="151"/>
      <c r="AJ3" s="152"/>
      <c r="AK3" s="152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</row>
    <row r="4" spans="1:91" x14ac:dyDescent="0.15">
      <c r="A4" s="112" t="s">
        <v>302</v>
      </c>
      <c r="B4" s="150">
        <f>+Mai!AG50</f>
        <v>9104878.2504321374</v>
      </c>
      <c r="C4" s="149">
        <f>B4</f>
        <v>9104878.2504321374</v>
      </c>
      <c r="D4" s="149">
        <f t="shared" ref="D4:AG4" si="0">+C50</f>
        <v>9104878.2504321374</v>
      </c>
      <c r="E4" s="149">
        <f t="shared" si="0"/>
        <v>8841224.4743492529</v>
      </c>
      <c r="F4" s="149">
        <f t="shared" si="0"/>
        <v>8559353.550699586</v>
      </c>
      <c r="G4" s="149">
        <f t="shared" si="0"/>
        <v>8893495.200827552</v>
      </c>
      <c r="H4" s="149">
        <f t="shared" si="0"/>
        <v>9227636.850955518</v>
      </c>
      <c r="I4" s="149">
        <f t="shared" si="0"/>
        <v>8451458.5010834839</v>
      </c>
      <c r="J4" s="149">
        <f t="shared" si="0"/>
        <v>8451458.5010834839</v>
      </c>
      <c r="K4" s="149">
        <f t="shared" si="0"/>
        <v>8451458.5010834839</v>
      </c>
      <c r="L4" s="149">
        <f t="shared" si="0"/>
        <v>8963653.0252450146</v>
      </c>
      <c r="M4" s="149">
        <f t="shared" si="0"/>
        <v>9638025.1015953477</v>
      </c>
      <c r="N4" s="149">
        <f t="shared" si="0"/>
        <v>9972166.7517233137</v>
      </c>
      <c r="O4" s="149">
        <f t="shared" si="0"/>
        <v>9567666.1016068626</v>
      </c>
      <c r="P4" s="149">
        <f t="shared" si="0"/>
        <v>9551807.7517348286</v>
      </c>
      <c r="Q4" s="149">
        <f t="shared" si="0"/>
        <v>9551807.7517348286</v>
      </c>
      <c r="R4" s="149">
        <f t="shared" si="0"/>
        <v>9551807.7517348286</v>
      </c>
      <c r="S4" s="149">
        <f t="shared" si="0"/>
        <v>10194414.275896359</v>
      </c>
      <c r="T4" s="149">
        <f t="shared" si="0"/>
        <v>10868786.352246692</v>
      </c>
      <c r="U4" s="149">
        <f t="shared" si="0"/>
        <v>11202928.002374658</v>
      </c>
      <c r="V4" s="149">
        <f t="shared" si="0"/>
        <v>10934049.352258207</v>
      </c>
      <c r="W4" s="149">
        <f t="shared" si="0"/>
        <v>11268191.002386173</v>
      </c>
      <c r="X4" s="149">
        <f t="shared" si="0"/>
        <v>11268191.002386173</v>
      </c>
      <c r="Y4" s="149">
        <f t="shared" si="0"/>
        <v>11268191.002386173</v>
      </c>
      <c r="Z4" s="149">
        <f t="shared" si="0"/>
        <v>11930385.526547704</v>
      </c>
      <c r="AA4" s="149">
        <f t="shared" si="0"/>
        <v>12604757.602898037</v>
      </c>
      <c r="AB4" s="149">
        <f t="shared" si="0"/>
        <v>12938899.253026003</v>
      </c>
      <c r="AC4" s="149">
        <f t="shared" si="0"/>
        <v>11834398.602909554</v>
      </c>
      <c r="AD4" s="149">
        <f t="shared" si="0"/>
        <v>10668540.25303752</v>
      </c>
      <c r="AE4" s="149">
        <f t="shared" si="0"/>
        <v>10668540.25303752</v>
      </c>
      <c r="AF4" s="149">
        <f t="shared" si="0"/>
        <v>10668540.25303752</v>
      </c>
      <c r="AG4" s="149">
        <f t="shared" si="0"/>
        <v>11225488.340182269</v>
      </c>
      <c r="AH4" s="105">
        <f>+B4</f>
        <v>9104878.2504321374</v>
      </c>
      <c r="AI4" s="148"/>
      <c r="AJ4" s="105"/>
      <c r="AK4" s="105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</row>
    <row r="5" spans="1:91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/>
      <c r="AK5" s="145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</row>
    <row r="6" spans="1:91" x14ac:dyDescent="0.15">
      <c r="A6" s="133" t="s">
        <v>261</v>
      </c>
      <c r="B6" s="142">
        <f t="shared" ref="B6:AG6" si="1">+B4+B5</f>
        <v>9104878.2504321374</v>
      </c>
      <c r="C6" s="142">
        <f t="shared" si="1"/>
        <v>9104878.2504321374</v>
      </c>
      <c r="D6" s="142">
        <f t="shared" si="1"/>
        <v>9104878.2504321374</v>
      </c>
      <c r="E6" s="142">
        <f t="shared" si="1"/>
        <v>8841224.4743492529</v>
      </c>
      <c r="F6" s="142">
        <f t="shared" si="1"/>
        <v>8559353.550699586</v>
      </c>
      <c r="G6" s="142">
        <f t="shared" si="1"/>
        <v>8893495.200827552</v>
      </c>
      <c r="H6" s="142">
        <f t="shared" si="1"/>
        <v>9227636.850955518</v>
      </c>
      <c r="I6" s="142">
        <f t="shared" si="1"/>
        <v>8451458.5010834839</v>
      </c>
      <c r="J6" s="142">
        <f t="shared" si="1"/>
        <v>8451458.5010834839</v>
      </c>
      <c r="K6" s="142">
        <f t="shared" si="1"/>
        <v>8451458.5010834839</v>
      </c>
      <c r="L6" s="142">
        <f t="shared" si="1"/>
        <v>8963653.0252450146</v>
      </c>
      <c r="M6" s="142">
        <f t="shared" si="1"/>
        <v>9638025.1015953477</v>
      </c>
      <c r="N6" s="142">
        <f t="shared" si="1"/>
        <v>9972166.7517233137</v>
      </c>
      <c r="O6" s="142">
        <f t="shared" si="1"/>
        <v>9567666.1016068626</v>
      </c>
      <c r="P6" s="142">
        <f t="shared" si="1"/>
        <v>9551807.7517348286</v>
      </c>
      <c r="Q6" s="142">
        <f t="shared" si="1"/>
        <v>9551807.7517348286</v>
      </c>
      <c r="R6" s="142">
        <f t="shared" si="1"/>
        <v>9551807.7517348286</v>
      </c>
      <c r="S6" s="142">
        <f t="shared" si="1"/>
        <v>10194414.275896359</v>
      </c>
      <c r="T6" s="142">
        <f t="shared" si="1"/>
        <v>10868786.352246692</v>
      </c>
      <c r="U6" s="142">
        <f t="shared" si="1"/>
        <v>11202928.002374658</v>
      </c>
      <c r="V6" s="142">
        <f t="shared" si="1"/>
        <v>10934049.352258207</v>
      </c>
      <c r="W6" s="142">
        <f t="shared" si="1"/>
        <v>11268191.002386173</v>
      </c>
      <c r="X6" s="142">
        <f t="shared" si="1"/>
        <v>11268191.002386173</v>
      </c>
      <c r="Y6" s="142">
        <f t="shared" si="1"/>
        <v>11268191.002386173</v>
      </c>
      <c r="Z6" s="142">
        <f t="shared" si="1"/>
        <v>11930385.526547704</v>
      </c>
      <c r="AA6" s="142">
        <f t="shared" si="1"/>
        <v>12604757.602898037</v>
      </c>
      <c r="AB6" s="142">
        <f t="shared" si="1"/>
        <v>12938899.253026003</v>
      </c>
      <c r="AC6" s="142">
        <f t="shared" si="1"/>
        <v>11834398.602909554</v>
      </c>
      <c r="AD6" s="142">
        <f t="shared" si="1"/>
        <v>10668540.25303752</v>
      </c>
      <c r="AE6" s="142">
        <f t="shared" si="1"/>
        <v>10668540.25303752</v>
      </c>
      <c r="AF6" s="132">
        <f t="shared" si="1"/>
        <v>10668540.25303752</v>
      </c>
      <c r="AG6" s="132">
        <f t="shared" si="1"/>
        <v>11225488.340182269</v>
      </c>
      <c r="AH6" s="105">
        <f>AH5+AH4</f>
        <v>9104878.2504321374</v>
      </c>
      <c r="AI6" s="142"/>
      <c r="AJ6" s="105"/>
      <c r="AK6" s="105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</row>
    <row r="7" spans="1:91" x14ac:dyDescent="0.15">
      <c r="A7" s="133" t="s">
        <v>260</v>
      </c>
      <c r="B7" s="142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 t="s">
        <v>219</v>
      </c>
      <c r="AI7" s="142"/>
      <c r="AJ7" s="105" t="s">
        <v>219</v>
      </c>
      <c r="AK7" s="105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</row>
    <row r="8" spans="1:91" x14ac:dyDescent="0.15">
      <c r="A8" s="136" t="s">
        <v>259</v>
      </c>
      <c r="B8" s="122"/>
      <c r="C8" s="120"/>
      <c r="D8" s="120"/>
      <c r="E8" s="120">
        <f>1946461-222948-1723513</f>
        <v>0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 t="shared" ref="AH8:AH31" si="2">SUM(C8:AG8)</f>
        <v>0</v>
      </c>
      <c r="AI8" s="119"/>
      <c r="AJ8" s="105">
        <v>1910725.9401669998</v>
      </c>
      <c r="AK8" s="105">
        <f>AH8-AJ8</f>
        <v>-1910725.9401669998</v>
      </c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</row>
    <row r="9" spans="1:91" x14ac:dyDescent="0.15">
      <c r="A9" s="141" t="s">
        <v>258</v>
      </c>
      <c r="B9" s="122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2"/>
        <v>0</v>
      </c>
      <c r="AI9" s="119"/>
      <c r="AJ9" s="105">
        <v>0</v>
      </c>
      <c r="AK9" s="105">
        <f>AH9-AJ9</f>
        <v>0</v>
      </c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</row>
    <row r="10" spans="1:91" x14ac:dyDescent="0.15">
      <c r="A10" s="136" t="s">
        <v>257</v>
      </c>
      <c r="B10" s="122"/>
      <c r="C10" s="120"/>
      <c r="D10" s="120">
        <f>$AM$10-312794</f>
        <v>925848.30024441658</v>
      </c>
      <c r="E10" s="120">
        <v>956243</v>
      </c>
      <c r="F10" s="120"/>
      <c r="G10" s="120"/>
      <c r="H10" s="120">
        <v>1110320</v>
      </c>
      <c r="I10" s="120"/>
      <c r="J10" s="120"/>
      <c r="K10" s="120"/>
      <c r="L10" s="120"/>
      <c r="M10" s="120"/>
      <c r="N10" s="120">
        <f>$AM$10-500000</f>
        <v>738642.30024441658</v>
      </c>
      <c r="O10" s="120"/>
      <c r="P10" s="120"/>
      <c r="Q10" s="120"/>
      <c r="R10" s="120">
        <v>249822</v>
      </c>
      <c r="S10" s="120"/>
      <c r="T10" s="120"/>
      <c r="U10" s="120">
        <f>$AM$10-635622</f>
        <v>603020.30024441658</v>
      </c>
      <c r="V10" s="120"/>
      <c r="W10" s="120"/>
      <c r="X10" s="120"/>
      <c r="Y10" s="120"/>
      <c r="Z10" s="120"/>
      <c r="AA10" s="120"/>
      <c r="AB10" s="120">
        <f>$AM$10-700000</f>
        <v>538642.30024441658</v>
      </c>
      <c r="AC10" s="120"/>
      <c r="AD10" s="120"/>
      <c r="AE10" s="120"/>
      <c r="AF10" s="120"/>
      <c r="AG10" s="120"/>
      <c r="AH10" s="105">
        <f t="shared" si="2"/>
        <v>5122538.2009776663</v>
      </c>
      <c r="AI10" s="119"/>
      <c r="AJ10" s="105">
        <v>6099134.1216166541</v>
      </c>
      <c r="AK10" s="105">
        <f>AH10-AJ10</f>
        <v>-976595.92063898779</v>
      </c>
      <c r="AL10" s="103">
        <f>'Exec Summary_Base Case'!I103*1.19-AH23-AH25</f>
        <v>4954569.2009776663</v>
      </c>
      <c r="AM10" s="103">
        <f>AL10/4</f>
        <v>1238642.3002444166</v>
      </c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</row>
    <row r="11" spans="1:91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0</v>
      </c>
      <c r="AI11" s="119"/>
      <c r="AJ11" s="105">
        <v>0</v>
      </c>
      <c r="AK11" s="105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</row>
    <row r="12" spans="1:91" x14ac:dyDescent="0.15">
      <c r="A12" s="136" t="s">
        <v>255</v>
      </c>
      <c r="B12" s="122"/>
      <c r="C12" s="120">
        <f>SUM(C13:C22)</f>
        <v>0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70"/>
      <c r="AH12" s="105">
        <f t="shared" si="2"/>
        <v>0</v>
      </c>
      <c r="AI12" s="119"/>
      <c r="AJ12" s="105">
        <v>0</v>
      </c>
      <c r="AK12" s="105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</row>
    <row r="13" spans="1:91" hidden="1" outlineLevel="1" x14ac:dyDescent="0.15">
      <c r="A13" s="169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7">
        <f t="shared" si="2"/>
        <v>0</v>
      </c>
      <c r="AI13" s="119"/>
      <c r="AJ13" s="163">
        <v>0</v>
      </c>
      <c r="AK13" s="16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</row>
    <row r="14" spans="1:91" hidden="1" outlineLevel="1" x14ac:dyDescent="0.15">
      <c r="A14" s="169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7">
        <f t="shared" si="2"/>
        <v>0</v>
      </c>
      <c r="AI14" s="119"/>
      <c r="AJ14" s="163">
        <v>0</v>
      </c>
      <c r="AK14" s="16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</row>
    <row r="15" spans="1:91" hidden="1" outlineLevel="1" x14ac:dyDescent="0.15">
      <c r="A15" s="169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7">
        <f t="shared" si="2"/>
        <v>0</v>
      </c>
      <c r="AI15" s="119"/>
      <c r="AJ15" s="163">
        <v>0</v>
      </c>
      <c r="AK15" s="16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</row>
    <row r="16" spans="1:91" hidden="1" outlineLevel="1" x14ac:dyDescent="0.15">
      <c r="A16" s="169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7">
        <f t="shared" si="2"/>
        <v>0</v>
      </c>
      <c r="AI16" s="119"/>
      <c r="AJ16" s="163">
        <v>0</v>
      </c>
      <c r="AK16" s="16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</row>
    <row r="17" spans="1:91" hidden="1" outlineLevel="1" x14ac:dyDescent="0.15">
      <c r="A17" s="169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7">
        <f t="shared" si="2"/>
        <v>0</v>
      </c>
      <c r="AI17" s="119"/>
      <c r="AJ17" s="163">
        <v>0</v>
      </c>
      <c r="AK17" s="16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</row>
    <row r="18" spans="1:91" hidden="1" outlineLevel="1" x14ac:dyDescent="0.15">
      <c r="A18" s="169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7">
        <f t="shared" si="2"/>
        <v>0</v>
      </c>
      <c r="AI18" s="119"/>
      <c r="AJ18" s="163">
        <v>0</v>
      </c>
      <c r="AK18" s="16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</row>
    <row r="19" spans="1:91" hidden="1" outlineLevel="1" x14ac:dyDescent="0.15">
      <c r="A19" s="169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7">
        <f t="shared" si="2"/>
        <v>0</v>
      </c>
      <c r="AI19" s="119"/>
      <c r="AJ19" s="163">
        <v>0</v>
      </c>
      <c r="AK19" s="16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</row>
    <row r="20" spans="1:91" hidden="1" outlineLevel="1" x14ac:dyDescent="0.15">
      <c r="A20" s="169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7">
        <f t="shared" si="2"/>
        <v>0</v>
      </c>
      <c r="AI20" s="119"/>
      <c r="AJ20" s="163">
        <v>0</v>
      </c>
      <c r="AK20" s="16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</row>
    <row r="21" spans="1:91" hidden="1" outlineLevel="1" x14ac:dyDescent="0.15">
      <c r="A21" s="169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7">
        <f t="shared" si="2"/>
        <v>0</v>
      </c>
      <c r="AI21" s="119"/>
      <c r="AJ21" s="163">
        <v>0</v>
      </c>
      <c r="AK21" s="16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</row>
    <row r="22" spans="1:91" hidden="1" outlineLevel="1" x14ac:dyDescent="0.15">
      <c r="A22" s="169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7">
        <f t="shared" si="2"/>
        <v>0</v>
      </c>
      <c r="AI22" s="119"/>
      <c r="AJ22" s="163">
        <v>0</v>
      </c>
      <c r="AK22" s="16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</row>
    <row r="23" spans="1:91" collapsed="1" x14ac:dyDescent="0.15">
      <c r="A23" s="136" t="s">
        <v>244</v>
      </c>
      <c r="B23" s="122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0</v>
      </c>
      <c r="AI23" s="119"/>
      <c r="AJ23" s="105">
        <v>0</v>
      </c>
      <c r="AK23" s="105">
        <f>AH23-AJ23</f>
        <v>0</v>
      </c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</row>
    <row r="24" spans="1:91" x14ac:dyDescent="0.15">
      <c r="A24" s="136" t="s">
        <v>232</v>
      </c>
      <c r="B24" s="122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>
        <v>50000</v>
      </c>
      <c r="AC24" s="120"/>
      <c r="AD24" s="120"/>
      <c r="AE24" s="120"/>
      <c r="AF24" s="120"/>
      <c r="AG24" s="120"/>
      <c r="AH24" s="105">
        <f t="shared" si="2"/>
        <v>50000</v>
      </c>
      <c r="AI24" s="119"/>
      <c r="AJ24" s="105">
        <v>100000</v>
      </c>
      <c r="AK24" s="105">
        <f>AH24-AJ24</f>
        <v>-50000</v>
      </c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</row>
    <row r="25" spans="1:91" x14ac:dyDescent="0.15">
      <c r="A25" s="136" t="s">
        <v>243</v>
      </c>
      <c r="B25" s="122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si="2"/>
        <v>0</v>
      </c>
      <c r="AI25" s="119"/>
      <c r="AJ25" s="105">
        <v>0</v>
      </c>
      <c r="AK25" s="105">
        <f>AH25-AJ25</f>
        <v>0</v>
      </c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</row>
    <row r="26" spans="1:91" x14ac:dyDescent="0.15">
      <c r="A26" s="136" t="s">
        <v>242</v>
      </c>
      <c r="B26" s="122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>
        <f>1800000-300000</f>
        <v>1500000</v>
      </c>
      <c r="AD26" s="120"/>
      <c r="AE26" s="120"/>
      <c r="AF26" s="120"/>
      <c r="AG26" s="120"/>
      <c r="AH26" s="105">
        <f t="shared" si="2"/>
        <v>1500000</v>
      </c>
      <c r="AI26" s="119"/>
      <c r="AJ26" s="105">
        <v>1550000</v>
      </c>
      <c r="AK26" s="105">
        <f>AH26-AJ26</f>
        <v>-50000</v>
      </c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</row>
    <row r="27" spans="1:91" x14ac:dyDescent="0.15">
      <c r="A27" s="136" t="s">
        <v>241</v>
      </c>
      <c r="B27" s="122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>
        <f>950000-100000</f>
        <v>850000</v>
      </c>
      <c r="AC27" s="120"/>
      <c r="AD27" s="120"/>
      <c r="AE27" s="120"/>
      <c r="AF27" s="120"/>
      <c r="AG27" s="120"/>
      <c r="AH27" s="105">
        <f t="shared" si="2"/>
        <v>850000</v>
      </c>
      <c r="AI27" s="119"/>
      <c r="AJ27" s="105">
        <v>850000</v>
      </c>
      <c r="AK27" s="105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</row>
    <row r="28" spans="1:91" x14ac:dyDescent="0.15">
      <c r="A28" s="136" t="s">
        <v>240</v>
      </c>
      <c r="B28" s="122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>
        <v>350000</v>
      </c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2"/>
        <v>350000</v>
      </c>
      <c r="AI28" s="119"/>
      <c r="AJ28" s="105">
        <v>350000</v>
      </c>
      <c r="AK28" s="105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</row>
    <row r="29" spans="1:91" x14ac:dyDescent="0.15">
      <c r="A29" s="136" t="s">
        <v>300</v>
      </c>
      <c r="B29" s="122"/>
      <c r="C29" s="120"/>
      <c r="D29" s="120"/>
      <c r="E29" s="120"/>
      <c r="F29" s="120"/>
      <c r="G29" s="120"/>
      <c r="H29" s="120"/>
      <c r="I29" s="120"/>
      <c r="J29" s="120"/>
      <c r="K29" s="120">
        <v>150000</v>
      </c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>SUM(C29:AG29)</f>
        <v>150000</v>
      </c>
      <c r="AI29" s="119"/>
      <c r="AJ29" s="105">
        <v>-296063.42623497063</v>
      </c>
      <c r="AK29" s="105">
        <f>AH29-AJ29</f>
        <v>446063.42623497063</v>
      </c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</row>
    <row r="30" spans="1:91" x14ac:dyDescent="0.15">
      <c r="A30" s="136" t="s">
        <v>365</v>
      </c>
      <c r="B30" s="122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0"/>
      <c r="AH30" s="105">
        <f t="shared" si="2"/>
        <v>0</v>
      </c>
      <c r="AI30" s="119"/>
      <c r="AJ30" s="105">
        <v>2400000</v>
      </c>
      <c r="AK30" s="105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</row>
    <row r="31" spans="1:91" ht="15" thickBot="1" x14ac:dyDescent="0.2">
      <c r="A31" s="113" t="s">
        <v>238</v>
      </c>
      <c r="B31" s="129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332">
        <f>+März!W62-750000</f>
        <v>0</v>
      </c>
      <c r="AB31" s="332">
        <f>374112-374112</f>
        <v>0</v>
      </c>
      <c r="AC31" s="135"/>
      <c r="AD31" s="135"/>
      <c r="AE31" s="135"/>
      <c r="AF31" s="135"/>
      <c r="AG31" s="134"/>
      <c r="AH31" s="128">
        <f t="shared" si="2"/>
        <v>0</v>
      </c>
      <c r="AI31" s="127"/>
      <c r="AJ31" s="128">
        <v>0</v>
      </c>
      <c r="AK31" s="128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</row>
    <row r="32" spans="1:91" x14ac:dyDescent="0.15">
      <c r="A32" s="133" t="s">
        <v>237</v>
      </c>
      <c r="B32" s="122">
        <f>SUM(B8:B31)</f>
        <v>0</v>
      </c>
      <c r="C32" s="119">
        <f t="shared" ref="C32:AH32" si="3">SUM(C8:C31)-C12</f>
        <v>0</v>
      </c>
      <c r="D32" s="119">
        <f t="shared" si="3"/>
        <v>925848.30024441658</v>
      </c>
      <c r="E32" s="119">
        <f t="shared" si="3"/>
        <v>956243</v>
      </c>
      <c r="F32" s="119">
        <f t="shared" si="3"/>
        <v>0</v>
      </c>
      <c r="G32" s="119">
        <f t="shared" si="3"/>
        <v>0</v>
      </c>
      <c r="H32" s="119">
        <f t="shared" si="3"/>
        <v>1110320</v>
      </c>
      <c r="I32" s="119">
        <f t="shared" si="3"/>
        <v>0</v>
      </c>
      <c r="J32" s="119">
        <f t="shared" si="3"/>
        <v>0</v>
      </c>
      <c r="K32" s="119">
        <f t="shared" si="3"/>
        <v>150000</v>
      </c>
      <c r="L32" s="119">
        <f t="shared" si="3"/>
        <v>0</v>
      </c>
      <c r="M32" s="119">
        <f t="shared" si="3"/>
        <v>0</v>
      </c>
      <c r="N32" s="119">
        <f t="shared" si="3"/>
        <v>738642.30024441658</v>
      </c>
      <c r="O32" s="119">
        <f t="shared" si="3"/>
        <v>350000</v>
      </c>
      <c r="P32" s="119">
        <f t="shared" si="3"/>
        <v>0</v>
      </c>
      <c r="Q32" s="119">
        <f t="shared" si="3"/>
        <v>0</v>
      </c>
      <c r="R32" s="119">
        <f t="shared" si="3"/>
        <v>249822</v>
      </c>
      <c r="S32" s="119">
        <f t="shared" si="3"/>
        <v>0</v>
      </c>
      <c r="T32" s="119">
        <f t="shared" si="3"/>
        <v>0</v>
      </c>
      <c r="U32" s="119">
        <f t="shared" si="3"/>
        <v>603020.30024441658</v>
      </c>
      <c r="V32" s="119">
        <f t="shared" si="3"/>
        <v>0</v>
      </c>
      <c r="W32" s="119">
        <f t="shared" si="3"/>
        <v>0</v>
      </c>
      <c r="X32" s="119">
        <f t="shared" si="3"/>
        <v>0</v>
      </c>
      <c r="Y32" s="119">
        <f t="shared" si="3"/>
        <v>0</v>
      </c>
      <c r="Z32" s="119">
        <f t="shared" si="3"/>
        <v>0</v>
      </c>
      <c r="AA32" s="119">
        <f t="shared" si="3"/>
        <v>0</v>
      </c>
      <c r="AB32" s="119">
        <f t="shared" si="3"/>
        <v>1438642.3002444166</v>
      </c>
      <c r="AC32" s="119">
        <f t="shared" si="3"/>
        <v>1500000</v>
      </c>
      <c r="AD32" s="119">
        <f t="shared" si="3"/>
        <v>0</v>
      </c>
      <c r="AE32" s="119">
        <f t="shared" si="3"/>
        <v>0</v>
      </c>
      <c r="AF32" s="119">
        <f t="shared" si="3"/>
        <v>0</v>
      </c>
      <c r="AG32" s="119">
        <f t="shared" si="3"/>
        <v>0</v>
      </c>
      <c r="AH32" s="160">
        <f t="shared" si="3"/>
        <v>8022538.2009776663</v>
      </c>
      <c r="AI32" s="119"/>
      <c r="AJ32" s="160">
        <v>12963796.635548683</v>
      </c>
      <c r="AK32" s="105">
        <f>AH32-AJ32</f>
        <v>-4941258.4345710166</v>
      </c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</row>
    <row r="33" spans="1:91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 t="s">
        <v>219</v>
      </c>
      <c r="AI33" s="119"/>
      <c r="AJ33" s="105" t="s">
        <v>219</v>
      </c>
      <c r="AK33" s="105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</row>
    <row r="34" spans="1:91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/>
      <c r="AI34" s="119"/>
      <c r="AJ34" s="105"/>
      <c r="AK34" s="105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</row>
    <row r="35" spans="1:91" hidden="1" x14ac:dyDescent="0.15">
      <c r="A35" s="124" t="s">
        <v>235</v>
      </c>
      <c r="B35" s="122">
        <f t="shared" ref="B35:B41" si="4">SUM(C35:AG35)</f>
        <v>0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ref="AH35:AH42" si="5">SUM(C35:AG35)</f>
        <v>0</v>
      </c>
      <c r="AI35" s="119"/>
      <c r="AJ35" s="105">
        <v>0</v>
      </c>
      <c r="AK35" s="105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</row>
    <row r="36" spans="1:91" hidden="1" x14ac:dyDescent="0.15">
      <c r="A36" s="124" t="s">
        <v>234</v>
      </c>
      <c r="B36" s="122">
        <f t="shared" si="4"/>
        <v>0</v>
      </c>
      <c r="C36" s="120"/>
      <c r="D36" s="120"/>
      <c r="E36" s="120"/>
      <c r="F36" s="120">
        <v>0</v>
      </c>
      <c r="G36" s="120">
        <v>0</v>
      </c>
      <c r="H36" s="120"/>
      <c r="I36" s="120"/>
      <c r="J36" s="120"/>
      <c r="K36" s="120"/>
      <c r="L36" s="120"/>
      <c r="M36" s="120">
        <v>0</v>
      </c>
      <c r="N36" s="120">
        <v>0</v>
      </c>
      <c r="O36" s="120"/>
      <c r="P36" s="120"/>
      <c r="Q36" s="120"/>
      <c r="R36" s="120"/>
      <c r="S36" s="120"/>
      <c r="T36" s="120">
        <v>0</v>
      </c>
      <c r="U36" s="120">
        <v>0</v>
      </c>
      <c r="V36" s="120"/>
      <c r="W36" s="120"/>
      <c r="X36" s="120"/>
      <c r="Y36" s="120"/>
      <c r="Z36" s="120"/>
      <c r="AA36" s="120">
        <v>0</v>
      </c>
      <c r="AB36" s="120">
        <v>0</v>
      </c>
      <c r="AC36" s="120"/>
      <c r="AD36" s="120"/>
      <c r="AE36" s="120"/>
      <c r="AF36" s="120"/>
      <c r="AG36" s="120"/>
      <c r="AH36" s="105">
        <f t="shared" si="5"/>
        <v>0</v>
      </c>
      <c r="AI36" s="119"/>
      <c r="AJ36" s="105">
        <v>0</v>
      </c>
      <c r="AK36" s="105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</row>
    <row r="37" spans="1:91" hidden="1" x14ac:dyDescent="0.15">
      <c r="A37" s="124" t="s">
        <v>233</v>
      </c>
      <c r="B37" s="122">
        <f t="shared" si="4"/>
        <v>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5"/>
        <v>0</v>
      </c>
      <c r="AI37" s="119"/>
      <c r="AJ37" s="105">
        <v>0</v>
      </c>
      <c r="AK37" s="105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</row>
    <row r="38" spans="1:91" x14ac:dyDescent="0.15">
      <c r="A38" s="124" t="s">
        <v>232</v>
      </c>
      <c r="B38" s="122">
        <f t="shared" si="4"/>
        <v>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5"/>
        <v>0</v>
      </c>
      <c r="AI38" s="119"/>
      <c r="AJ38" s="105">
        <v>0</v>
      </c>
      <c r="AK38" s="105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</row>
    <row r="39" spans="1:91" x14ac:dyDescent="0.15">
      <c r="A39" s="124" t="s">
        <v>231</v>
      </c>
      <c r="B39" s="122">
        <f t="shared" si="4"/>
        <v>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5"/>
        <v>0</v>
      </c>
      <c r="AI39" s="119"/>
      <c r="AJ39" s="105">
        <v>0</v>
      </c>
      <c r="AK39" s="105"/>
      <c r="AN39" s="103">
        <v>30</v>
      </c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</row>
    <row r="40" spans="1:91" x14ac:dyDescent="0.15">
      <c r="A40" s="124" t="s">
        <v>230</v>
      </c>
      <c r="B40" s="122">
        <f t="shared" si="4"/>
        <v>5222355.1802243255</v>
      </c>
      <c r="C40" s="131"/>
      <c r="D40" s="131">
        <f>+$AN$42</f>
        <v>170115.21311118366</v>
      </c>
      <c r="E40" s="131">
        <f>+$AN$42*3</f>
        <v>510345.63933355099</v>
      </c>
      <c r="F40" s="131">
        <f>+$AN$42</f>
        <v>170115.21311118366</v>
      </c>
      <c r="G40" s="131">
        <f>+$AN$42</f>
        <v>170115.21311118366</v>
      </c>
      <c r="H40" s="131">
        <f>+$AN$42</f>
        <v>170115.21311118366</v>
      </c>
      <c r="I40" s="131"/>
      <c r="J40" s="131"/>
      <c r="K40" s="131">
        <f>+$AN$42</f>
        <v>170115.21311118366</v>
      </c>
      <c r="L40" s="131">
        <f>+$AN$42*3</f>
        <v>510345.63933355099</v>
      </c>
      <c r="M40" s="131">
        <f>+$AN$42</f>
        <v>170115.21311118366</v>
      </c>
      <c r="N40" s="131">
        <f>+$AN$42</f>
        <v>170115.21311118366</v>
      </c>
      <c r="O40" s="131">
        <f>+$AN$42</f>
        <v>170115.21311118366</v>
      </c>
      <c r="P40" s="131"/>
      <c r="Q40" s="131"/>
      <c r="R40" s="131">
        <f>+$AN$42+230234</f>
        <v>400349.21311118366</v>
      </c>
      <c r="S40" s="131">
        <f>+$AN$42*3</f>
        <v>510345.63933355099</v>
      </c>
      <c r="T40" s="131">
        <f>+$AN$42</f>
        <v>170115.21311118366</v>
      </c>
      <c r="U40" s="131">
        <f>+$AN$42</f>
        <v>170115.21311118366</v>
      </c>
      <c r="V40" s="131">
        <f>+$AN$42</f>
        <v>170115.21311118366</v>
      </c>
      <c r="W40" s="131"/>
      <c r="X40" s="131"/>
      <c r="Y40" s="131">
        <f>+$AN$42</f>
        <v>170115.21311118366</v>
      </c>
      <c r="Z40" s="131">
        <f>+$AN$42*3</f>
        <v>510345.63933355099</v>
      </c>
      <c r="AA40" s="131">
        <f>+$AN$42</f>
        <v>170115.21311118366</v>
      </c>
      <c r="AB40" s="131">
        <f>+$AN$42</f>
        <v>170115.21311118366</v>
      </c>
      <c r="AC40" s="131">
        <f>+$AN$42</f>
        <v>170115.21311118366</v>
      </c>
      <c r="AD40" s="131"/>
      <c r="AE40" s="131"/>
      <c r="AF40" s="131">
        <f>+$AN$42+58780</f>
        <v>228895.21311118366</v>
      </c>
      <c r="AG40" s="131"/>
      <c r="AH40" s="105">
        <f t="shared" si="5"/>
        <v>5222355.1802243255</v>
      </c>
      <c r="AI40" s="119"/>
      <c r="AJ40" s="105">
        <v>5127362.7539968407</v>
      </c>
      <c r="AK40" s="105">
        <f>AH40-AJ40</f>
        <v>94992.42622748483</v>
      </c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</row>
    <row r="41" spans="1:91" ht="15" thickBot="1" x14ac:dyDescent="0.2">
      <c r="A41" s="130" t="s">
        <v>229</v>
      </c>
      <c r="B41" s="129">
        <f t="shared" si="4"/>
        <v>4920793.1105034798</v>
      </c>
      <c r="C41" s="127"/>
      <c r="D41" s="127">
        <f>SUM($AN$43:$AN$45)*3</f>
        <v>492079.31105034793</v>
      </c>
      <c r="E41" s="127">
        <f>SUM($AN$43:$AN$45)</f>
        <v>164026.43701678264</v>
      </c>
      <c r="F41" s="127">
        <f>SUM($AN$43:$AN$45)</f>
        <v>164026.43701678264</v>
      </c>
      <c r="G41" s="127">
        <f>SUM($AN$43:$AN$45)</f>
        <v>164026.43701678264</v>
      </c>
      <c r="H41" s="127">
        <f>SUM($AN$43:$AN$45)</f>
        <v>164026.43701678264</v>
      </c>
      <c r="I41" s="127"/>
      <c r="J41" s="127"/>
      <c r="K41" s="127">
        <f>SUM($AN$43:$AN$45)*3</f>
        <v>492079.31105034793</v>
      </c>
      <c r="L41" s="127">
        <f>SUM($AN$43:$AN$45)</f>
        <v>164026.43701678264</v>
      </c>
      <c r="M41" s="127">
        <f>SUM($AN$43:$AN$45)</f>
        <v>164026.43701678264</v>
      </c>
      <c r="N41" s="127">
        <f>SUM($AN$43:$AN$45)</f>
        <v>164026.43701678264</v>
      </c>
      <c r="O41" s="127">
        <f>SUM($AN$43:$AN$45)</f>
        <v>164026.43701678264</v>
      </c>
      <c r="P41" s="127"/>
      <c r="Q41" s="127"/>
      <c r="R41" s="127">
        <f>SUM($AN$43:$AN$45)*3</f>
        <v>492079.31105034793</v>
      </c>
      <c r="S41" s="127">
        <f>SUM($AN$43:$AN$45)</f>
        <v>164026.43701678264</v>
      </c>
      <c r="T41" s="127">
        <f>SUM($AN$43:$AN$45)</f>
        <v>164026.43701678264</v>
      </c>
      <c r="U41" s="127">
        <f>SUM($AN$43:$AN$45)</f>
        <v>164026.43701678264</v>
      </c>
      <c r="V41" s="127">
        <f>SUM($AN$43:$AN$45)</f>
        <v>164026.43701678264</v>
      </c>
      <c r="W41" s="127"/>
      <c r="X41" s="127"/>
      <c r="Y41" s="127">
        <f>SUM($AN$43:$AN$45)*3</f>
        <v>492079.31105034793</v>
      </c>
      <c r="Z41" s="127">
        <f>SUM($AN$43:$AN$45)</f>
        <v>164026.43701678264</v>
      </c>
      <c r="AA41" s="127">
        <f>SUM($AN$43:$AN$45)</f>
        <v>164026.43701678264</v>
      </c>
      <c r="AB41" s="127">
        <f>SUM($AN$43:$AN$45)</f>
        <v>164026.43701678264</v>
      </c>
      <c r="AC41" s="127">
        <f>SUM($AN$43:$AN$45)</f>
        <v>164026.43701678264</v>
      </c>
      <c r="AD41" s="127"/>
      <c r="AE41" s="127"/>
      <c r="AF41" s="127">
        <f>SUM($AN$43:$AN$45)*2</f>
        <v>328052.87403356528</v>
      </c>
      <c r="AG41" s="134"/>
      <c r="AH41" s="128">
        <f t="shared" si="5"/>
        <v>4920793.1105034798</v>
      </c>
      <c r="AI41" s="127"/>
      <c r="AJ41" s="128">
        <v>4904541.8025625264</v>
      </c>
      <c r="AK41" s="105">
        <f>AH41-AJ41</f>
        <v>16251.307940953411</v>
      </c>
      <c r="AL41" s="103" t="s">
        <v>228</v>
      </c>
      <c r="AM41" s="103">
        <v>10206912.78667102</v>
      </c>
      <c r="AN41" s="103">
        <v>340230.42622236733</v>
      </c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</row>
    <row r="42" spans="1:91" x14ac:dyDescent="0.15">
      <c r="A42" s="124" t="s">
        <v>227</v>
      </c>
      <c r="B42" s="122">
        <f>SUM(B40:B41)</f>
        <v>10143148.290727805</v>
      </c>
      <c r="C42" s="119">
        <f t="shared" ref="C42:AG42" si="6">SUM(C35:C41)</f>
        <v>0</v>
      </c>
      <c r="D42" s="119">
        <f t="shared" si="6"/>
        <v>662194.52416153159</v>
      </c>
      <c r="E42" s="119">
        <f t="shared" si="6"/>
        <v>674372.07635033363</v>
      </c>
      <c r="F42" s="119">
        <f t="shared" si="6"/>
        <v>334141.65012796631</v>
      </c>
      <c r="G42" s="119">
        <f t="shared" si="6"/>
        <v>334141.65012796631</v>
      </c>
      <c r="H42" s="119">
        <f t="shared" si="6"/>
        <v>334141.65012796631</v>
      </c>
      <c r="I42" s="119">
        <f t="shared" si="6"/>
        <v>0</v>
      </c>
      <c r="J42" s="119">
        <f t="shared" si="6"/>
        <v>0</v>
      </c>
      <c r="K42" s="119">
        <f t="shared" si="6"/>
        <v>662194.52416153159</v>
      </c>
      <c r="L42" s="119">
        <f t="shared" si="6"/>
        <v>674372.07635033363</v>
      </c>
      <c r="M42" s="119">
        <f t="shared" si="6"/>
        <v>334141.65012796631</v>
      </c>
      <c r="N42" s="119">
        <f t="shared" si="6"/>
        <v>334141.65012796631</v>
      </c>
      <c r="O42" s="119">
        <f t="shared" si="6"/>
        <v>334141.65012796631</v>
      </c>
      <c r="P42" s="119">
        <f t="shared" si="6"/>
        <v>0</v>
      </c>
      <c r="Q42" s="119">
        <f t="shared" si="6"/>
        <v>0</v>
      </c>
      <c r="R42" s="119">
        <f t="shared" si="6"/>
        <v>892428.52416153159</v>
      </c>
      <c r="S42" s="119">
        <f t="shared" si="6"/>
        <v>674372.07635033363</v>
      </c>
      <c r="T42" s="119">
        <f t="shared" si="6"/>
        <v>334141.65012796631</v>
      </c>
      <c r="U42" s="119">
        <f t="shared" si="6"/>
        <v>334141.65012796631</v>
      </c>
      <c r="V42" s="119">
        <f t="shared" si="6"/>
        <v>334141.65012796631</v>
      </c>
      <c r="W42" s="119">
        <f t="shared" si="6"/>
        <v>0</v>
      </c>
      <c r="X42" s="119">
        <f t="shared" si="6"/>
        <v>0</v>
      </c>
      <c r="Y42" s="119">
        <f t="shared" si="6"/>
        <v>662194.52416153159</v>
      </c>
      <c r="Z42" s="119">
        <f t="shared" si="6"/>
        <v>674372.07635033363</v>
      </c>
      <c r="AA42" s="119">
        <f t="shared" si="6"/>
        <v>334141.65012796631</v>
      </c>
      <c r="AB42" s="119">
        <f t="shared" si="6"/>
        <v>334141.65012796631</v>
      </c>
      <c r="AC42" s="119">
        <f t="shared" si="6"/>
        <v>334141.65012796631</v>
      </c>
      <c r="AD42" s="119">
        <f t="shared" si="6"/>
        <v>0</v>
      </c>
      <c r="AE42" s="119">
        <f t="shared" si="6"/>
        <v>0</v>
      </c>
      <c r="AF42" s="119">
        <f t="shared" si="6"/>
        <v>556948.08714474901</v>
      </c>
      <c r="AG42" s="120">
        <f t="shared" si="6"/>
        <v>0</v>
      </c>
      <c r="AH42" s="105">
        <f t="shared" si="5"/>
        <v>10143148.290727803</v>
      </c>
      <c r="AI42" s="119"/>
      <c r="AJ42" s="105">
        <v>10031904.556559365</v>
      </c>
      <c r="AK42" s="232">
        <f>AH42-AJ42</f>
        <v>111243.73416843824</v>
      </c>
      <c r="AL42" s="103" t="s">
        <v>226</v>
      </c>
      <c r="AM42" s="103">
        <v>5103456.39333551</v>
      </c>
      <c r="AN42" s="103">
        <v>170115.21311118366</v>
      </c>
      <c r="AO42" s="174">
        <v>0.5</v>
      </c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</row>
    <row r="43" spans="1:91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 t="s">
        <v>219</v>
      </c>
      <c r="AI43" s="119"/>
      <c r="AJ43" s="105" t="s">
        <v>219</v>
      </c>
      <c r="AK43" s="105"/>
      <c r="AL43" s="103" t="s">
        <v>225</v>
      </c>
      <c r="AM43" s="103">
        <v>2551728.196667755</v>
      </c>
      <c r="AN43" s="103">
        <v>85057.606555591832</v>
      </c>
      <c r="AO43" s="174">
        <v>0.25</v>
      </c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</row>
    <row r="44" spans="1:91" x14ac:dyDescent="0.15">
      <c r="A44" s="124" t="s">
        <v>224</v>
      </c>
      <c r="B44" s="122">
        <f t="shared" ref="B44:AH44" si="7">B42-B32</f>
        <v>10143148.290727805</v>
      </c>
      <c r="C44" s="119">
        <f t="shared" si="7"/>
        <v>0</v>
      </c>
      <c r="D44" s="119">
        <f t="shared" si="7"/>
        <v>-263653.77608288499</v>
      </c>
      <c r="E44" s="119">
        <f t="shared" si="7"/>
        <v>-281870.92364966637</v>
      </c>
      <c r="F44" s="119">
        <f t="shared" si="7"/>
        <v>334141.65012796631</v>
      </c>
      <c r="G44" s="119">
        <f t="shared" si="7"/>
        <v>334141.65012796631</v>
      </c>
      <c r="H44" s="119">
        <f t="shared" si="7"/>
        <v>-776178.34987203369</v>
      </c>
      <c r="I44" s="119">
        <f t="shared" si="7"/>
        <v>0</v>
      </c>
      <c r="J44" s="119">
        <f t="shared" si="7"/>
        <v>0</v>
      </c>
      <c r="K44" s="119">
        <f t="shared" si="7"/>
        <v>512194.52416153159</v>
      </c>
      <c r="L44" s="119">
        <f t="shared" si="7"/>
        <v>674372.07635033363</v>
      </c>
      <c r="M44" s="119">
        <f t="shared" si="7"/>
        <v>334141.65012796631</v>
      </c>
      <c r="N44" s="119">
        <f t="shared" si="7"/>
        <v>-404500.65011645027</v>
      </c>
      <c r="O44" s="119">
        <f t="shared" si="7"/>
        <v>-15858.349872033694</v>
      </c>
      <c r="P44" s="119">
        <f t="shared" si="7"/>
        <v>0</v>
      </c>
      <c r="Q44" s="119">
        <f t="shared" si="7"/>
        <v>0</v>
      </c>
      <c r="R44" s="119">
        <f t="shared" si="7"/>
        <v>642606.52416153159</v>
      </c>
      <c r="S44" s="119">
        <f t="shared" si="7"/>
        <v>674372.07635033363</v>
      </c>
      <c r="T44" s="119">
        <f t="shared" si="7"/>
        <v>334141.65012796631</v>
      </c>
      <c r="U44" s="119">
        <f t="shared" si="7"/>
        <v>-268878.65011645027</v>
      </c>
      <c r="V44" s="119">
        <f t="shared" si="7"/>
        <v>334141.65012796631</v>
      </c>
      <c r="W44" s="119">
        <f t="shared" si="7"/>
        <v>0</v>
      </c>
      <c r="X44" s="119">
        <f t="shared" si="7"/>
        <v>0</v>
      </c>
      <c r="Y44" s="119">
        <f t="shared" si="7"/>
        <v>662194.52416153159</v>
      </c>
      <c r="Z44" s="119">
        <f t="shared" si="7"/>
        <v>674372.07635033363</v>
      </c>
      <c r="AA44" s="119">
        <f t="shared" si="7"/>
        <v>334141.65012796631</v>
      </c>
      <c r="AB44" s="119">
        <f t="shared" si="7"/>
        <v>-1104500.6501164502</v>
      </c>
      <c r="AC44" s="119">
        <f t="shared" si="7"/>
        <v>-1165858.3498720336</v>
      </c>
      <c r="AD44" s="119">
        <f t="shared" si="7"/>
        <v>0</v>
      </c>
      <c r="AE44" s="119">
        <f t="shared" si="7"/>
        <v>0</v>
      </c>
      <c r="AF44" s="120">
        <f t="shared" si="7"/>
        <v>556948.08714474901</v>
      </c>
      <c r="AG44" s="120">
        <f t="shared" si="7"/>
        <v>0</v>
      </c>
      <c r="AH44" s="125">
        <f t="shared" si="7"/>
        <v>2120610.0897501372</v>
      </c>
      <c r="AI44" s="119"/>
      <c r="AJ44" s="125">
        <v>-2931892.0789893176</v>
      </c>
      <c r="AK44" s="105">
        <f>AH44-AJ44</f>
        <v>5052502.1687394548</v>
      </c>
      <c r="AL44" s="103" t="s">
        <v>319</v>
      </c>
      <c r="AM44" s="103">
        <v>1401230.3283382249</v>
      </c>
      <c r="AN44" s="103">
        <v>46707.677611274165</v>
      </c>
      <c r="AO44" s="175">
        <v>0.125</v>
      </c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</row>
    <row r="45" spans="1:91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 t="s">
        <v>219</v>
      </c>
      <c r="AI45" s="119"/>
      <c r="AJ45" s="105" t="s">
        <v>219</v>
      </c>
      <c r="AK45" s="105"/>
      <c r="AL45" s="103" t="s">
        <v>320</v>
      </c>
      <c r="AM45" s="103">
        <v>967834.58549749991</v>
      </c>
      <c r="AN45" s="103">
        <v>32261.152849916663</v>
      </c>
      <c r="AO45" s="175">
        <v>0.125</v>
      </c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</row>
    <row r="46" spans="1:91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>SUM(C46:AG46)</f>
        <v>0</v>
      </c>
      <c r="AI46" s="119"/>
      <c r="AJ46" s="105">
        <v>0</v>
      </c>
      <c r="AK46" s="105"/>
      <c r="AM46" s="103">
        <v>4920793.1105034798</v>
      </c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</row>
    <row r="47" spans="1:91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>SUM(C47:AG47)</f>
        <v>0</v>
      </c>
      <c r="AI47" s="119"/>
      <c r="AJ47" s="105">
        <v>0</v>
      </c>
      <c r="AK47" s="105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</row>
    <row r="48" spans="1:91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>SUM(C48:AG48)</f>
        <v>0</v>
      </c>
      <c r="AI48" s="119"/>
      <c r="AJ48" s="105">
        <v>0</v>
      </c>
      <c r="AK48" s="105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</row>
    <row r="49" spans="1:37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105" t="s">
        <v>219</v>
      </c>
      <c r="AK49" s="105"/>
    </row>
    <row r="50" spans="1:37" s="105" customFormat="1" ht="12.75" customHeight="1" thickBot="1" x14ac:dyDescent="0.2">
      <c r="A50" s="159" t="s">
        <v>299</v>
      </c>
      <c r="B50" s="158">
        <f t="shared" ref="B50:AH50" si="8">B6+B44-B46-B47-B48</f>
        <v>19248026.541159943</v>
      </c>
      <c r="C50" s="157">
        <f t="shared" si="8"/>
        <v>9104878.2504321374</v>
      </c>
      <c r="D50" s="157">
        <f t="shared" si="8"/>
        <v>8841224.4743492529</v>
      </c>
      <c r="E50" s="333">
        <f t="shared" si="8"/>
        <v>8559353.550699586</v>
      </c>
      <c r="F50" s="157">
        <f t="shared" si="8"/>
        <v>8893495.200827552</v>
      </c>
      <c r="G50" s="157">
        <f t="shared" si="8"/>
        <v>9227636.850955518</v>
      </c>
      <c r="H50" s="333">
        <f t="shared" si="8"/>
        <v>8451458.5010834839</v>
      </c>
      <c r="I50" s="157">
        <f t="shared" si="8"/>
        <v>8451458.5010834839</v>
      </c>
      <c r="J50" s="157">
        <f t="shared" si="8"/>
        <v>8451458.5010834839</v>
      </c>
      <c r="K50" s="157">
        <f t="shared" si="8"/>
        <v>8963653.0252450146</v>
      </c>
      <c r="L50" s="157">
        <f t="shared" si="8"/>
        <v>9638025.1015953477</v>
      </c>
      <c r="M50" s="157">
        <f t="shared" si="8"/>
        <v>9972166.7517233137</v>
      </c>
      <c r="N50" s="157">
        <f t="shared" si="8"/>
        <v>9567666.1016068626</v>
      </c>
      <c r="O50" s="157">
        <f t="shared" si="8"/>
        <v>9551807.7517348286</v>
      </c>
      <c r="P50" s="157">
        <f t="shared" si="8"/>
        <v>9551807.7517348286</v>
      </c>
      <c r="Q50" s="157">
        <f t="shared" si="8"/>
        <v>9551807.7517348286</v>
      </c>
      <c r="R50" s="157">
        <f t="shared" si="8"/>
        <v>10194414.275896359</v>
      </c>
      <c r="S50" s="157">
        <f t="shared" si="8"/>
        <v>10868786.352246692</v>
      </c>
      <c r="T50" s="333">
        <f t="shared" si="8"/>
        <v>11202928.002374658</v>
      </c>
      <c r="U50" s="157">
        <f t="shared" si="8"/>
        <v>10934049.352258207</v>
      </c>
      <c r="V50" s="157">
        <f t="shared" si="8"/>
        <v>11268191.002386173</v>
      </c>
      <c r="W50" s="157">
        <f t="shared" si="8"/>
        <v>11268191.002386173</v>
      </c>
      <c r="X50" s="157">
        <f t="shared" si="8"/>
        <v>11268191.002386173</v>
      </c>
      <c r="Y50" s="157">
        <f t="shared" si="8"/>
        <v>11930385.526547704</v>
      </c>
      <c r="Z50" s="157">
        <f t="shared" si="8"/>
        <v>12604757.602898037</v>
      </c>
      <c r="AA50" s="157">
        <f t="shared" si="8"/>
        <v>12938899.253026003</v>
      </c>
      <c r="AB50" s="157">
        <f t="shared" si="8"/>
        <v>11834398.602909554</v>
      </c>
      <c r="AC50" s="157">
        <f t="shared" si="8"/>
        <v>10668540.25303752</v>
      </c>
      <c r="AD50" s="157">
        <f t="shared" si="8"/>
        <v>10668540.25303752</v>
      </c>
      <c r="AE50" s="157">
        <f t="shared" si="8"/>
        <v>10668540.25303752</v>
      </c>
      <c r="AF50" s="168">
        <f t="shared" si="8"/>
        <v>11225488.340182269</v>
      </c>
      <c r="AG50" s="168">
        <f t="shared" si="8"/>
        <v>11225488.340182269</v>
      </c>
      <c r="AH50" s="342">
        <f t="shared" si="8"/>
        <v>11225488.340182275</v>
      </c>
      <c r="AI50" s="157" t="s">
        <v>219</v>
      </c>
      <c r="AJ50" s="115">
        <v>1326394.7960789334</v>
      </c>
      <c r="AK50" s="231">
        <f>AH50-AJ50</f>
        <v>9899093.5441033412</v>
      </c>
    </row>
    <row r="51" spans="1:37" ht="16" thickTop="1" thickBot="1" x14ac:dyDescent="0.2">
      <c r="A51" s="146" t="s">
        <v>221</v>
      </c>
      <c r="B51" s="156">
        <f>+B5</f>
        <v>0</v>
      </c>
      <c r="C51" s="110">
        <f t="shared" ref="C51:AH51" si="9">+C50-C52</f>
        <v>9104878.2504321374</v>
      </c>
      <c r="D51" s="110">
        <f t="shared" si="9"/>
        <v>8841224.4743492529</v>
      </c>
      <c r="E51" s="110">
        <f t="shared" si="9"/>
        <v>8559353.550699586</v>
      </c>
      <c r="F51" s="110">
        <f t="shared" si="9"/>
        <v>8893495.200827552</v>
      </c>
      <c r="G51" s="110">
        <f t="shared" si="9"/>
        <v>9227636.850955518</v>
      </c>
      <c r="H51" s="110">
        <f t="shared" si="9"/>
        <v>8451458.5010834839</v>
      </c>
      <c r="I51" s="110">
        <f t="shared" si="9"/>
        <v>8451458.5010834839</v>
      </c>
      <c r="J51" s="110">
        <f t="shared" si="9"/>
        <v>8451458.5010834839</v>
      </c>
      <c r="K51" s="110">
        <f t="shared" si="9"/>
        <v>8963653.0252450146</v>
      </c>
      <c r="L51" s="110">
        <f t="shared" si="9"/>
        <v>9638025.1015953477</v>
      </c>
      <c r="M51" s="110">
        <f t="shared" si="9"/>
        <v>9972166.7517233137</v>
      </c>
      <c r="N51" s="110">
        <f t="shared" si="9"/>
        <v>9567666.1016068626</v>
      </c>
      <c r="O51" s="110">
        <f t="shared" si="9"/>
        <v>9551807.7517348286</v>
      </c>
      <c r="P51" s="110">
        <f t="shared" si="9"/>
        <v>9551807.7517348286</v>
      </c>
      <c r="Q51" s="110">
        <f t="shared" si="9"/>
        <v>9551807.7517348286</v>
      </c>
      <c r="R51" s="110">
        <f t="shared" si="9"/>
        <v>10194414.275896359</v>
      </c>
      <c r="S51" s="110">
        <f t="shared" si="9"/>
        <v>10868786.352246692</v>
      </c>
      <c r="T51" s="110">
        <f t="shared" si="9"/>
        <v>11202928.002374658</v>
      </c>
      <c r="U51" s="110">
        <f t="shared" si="9"/>
        <v>10934049.352258207</v>
      </c>
      <c r="V51" s="110">
        <f t="shared" si="9"/>
        <v>11268191.002386173</v>
      </c>
      <c r="W51" s="110">
        <f t="shared" si="9"/>
        <v>11268191.002386173</v>
      </c>
      <c r="X51" s="110">
        <f t="shared" si="9"/>
        <v>11268191.002386173</v>
      </c>
      <c r="Y51" s="110">
        <f t="shared" si="9"/>
        <v>11930385.526547704</v>
      </c>
      <c r="Z51" s="110">
        <f t="shared" si="9"/>
        <v>12604757.602898037</v>
      </c>
      <c r="AA51" s="110">
        <f t="shared" si="9"/>
        <v>12938899.253026003</v>
      </c>
      <c r="AB51" s="110">
        <f t="shared" si="9"/>
        <v>11834398.602909554</v>
      </c>
      <c r="AC51" s="110">
        <f t="shared" si="9"/>
        <v>10668540.25303752</v>
      </c>
      <c r="AD51" s="110">
        <f t="shared" si="9"/>
        <v>10668540.25303752</v>
      </c>
      <c r="AE51" s="110">
        <f t="shared" si="9"/>
        <v>10668540.25303752</v>
      </c>
      <c r="AF51" s="110">
        <f t="shared" si="9"/>
        <v>11225488.340182269</v>
      </c>
      <c r="AG51" s="110">
        <f t="shared" si="9"/>
        <v>11225488.340182269</v>
      </c>
      <c r="AH51" s="110">
        <f t="shared" si="9"/>
        <v>11225488.340182275</v>
      </c>
      <c r="AI51" s="123"/>
      <c r="AJ51" s="110"/>
      <c r="AK51" s="110"/>
    </row>
    <row r="52" spans="1:37" x14ac:dyDescent="0.15">
      <c r="A52" s="149" t="s">
        <v>220</v>
      </c>
      <c r="B52" s="111">
        <f>B50-B51</f>
        <v>19248026.541159943</v>
      </c>
      <c r="C52" s="110">
        <f>+Mai!AG52</f>
        <v>0</v>
      </c>
      <c r="D52" s="110">
        <f t="shared" ref="D52:AH52" si="10">+C52</f>
        <v>0</v>
      </c>
      <c r="E52" s="110">
        <f t="shared" si="10"/>
        <v>0</v>
      </c>
      <c r="F52" s="110">
        <f t="shared" si="10"/>
        <v>0</v>
      </c>
      <c r="G52" s="110">
        <f t="shared" si="10"/>
        <v>0</v>
      </c>
      <c r="H52" s="110">
        <f t="shared" si="10"/>
        <v>0</v>
      </c>
      <c r="I52" s="110">
        <f t="shared" si="10"/>
        <v>0</v>
      </c>
      <c r="J52" s="110">
        <f t="shared" si="10"/>
        <v>0</v>
      </c>
      <c r="K52" s="110">
        <f t="shared" si="10"/>
        <v>0</v>
      </c>
      <c r="L52" s="110">
        <f t="shared" si="10"/>
        <v>0</v>
      </c>
      <c r="M52" s="110">
        <f t="shared" si="10"/>
        <v>0</v>
      </c>
      <c r="N52" s="110">
        <f t="shared" si="10"/>
        <v>0</v>
      </c>
      <c r="O52" s="110">
        <f t="shared" si="10"/>
        <v>0</v>
      </c>
      <c r="P52" s="110">
        <f t="shared" si="10"/>
        <v>0</v>
      </c>
      <c r="Q52" s="110">
        <f t="shared" si="10"/>
        <v>0</v>
      </c>
      <c r="R52" s="110">
        <f t="shared" si="10"/>
        <v>0</v>
      </c>
      <c r="S52" s="110">
        <f t="shared" si="10"/>
        <v>0</v>
      </c>
      <c r="T52" s="110">
        <f t="shared" si="10"/>
        <v>0</v>
      </c>
      <c r="U52" s="110">
        <f t="shared" si="10"/>
        <v>0</v>
      </c>
      <c r="V52" s="110">
        <f t="shared" si="10"/>
        <v>0</v>
      </c>
      <c r="W52" s="110">
        <f t="shared" si="10"/>
        <v>0</v>
      </c>
      <c r="X52" s="110">
        <f t="shared" si="10"/>
        <v>0</v>
      </c>
      <c r="Y52" s="110">
        <f t="shared" si="10"/>
        <v>0</v>
      </c>
      <c r="Z52" s="110">
        <f t="shared" si="10"/>
        <v>0</v>
      </c>
      <c r="AA52" s="110">
        <f t="shared" si="10"/>
        <v>0</v>
      </c>
      <c r="AB52" s="110">
        <f t="shared" si="10"/>
        <v>0</v>
      </c>
      <c r="AC52" s="110">
        <f t="shared" si="10"/>
        <v>0</v>
      </c>
      <c r="AD52" s="110">
        <f t="shared" si="10"/>
        <v>0</v>
      </c>
      <c r="AE52" s="110">
        <f t="shared" si="10"/>
        <v>0</v>
      </c>
      <c r="AF52" s="110">
        <f t="shared" si="10"/>
        <v>0</v>
      </c>
      <c r="AG52" s="110">
        <f t="shared" si="10"/>
        <v>0</v>
      </c>
      <c r="AH52" s="110">
        <f t="shared" si="10"/>
        <v>0</v>
      </c>
      <c r="AI52" s="110"/>
      <c r="AJ52" s="110"/>
      <c r="AK52" s="110"/>
    </row>
    <row r="53" spans="1:37" x14ac:dyDescent="0.15">
      <c r="A53" s="103" t="s">
        <v>219</v>
      </c>
    </row>
    <row r="54" spans="1:37" x14ac:dyDescent="0.15">
      <c r="AG54" s="104" t="s">
        <v>618</v>
      </c>
      <c r="AH54" s="103">
        <f>11225488-AH51</f>
        <v>-0.34018227458000183</v>
      </c>
    </row>
    <row r="55" spans="1:37" x14ac:dyDescent="0.15">
      <c r="C55" s="104" t="s">
        <v>590</v>
      </c>
      <c r="D55" s="103">
        <f>9470254.5-E50</f>
        <v>910900.94930041395</v>
      </c>
      <c r="E55" s="103">
        <f>+E50-D55</f>
        <v>7648452.6013991721</v>
      </c>
      <c r="F55" s="104" t="s">
        <v>595</v>
      </c>
      <c r="I55" s="104" t="s">
        <v>611</v>
      </c>
      <c r="K55" s="103">
        <f>9362360-H50</f>
        <v>910901.49891651608</v>
      </c>
      <c r="L55" s="104" t="s">
        <v>612</v>
      </c>
      <c r="O55" s="104" t="s">
        <v>613</v>
      </c>
      <c r="P55" s="103">
        <f>11202927.67-T50</f>
        <v>-0.33237465843558311</v>
      </c>
    </row>
    <row r="56" spans="1:37" x14ac:dyDescent="0.15">
      <c r="A56" s="106"/>
    </row>
    <row r="57" spans="1:37" x14ac:dyDescent="0.15">
      <c r="A57" s="106"/>
      <c r="W57" s="173"/>
    </row>
    <row r="58" spans="1:37" x14ac:dyDescent="0.15">
      <c r="A58" s="106"/>
    </row>
    <row r="59" spans="1:37" x14ac:dyDescent="0.15">
      <c r="A59" s="106"/>
    </row>
    <row r="60" spans="1:37" x14ac:dyDescent="0.15">
      <c r="A60" s="106"/>
    </row>
    <row r="61" spans="1:37" x14ac:dyDescent="0.15">
      <c r="A61" s="106"/>
    </row>
    <row r="62" spans="1:37" x14ac:dyDescent="0.15">
      <c r="A62" s="106"/>
    </row>
    <row r="63" spans="1:37" x14ac:dyDescent="0.15">
      <c r="A63" s="106"/>
    </row>
    <row r="64" spans="1:37" x14ac:dyDescent="0.15">
      <c r="A64" s="108"/>
      <c r="B64" s="105"/>
    </row>
    <row r="65" spans="1:2" x14ac:dyDescent="0.15">
      <c r="A65" s="107"/>
    </row>
    <row r="66" spans="1:2" x14ac:dyDescent="0.15">
      <c r="A66" s="106"/>
    </row>
    <row r="67" spans="1:2" x14ac:dyDescent="0.15">
      <c r="A67" s="106"/>
    </row>
    <row r="68" spans="1:2" x14ac:dyDescent="0.15">
      <c r="A68" s="106"/>
    </row>
    <row r="69" spans="1:2" x14ac:dyDescent="0.15">
      <c r="A69" s="106"/>
    </row>
    <row r="70" spans="1:2" x14ac:dyDescent="0.15">
      <c r="A70" s="106"/>
    </row>
    <row r="71" spans="1:2" x14ac:dyDescent="0.15">
      <c r="A71" s="106"/>
    </row>
    <row r="72" spans="1:2" x14ac:dyDescent="0.15">
      <c r="A72" s="106"/>
      <c r="B72" s="105"/>
    </row>
    <row r="77" spans="1:2" x14ac:dyDescent="0.15">
      <c r="B77" s="104"/>
    </row>
    <row r="78" spans="1:2" x14ac:dyDescent="0.15">
      <c r="A78" s="104"/>
    </row>
    <row r="79" spans="1:2" x14ac:dyDescent="0.15">
      <c r="A79" s="104"/>
    </row>
    <row r="83" spans="1:1" x14ac:dyDescent="0.15">
      <c r="A83" s="104"/>
    </row>
  </sheetData>
  <pageMargins left="0.23622047244094491" right="0.23622047244094491" top="0.55118110236220474" bottom="0.15748031496062992" header="0.31496062992125984" footer="0.11811023622047245"/>
  <pageSetup paperSize="9" scale="64" fitToWidth="2" fitToHeight="2" orientation="landscape" r:id="rId1"/>
  <headerFooter alignWithMargins="0">
    <oddHeader>&amp;F</oddHeader>
    <oddFooter>Seite &amp;P von &amp;N</oddFooter>
  </headerFooter>
  <colBreaks count="1" manualBreakCount="1">
    <brk id="17" max="1048575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A3DA-58A5-4CEE-A88F-6637C8DF073A}">
  <sheetPr>
    <pageSetUpPr fitToPage="1"/>
  </sheetPr>
  <dimension ref="A1:CM83"/>
  <sheetViews>
    <sheetView zoomScale="70" zoomScaleNormal="70" workbookViewId="0">
      <pane xSplit="2" ySplit="6" topLeftCell="J7" activePane="bottomRight" state="frozen"/>
      <selection activeCell="B27" sqref="B27"/>
      <selection pane="topRight" activeCell="B27" sqref="B27"/>
      <selection pane="bottomLeft" activeCell="B27" sqref="B27"/>
      <selection pane="bottomRight" activeCell="AE11" sqref="AE11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39.5" style="103" bestFit="1" customWidth="1"/>
    <col min="3" max="3" width="13.5" style="103" customWidth="1"/>
    <col min="4" max="7" width="12" style="103" customWidth="1"/>
    <col min="8" max="8" width="12.6640625" style="103" customWidth="1"/>
    <col min="9" max="9" width="12" style="103" bestFit="1" customWidth="1"/>
    <col min="10" max="10" width="12.83203125" style="103" customWidth="1"/>
    <col min="11" max="11" width="14" style="103" customWidth="1"/>
    <col min="12" max="12" width="13.33203125" style="103" customWidth="1"/>
    <col min="13" max="13" width="13.1640625" style="103" customWidth="1"/>
    <col min="14" max="14" width="14.33203125" style="103" customWidth="1"/>
    <col min="15" max="15" width="13.6640625" style="103" customWidth="1"/>
    <col min="16" max="16" width="12" style="103" bestFit="1" customWidth="1"/>
    <col min="17" max="25" width="11.5" style="103"/>
    <col min="26" max="27" width="12.5" style="103" bestFit="1" customWidth="1"/>
    <col min="28" max="29" width="11.83203125" style="103" bestFit="1" customWidth="1"/>
    <col min="30" max="30" width="10.33203125" style="103" bestFit="1" customWidth="1"/>
    <col min="31" max="33" width="11.83203125" style="103" bestFit="1" customWidth="1"/>
    <col min="34" max="34" width="14.5" style="103" bestFit="1" customWidth="1"/>
    <col min="35" max="35" width="1.6640625" style="103" bestFit="1" customWidth="1"/>
    <col min="36" max="36" width="15.1640625" style="103" bestFit="1" customWidth="1"/>
    <col min="37" max="37" width="11.33203125" style="103" customWidth="1"/>
    <col min="38" max="38" width="15.5" style="103" bestFit="1" customWidth="1"/>
    <col min="39" max="39" width="13.5" style="103" customWidth="1"/>
    <col min="40" max="16384" width="11.5" style="103"/>
  </cols>
  <sheetData>
    <row r="1" spans="1:91" x14ac:dyDescent="0.15">
      <c r="A1" s="103" t="s">
        <v>534</v>
      </c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</row>
    <row r="2" spans="1:91" x14ac:dyDescent="0.15">
      <c r="A2" s="154" t="s">
        <v>219</v>
      </c>
      <c r="B2" s="154" t="s">
        <v>297</v>
      </c>
      <c r="C2" s="155">
        <v>45839</v>
      </c>
      <c r="D2" s="155">
        <v>45840</v>
      </c>
      <c r="E2" s="155">
        <v>45841</v>
      </c>
      <c r="F2" s="155">
        <v>45842</v>
      </c>
      <c r="G2" s="155">
        <v>45843</v>
      </c>
      <c r="H2" s="155">
        <v>45844</v>
      </c>
      <c r="I2" s="155">
        <v>45845</v>
      </c>
      <c r="J2" s="155">
        <v>45846</v>
      </c>
      <c r="K2" s="155">
        <v>45847</v>
      </c>
      <c r="L2" s="155">
        <v>45848</v>
      </c>
      <c r="M2" s="155">
        <v>45849</v>
      </c>
      <c r="N2" s="155">
        <v>45850</v>
      </c>
      <c r="O2" s="155">
        <v>45851</v>
      </c>
      <c r="P2" s="155">
        <v>45852</v>
      </c>
      <c r="Q2" s="155">
        <v>45853</v>
      </c>
      <c r="R2" s="155">
        <v>45854</v>
      </c>
      <c r="S2" s="155">
        <v>45855</v>
      </c>
      <c r="T2" s="155">
        <v>45856</v>
      </c>
      <c r="U2" s="155">
        <v>45857</v>
      </c>
      <c r="V2" s="155">
        <v>45858</v>
      </c>
      <c r="W2" s="155">
        <v>45859</v>
      </c>
      <c r="X2" s="155">
        <v>45860</v>
      </c>
      <c r="Y2" s="155">
        <v>45861</v>
      </c>
      <c r="Z2" s="155">
        <v>45862</v>
      </c>
      <c r="AA2" s="155">
        <v>45863</v>
      </c>
      <c r="AB2" s="155">
        <v>45864</v>
      </c>
      <c r="AC2" s="155">
        <v>45865</v>
      </c>
      <c r="AD2" s="155">
        <v>45866</v>
      </c>
      <c r="AE2" s="155">
        <v>45867</v>
      </c>
      <c r="AF2" s="155">
        <v>45868</v>
      </c>
      <c r="AG2" s="155">
        <v>45869</v>
      </c>
      <c r="AH2" s="154" t="s">
        <v>297</v>
      </c>
      <c r="AI2" s="154" t="s">
        <v>219</v>
      </c>
      <c r="AJ2" s="154" t="s">
        <v>375</v>
      </c>
      <c r="AK2" s="154" t="s">
        <v>376</v>
      </c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</row>
    <row r="3" spans="1:91" x14ac:dyDescent="0.15">
      <c r="A3" s="153" t="s">
        <v>296</v>
      </c>
      <c r="B3" s="151"/>
      <c r="C3" s="153" t="s">
        <v>295</v>
      </c>
      <c r="D3" s="153" t="s">
        <v>294</v>
      </c>
      <c r="E3" s="153" t="s">
        <v>293</v>
      </c>
      <c r="F3" s="153" t="s">
        <v>292</v>
      </c>
      <c r="G3" s="153" t="s">
        <v>291</v>
      </c>
      <c r="H3" s="153" t="s">
        <v>290</v>
      </c>
      <c r="I3" s="153" t="s">
        <v>289</v>
      </c>
      <c r="J3" s="153" t="s">
        <v>288</v>
      </c>
      <c r="K3" s="153" t="s">
        <v>287</v>
      </c>
      <c r="L3" s="153" t="s">
        <v>286</v>
      </c>
      <c r="M3" s="153" t="s">
        <v>285</v>
      </c>
      <c r="N3" s="153" t="s">
        <v>284</v>
      </c>
      <c r="O3" s="153" t="s">
        <v>283</v>
      </c>
      <c r="P3" s="153" t="s">
        <v>282</v>
      </c>
      <c r="Q3" s="153" t="s">
        <v>281</v>
      </c>
      <c r="R3" s="153" t="s">
        <v>280</v>
      </c>
      <c r="S3" s="153" t="s">
        <v>279</v>
      </c>
      <c r="T3" s="153" t="s">
        <v>278</v>
      </c>
      <c r="U3" s="153" t="s">
        <v>277</v>
      </c>
      <c r="V3" s="153" t="s">
        <v>276</v>
      </c>
      <c r="W3" s="153" t="s">
        <v>275</v>
      </c>
      <c r="X3" s="153" t="s">
        <v>274</v>
      </c>
      <c r="Y3" s="153" t="s">
        <v>273</v>
      </c>
      <c r="Z3" s="153" t="s">
        <v>272</v>
      </c>
      <c r="AA3" s="153" t="s">
        <v>271</v>
      </c>
      <c r="AB3" s="153" t="s">
        <v>270</v>
      </c>
      <c r="AC3" s="153" t="s">
        <v>269</v>
      </c>
      <c r="AD3" s="153" t="s">
        <v>268</v>
      </c>
      <c r="AE3" s="153" t="s">
        <v>267</v>
      </c>
      <c r="AF3" s="153" t="s">
        <v>266</v>
      </c>
      <c r="AG3" s="153" t="s">
        <v>265</v>
      </c>
      <c r="AH3" s="152" t="s">
        <v>264</v>
      </c>
      <c r="AI3" s="151"/>
      <c r="AJ3" s="152"/>
      <c r="AK3" s="152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</row>
    <row r="4" spans="1:91" x14ac:dyDescent="0.15">
      <c r="A4" s="112" t="s">
        <v>302</v>
      </c>
      <c r="B4" s="150">
        <f>+Juni!AG50</f>
        <v>11225488.340182269</v>
      </c>
      <c r="C4" s="149">
        <f>B4</f>
        <v>11225488.340182269</v>
      </c>
      <c r="D4" s="149">
        <f t="shared" ref="D4:AG4" si="0">+C50</f>
        <v>9321644.6225965656</v>
      </c>
      <c r="E4" s="149">
        <f t="shared" si="0"/>
        <v>8644009.9050108604</v>
      </c>
      <c r="F4" s="149">
        <f t="shared" si="0"/>
        <v>9003141.1874251571</v>
      </c>
      <c r="G4" s="149">
        <f t="shared" si="0"/>
        <v>9308249.4698394537</v>
      </c>
      <c r="H4" s="149">
        <f t="shared" si="0"/>
        <v>9308249.4698394537</v>
      </c>
      <c r="I4" s="149">
        <f t="shared" si="0"/>
        <v>9308249.4698394537</v>
      </c>
      <c r="J4" s="149">
        <f t="shared" si="0"/>
        <v>9526257.7691860273</v>
      </c>
      <c r="K4" s="149">
        <f t="shared" si="0"/>
        <v>10122503.599496637</v>
      </c>
      <c r="L4" s="149">
        <f t="shared" si="0"/>
        <v>9028867.875454016</v>
      </c>
      <c r="M4" s="149">
        <f t="shared" si="0"/>
        <v>9333976.1578683127</v>
      </c>
      <c r="N4" s="149">
        <f t="shared" si="0"/>
        <v>9639084.4402826093</v>
      </c>
      <c r="O4" s="149">
        <f t="shared" si="0"/>
        <v>9639084.4402826093</v>
      </c>
      <c r="P4" s="149">
        <f t="shared" si="0"/>
        <v>9639084.4402826093</v>
      </c>
      <c r="Q4" s="149">
        <f t="shared" si="0"/>
        <v>9581957.739629183</v>
      </c>
      <c r="R4" s="149">
        <f t="shared" si="0"/>
        <v>9558279.795991635</v>
      </c>
      <c r="S4" s="149">
        <f t="shared" si="0"/>
        <v>9863388.0784059316</v>
      </c>
      <c r="T4" s="149">
        <f t="shared" si="0"/>
        <v>10168496.360820228</v>
      </c>
      <c r="U4" s="149">
        <f t="shared" si="0"/>
        <v>9224860.6367776077</v>
      </c>
      <c r="V4" s="149">
        <f t="shared" si="0"/>
        <v>9224860.6367776077</v>
      </c>
      <c r="W4" s="149">
        <f t="shared" si="0"/>
        <v>9224860.6367776077</v>
      </c>
      <c r="X4" s="149">
        <f t="shared" si="0"/>
        <v>9849047.9361241814</v>
      </c>
      <c r="Y4" s="149">
        <f t="shared" si="0"/>
        <v>10445293.766434791</v>
      </c>
      <c r="Z4" s="149">
        <f t="shared" si="0"/>
        <v>10750402.048849087</v>
      </c>
      <c r="AA4" s="149">
        <f t="shared" si="0"/>
        <v>8856766.3248064667</v>
      </c>
      <c r="AB4" s="149">
        <f t="shared" si="0"/>
        <v>7661874.6072207624</v>
      </c>
      <c r="AC4" s="149">
        <f t="shared" si="0"/>
        <v>7661874.6072207624</v>
      </c>
      <c r="AD4" s="149">
        <f t="shared" si="0"/>
        <v>7661874.6072207624</v>
      </c>
      <c r="AE4" s="149">
        <f t="shared" si="0"/>
        <v>8286061.9065673361</v>
      </c>
      <c r="AF4" s="149">
        <f t="shared" si="0"/>
        <v>7882307.7368779453</v>
      </c>
      <c r="AG4" s="149">
        <f t="shared" si="0"/>
        <v>8187416.019292241</v>
      </c>
      <c r="AH4" s="105">
        <f>+B4</f>
        <v>11225488.340182269</v>
      </c>
      <c r="AI4" s="148"/>
      <c r="AJ4" s="105"/>
      <c r="AK4" s="105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</row>
    <row r="5" spans="1:91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/>
      <c r="AK5" s="145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</row>
    <row r="6" spans="1:91" x14ac:dyDescent="0.15">
      <c r="A6" s="133" t="s">
        <v>261</v>
      </c>
      <c r="B6" s="142">
        <f t="shared" ref="B6:AG6" si="1">+B4+B5</f>
        <v>11225488.340182269</v>
      </c>
      <c r="C6" s="142">
        <f t="shared" si="1"/>
        <v>11225488.340182269</v>
      </c>
      <c r="D6" s="142">
        <f t="shared" si="1"/>
        <v>9321644.6225965656</v>
      </c>
      <c r="E6" s="142">
        <f t="shared" si="1"/>
        <v>8644009.9050108604</v>
      </c>
      <c r="F6" s="142">
        <f t="shared" si="1"/>
        <v>9003141.1874251571</v>
      </c>
      <c r="G6" s="142">
        <f t="shared" si="1"/>
        <v>9308249.4698394537</v>
      </c>
      <c r="H6" s="142">
        <f t="shared" si="1"/>
        <v>9308249.4698394537</v>
      </c>
      <c r="I6" s="142">
        <f t="shared" si="1"/>
        <v>9308249.4698394537</v>
      </c>
      <c r="J6" s="142">
        <f t="shared" si="1"/>
        <v>9526257.7691860273</v>
      </c>
      <c r="K6" s="142">
        <f t="shared" si="1"/>
        <v>10122503.599496637</v>
      </c>
      <c r="L6" s="142">
        <f t="shared" si="1"/>
        <v>9028867.875454016</v>
      </c>
      <c r="M6" s="142">
        <f t="shared" si="1"/>
        <v>9333976.1578683127</v>
      </c>
      <c r="N6" s="142">
        <f t="shared" si="1"/>
        <v>9639084.4402826093</v>
      </c>
      <c r="O6" s="142">
        <f t="shared" si="1"/>
        <v>9639084.4402826093</v>
      </c>
      <c r="P6" s="142">
        <f t="shared" si="1"/>
        <v>9639084.4402826093</v>
      </c>
      <c r="Q6" s="142">
        <f t="shared" si="1"/>
        <v>9581957.739629183</v>
      </c>
      <c r="R6" s="142">
        <f t="shared" si="1"/>
        <v>9558279.795991635</v>
      </c>
      <c r="S6" s="142">
        <f t="shared" si="1"/>
        <v>9863388.0784059316</v>
      </c>
      <c r="T6" s="142">
        <f t="shared" si="1"/>
        <v>10168496.360820228</v>
      </c>
      <c r="U6" s="142">
        <f t="shared" si="1"/>
        <v>9224860.6367776077</v>
      </c>
      <c r="V6" s="142">
        <f t="shared" si="1"/>
        <v>9224860.6367776077</v>
      </c>
      <c r="W6" s="142">
        <f t="shared" si="1"/>
        <v>9224860.6367776077</v>
      </c>
      <c r="X6" s="142">
        <f t="shared" si="1"/>
        <v>9849047.9361241814</v>
      </c>
      <c r="Y6" s="142">
        <f t="shared" si="1"/>
        <v>10445293.766434791</v>
      </c>
      <c r="Z6" s="142">
        <f t="shared" si="1"/>
        <v>10750402.048849087</v>
      </c>
      <c r="AA6" s="142">
        <f t="shared" si="1"/>
        <v>8856766.3248064667</v>
      </c>
      <c r="AB6" s="142">
        <f t="shared" si="1"/>
        <v>7661874.6072207624</v>
      </c>
      <c r="AC6" s="142">
        <f t="shared" si="1"/>
        <v>7661874.6072207624</v>
      </c>
      <c r="AD6" s="142">
        <f t="shared" si="1"/>
        <v>7661874.6072207624</v>
      </c>
      <c r="AE6" s="142">
        <f t="shared" si="1"/>
        <v>8286061.9065673361</v>
      </c>
      <c r="AF6" s="132">
        <f t="shared" si="1"/>
        <v>7882307.7368779453</v>
      </c>
      <c r="AG6" s="132">
        <f t="shared" si="1"/>
        <v>8187416.019292241</v>
      </c>
      <c r="AH6" s="105">
        <f>AH5+AH4</f>
        <v>11225488.340182269</v>
      </c>
      <c r="AI6" s="142"/>
      <c r="AJ6" s="105"/>
      <c r="AK6" s="105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</row>
    <row r="7" spans="1:91" x14ac:dyDescent="0.15">
      <c r="A7" s="133" t="s">
        <v>260</v>
      </c>
      <c r="B7" s="142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 t="s">
        <v>219</v>
      </c>
      <c r="AI7" s="142"/>
      <c r="AJ7" s="105"/>
      <c r="AK7" s="105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</row>
    <row r="8" spans="1:91" x14ac:dyDescent="0.15">
      <c r="A8" s="136" t="s">
        <v>259</v>
      </c>
      <c r="B8" s="122"/>
      <c r="C8" s="120">
        <f>1946461-222948</f>
        <v>1723513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 t="shared" ref="AH8:AH31" si="2">SUM(C8:AG8)</f>
        <v>1723513</v>
      </c>
      <c r="AI8" s="119"/>
      <c r="AJ8" s="105"/>
      <c r="AK8" s="105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</row>
    <row r="9" spans="1:91" x14ac:dyDescent="0.15">
      <c r="A9" s="141" t="s">
        <v>258</v>
      </c>
      <c r="B9" s="122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2"/>
        <v>0</v>
      </c>
      <c r="AI9" s="119"/>
      <c r="AJ9" s="105"/>
      <c r="AK9" s="105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</row>
    <row r="10" spans="1:91" x14ac:dyDescent="0.15">
      <c r="A10" s="136" t="s">
        <v>257</v>
      </c>
      <c r="B10" s="122"/>
      <c r="C10" s="120">
        <f>269821+215618</f>
        <v>485439</v>
      </c>
      <c r="D10" s="120">
        <v>982743</v>
      </c>
      <c r="E10" s="120"/>
      <c r="F10" s="120"/>
      <c r="G10" s="120"/>
      <c r="H10" s="120"/>
      <c r="I10" s="120">
        <v>406179</v>
      </c>
      <c r="J10" s="120"/>
      <c r="K10" s="120">
        <f>$AM$10</f>
        <v>1248744.0064569169</v>
      </c>
      <c r="L10" s="120"/>
      <c r="M10" s="120"/>
      <c r="N10" s="120"/>
      <c r="O10" s="120"/>
      <c r="P10" s="120">
        <v>331314</v>
      </c>
      <c r="Q10" s="120">
        <v>474355</v>
      </c>
      <c r="R10" s="120"/>
      <c r="S10" s="120"/>
      <c r="T10" s="120">
        <f>$AM$10</f>
        <v>1248744.0064569169</v>
      </c>
      <c r="U10" s="120"/>
      <c r="V10" s="120"/>
      <c r="W10" s="120"/>
      <c r="X10" s="120"/>
      <c r="Y10" s="120"/>
      <c r="Z10" s="120">
        <f>$AM$10+50000</f>
        <v>1298744.0064569169</v>
      </c>
      <c r="AA10" s="120"/>
      <c r="AB10" s="120"/>
      <c r="AC10" s="120"/>
      <c r="AD10" s="120"/>
      <c r="AE10" s="120">
        <v>1000000</v>
      </c>
      <c r="AF10" s="120"/>
      <c r="AG10" s="120"/>
      <c r="AH10" s="105">
        <f t="shared" si="2"/>
        <v>7476262.0193707515</v>
      </c>
      <c r="AI10" s="119"/>
      <c r="AJ10" s="105"/>
      <c r="AK10" s="105"/>
      <c r="AL10" s="103">
        <f>'Exec Summary_Base Case'!J103*1.19-AH23-AH25</f>
        <v>4994976.0258276677</v>
      </c>
      <c r="AM10" s="103">
        <f>AL10/4</f>
        <v>1248744.0064569169</v>
      </c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</row>
    <row r="11" spans="1:91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0</v>
      </c>
      <c r="AI11" s="119"/>
      <c r="AJ11" s="105"/>
      <c r="AK11" s="105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</row>
    <row r="12" spans="1:91" x14ac:dyDescent="0.15">
      <c r="A12" s="136" t="s">
        <v>255</v>
      </c>
      <c r="B12" s="122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70"/>
      <c r="AH12" s="105">
        <f t="shared" si="2"/>
        <v>0</v>
      </c>
      <c r="AI12" s="119"/>
      <c r="AJ12" s="105"/>
      <c r="AK12" s="105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</row>
    <row r="13" spans="1:91" hidden="1" outlineLevel="1" x14ac:dyDescent="0.15">
      <c r="A13" s="169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7">
        <f t="shared" si="2"/>
        <v>0</v>
      </c>
      <c r="AI13" s="119"/>
      <c r="AJ13" s="163"/>
      <c r="AK13" s="16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</row>
    <row r="14" spans="1:91" hidden="1" outlineLevel="1" x14ac:dyDescent="0.15">
      <c r="A14" s="169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7">
        <f t="shared" si="2"/>
        <v>0</v>
      </c>
      <c r="AI14" s="119"/>
      <c r="AJ14" s="163"/>
      <c r="AK14" s="16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</row>
    <row r="15" spans="1:91" hidden="1" outlineLevel="1" x14ac:dyDescent="0.15">
      <c r="A15" s="169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7">
        <f t="shared" si="2"/>
        <v>0</v>
      </c>
      <c r="AI15" s="119"/>
      <c r="AJ15" s="163"/>
      <c r="AK15" s="16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</row>
    <row r="16" spans="1:91" hidden="1" outlineLevel="1" x14ac:dyDescent="0.15">
      <c r="A16" s="169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7">
        <f t="shared" si="2"/>
        <v>0</v>
      </c>
      <c r="AI16" s="119"/>
      <c r="AJ16" s="163"/>
      <c r="AK16" s="16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</row>
    <row r="17" spans="1:91" hidden="1" outlineLevel="1" x14ac:dyDescent="0.15">
      <c r="A17" s="169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7">
        <f t="shared" si="2"/>
        <v>0</v>
      </c>
      <c r="AI17" s="119"/>
      <c r="AJ17" s="163"/>
      <c r="AK17" s="16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</row>
    <row r="18" spans="1:91" hidden="1" outlineLevel="1" x14ac:dyDescent="0.15">
      <c r="A18" s="169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7">
        <f t="shared" si="2"/>
        <v>0</v>
      </c>
      <c r="AI18" s="119"/>
      <c r="AJ18" s="163"/>
      <c r="AK18" s="16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</row>
    <row r="19" spans="1:91" hidden="1" outlineLevel="1" x14ac:dyDescent="0.15">
      <c r="A19" s="169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7">
        <f t="shared" si="2"/>
        <v>0</v>
      </c>
      <c r="AI19" s="119"/>
      <c r="AJ19" s="163"/>
      <c r="AK19" s="16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</row>
    <row r="20" spans="1:91" hidden="1" outlineLevel="1" x14ac:dyDescent="0.15">
      <c r="A20" s="169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7">
        <f t="shared" si="2"/>
        <v>0</v>
      </c>
      <c r="AI20" s="119"/>
      <c r="AJ20" s="163"/>
      <c r="AK20" s="16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</row>
    <row r="21" spans="1:91" hidden="1" outlineLevel="1" x14ac:dyDescent="0.15">
      <c r="A21" s="169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7">
        <f t="shared" si="2"/>
        <v>0</v>
      </c>
      <c r="AI21" s="119"/>
      <c r="AJ21" s="163"/>
      <c r="AK21" s="16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</row>
    <row r="22" spans="1:91" hidden="1" outlineLevel="1" x14ac:dyDescent="0.15">
      <c r="A22" s="169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7">
        <f t="shared" si="2"/>
        <v>0</v>
      </c>
      <c r="AI22" s="119"/>
      <c r="AJ22" s="163"/>
      <c r="AK22" s="16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</row>
    <row r="23" spans="1:91" collapsed="1" x14ac:dyDescent="0.15">
      <c r="A23" s="136" t="s">
        <v>244</v>
      </c>
      <c r="B23" s="122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0</v>
      </c>
      <c r="AI23" s="119"/>
      <c r="AJ23" s="105"/>
      <c r="AK23" s="105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</row>
    <row r="24" spans="1:91" x14ac:dyDescent="0.15">
      <c r="A24" s="136" t="s">
        <v>232</v>
      </c>
      <c r="B24" s="122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>
        <v>50000</v>
      </c>
      <c r="AA24" s="120"/>
      <c r="AB24" s="120"/>
      <c r="AC24" s="120"/>
      <c r="AD24" s="120"/>
      <c r="AE24" s="120"/>
      <c r="AF24" s="120"/>
      <c r="AG24" s="120"/>
      <c r="AH24" s="105">
        <f t="shared" si="2"/>
        <v>50000</v>
      </c>
      <c r="AI24" s="119"/>
      <c r="AJ24" s="105"/>
      <c r="AK24" s="105"/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</row>
    <row r="25" spans="1:91" x14ac:dyDescent="0.15">
      <c r="A25" s="136" t="s">
        <v>243</v>
      </c>
      <c r="B25" s="122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si="2"/>
        <v>0</v>
      </c>
      <c r="AI25" s="119"/>
      <c r="AJ25" s="105"/>
      <c r="AK25" s="105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</row>
    <row r="26" spans="1:91" x14ac:dyDescent="0.15">
      <c r="A26" s="136" t="s">
        <v>242</v>
      </c>
      <c r="B26" s="122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>
        <f>1800000-300000</f>
        <v>1500000</v>
      </c>
      <c r="AB26" s="120"/>
      <c r="AC26" s="120"/>
      <c r="AD26" s="120"/>
      <c r="AE26" s="120"/>
      <c r="AF26" s="120"/>
      <c r="AG26" s="120"/>
      <c r="AH26" s="105">
        <f t="shared" si="2"/>
        <v>1500000</v>
      </c>
      <c r="AI26" s="119"/>
      <c r="AJ26" s="105"/>
      <c r="AK26" s="105"/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</row>
    <row r="27" spans="1:91" x14ac:dyDescent="0.15">
      <c r="A27" s="136" t="s">
        <v>241</v>
      </c>
      <c r="B27" s="122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>
        <f>950000-100000</f>
        <v>850000</v>
      </c>
      <c r="AA27" s="120"/>
      <c r="AB27" s="120"/>
      <c r="AC27" s="120"/>
      <c r="AD27" s="120"/>
      <c r="AE27" s="120"/>
      <c r="AF27" s="120"/>
      <c r="AG27" s="120"/>
      <c r="AH27" s="105">
        <f t="shared" si="2"/>
        <v>850000</v>
      </c>
      <c r="AI27" s="119"/>
      <c r="AJ27" s="105"/>
      <c r="AK27" s="105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</row>
    <row r="28" spans="1:91" x14ac:dyDescent="0.15">
      <c r="A28" s="136" t="s">
        <v>240</v>
      </c>
      <c r="B28" s="122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>
        <v>350000</v>
      </c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2"/>
        <v>350000</v>
      </c>
      <c r="AI28" s="119"/>
      <c r="AJ28" s="105"/>
      <c r="AK28" s="105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</row>
    <row r="29" spans="1:91" x14ac:dyDescent="0.15">
      <c r="A29" s="136" t="s">
        <v>300</v>
      </c>
      <c r="B29" s="122"/>
      <c r="C29" s="120"/>
      <c r="D29" s="120"/>
      <c r="E29" s="120"/>
      <c r="F29" s="120"/>
      <c r="G29" s="120"/>
      <c r="H29" s="120"/>
      <c r="I29" s="120"/>
      <c r="J29" s="120"/>
      <c r="K29" s="120">
        <v>150000</v>
      </c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>SUM(C29:AG29)</f>
        <v>150000</v>
      </c>
      <c r="AI29" s="119"/>
      <c r="AJ29" s="105"/>
      <c r="AK29" s="105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</row>
    <row r="30" spans="1:91" x14ac:dyDescent="0.15">
      <c r="A30" s="136" t="s">
        <v>365</v>
      </c>
      <c r="B30" s="122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05">
        <f t="shared" si="2"/>
        <v>0</v>
      </c>
      <c r="AI30" s="119"/>
      <c r="AJ30" s="105"/>
      <c r="AK30" s="105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</row>
    <row r="31" spans="1:91" ht="15" thickBot="1" x14ac:dyDescent="0.2">
      <c r="A31" s="113" t="s">
        <v>238</v>
      </c>
      <c r="B31" s="129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4"/>
      <c r="AH31" s="128">
        <f t="shared" si="2"/>
        <v>0</v>
      </c>
      <c r="AI31" s="127"/>
      <c r="AJ31" s="128"/>
      <c r="AK31" s="128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</row>
    <row r="32" spans="1:91" x14ac:dyDescent="0.15">
      <c r="A32" s="133" t="s">
        <v>237</v>
      </c>
      <c r="B32" s="122">
        <f>SUM(B8:B31)</f>
        <v>0</v>
      </c>
      <c r="C32" s="119">
        <f t="shared" ref="C32:AH32" si="3">SUM(C8:C31)-C12</f>
        <v>2208952</v>
      </c>
      <c r="D32" s="119">
        <f t="shared" si="3"/>
        <v>982743</v>
      </c>
      <c r="E32" s="119">
        <f t="shared" si="3"/>
        <v>0</v>
      </c>
      <c r="F32" s="119">
        <f t="shared" si="3"/>
        <v>0</v>
      </c>
      <c r="G32" s="119">
        <f t="shared" si="3"/>
        <v>0</v>
      </c>
      <c r="H32" s="119">
        <f t="shared" si="3"/>
        <v>0</v>
      </c>
      <c r="I32" s="119">
        <f t="shared" si="3"/>
        <v>406179</v>
      </c>
      <c r="J32" s="119">
        <f t="shared" si="3"/>
        <v>0</v>
      </c>
      <c r="K32" s="119">
        <f t="shared" si="3"/>
        <v>1398744.0064569169</v>
      </c>
      <c r="L32" s="119">
        <f t="shared" si="3"/>
        <v>0</v>
      </c>
      <c r="M32" s="119">
        <f t="shared" si="3"/>
        <v>0</v>
      </c>
      <c r="N32" s="119">
        <f t="shared" si="3"/>
        <v>0</v>
      </c>
      <c r="O32" s="119">
        <f t="shared" si="3"/>
        <v>0</v>
      </c>
      <c r="P32" s="119">
        <f t="shared" si="3"/>
        <v>681314</v>
      </c>
      <c r="Q32" s="119">
        <f t="shared" si="3"/>
        <v>474355</v>
      </c>
      <c r="R32" s="119">
        <f t="shared" si="3"/>
        <v>0</v>
      </c>
      <c r="S32" s="119">
        <f t="shared" si="3"/>
        <v>0</v>
      </c>
      <c r="T32" s="119">
        <f t="shared" si="3"/>
        <v>1248744.0064569169</v>
      </c>
      <c r="U32" s="119">
        <f t="shared" si="3"/>
        <v>0</v>
      </c>
      <c r="V32" s="119">
        <f t="shared" si="3"/>
        <v>0</v>
      </c>
      <c r="W32" s="119">
        <f t="shared" si="3"/>
        <v>0</v>
      </c>
      <c r="X32" s="119">
        <f t="shared" si="3"/>
        <v>0</v>
      </c>
      <c r="Y32" s="119">
        <f t="shared" si="3"/>
        <v>0</v>
      </c>
      <c r="Z32" s="119">
        <f t="shared" si="3"/>
        <v>2198744.0064569172</v>
      </c>
      <c r="AA32" s="119">
        <f t="shared" si="3"/>
        <v>1500000</v>
      </c>
      <c r="AB32" s="119">
        <f t="shared" si="3"/>
        <v>0</v>
      </c>
      <c r="AC32" s="119">
        <f t="shared" si="3"/>
        <v>0</v>
      </c>
      <c r="AD32" s="119">
        <f t="shared" si="3"/>
        <v>0</v>
      </c>
      <c r="AE32" s="119">
        <f t="shared" si="3"/>
        <v>1000000</v>
      </c>
      <c r="AF32" s="119">
        <f t="shared" si="3"/>
        <v>0</v>
      </c>
      <c r="AG32" s="119">
        <f t="shared" si="3"/>
        <v>0</v>
      </c>
      <c r="AH32" s="160">
        <f t="shared" si="3"/>
        <v>12099775.019370751</v>
      </c>
      <c r="AI32" s="119"/>
      <c r="AJ32" s="160"/>
      <c r="AK32" s="105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</row>
    <row r="33" spans="1:91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 t="s">
        <v>219</v>
      </c>
      <c r="AI33" s="119"/>
      <c r="AJ33" s="105"/>
      <c r="AK33" s="105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</row>
    <row r="34" spans="1:91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/>
      <c r="AI34" s="119"/>
      <c r="AJ34" s="105"/>
      <c r="AK34" s="105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</row>
    <row r="35" spans="1:91" hidden="1" x14ac:dyDescent="0.15">
      <c r="A35" s="124" t="s">
        <v>235</v>
      </c>
      <c r="B35" s="122">
        <f t="shared" ref="B35:B41" si="4">SUM(C35:AG35)</f>
        <v>0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ref="AH35:AH42" si="5">SUM(C35:AG35)</f>
        <v>0</v>
      </c>
      <c r="AI35" s="119"/>
      <c r="AJ35" s="105"/>
      <c r="AK35" s="105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</row>
    <row r="36" spans="1:91" hidden="1" x14ac:dyDescent="0.15">
      <c r="A36" s="124" t="s">
        <v>234</v>
      </c>
      <c r="B36" s="122">
        <f t="shared" si="4"/>
        <v>0</v>
      </c>
      <c r="C36" s="120"/>
      <c r="D36" s="120"/>
      <c r="E36" s="120"/>
      <c r="F36" s="120">
        <v>0</v>
      </c>
      <c r="G36" s="120">
        <v>0</v>
      </c>
      <c r="H36" s="120"/>
      <c r="I36" s="120"/>
      <c r="J36" s="120"/>
      <c r="K36" s="120"/>
      <c r="L36" s="120"/>
      <c r="M36" s="120">
        <v>0</v>
      </c>
      <c r="N36" s="120">
        <v>0</v>
      </c>
      <c r="O36" s="120"/>
      <c r="P36" s="120"/>
      <c r="Q36" s="120"/>
      <c r="R36" s="120"/>
      <c r="S36" s="120"/>
      <c r="T36" s="120">
        <v>0</v>
      </c>
      <c r="U36" s="120">
        <v>0</v>
      </c>
      <c r="V36" s="120"/>
      <c r="W36" s="120"/>
      <c r="X36" s="120"/>
      <c r="Y36" s="120"/>
      <c r="Z36" s="120"/>
      <c r="AA36" s="120">
        <v>0</v>
      </c>
      <c r="AB36" s="120">
        <v>0</v>
      </c>
      <c r="AC36" s="120"/>
      <c r="AD36" s="120"/>
      <c r="AE36" s="120"/>
      <c r="AF36" s="120"/>
      <c r="AG36" s="120"/>
      <c r="AH36" s="105">
        <f t="shared" si="5"/>
        <v>0</v>
      </c>
      <c r="AI36" s="119"/>
      <c r="AJ36" s="105"/>
      <c r="AK36" s="105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</row>
    <row r="37" spans="1:91" hidden="1" x14ac:dyDescent="0.15">
      <c r="A37" s="124" t="s">
        <v>233</v>
      </c>
      <c r="B37" s="122">
        <f t="shared" si="4"/>
        <v>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5"/>
        <v>0</v>
      </c>
      <c r="AI37" s="119"/>
      <c r="AJ37" s="105"/>
      <c r="AK37" s="105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</row>
    <row r="38" spans="1:91" x14ac:dyDescent="0.15">
      <c r="A38" s="124" t="s">
        <v>232</v>
      </c>
      <c r="B38" s="122">
        <f t="shared" si="4"/>
        <v>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5"/>
        <v>0</v>
      </c>
      <c r="AI38" s="119"/>
      <c r="AJ38" s="105"/>
      <c r="AK38" s="105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</row>
    <row r="39" spans="1:91" x14ac:dyDescent="0.15">
      <c r="A39" s="124" t="s">
        <v>231</v>
      </c>
      <c r="B39" s="122">
        <f t="shared" si="4"/>
        <v>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5"/>
        <v>0</v>
      </c>
      <c r="AI39" s="119"/>
      <c r="AJ39" s="105"/>
      <c r="AK39" s="105"/>
      <c r="AN39" s="103">
        <v>31</v>
      </c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</row>
    <row r="40" spans="1:91" x14ac:dyDescent="0.15">
      <c r="A40" s="124" t="s">
        <v>230</v>
      </c>
      <c r="B40" s="122">
        <f t="shared" si="4"/>
        <v>4421086.2184447031</v>
      </c>
      <c r="C40" s="131">
        <f>+$AN$42</f>
        <v>145568.7739481568</v>
      </c>
      <c r="D40" s="131">
        <f>+$AN$42</f>
        <v>145568.7739481568</v>
      </c>
      <c r="E40" s="131">
        <f>+$AN$42+54023</f>
        <v>199591.7739481568</v>
      </c>
      <c r="F40" s="131">
        <f>+$AN$42</f>
        <v>145568.7739481568</v>
      </c>
      <c r="G40" s="131"/>
      <c r="H40" s="131"/>
      <c r="I40" s="131">
        <f>+$AN$42</f>
        <v>145568.7739481568</v>
      </c>
      <c r="J40" s="131">
        <f>+$AN$42*3</f>
        <v>436706.3218444704</v>
      </c>
      <c r="K40" s="131">
        <f>+$AN$42</f>
        <v>145568.7739481568</v>
      </c>
      <c r="L40" s="131">
        <f>+$AN$42</f>
        <v>145568.7739481568</v>
      </c>
      <c r="M40" s="131">
        <f>+$AN$42</f>
        <v>145568.7739481568</v>
      </c>
      <c r="N40" s="131"/>
      <c r="O40" s="131"/>
      <c r="P40" s="131">
        <f>+$AN$42</f>
        <v>145568.7739481568</v>
      </c>
      <c r="Q40" s="131">
        <f>+$AN$42*2</f>
        <v>291137.5478963136</v>
      </c>
      <c r="R40" s="131">
        <f>+$AN$42</f>
        <v>145568.7739481568</v>
      </c>
      <c r="S40" s="131">
        <f>+$AN$42</f>
        <v>145568.7739481568</v>
      </c>
      <c r="T40" s="131">
        <f>+$AN$42</f>
        <v>145568.7739481568</v>
      </c>
      <c r="U40" s="131"/>
      <c r="V40" s="131"/>
      <c r="W40" s="131">
        <f>+$AN$42</f>
        <v>145568.7739481568</v>
      </c>
      <c r="X40" s="131">
        <f>+$AN$42*3</f>
        <v>436706.3218444704</v>
      </c>
      <c r="Y40" s="131">
        <f>+$AN$42</f>
        <v>145568.7739481568</v>
      </c>
      <c r="Z40" s="131">
        <f>+$AN$42</f>
        <v>145568.7739481568</v>
      </c>
      <c r="AA40" s="131">
        <f>+$AN$42</f>
        <v>145568.7739481568</v>
      </c>
      <c r="AB40" s="131"/>
      <c r="AC40" s="131"/>
      <c r="AD40" s="131">
        <f>+$AN$42</f>
        <v>145568.7739481568</v>
      </c>
      <c r="AE40" s="131">
        <f>+$AN$42*3</f>
        <v>436706.3218444704</v>
      </c>
      <c r="AF40" s="131">
        <f>+$AN$42</f>
        <v>145568.7739481568</v>
      </c>
      <c r="AG40" s="131">
        <f>+$AN$42</f>
        <v>145568.7739481568</v>
      </c>
      <c r="AH40" s="105">
        <f t="shared" si="5"/>
        <v>4421086.2184447031</v>
      </c>
      <c r="AI40" s="119"/>
      <c r="AJ40" s="105"/>
      <c r="AK40" s="105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</row>
    <row r="41" spans="1:91" ht="15" thickBot="1" x14ac:dyDescent="0.2">
      <c r="A41" s="130" t="s">
        <v>229</v>
      </c>
      <c r="B41" s="129">
        <f t="shared" si="4"/>
        <v>4945724.7624503095</v>
      </c>
      <c r="C41" s="127">
        <f>SUM($AN$43:$AN$45)</f>
        <v>159539.50846613897</v>
      </c>
      <c r="D41" s="127">
        <f>SUM($AN$43:$AN$45)</f>
        <v>159539.50846613897</v>
      </c>
      <c r="E41" s="127">
        <f t="shared" ref="E41:F41" si="6">SUM($AN$43:$AN$45)</f>
        <v>159539.50846613897</v>
      </c>
      <c r="F41" s="127">
        <f t="shared" si="6"/>
        <v>159539.50846613897</v>
      </c>
      <c r="G41" s="127"/>
      <c r="H41" s="127"/>
      <c r="I41" s="127">
        <f>SUM($AN$43:$AN$45)*3</f>
        <v>478618.52539841691</v>
      </c>
      <c r="J41" s="127">
        <f t="shared" ref="J41:L41" si="7">SUM($AN$43:$AN$45)</f>
        <v>159539.50846613897</v>
      </c>
      <c r="K41" s="127">
        <f t="shared" si="7"/>
        <v>159539.50846613897</v>
      </c>
      <c r="L41" s="127">
        <f t="shared" si="7"/>
        <v>159539.50846613897</v>
      </c>
      <c r="M41" s="127">
        <f>SUM($AN$43:$AN$45)</f>
        <v>159539.50846613897</v>
      </c>
      <c r="N41" s="127"/>
      <c r="O41" s="127"/>
      <c r="P41" s="127">
        <f>SUM($AN$43:$AN$45)*3</f>
        <v>478618.52539841691</v>
      </c>
      <c r="Q41" s="127">
        <f t="shared" ref="Q41:S41" si="8">SUM($AN$43:$AN$45)</f>
        <v>159539.50846613897</v>
      </c>
      <c r="R41" s="127">
        <f t="shared" si="8"/>
        <v>159539.50846613897</v>
      </c>
      <c r="S41" s="127">
        <f t="shared" si="8"/>
        <v>159539.50846613897</v>
      </c>
      <c r="T41" s="127">
        <f>SUM($AN$43:$AN$45)</f>
        <v>159539.50846613897</v>
      </c>
      <c r="U41" s="127"/>
      <c r="V41" s="127"/>
      <c r="W41" s="127">
        <f>SUM($AN$43:$AN$45)*3</f>
        <v>478618.52539841691</v>
      </c>
      <c r="X41" s="127">
        <f t="shared" ref="X41:Z41" si="9">SUM($AN$43:$AN$45)</f>
        <v>159539.50846613897</v>
      </c>
      <c r="Y41" s="127">
        <f t="shared" si="9"/>
        <v>159539.50846613897</v>
      </c>
      <c r="Z41" s="127">
        <f t="shared" si="9"/>
        <v>159539.50846613897</v>
      </c>
      <c r="AA41" s="127">
        <f>SUM($AN$43:$AN$45)</f>
        <v>159539.50846613897</v>
      </c>
      <c r="AB41" s="127"/>
      <c r="AC41" s="127"/>
      <c r="AD41" s="127">
        <f>SUM($AN$43:$AN$45)*3</f>
        <v>478618.52539841691</v>
      </c>
      <c r="AE41" s="127">
        <f t="shared" ref="AE41:AG41" si="10">SUM($AN$43:$AN$45)</f>
        <v>159539.50846613897</v>
      </c>
      <c r="AF41" s="127">
        <f t="shared" si="10"/>
        <v>159539.50846613897</v>
      </c>
      <c r="AG41" s="127">
        <f t="shared" si="10"/>
        <v>159539.50846613897</v>
      </c>
      <c r="AH41" s="128">
        <f t="shared" si="5"/>
        <v>4945724.7624503095</v>
      </c>
      <c r="AI41" s="127"/>
      <c r="AJ41" s="128"/>
      <c r="AK41" s="105"/>
      <c r="AL41" s="103" t="s">
        <v>228</v>
      </c>
      <c r="AM41" s="103">
        <f>'Exec Summary_Base Case'!J98*70%*1.07+'Exec Summary_Base Case'!J98*30%*1.19</f>
        <v>9025263.9847857207</v>
      </c>
      <c r="AN41" s="103">
        <f>+AM41/$AN$39</f>
        <v>291137.5478963136</v>
      </c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</row>
    <row r="42" spans="1:91" x14ac:dyDescent="0.15">
      <c r="A42" s="124" t="s">
        <v>227</v>
      </c>
      <c r="B42" s="122">
        <f>SUM(B40:B41)</f>
        <v>9366810.9808950126</v>
      </c>
      <c r="C42" s="119">
        <f t="shared" ref="C42:AG42" si="11">SUM(C35:C41)</f>
        <v>305108.28241429577</v>
      </c>
      <c r="D42" s="119">
        <f t="shared" si="11"/>
        <v>305108.28241429577</v>
      </c>
      <c r="E42" s="119">
        <f t="shared" si="11"/>
        <v>359131.28241429577</v>
      </c>
      <c r="F42" s="119">
        <f t="shared" si="11"/>
        <v>305108.28241429577</v>
      </c>
      <c r="G42" s="119">
        <f t="shared" si="11"/>
        <v>0</v>
      </c>
      <c r="H42" s="119">
        <f t="shared" si="11"/>
        <v>0</v>
      </c>
      <c r="I42" s="119">
        <f t="shared" si="11"/>
        <v>624187.29934657365</v>
      </c>
      <c r="J42" s="119">
        <f t="shared" si="11"/>
        <v>596245.83031060942</v>
      </c>
      <c r="K42" s="119">
        <f t="shared" si="11"/>
        <v>305108.28241429577</v>
      </c>
      <c r="L42" s="119">
        <f t="shared" si="11"/>
        <v>305108.28241429577</v>
      </c>
      <c r="M42" s="119">
        <f t="shared" si="11"/>
        <v>305108.28241429577</v>
      </c>
      <c r="N42" s="119">
        <f t="shared" si="11"/>
        <v>0</v>
      </c>
      <c r="O42" s="119">
        <f t="shared" si="11"/>
        <v>0</v>
      </c>
      <c r="P42" s="119">
        <f t="shared" si="11"/>
        <v>624187.29934657365</v>
      </c>
      <c r="Q42" s="119">
        <f t="shared" si="11"/>
        <v>450677.05636245257</v>
      </c>
      <c r="R42" s="119">
        <f t="shared" si="11"/>
        <v>305108.28241429577</v>
      </c>
      <c r="S42" s="119">
        <f t="shared" si="11"/>
        <v>305108.28241429577</v>
      </c>
      <c r="T42" s="119">
        <f t="shared" si="11"/>
        <v>305108.28241429577</v>
      </c>
      <c r="U42" s="119">
        <f t="shared" si="11"/>
        <v>0</v>
      </c>
      <c r="V42" s="119">
        <f t="shared" si="11"/>
        <v>0</v>
      </c>
      <c r="W42" s="119">
        <f t="shared" si="11"/>
        <v>624187.29934657365</v>
      </c>
      <c r="X42" s="119">
        <f t="shared" si="11"/>
        <v>596245.83031060942</v>
      </c>
      <c r="Y42" s="119">
        <f t="shared" si="11"/>
        <v>305108.28241429577</v>
      </c>
      <c r="Z42" s="119">
        <f t="shared" si="11"/>
        <v>305108.28241429577</v>
      </c>
      <c r="AA42" s="119">
        <f t="shared" si="11"/>
        <v>305108.28241429577</v>
      </c>
      <c r="AB42" s="119">
        <f t="shared" si="11"/>
        <v>0</v>
      </c>
      <c r="AC42" s="119">
        <f t="shared" si="11"/>
        <v>0</v>
      </c>
      <c r="AD42" s="119">
        <f t="shared" si="11"/>
        <v>624187.29934657365</v>
      </c>
      <c r="AE42" s="119">
        <f t="shared" si="11"/>
        <v>596245.83031060942</v>
      </c>
      <c r="AF42" s="119">
        <f t="shared" si="11"/>
        <v>305108.28241429577</v>
      </c>
      <c r="AG42" s="120">
        <f t="shared" si="11"/>
        <v>305108.28241429577</v>
      </c>
      <c r="AH42" s="105">
        <f t="shared" si="5"/>
        <v>9366810.9808950126</v>
      </c>
      <c r="AI42" s="119"/>
      <c r="AJ42" s="105"/>
      <c r="AK42" s="232"/>
      <c r="AL42" s="103" t="s">
        <v>226</v>
      </c>
      <c r="AM42" s="103">
        <f>AM41*AO42</f>
        <v>4512631.9923928604</v>
      </c>
      <c r="AN42" s="103">
        <f>+AM42/$AN$39</f>
        <v>145568.7739481568</v>
      </c>
      <c r="AO42" s="174">
        <v>0.5</v>
      </c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</row>
    <row r="43" spans="1:91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 t="s">
        <v>219</v>
      </c>
      <c r="AI43" s="119"/>
      <c r="AJ43" s="105"/>
      <c r="AK43" s="105"/>
      <c r="AL43" s="103" t="s">
        <v>225</v>
      </c>
      <c r="AM43" s="103">
        <f>AM41*AO43</f>
        <v>2256315.9961964302</v>
      </c>
      <c r="AN43" s="103">
        <f>+AM43/$AN$39</f>
        <v>72784.386974078399</v>
      </c>
      <c r="AO43" s="174">
        <v>0.25</v>
      </c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</row>
    <row r="44" spans="1:91" x14ac:dyDescent="0.15">
      <c r="A44" s="124" t="s">
        <v>224</v>
      </c>
      <c r="B44" s="122">
        <f t="shared" ref="B44:AH44" si="12">B42-B32</f>
        <v>9366810.9808950126</v>
      </c>
      <c r="C44" s="119">
        <f t="shared" si="12"/>
        <v>-1903843.7175857043</v>
      </c>
      <c r="D44" s="119">
        <f t="shared" si="12"/>
        <v>-677634.71758570429</v>
      </c>
      <c r="E44" s="119">
        <f t="shared" si="12"/>
        <v>359131.28241429577</v>
      </c>
      <c r="F44" s="119">
        <f t="shared" si="12"/>
        <v>305108.28241429577</v>
      </c>
      <c r="G44" s="119">
        <f t="shared" si="12"/>
        <v>0</v>
      </c>
      <c r="H44" s="119">
        <f t="shared" si="12"/>
        <v>0</v>
      </c>
      <c r="I44" s="119">
        <f t="shared" si="12"/>
        <v>218008.29934657365</v>
      </c>
      <c r="J44" s="119">
        <f t="shared" si="12"/>
        <v>596245.83031060942</v>
      </c>
      <c r="K44" s="119">
        <f t="shared" si="12"/>
        <v>-1093635.7240426212</v>
      </c>
      <c r="L44" s="119">
        <f t="shared" si="12"/>
        <v>305108.28241429577</v>
      </c>
      <c r="M44" s="119">
        <f t="shared" si="12"/>
        <v>305108.28241429577</v>
      </c>
      <c r="N44" s="119">
        <f t="shared" si="12"/>
        <v>0</v>
      </c>
      <c r="O44" s="119">
        <f t="shared" si="12"/>
        <v>0</v>
      </c>
      <c r="P44" s="119">
        <f t="shared" si="12"/>
        <v>-57126.700653426349</v>
      </c>
      <c r="Q44" s="119">
        <f t="shared" si="12"/>
        <v>-23677.943637547432</v>
      </c>
      <c r="R44" s="119">
        <f t="shared" si="12"/>
        <v>305108.28241429577</v>
      </c>
      <c r="S44" s="119">
        <f t="shared" si="12"/>
        <v>305108.28241429577</v>
      </c>
      <c r="T44" s="119">
        <f t="shared" si="12"/>
        <v>-943635.72404262121</v>
      </c>
      <c r="U44" s="119">
        <f t="shared" si="12"/>
        <v>0</v>
      </c>
      <c r="V44" s="119">
        <f t="shared" si="12"/>
        <v>0</v>
      </c>
      <c r="W44" s="119">
        <f t="shared" si="12"/>
        <v>624187.29934657365</v>
      </c>
      <c r="X44" s="119">
        <f t="shared" si="12"/>
        <v>596245.83031060942</v>
      </c>
      <c r="Y44" s="119">
        <f t="shared" si="12"/>
        <v>305108.28241429577</v>
      </c>
      <c r="Z44" s="119">
        <f t="shared" si="12"/>
        <v>-1893635.7240426214</v>
      </c>
      <c r="AA44" s="119">
        <f t="shared" si="12"/>
        <v>-1194891.7175857043</v>
      </c>
      <c r="AB44" s="119">
        <f t="shared" si="12"/>
        <v>0</v>
      </c>
      <c r="AC44" s="119">
        <f t="shared" si="12"/>
        <v>0</v>
      </c>
      <c r="AD44" s="119">
        <f t="shared" si="12"/>
        <v>624187.29934657365</v>
      </c>
      <c r="AE44" s="119">
        <f t="shared" si="12"/>
        <v>-403754.16968939058</v>
      </c>
      <c r="AF44" s="120">
        <f t="shared" si="12"/>
        <v>305108.28241429577</v>
      </c>
      <c r="AG44" s="120">
        <f t="shared" si="12"/>
        <v>305108.28241429577</v>
      </c>
      <c r="AH44" s="125">
        <f t="shared" si="12"/>
        <v>-2732964.0384757388</v>
      </c>
      <c r="AI44" s="119"/>
      <c r="AJ44" s="125"/>
      <c r="AK44" s="105"/>
      <c r="AL44" s="103" t="s">
        <v>319</v>
      </c>
      <c r="AM44" s="103">
        <f>Juni!AM41*März!AP44</f>
        <v>1275864.0983338775</v>
      </c>
      <c r="AN44" s="103">
        <f>+AM44/$AN$39</f>
        <v>41156.906397867016</v>
      </c>
      <c r="AO44" s="175">
        <v>0.125</v>
      </c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</row>
    <row r="45" spans="1:91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 t="s">
        <v>219</v>
      </c>
      <c r="AI45" s="119"/>
      <c r="AJ45" s="105"/>
      <c r="AK45" s="105"/>
      <c r="AL45" s="103" t="s">
        <v>320</v>
      </c>
      <c r="AM45" s="103">
        <f>Mai!AM41*März!AP45</f>
        <v>1413544.6679199999</v>
      </c>
      <c r="AN45" s="103">
        <f>+AM45/$AN$39</f>
        <v>45598.215094193547</v>
      </c>
      <c r="AO45" s="175">
        <v>0.125</v>
      </c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</row>
    <row r="46" spans="1:91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>SUM(C46:AG46)</f>
        <v>0</v>
      </c>
      <c r="AI46" s="119"/>
      <c r="AJ46" s="105"/>
      <c r="AK46" s="105"/>
      <c r="AM46" s="103">
        <f>SUM(AM43:AM45)</f>
        <v>4945724.7624503076</v>
      </c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</row>
    <row r="47" spans="1:91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>SUM(C47:AG47)</f>
        <v>0</v>
      </c>
      <c r="AI47" s="119"/>
      <c r="AJ47" s="105"/>
      <c r="AK47" s="105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</row>
    <row r="48" spans="1:91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>SUM(C48:AG48)</f>
        <v>0</v>
      </c>
      <c r="AI48" s="119"/>
      <c r="AJ48" s="105"/>
      <c r="AK48" s="105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</row>
    <row r="49" spans="1:37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105"/>
      <c r="AK49" s="105"/>
    </row>
    <row r="50" spans="1:37" s="105" customFormat="1" ht="12.75" customHeight="1" thickBot="1" x14ac:dyDescent="0.2">
      <c r="A50" s="159" t="s">
        <v>299</v>
      </c>
      <c r="B50" s="158">
        <f t="shared" ref="B50:AH50" si="13">B6+B44-B46-B47-B48</f>
        <v>20592299.32107728</v>
      </c>
      <c r="C50" s="157">
        <f t="shared" si="13"/>
        <v>9321644.6225965656</v>
      </c>
      <c r="D50" s="157">
        <f t="shared" si="13"/>
        <v>8644009.9050108604</v>
      </c>
      <c r="E50" s="157">
        <f t="shared" si="13"/>
        <v>9003141.1874251571</v>
      </c>
      <c r="F50" s="157">
        <f t="shared" si="13"/>
        <v>9308249.4698394537</v>
      </c>
      <c r="G50" s="157">
        <f t="shared" si="13"/>
        <v>9308249.4698394537</v>
      </c>
      <c r="H50" s="157">
        <f t="shared" si="13"/>
        <v>9308249.4698394537</v>
      </c>
      <c r="I50" s="157">
        <f t="shared" si="13"/>
        <v>9526257.7691860273</v>
      </c>
      <c r="J50" s="157">
        <f t="shared" si="13"/>
        <v>10122503.599496637</v>
      </c>
      <c r="K50" s="157">
        <f t="shared" si="13"/>
        <v>9028867.875454016</v>
      </c>
      <c r="L50" s="157">
        <f t="shared" si="13"/>
        <v>9333976.1578683127</v>
      </c>
      <c r="M50" s="157">
        <f t="shared" si="13"/>
        <v>9639084.4402826093</v>
      </c>
      <c r="N50" s="157">
        <f t="shared" si="13"/>
        <v>9639084.4402826093</v>
      </c>
      <c r="O50" s="157">
        <f t="shared" si="13"/>
        <v>9639084.4402826093</v>
      </c>
      <c r="P50" s="333">
        <f t="shared" si="13"/>
        <v>9581957.739629183</v>
      </c>
      <c r="Q50" s="157">
        <f t="shared" si="13"/>
        <v>9558279.795991635</v>
      </c>
      <c r="R50" s="157">
        <f t="shared" si="13"/>
        <v>9863388.0784059316</v>
      </c>
      <c r="S50" s="157">
        <f t="shared" si="13"/>
        <v>10168496.360820228</v>
      </c>
      <c r="T50" s="333">
        <f t="shared" si="13"/>
        <v>9224860.6367776077</v>
      </c>
      <c r="U50" s="157">
        <f t="shared" si="13"/>
        <v>9224860.6367776077</v>
      </c>
      <c r="V50" s="157">
        <f t="shared" si="13"/>
        <v>9224860.6367776077</v>
      </c>
      <c r="W50" s="157">
        <f t="shared" si="13"/>
        <v>9849047.9361241814</v>
      </c>
      <c r="X50" s="157">
        <f t="shared" si="13"/>
        <v>10445293.766434791</v>
      </c>
      <c r="Y50" s="157">
        <f t="shared" si="13"/>
        <v>10750402.048849087</v>
      </c>
      <c r="Z50" s="157">
        <f t="shared" si="13"/>
        <v>8856766.3248064667</v>
      </c>
      <c r="AA50" s="157">
        <f t="shared" si="13"/>
        <v>7661874.6072207624</v>
      </c>
      <c r="AB50" s="157">
        <f t="shared" si="13"/>
        <v>7661874.6072207624</v>
      </c>
      <c r="AC50" s="157">
        <f t="shared" si="13"/>
        <v>7661874.6072207624</v>
      </c>
      <c r="AD50" s="157">
        <f t="shared" si="13"/>
        <v>8286061.9065673361</v>
      </c>
      <c r="AE50" s="157">
        <f t="shared" si="13"/>
        <v>7882307.7368779453</v>
      </c>
      <c r="AF50" s="168">
        <f t="shared" si="13"/>
        <v>8187416.019292241</v>
      </c>
      <c r="AG50" s="168">
        <f t="shared" si="13"/>
        <v>8492524.3017065376</v>
      </c>
      <c r="AH50" s="167">
        <f t="shared" si="13"/>
        <v>8492524.3017065302</v>
      </c>
      <c r="AI50" s="157" t="s">
        <v>219</v>
      </c>
      <c r="AJ50" s="115"/>
      <c r="AK50" s="231"/>
    </row>
    <row r="51" spans="1:37" ht="16" thickTop="1" thickBot="1" x14ac:dyDescent="0.2">
      <c r="A51" s="146" t="s">
        <v>221</v>
      </c>
      <c r="B51" s="156">
        <f>+B5</f>
        <v>0</v>
      </c>
      <c r="C51" s="110">
        <f t="shared" ref="C51:AH51" si="14">+C50-C52</f>
        <v>9321644.6225965656</v>
      </c>
      <c r="D51" s="110">
        <f t="shared" si="14"/>
        <v>8644009.9050108604</v>
      </c>
      <c r="E51" s="110">
        <f t="shared" si="14"/>
        <v>9003141.1874251571</v>
      </c>
      <c r="F51" s="110">
        <f t="shared" si="14"/>
        <v>9308249.4698394537</v>
      </c>
      <c r="G51" s="110">
        <f t="shared" si="14"/>
        <v>9308249.4698394537</v>
      </c>
      <c r="H51" s="110">
        <f t="shared" si="14"/>
        <v>9308249.4698394537</v>
      </c>
      <c r="I51" s="110">
        <f t="shared" si="14"/>
        <v>9526257.7691860273</v>
      </c>
      <c r="J51" s="110">
        <f t="shared" si="14"/>
        <v>10122503.599496637</v>
      </c>
      <c r="K51" s="110">
        <f t="shared" si="14"/>
        <v>9028867.875454016</v>
      </c>
      <c r="L51" s="110">
        <f t="shared" si="14"/>
        <v>9333976.1578683127</v>
      </c>
      <c r="M51" s="110">
        <f t="shared" si="14"/>
        <v>9639084.4402826093</v>
      </c>
      <c r="N51" s="110">
        <f t="shared" si="14"/>
        <v>9639084.4402826093</v>
      </c>
      <c r="O51" s="110">
        <f t="shared" si="14"/>
        <v>9639084.4402826093</v>
      </c>
      <c r="P51" s="110">
        <f t="shared" si="14"/>
        <v>9581957.739629183</v>
      </c>
      <c r="Q51" s="110">
        <f t="shared" si="14"/>
        <v>9558279.795991635</v>
      </c>
      <c r="R51" s="110">
        <f t="shared" si="14"/>
        <v>9863388.0784059316</v>
      </c>
      <c r="S51" s="110">
        <f t="shared" si="14"/>
        <v>10168496.360820228</v>
      </c>
      <c r="T51" s="110">
        <f t="shared" si="14"/>
        <v>9224860.6367776077</v>
      </c>
      <c r="U51" s="110">
        <f t="shared" si="14"/>
        <v>9224860.6367776077</v>
      </c>
      <c r="V51" s="110">
        <f t="shared" si="14"/>
        <v>9224860.6367776077</v>
      </c>
      <c r="W51" s="110">
        <f t="shared" si="14"/>
        <v>9849047.9361241814</v>
      </c>
      <c r="X51" s="110">
        <f t="shared" si="14"/>
        <v>10445293.766434791</v>
      </c>
      <c r="Y51" s="110">
        <f t="shared" si="14"/>
        <v>10750402.048849087</v>
      </c>
      <c r="Z51" s="110">
        <f t="shared" si="14"/>
        <v>8856766.3248064667</v>
      </c>
      <c r="AA51" s="110">
        <f t="shared" si="14"/>
        <v>7661874.6072207624</v>
      </c>
      <c r="AB51" s="110">
        <f t="shared" si="14"/>
        <v>7661874.6072207624</v>
      </c>
      <c r="AC51" s="110">
        <f t="shared" si="14"/>
        <v>7661874.6072207624</v>
      </c>
      <c r="AD51" s="110">
        <f t="shared" si="14"/>
        <v>8286061.9065673361</v>
      </c>
      <c r="AE51" s="110">
        <f t="shared" si="14"/>
        <v>7882307.7368779453</v>
      </c>
      <c r="AF51" s="110">
        <f t="shared" si="14"/>
        <v>8187416.019292241</v>
      </c>
      <c r="AG51" s="110">
        <f t="shared" si="14"/>
        <v>8492524.3017065376</v>
      </c>
      <c r="AH51" s="110">
        <f t="shared" si="14"/>
        <v>8492524.3017065302</v>
      </c>
      <c r="AI51" s="123"/>
      <c r="AJ51" s="110"/>
      <c r="AK51" s="110"/>
    </row>
    <row r="52" spans="1:37" x14ac:dyDescent="0.15">
      <c r="A52" s="149" t="s">
        <v>220</v>
      </c>
      <c r="B52" s="111">
        <f>B50-B51</f>
        <v>20592299.32107728</v>
      </c>
      <c r="C52" s="110">
        <f>+Mai!AG52</f>
        <v>0</v>
      </c>
      <c r="D52" s="110">
        <f t="shared" ref="D52:AH52" si="15">+C52</f>
        <v>0</v>
      </c>
      <c r="E52" s="110">
        <f t="shared" si="15"/>
        <v>0</v>
      </c>
      <c r="F52" s="110">
        <f t="shared" si="15"/>
        <v>0</v>
      </c>
      <c r="G52" s="110">
        <f t="shared" si="15"/>
        <v>0</v>
      </c>
      <c r="H52" s="110">
        <f t="shared" si="15"/>
        <v>0</v>
      </c>
      <c r="I52" s="110">
        <f t="shared" si="15"/>
        <v>0</v>
      </c>
      <c r="J52" s="110">
        <f t="shared" si="15"/>
        <v>0</v>
      </c>
      <c r="K52" s="110">
        <f t="shared" si="15"/>
        <v>0</v>
      </c>
      <c r="L52" s="110">
        <f t="shared" si="15"/>
        <v>0</v>
      </c>
      <c r="M52" s="110">
        <f t="shared" si="15"/>
        <v>0</v>
      </c>
      <c r="N52" s="110">
        <f t="shared" si="15"/>
        <v>0</v>
      </c>
      <c r="O52" s="110">
        <f t="shared" si="15"/>
        <v>0</v>
      </c>
      <c r="P52" s="110">
        <f t="shared" si="15"/>
        <v>0</v>
      </c>
      <c r="Q52" s="110">
        <f t="shared" si="15"/>
        <v>0</v>
      </c>
      <c r="R52" s="110">
        <f t="shared" si="15"/>
        <v>0</v>
      </c>
      <c r="S52" s="110">
        <f t="shared" si="15"/>
        <v>0</v>
      </c>
      <c r="T52" s="110">
        <f t="shared" si="15"/>
        <v>0</v>
      </c>
      <c r="U52" s="110">
        <f t="shared" si="15"/>
        <v>0</v>
      </c>
      <c r="V52" s="110">
        <f t="shared" si="15"/>
        <v>0</v>
      </c>
      <c r="W52" s="110">
        <f t="shared" si="15"/>
        <v>0</v>
      </c>
      <c r="X52" s="110">
        <f t="shared" si="15"/>
        <v>0</v>
      </c>
      <c r="Y52" s="110">
        <f t="shared" si="15"/>
        <v>0</v>
      </c>
      <c r="Z52" s="110">
        <f t="shared" si="15"/>
        <v>0</v>
      </c>
      <c r="AA52" s="110">
        <f t="shared" si="15"/>
        <v>0</v>
      </c>
      <c r="AB52" s="110">
        <f t="shared" si="15"/>
        <v>0</v>
      </c>
      <c r="AC52" s="110">
        <f t="shared" si="15"/>
        <v>0</v>
      </c>
      <c r="AD52" s="110">
        <f t="shared" si="15"/>
        <v>0</v>
      </c>
      <c r="AE52" s="110">
        <f t="shared" si="15"/>
        <v>0</v>
      </c>
      <c r="AF52" s="110">
        <f t="shared" si="15"/>
        <v>0</v>
      </c>
      <c r="AG52" s="110">
        <f t="shared" si="15"/>
        <v>0</v>
      </c>
      <c r="AH52" s="110">
        <f t="shared" si="15"/>
        <v>0</v>
      </c>
      <c r="AI52" s="110"/>
      <c r="AJ52" s="110"/>
      <c r="AK52" s="110"/>
    </row>
    <row r="53" spans="1:37" x14ac:dyDescent="0.15">
      <c r="A53" s="103" t="s">
        <v>219</v>
      </c>
      <c r="C53" s="103">
        <f>9321645-C51</f>
        <v>0.37740343436598778</v>
      </c>
      <c r="D53" s="103">
        <f>8644010-D51</f>
        <v>9.4989139586687088E-2</v>
      </c>
      <c r="E53" s="103">
        <f>9003141-E51</f>
        <v>-0.18742515705525875</v>
      </c>
      <c r="P53" s="103">
        <f>9581957.57-P50</f>
        <v>-0.16962918266654015</v>
      </c>
      <c r="V53" s="103">
        <f>9224861-V50</f>
        <v>0.36322239227592945</v>
      </c>
    </row>
    <row r="56" spans="1:37" x14ac:dyDescent="0.15">
      <c r="A56" s="106"/>
    </row>
    <row r="57" spans="1:37" x14ac:dyDescent="0.15">
      <c r="A57" s="106"/>
      <c r="W57" s="173"/>
    </row>
    <row r="58" spans="1:37" x14ac:dyDescent="0.15">
      <c r="A58" s="106"/>
    </row>
    <row r="59" spans="1:37" x14ac:dyDescent="0.15">
      <c r="A59" s="106"/>
    </row>
    <row r="60" spans="1:37" x14ac:dyDescent="0.15">
      <c r="A60" s="106"/>
    </row>
    <row r="61" spans="1:37" x14ac:dyDescent="0.15">
      <c r="A61" s="106"/>
    </row>
    <row r="62" spans="1:37" x14ac:dyDescent="0.15">
      <c r="A62" s="106"/>
    </row>
    <row r="63" spans="1:37" x14ac:dyDescent="0.15">
      <c r="A63" s="106"/>
    </row>
    <row r="64" spans="1:37" x14ac:dyDescent="0.15">
      <c r="A64" s="108"/>
      <c r="B64" s="105"/>
    </row>
    <row r="65" spans="1:2" x14ac:dyDescent="0.15">
      <c r="A65" s="107"/>
    </row>
    <row r="66" spans="1:2" x14ac:dyDescent="0.15">
      <c r="A66" s="106"/>
    </row>
    <row r="67" spans="1:2" x14ac:dyDescent="0.15">
      <c r="A67" s="106"/>
    </row>
    <row r="68" spans="1:2" x14ac:dyDescent="0.15">
      <c r="A68" s="106"/>
    </row>
    <row r="69" spans="1:2" x14ac:dyDescent="0.15">
      <c r="A69" s="106"/>
    </row>
    <row r="70" spans="1:2" x14ac:dyDescent="0.15">
      <c r="A70" s="106"/>
    </row>
    <row r="71" spans="1:2" x14ac:dyDescent="0.15">
      <c r="A71" s="106"/>
    </row>
    <row r="72" spans="1:2" x14ac:dyDescent="0.15">
      <c r="A72" s="106"/>
      <c r="B72" s="105"/>
    </row>
    <row r="77" spans="1:2" x14ac:dyDescent="0.15">
      <c r="B77" s="104"/>
    </row>
    <row r="78" spans="1:2" x14ac:dyDescent="0.15">
      <c r="A78" s="104"/>
    </row>
    <row r="79" spans="1:2" x14ac:dyDescent="0.15">
      <c r="A79" s="104"/>
    </row>
    <row r="83" spans="1:1" x14ac:dyDescent="0.15">
      <c r="A83" s="104"/>
    </row>
  </sheetData>
  <phoneticPr fontId="38" type="noConversion"/>
  <pageMargins left="0.23622047244094491" right="0.23622047244094491" top="0.55118110236220474" bottom="0.15748031496062992" header="0.31496062992125984" footer="0.11811023622047245"/>
  <pageSetup paperSize="9" scale="64" fitToWidth="2" fitToHeight="2" orientation="landscape" r:id="rId1"/>
  <headerFooter alignWithMargins="0">
    <oddHeader>&amp;F</oddHeader>
    <oddFooter>Seite &amp;P von &amp;N</oddFooter>
  </headerFooter>
  <colBreaks count="1" manualBreakCount="1">
    <brk id="17" max="1048575" man="1"/>
  </col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33B7-71E0-4CA9-9280-575564F8EC16}">
  <sheetPr>
    <pageSetUpPr fitToPage="1"/>
  </sheetPr>
  <dimension ref="A1:CM83"/>
  <sheetViews>
    <sheetView zoomScale="70" zoomScaleNormal="70" workbookViewId="0">
      <pane xSplit="2" ySplit="6" topLeftCell="C7" activePane="bottomRight" state="frozen"/>
      <selection activeCell="B27" sqref="B27"/>
      <selection pane="topRight" activeCell="B27" sqref="B27"/>
      <selection pane="bottomLeft" activeCell="B27" sqref="B27"/>
      <selection pane="bottomRight" activeCell="Q10" sqref="Q10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39.5" style="103" bestFit="1" customWidth="1"/>
    <col min="3" max="3" width="13.5" style="103" customWidth="1"/>
    <col min="4" max="7" width="12" style="103" customWidth="1"/>
    <col min="8" max="8" width="12.6640625" style="103" customWidth="1"/>
    <col min="9" max="9" width="12" style="103" bestFit="1" customWidth="1"/>
    <col min="10" max="10" width="12.83203125" style="103" customWidth="1"/>
    <col min="11" max="11" width="14" style="103" customWidth="1"/>
    <col min="12" max="12" width="13.33203125" style="103" customWidth="1"/>
    <col min="13" max="13" width="13.1640625" style="103" customWidth="1"/>
    <col min="14" max="14" width="14.33203125" style="103" customWidth="1"/>
    <col min="15" max="15" width="13.6640625" style="103" customWidth="1"/>
    <col min="16" max="16" width="12" style="103" bestFit="1" customWidth="1"/>
    <col min="17" max="25" width="11.5" style="103"/>
    <col min="26" max="27" width="11.33203125" style="103" bestFit="1" customWidth="1"/>
    <col min="28" max="29" width="11.83203125" style="103" bestFit="1" customWidth="1"/>
    <col min="30" max="30" width="10.33203125" style="103" bestFit="1" customWidth="1"/>
    <col min="31" max="33" width="11.83203125" style="103" bestFit="1" customWidth="1"/>
    <col min="34" max="34" width="14.5" style="103" bestFit="1" customWidth="1"/>
    <col min="35" max="35" width="1.6640625" style="103" bestFit="1" customWidth="1"/>
    <col min="36" max="36" width="15.1640625" style="103" bestFit="1" customWidth="1"/>
    <col min="37" max="37" width="11.33203125" style="103" customWidth="1"/>
    <col min="38" max="38" width="15.5" style="103" bestFit="1" customWidth="1"/>
    <col min="39" max="39" width="13.5" style="103" customWidth="1"/>
    <col min="40" max="16384" width="11.5" style="103"/>
  </cols>
  <sheetData>
    <row r="1" spans="1:91" x14ac:dyDescent="0.15">
      <c r="A1" s="103" t="s">
        <v>535</v>
      </c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</row>
    <row r="2" spans="1:91" x14ac:dyDescent="0.15">
      <c r="A2" s="154" t="s">
        <v>219</v>
      </c>
      <c r="B2" s="154" t="s">
        <v>297</v>
      </c>
      <c r="C2" s="155">
        <v>45870</v>
      </c>
      <c r="D2" s="155">
        <v>45871</v>
      </c>
      <c r="E2" s="155">
        <v>45872</v>
      </c>
      <c r="F2" s="155">
        <v>45873</v>
      </c>
      <c r="G2" s="155">
        <v>45874</v>
      </c>
      <c r="H2" s="155">
        <v>45875</v>
      </c>
      <c r="I2" s="155">
        <v>45876</v>
      </c>
      <c r="J2" s="155">
        <v>45877</v>
      </c>
      <c r="K2" s="155">
        <v>45878</v>
      </c>
      <c r="L2" s="155">
        <v>45879</v>
      </c>
      <c r="M2" s="155">
        <v>45880</v>
      </c>
      <c r="N2" s="155">
        <v>45881</v>
      </c>
      <c r="O2" s="155">
        <v>45882</v>
      </c>
      <c r="P2" s="155">
        <v>45883</v>
      </c>
      <c r="Q2" s="155">
        <v>45884</v>
      </c>
      <c r="R2" s="155">
        <v>45885</v>
      </c>
      <c r="S2" s="155">
        <v>45886</v>
      </c>
      <c r="T2" s="155">
        <v>45887</v>
      </c>
      <c r="U2" s="155">
        <v>45888</v>
      </c>
      <c r="V2" s="155">
        <v>45889</v>
      </c>
      <c r="W2" s="155">
        <v>45890</v>
      </c>
      <c r="X2" s="155">
        <v>45891</v>
      </c>
      <c r="Y2" s="155">
        <v>45892</v>
      </c>
      <c r="Z2" s="155">
        <v>45893</v>
      </c>
      <c r="AA2" s="155">
        <v>45894</v>
      </c>
      <c r="AB2" s="155">
        <v>45895</v>
      </c>
      <c r="AC2" s="155">
        <v>45896</v>
      </c>
      <c r="AD2" s="155">
        <v>45897</v>
      </c>
      <c r="AE2" s="155">
        <v>45898</v>
      </c>
      <c r="AF2" s="155">
        <v>45899</v>
      </c>
      <c r="AG2" s="155">
        <v>45900</v>
      </c>
      <c r="AH2" s="154" t="s">
        <v>297</v>
      </c>
      <c r="AI2" s="154" t="s">
        <v>219</v>
      </c>
      <c r="AJ2" s="154" t="s">
        <v>375</v>
      </c>
      <c r="AK2" s="154" t="s">
        <v>376</v>
      </c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</row>
    <row r="3" spans="1:91" x14ac:dyDescent="0.15">
      <c r="A3" s="153" t="s">
        <v>296</v>
      </c>
      <c r="B3" s="151"/>
      <c r="C3" s="153" t="s">
        <v>295</v>
      </c>
      <c r="D3" s="153" t="s">
        <v>294</v>
      </c>
      <c r="E3" s="153" t="s">
        <v>293</v>
      </c>
      <c r="F3" s="153" t="s">
        <v>292</v>
      </c>
      <c r="G3" s="153" t="s">
        <v>291</v>
      </c>
      <c r="H3" s="153" t="s">
        <v>290</v>
      </c>
      <c r="I3" s="153" t="s">
        <v>289</v>
      </c>
      <c r="J3" s="153" t="s">
        <v>288</v>
      </c>
      <c r="K3" s="153" t="s">
        <v>287</v>
      </c>
      <c r="L3" s="153" t="s">
        <v>286</v>
      </c>
      <c r="M3" s="153" t="s">
        <v>313</v>
      </c>
      <c r="N3" s="153" t="s">
        <v>284</v>
      </c>
      <c r="O3" s="153" t="s">
        <v>283</v>
      </c>
      <c r="P3" s="153" t="s">
        <v>282</v>
      </c>
      <c r="Q3" s="153" t="s">
        <v>281</v>
      </c>
      <c r="R3" s="153" t="s">
        <v>280</v>
      </c>
      <c r="S3" s="153" t="s">
        <v>279</v>
      </c>
      <c r="T3" s="153" t="s">
        <v>278</v>
      </c>
      <c r="U3" s="153" t="s">
        <v>277</v>
      </c>
      <c r="V3" s="153" t="s">
        <v>276</v>
      </c>
      <c r="W3" s="153" t="s">
        <v>275</v>
      </c>
      <c r="X3" s="153" t="s">
        <v>274</v>
      </c>
      <c r="Y3" s="153" t="s">
        <v>273</v>
      </c>
      <c r="Z3" s="153" t="s">
        <v>272</v>
      </c>
      <c r="AA3" s="153" t="s">
        <v>271</v>
      </c>
      <c r="AB3" s="153" t="s">
        <v>270</v>
      </c>
      <c r="AC3" s="153" t="s">
        <v>269</v>
      </c>
      <c r="AD3" s="153" t="s">
        <v>268</v>
      </c>
      <c r="AE3" s="153" t="s">
        <v>267</v>
      </c>
      <c r="AF3" s="153" t="s">
        <v>266</v>
      </c>
      <c r="AG3" s="153" t="s">
        <v>265</v>
      </c>
      <c r="AH3" s="152" t="s">
        <v>264</v>
      </c>
      <c r="AI3" s="151"/>
      <c r="AJ3" s="152"/>
      <c r="AK3" s="152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</row>
    <row r="4" spans="1:91" x14ac:dyDescent="0.15">
      <c r="A4" s="112" t="s">
        <v>302</v>
      </c>
      <c r="B4" s="150">
        <f>+Juli!AH50</f>
        <v>8492524.3017065302</v>
      </c>
      <c r="C4" s="149">
        <f>B4</f>
        <v>8492524.3017065302</v>
      </c>
      <c r="D4" s="149">
        <f t="shared" ref="D4:AG4" si="0">+C50</f>
        <v>8806981.8327941615</v>
      </c>
      <c r="E4" s="149">
        <f t="shared" si="0"/>
        <v>8806981.8327941615</v>
      </c>
      <c r="F4" s="149">
        <f t="shared" si="0"/>
        <v>8806981.8327941615</v>
      </c>
      <c r="G4" s="149">
        <f t="shared" si="0"/>
        <v>7710963.5177867562</v>
      </c>
      <c r="H4" s="149">
        <f t="shared" si="0"/>
        <v>6966734.8080507722</v>
      </c>
      <c r="I4" s="149">
        <f t="shared" si="0"/>
        <v>7281192.3391384035</v>
      </c>
      <c r="J4" s="149">
        <f t="shared" si="0"/>
        <v>7595649.8702260349</v>
      </c>
      <c r="K4" s="149">
        <f t="shared" si="0"/>
        <v>7760107.4013136663</v>
      </c>
      <c r="L4" s="149">
        <f t="shared" si="0"/>
        <v>7760107.4013136663</v>
      </c>
      <c r="M4" s="149">
        <f t="shared" si="0"/>
        <v>7760107.4013136663</v>
      </c>
      <c r="N4" s="149">
        <f t="shared" si="0"/>
        <v>8387602.0863062609</v>
      </c>
      <c r="O4" s="149">
        <f t="shared" si="0"/>
        <v>7643373.3765702769</v>
      </c>
      <c r="P4" s="149">
        <f t="shared" si="0"/>
        <v>7607830.9076579083</v>
      </c>
      <c r="Q4" s="149">
        <f t="shared" si="0"/>
        <v>7922288.4387455396</v>
      </c>
      <c r="R4" s="149">
        <f t="shared" si="0"/>
        <v>6736745.969833171</v>
      </c>
      <c r="S4" s="149">
        <f t="shared" si="0"/>
        <v>6736745.969833171</v>
      </c>
      <c r="T4" s="149">
        <f t="shared" si="0"/>
        <v>6736745.969833171</v>
      </c>
      <c r="U4" s="149">
        <f t="shared" si="0"/>
        <v>7364240.6548257656</v>
      </c>
      <c r="V4" s="149">
        <f t="shared" si="0"/>
        <v>6620011.9450897817</v>
      </c>
      <c r="W4" s="149">
        <f t="shared" si="0"/>
        <v>6934469.476177413</v>
      </c>
      <c r="X4" s="149">
        <f t="shared" si="0"/>
        <v>7248927.0072650444</v>
      </c>
      <c r="Y4" s="149">
        <f t="shared" si="0"/>
        <v>7563384.5383526757</v>
      </c>
      <c r="Z4" s="149">
        <f t="shared" si="0"/>
        <v>7563384.5383526757</v>
      </c>
      <c r="AA4" s="149">
        <f t="shared" si="0"/>
        <v>7563384.5383526757</v>
      </c>
      <c r="AB4" s="149">
        <f t="shared" si="0"/>
        <v>8190879.2233452704</v>
      </c>
      <c r="AC4" s="149">
        <f t="shared" si="0"/>
        <v>6496650.5136092864</v>
      </c>
      <c r="AD4" s="149">
        <f t="shared" si="0"/>
        <v>5311108.0446969178</v>
      </c>
      <c r="AE4" s="149">
        <f t="shared" si="0"/>
        <v>5625565.5757845491</v>
      </c>
      <c r="AF4" s="149">
        <f t="shared" si="0"/>
        <v>5940023.1068721805</v>
      </c>
      <c r="AG4" s="149">
        <f t="shared" si="0"/>
        <v>5940023.1068721805</v>
      </c>
      <c r="AH4" s="105">
        <f>+B4</f>
        <v>8492524.3017065302</v>
      </c>
      <c r="AI4" s="148"/>
      <c r="AJ4" s="105"/>
      <c r="AK4" s="105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</row>
    <row r="5" spans="1:91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/>
      <c r="AK5" s="145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</row>
    <row r="6" spans="1:91" x14ac:dyDescent="0.15">
      <c r="A6" s="133" t="s">
        <v>261</v>
      </c>
      <c r="B6" s="142">
        <f t="shared" ref="B6:AG6" si="1">+B4+B5</f>
        <v>8492524.3017065302</v>
      </c>
      <c r="C6" s="142">
        <f t="shared" si="1"/>
        <v>8492524.3017065302</v>
      </c>
      <c r="D6" s="142">
        <f t="shared" si="1"/>
        <v>8806981.8327941615</v>
      </c>
      <c r="E6" s="142">
        <f t="shared" si="1"/>
        <v>8806981.8327941615</v>
      </c>
      <c r="F6" s="142">
        <f t="shared" si="1"/>
        <v>8806981.8327941615</v>
      </c>
      <c r="G6" s="142">
        <f t="shared" si="1"/>
        <v>7710963.5177867562</v>
      </c>
      <c r="H6" s="142">
        <f t="shared" si="1"/>
        <v>6966734.8080507722</v>
      </c>
      <c r="I6" s="142">
        <f t="shared" si="1"/>
        <v>7281192.3391384035</v>
      </c>
      <c r="J6" s="142">
        <f t="shared" si="1"/>
        <v>7595649.8702260349</v>
      </c>
      <c r="K6" s="142">
        <f t="shared" si="1"/>
        <v>7760107.4013136663</v>
      </c>
      <c r="L6" s="142">
        <f t="shared" si="1"/>
        <v>7760107.4013136663</v>
      </c>
      <c r="M6" s="142">
        <f t="shared" si="1"/>
        <v>7760107.4013136663</v>
      </c>
      <c r="N6" s="142">
        <f t="shared" si="1"/>
        <v>8387602.0863062609</v>
      </c>
      <c r="O6" s="142">
        <f t="shared" si="1"/>
        <v>7643373.3765702769</v>
      </c>
      <c r="P6" s="142">
        <f t="shared" si="1"/>
        <v>7607830.9076579083</v>
      </c>
      <c r="Q6" s="142">
        <f t="shared" si="1"/>
        <v>7922288.4387455396</v>
      </c>
      <c r="R6" s="142">
        <f t="shared" si="1"/>
        <v>6736745.969833171</v>
      </c>
      <c r="S6" s="142">
        <f t="shared" si="1"/>
        <v>6736745.969833171</v>
      </c>
      <c r="T6" s="142">
        <f t="shared" si="1"/>
        <v>6736745.969833171</v>
      </c>
      <c r="U6" s="142">
        <f t="shared" si="1"/>
        <v>7364240.6548257656</v>
      </c>
      <c r="V6" s="142">
        <f t="shared" si="1"/>
        <v>6620011.9450897817</v>
      </c>
      <c r="W6" s="142">
        <f t="shared" si="1"/>
        <v>6934469.476177413</v>
      </c>
      <c r="X6" s="142">
        <f t="shared" si="1"/>
        <v>7248927.0072650444</v>
      </c>
      <c r="Y6" s="142">
        <f t="shared" si="1"/>
        <v>7563384.5383526757</v>
      </c>
      <c r="Z6" s="142">
        <f t="shared" si="1"/>
        <v>7563384.5383526757</v>
      </c>
      <c r="AA6" s="142">
        <f t="shared" si="1"/>
        <v>7563384.5383526757</v>
      </c>
      <c r="AB6" s="142">
        <f t="shared" si="1"/>
        <v>8190879.2233452704</v>
      </c>
      <c r="AC6" s="142">
        <f t="shared" si="1"/>
        <v>6496650.5136092864</v>
      </c>
      <c r="AD6" s="142">
        <f t="shared" si="1"/>
        <v>5311108.0446969178</v>
      </c>
      <c r="AE6" s="142">
        <f t="shared" si="1"/>
        <v>5625565.5757845491</v>
      </c>
      <c r="AF6" s="132">
        <f t="shared" si="1"/>
        <v>5940023.1068721805</v>
      </c>
      <c r="AG6" s="132">
        <f t="shared" si="1"/>
        <v>5940023.1068721805</v>
      </c>
      <c r="AH6" s="105">
        <f>AH5+AH4</f>
        <v>8492524.3017065302</v>
      </c>
      <c r="AI6" s="142"/>
      <c r="AJ6" s="105"/>
      <c r="AK6" s="105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</row>
    <row r="7" spans="1:91" x14ac:dyDescent="0.15">
      <c r="A7" s="133" t="s">
        <v>260</v>
      </c>
      <c r="B7" s="142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 t="s">
        <v>219</v>
      </c>
      <c r="AI7" s="142"/>
      <c r="AJ7" s="105" t="s">
        <v>219</v>
      </c>
      <c r="AK7" s="105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</row>
    <row r="8" spans="1:91" x14ac:dyDescent="0.15">
      <c r="A8" s="136" t="s">
        <v>259</v>
      </c>
      <c r="B8" s="122"/>
      <c r="C8" s="120"/>
      <c r="D8" s="120"/>
      <c r="E8" s="120"/>
      <c r="F8" s="120">
        <f>1946461-222948</f>
        <v>1723513</v>
      </c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 t="shared" ref="AH8:AH31" si="2">SUM(C8:AG8)</f>
        <v>1723513</v>
      </c>
      <c r="AI8" s="119"/>
      <c r="AJ8" s="105"/>
      <c r="AK8" s="105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</row>
    <row r="9" spans="1:91" x14ac:dyDescent="0.15">
      <c r="A9" s="141" t="s">
        <v>258</v>
      </c>
      <c r="B9" s="122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2"/>
        <v>0</v>
      </c>
      <c r="AI9" s="119"/>
      <c r="AJ9" s="105"/>
      <c r="AK9" s="105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</row>
    <row r="10" spans="1:91" x14ac:dyDescent="0.15">
      <c r="A10" s="136" t="s">
        <v>257</v>
      </c>
      <c r="B10" s="122"/>
      <c r="C10" s="120"/>
      <c r="D10" s="120"/>
      <c r="E10" s="120"/>
      <c r="F10" s="120"/>
      <c r="G10" s="120">
        <f>$AM$10</f>
        <v>1374564.1490939166</v>
      </c>
      <c r="H10" s="120"/>
      <c r="I10" s="120"/>
      <c r="J10" s="120"/>
      <c r="K10" s="120"/>
      <c r="L10" s="120"/>
      <c r="M10" s="120"/>
      <c r="N10" s="120">
        <f>$AM$10</f>
        <v>1374564.1490939166</v>
      </c>
      <c r="O10" s="120"/>
      <c r="P10" s="120"/>
      <c r="Q10" s="120">
        <v>1500000</v>
      </c>
      <c r="R10" s="120"/>
      <c r="S10" s="120"/>
      <c r="T10" s="120"/>
      <c r="U10" s="120">
        <f>$AM$10</f>
        <v>1374564.1490939166</v>
      </c>
      <c r="V10" s="120"/>
      <c r="W10" s="120"/>
      <c r="X10" s="120"/>
      <c r="Y10" s="120"/>
      <c r="Z10" s="120"/>
      <c r="AA10" s="120"/>
      <c r="AB10" s="120">
        <f>$AM$10+50000</f>
        <v>1424564.1490939166</v>
      </c>
      <c r="AC10" s="120"/>
      <c r="AD10" s="120"/>
      <c r="AE10" s="120"/>
      <c r="AF10" s="120"/>
      <c r="AG10" s="120"/>
      <c r="AH10" s="105">
        <f t="shared" si="2"/>
        <v>7048256.5963756666</v>
      </c>
      <c r="AI10" s="119"/>
      <c r="AJ10" s="105"/>
      <c r="AK10" s="105"/>
      <c r="AL10" s="103">
        <f>'Exec Summary_Base Case'!K103*1.19-AH23-AH25</f>
        <v>5498256.5963756666</v>
      </c>
      <c r="AM10" s="103">
        <f>AL10/4</f>
        <v>1374564.1490939166</v>
      </c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</row>
    <row r="11" spans="1:91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0</v>
      </c>
      <c r="AI11" s="119"/>
      <c r="AJ11" s="105"/>
      <c r="AK11" s="105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</row>
    <row r="12" spans="1:91" x14ac:dyDescent="0.15">
      <c r="A12" s="136" t="s">
        <v>255</v>
      </c>
      <c r="B12" s="122"/>
      <c r="C12" s="120">
        <f>SUM(C13:C22)</f>
        <v>0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70"/>
      <c r="AH12" s="105">
        <f t="shared" si="2"/>
        <v>0</v>
      </c>
      <c r="AI12" s="119"/>
      <c r="AJ12" s="105"/>
      <c r="AK12" s="105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</row>
    <row r="13" spans="1:91" hidden="1" outlineLevel="1" x14ac:dyDescent="0.15">
      <c r="A13" s="169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7">
        <f t="shared" si="2"/>
        <v>0</v>
      </c>
      <c r="AI13" s="119"/>
      <c r="AJ13" s="163"/>
      <c r="AK13" s="16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</row>
    <row r="14" spans="1:91" hidden="1" outlineLevel="1" x14ac:dyDescent="0.15">
      <c r="A14" s="169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7">
        <f t="shared" si="2"/>
        <v>0</v>
      </c>
      <c r="AI14" s="119"/>
      <c r="AJ14" s="163"/>
      <c r="AK14" s="16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</row>
    <row r="15" spans="1:91" hidden="1" outlineLevel="1" x14ac:dyDescent="0.15">
      <c r="A15" s="169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7">
        <f t="shared" si="2"/>
        <v>0</v>
      </c>
      <c r="AI15" s="119"/>
      <c r="AJ15" s="163"/>
      <c r="AK15" s="16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</row>
    <row r="16" spans="1:91" hidden="1" outlineLevel="1" x14ac:dyDescent="0.15">
      <c r="A16" s="169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7">
        <f t="shared" si="2"/>
        <v>0</v>
      </c>
      <c r="AI16" s="119"/>
      <c r="AJ16" s="163"/>
      <c r="AK16" s="16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</row>
    <row r="17" spans="1:91" hidden="1" outlineLevel="1" x14ac:dyDescent="0.15">
      <c r="A17" s="169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7">
        <f t="shared" si="2"/>
        <v>0</v>
      </c>
      <c r="AI17" s="119"/>
      <c r="AJ17" s="163"/>
      <c r="AK17" s="16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</row>
    <row r="18" spans="1:91" hidden="1" outlineLevel="1" x14ac:dyDescent="0.15">
      <c r="A18" s="169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7">
        <f t="shared" si="2"/>
        <v>0</v>
      </c>
      <c r="AI18" s="119"/>
      <c r="AJ18" s="163"/>
      <c r="AK18" s="16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</row>
    <row r="19" spans="1:91" hidden="1" outlineLevel="1" x14ac:dyDescent="0.15">
      <c r="A19" s="169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7">
        <f t="shared" si="2"/>
        <v>0</v>
      </c>
      <c r="AI19" s="119"/>
      <c r="AJ19" s="163"/>
      <c r="AK19" s="16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</row>
    <row r="20" spans="1:91" hidden="1" outlineLevel="1" x14ac:dyDescent="0.15">
      <c r="A20" s="169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7">
        <f t="shared" si="2"/>
        <v>0</v>
      </c>
      <c r="AI20" s="119"/>
      <c r="AJ20" s="163"/>
      <c r="AK20" s="16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</row>
    <row r="21" spans="1:91" hidden="1" outlineLevel="1" x14ac:dyDescent="0.15">
      <c r="A21" s="169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7">
        <f t="shared" si="2"/>
        <v>0</v>
      </c>
      <c r="AI21" s="119"/>
      <c r="AJ21" s="163"/>
      <c r="AK21" s="16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</row>
    <row r="22" spans="1:91" hidden="1" outlineLevel="1" x14ac:dyDescent="0.15">
      <c r="A22" s="169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7">
        <f t="shared" si="2"/>
        <v>0</v>
      </c>
      <c r="AI22" s="119"/>
      <c r="AJ22" s="163"/>
      <c r="AK22" s="16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</row>
    <row r="23" spans="1:91" collapsed="1" x14ac:dyDescent="0.15">
      <c r="A23" s="136" t="s">
        <v>244</v>
      </c>
      <c r="B23" s="122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0</v>
      </c>
      <c r="AI23" s="119"/>
      <c r="AJ23" s="105"/>
      <c r="AK23" s="105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</row>
    <row r="24" spans="1:91" x14ac:dyDescent="0.15">
      <c r="A24" s="136" t="s">
        <v>232</v>
      </c>
      <c r="B24" s="122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>
        <v>50000</v>
      </c>
      <c r="AC24" s="120"/>
      <c r="AD24" s="120"/>
      <c r="AE24" s="120"/>
      <c r="AF24" s="120"/>
      <c r="AG24" s="120"/>
      <c r="AH24" s="105">
        <f t="shared" si="2"/>
        <v>50000</v>
      </c>
      <c r="AI24" s="119"/>
      <c r="AJ24" s="105"/>
      <c r="AK24" s="105"/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</row>
    <row r="25" spans="1:91" x14ac:dyDescent="0.15">
      <c r="A25" s="136" t="s">
        <v>243</v>
      </c>
      <c r="B25" s="122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si="2"/>
        <v>0</v>
      </c>
      <c r="AI25" s="119"/>
      <c r="AJ25" s="105"/>
      <c r="AK25" s="105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</row>
    <row r="26" spans="1:91" x14ac:dyDescent="0.15">
      <c r="A26" s="136" t="s">
        <v>242</v>
      </c>
      <c r="B26" s="122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>
        <f>1800000-300000</f>
        <v>1500000</v>
      </c>
      <c r="AD26" s="120"/>
      <c r="AE26" s="120"/>
      <c r="AF26" s="120"/>
      <c r="AG26" s="120"/>
      <c r="AH26" s="105">
        <f t="shared" si="2"/>
        <v>1500000</v>
      </c>
      <c r="AI26" s="119"/>
      <c r="AJ26" s="105"/>
      <c r="AK26" s="105"/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</row>
    <row r="27" spans="1:91" x14ac:dyDescent="0.15">
      <c r="A27" s="136" t="s">
        <v>241</v>
      </c>
      <c r="B27" s="122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>
        <f>950000-100000</f>
        <v>850000</v>
      </c>
      <c r="AC27" s="120"/>
      <c r="AD27" s="120"/>
      <c r="AE27" s="120"/>
      <c r="AF27" s="120"/>
      <c r="AG27" s="120"/>
      <c r="AH27" s="105">
        <f t="shared" si="2"/>
        <v>850000</v>
      </c>
      <c r="AI27" s="119"/>
      <c r="AJ27" s="105"/>
      <c r="AK27" s="105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</row>
    <row r="28" spans="1:91" x14ac:dyDescent="0.15">
      <c r="A28" s="136" t="s">
        <v>240</v>
      </c>
      <c r="B28" s="122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>
        <v>350000</v>
      </c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2"/>
        <v>350000</v>
      </c>
      <c r="AI28" s="119"/>
      <c r="AJ28" s="105"/>
      <c r="AK28" s="105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</row>
    <row r="29" spans="1:91" x14ac:dyDescent="0.15">
      <c r="A29" s="136" t="s">
        <v>300</v>
      </c>
      <c r="B29" s="122"/>
      <c r="C29" s="120"/>
      <c r="D29" s="120"/>
      <c r="E29" s="120"/>
      <c r="F29" s="120"/>
      <c r="G29" s="120"/>
      <c r="H29" s="120"/>
      <c r="I29" s="120"/>
      <c r="J29" s="120">
        <v>150000</v>
      </c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>SUM(C29:AG29)</f>
        <v>150000</v>
      </c>
      <c r="AI29" s="119"/>
      <c r="AJ29" s="105"/>
      <c r="AK29" s="105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</row>
    <row r="30" spans="1:91" x14ac:dyDescent="0.15">
      <c r="A30" s="136" t="s">
        <v>365</v>
      </c>
      <c r="B30" s="122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0"/>
      <c r="AH30" s="105">
        <f t="shared" si="2"/>
        <v>0</v>
      </c>
      <c r="AI30" s="119"/>
      <c r="AJ30" s="105"/>
      <c r="AK30" s="105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</row>
    <row r="31" spans="1:91" ht="15" thickBot="1" x14ac:dyDescent="0.2">
      <c r="A31" s="113" t="s">
        <v>238</v>
      </c>
      <c r="B31" s="129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4"/>
      <c r="AH31" s="128">
        <f t="shared" si="2"/>
        <v>0</v>
      </c>
      <c r="AI31" s="127"/>
      <c r="AJ31" s="128"/>
      <c r="AK31" s="128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</row>
    <row r="32" spans="1:91" x14ac:dyDescent="0.15">
      <c r="A32" s="133" t="s">
        <v>237</v>
      </c>
      <c r="B32" s="122">
        <f>SUM(B8:B31)</f>
        <v>0</v>
      </c>
      <c r="C32" s="119">
        <f t="shared" ref="C32:AH32" si="3">SUM(C8:C31)-C12</f>
        <v>0</v>
      </c>
      <c r="D32" s="119">
        <f t="shared" si="3"/>
        <v>0</v>
      </c>
      <c r="E32" s="119">
        <f t="shared" si="3"/>
        <v>0</v>
      </c>
      <c r="F32" s="119">
        <f t="shared" si="3"/>
        <v>1723513</v>
      </c>
      <c r="G32" s="119">
        <f t="shared" si="3"/>
        <v>1374564.1490939166</v>
      </c>
      <c r="H32" s="119">
        <f t="shared" si="3"/>
        <v>0</v>
      </c>
      <c r="I32" s="119">
        <f t="shared" si="3"/>
        <v>0</v>
      </c>
      <c r="J32" s="119">
        <f t="shared" si="3"/>
        <v>150000</v>
      </c>
      <c r="K32" s="119">
        <f t="shared" si="3"/>
        <v>0</v>
      </c>
      <c r="L32" s="119">
        <f t="shared" si="3"/>
        <v>0</v>
      </c>
      <c r="M32" s="119">
        <f t="shared" si="3"/>
        <v>0</v>
      </c>
      <c r="N32" s="119">
        <f t="shared" si="3"/>
        <v>1374564.1490939166</v>
      </c>
      <c r="O32" s="119">
        <f t="shared" si="3"/>
        <v>350000</v>
      </c>
      <c r="P32" s="119">
        <f t="shared" si="3"/>
        <v>0</v>
      </c>
      <c r="Q32" s="119">
        <f t="shared" si="3"/>
        <v>1500000</v>
      </c>
      <c r="R32" s="119">
        <f t="shared" si="3"/>
        <v>0</v>
      </c>
      <c r="S32" s="119">
        <f t="shared" si="3"/>
        <v>0</v>
      </c>
      <c r="T32" s="119">
        <f t="shared" si="3"/>
        <v>0</v>
      </c>
      <c r="U32" s="119">
        <f t="shared" si="3"/>
        <v>1374564.1490939166</v>
      </c>
      <c r="V32" s="119">
        <f t="shared" si="3"/>
        <v>0</v>
      </c>
      <c r="W32" s="119">
        <f t="shared" si="3"/>
        <v>0</v>
      </c>
      <c r="X32" s="119">
        <f t="shared" si="3"/>
        <v>0</v>
      </c>
      <c r="Y32" s="119">
        <f t="shared" si="3"/>
        <v>0</v>
      </c>
      <c r="Z32" s="119">
        <f t="shared" si="3"/>
        <v>0</v>
      </c>
      <c r="AA32" s="119">
        <f t="shared" si="3"/>
        <v>0</v>
      </c>
      <c r="AB32" s="119">
        <f t="shared" si="3"/>
        <v>2324564.1490939166</v>
      </c>
      <c r="AC32" s="119">
        <f t="shared" si="3"/>
        <v>1500000</v>
      </c>
      <c r="AD32" s="119">
        <f t="shared" si="3"/>
        <v>0</v>
      </c>
      <c r="AE32" s="119">
        <f t="shared" si="3"/>
        <v>0</v>
      </c>
      <c r="AF32" s="119">
        <f t="shared" si="3"/>
        <v>0</v>
      </c>
      <c r="AG32" s="119">
        <f t="shared" si="3"/>
        <v>0</v>
      </c>
      <c r="AH32" s="160">
        <f t="shared" si="3"/>
        <v>11671769.596375667</v>
      </c>
      <c r="AI32" s="119"/>
      <c r="AJ32" s="160"/>
      <c r="AK32" s="105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</row>
    <row r="33" spans="1:91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 t="s">
        <v>219</v>
      </c>
      <c r="AI33" s="119"/>
      <c r="AJ33" s="105"/>
      <c r="AK33" s="105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</row>
    <row r="34" spans="1:91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/>
      <c r="AI34" s="119"/>
      <c r="AJ34" s="105"/>
      <c r="AK34" s="105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</row>
    <row r="35" spans="1:91" hidden="1" x14ac:dyDescent="0.15">
      <c r="A35" s="124" t="s">
        <v>235</v>
      </c>
      <c r="B35" s="122">
        <f t="shared" ref="B35:B41" si="4">SUM(C35:AG35)</f>
        <v>0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ref="AH35:AH42" si="5">SUM(C35:AG35)</f>
        <v>0</v>
      </c>
      <c r="AI35" s="119"/>
      <c r="AJ35" s="105"/>
      <c r="AK35" s="105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</row>
    <row r="36" spans="1:91" hidden="1" x14ac:dyDescent="0.15">
      <c r="A36" s="124" t="s">
        <v>234</v>
      </c>
      <c r="B36" s="122">
        <f t="shared" si="4"/>
        <v>0</v>
      </c>
      <c r="C36" s="120"/>
      <c r="D36" s="120"/>
      <c r="E36" s="120"/>
      <c r="F36" s="120">
        <v>0</v>
      </c>
      <c r="G36" s="120">
        <v>0</v>
      </c>
      <c r="H36" s="120"/>
      <c r="I36" s="120"/>
      <c r="J36" s="120"/>
      <c r="K36" s="120"/>
      <c r="L36" s="120"/>
      <c r="M36" s="120">
        <v>0</v>
      </c>
      <c r="N36" s="120">
        <v>0</v>
      </c>
      <c r="O36" s="120"/>
      <c r="P36" s="120"/>
      <c r="Q36" s="120"/>
      <c r="R36" s="120"/>
      <c r="S36" s="120"/>
      <c r="T36" s="120">
        <v>0</v>
      </c>
      <c r="U36" s="120">
        <v>0</v>
      </c>
      <c r="V36" s="120"/>
      <c r="W36" s="120"/>
      <c r="X36" s="120"/>
      <c r="Y36" s="120"/>
      <c r="Z36" s="120"/>
      <c r="AA36" s="120">
        <v>0</v>
      </c>
      <c r="AB36" s="120">
        <v>0</v>
      </c>
      <c r="AC36" s="120"/>
      <c r="AD36" s="120"/>
      <c r="AE36" s="120"/>
      <c r="AF36" s="120"/>
      <c r="AG36" s="120"/>
      <c r="AH36" s="105">
        <f t="shared" si="5"/>
        <v>0</v>
      </c>
      <c r="AI36" s="119"/>
      <c r="AJ36" s="105"/>
      <c r="AK36" s="105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</row>
    <row r="37" spans="1:91" hidden="1" x14ac:dyDescent="0.15">
      <c r="A37" s="124" t="s">
        <v>233</v>
      </c>
      <c r="B37" s="122">
        <f t="shared" si="4"/>
        <v>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5"/>
        <v>0</v>
      </c>
      <c r="AI37" s="119"/>
      <c r="AJ37" s="105"/>
      <c r="AK37" s="105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</row>
    <row r="38" spans="1:91" x14ac:dyDescent="0.15">
      <c r="A38" s="124" t="s">
        <v>232</v>
      </c>
      <c r="B38" s="122">
        <f t="shared" si="4"/>
        <v>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5"/>
        <v>0</v>
      </c>
      <c r="AI38" s="119"/>
      <c r="AJ38" s="105"/>
      <c r="AK38" s="105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</row>
    <row r="39" spans="1:91" x14ac:dyDescent="0.15">
      <c r="A39" s="124" t="s">
        <v>231</v>
      </c>
      <c r="B39" s="122">
        <f t="shared" si="4"/>
        <v>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5"/>
        <v>0</v>
      </c>
      <c r="AI39" s="119"/>
      <c r="AJ39" s="105"/>
      <c r="AK39" s="105"/>
      <c r="AN39" s="103">
        <v>31</v>
      </c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</row>
    <row r="40" spans="1:91" x14ac:dyDescent="0.15">
      <c r="A40" s="124" t="s">
        <v>230</v>
      </c>
      <c r="B40" s="122">
        <f t="shared" si="4"/>
        <v>4580229.6699193595</v>
      </c>
      <c r="C40" s="131">
        <f>+$AN$42</f>
        <v>157938.95413515033</v>
      </c>
      <c r="D40" s="131"/>
      <c r="E40" s="131"/>
      <c r="F40" s="131">
        <f>+$AN$42</f>
        <v>157938.95413515033</v>
      </c>
      <c r="G40" s="131">
        <f>+$AN$42*3</f>
        <v>473816.86240545101</v>
      </c>
      <c r="H40" s="131">
        <f>+$AN$42</f>
        <v>157938.95413515033</v>
      </c>
      <c r="I40" s="131">
        <f t="shared" ref="I40:J40" si="6">+$AN$42</f>
        <v>157938.95413515033</v>
      </c>
      <c r="J40" s="131">
        <f t="shared" si="6"/>
        <v>157938.95413515033</v>
      </c>
      <c r="K40" s="131"/>
      <c r="L40" s="131"/>
      <c r="M40" s="131">
        <f>+$AN$42</f>
        <v>157938.95413515033</v>
      </c>
      <c r="N40" s="131">
        <f>+$AN$42*3</f>
        <v>473816.86240545101</v>
      </c>
      <c r="O40" s="131">
        <f>+$AN$42</f>
        <v>157938.95413515033</v>
      </c>
      <c r="P40" s="131">
        <f t="shared" ref="P40:Q40" si="7">+$AN$42</f>
        <v>157938.95413515033</v>
      </c>
      <c r="Q40" s="131">
        <f t="shared" si="7"/>
        <v>157938.95413515033</v>
      </c>
      <c r="R40" s="131"/>
      <c r="S40" s="131"/>
      <c r="T40" s="131">
        <f>+$AN$42</f>
        <v>157938.95413515033</v>
      </c>
      <c r="U40" s="131">
        <f>+$AN$42*3</f>
        <v>473816.86240545101</v>
      </c>
      <c r="V40" s="131">
        <f>+$AN$42</f>
        <v>157938.95413515033</v>
      </c>
      <c r="W40" s="131">
        <f t="shared" ref="W40:X40" si="8">+$AN$42</f>
        <v>157938.95413515033</v>
      </c>
      <c r="X40" s="131">
        <f t="shared" si="8"/>
        <v>157938.95413515033</v>
      </c>
      <c r="Y40" s="131"/>
      <c r="Z40" s="131"/>
      <c r="AA40" s="131">
        <f>+$AN$42</f>
        <v>157938.95413515033</v>
      </c>
      <c r="AB40" s="131">
        <f>+$AN$42*3</f>
        <v>473816.86240545101</v>
      </c>
      <c r="AC40" s="131">
        <f>+$AN$42</f>
        <v>157938.95413515033</v>
      </c>
      <c r="AD40" s="131">
        <f t="shared" ref="AD40:AE40" si="9">+$AN$42</f>
        <v>157938.95413515033</v>
      </c>
      <c r="AE40" s="131">
        <f t="shared" si="9"/>
        <v>157938.95413515033</v>
      </c>
      <c r="AF40" s="131"/>
      <c r="AG40" s="131"/>
      <c r="AH40" s="105">
        <f t="shared" si="5"/>
        <v>4580229.6699193595</v>
      </c>
      <c r="AI40" s="119"/>
      <c r="AJ40" s="105"/>
      <c r="AK40" s="105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</row>
    <row r="41" spans="1:91" ht="15" thickBot="1" x14ac:dyDescent="0.2">
      <c r="A41" s="130" t="s">
        <v>229</v>
      </c>
      <c r="B41" s="129">
        <f t="shared" si="4"/>
        <v>4539038.7316219592</v>
      </c>
      <c r="C41" s="127">
        <f>SUM($AN$43:$AN$45)</f>
        <v>156518.57695248138</v>
      </c>
      <c r="D41" s="127"/>
      <c r="E41" s="127"/>
      <c r="F41" s="127">
        <f>SUM($AN$43:$AN$45)*3</f>
        <v>469555.73085744411</v>
      </c>
      <c r="G41" s="127">
        <f>SUM($AN$43:$AN$45)</f>
        <v>156518.57695248138</v>
      </c>
      <c r="H41" s="127">
        <f>SUM($AN$43:$AN$45)</f>
        <v>156518.57695248138</v>
      </c>
      <c r="I41" s="127">
        <f t="shared" ref="I41:J41" si="10">SUM($AN$43:$AN$45)</f>
        <v>156518.57695248138</v>
      </c>
      <c r="J41" s="127">
        <f t="shared" si="10"/>
        <v>156518.57695248138</v>
      </c>
      <c r="K41" s="127"/>
      <c r="L41" s="127"/>
      <c r="M41" s="127">
        <f>SUM($AN$43:$AN$45)*3</f>
        <v>469555.73085744411</v>
      </c>
      <c r="N41" s="127">
        <f>SUM($AN$43:$AN$45)</f>
        <v>156518.57695248138</v>
      </c>
      <c r="O41" s="127">
        <f>SUM($AN$43:$AN$45)</f>
        <v>156518.57695248138</v>
      </c>
      <c r="P41" s="127">
        <f t="shared" ref="P41:Q41" si="11">SUM($AN$43:$AN$45)</f>
        <v>156518.57695248138</v>
      </c>
      <c r="Q41" s="127">
        <f t="shared" si="11"/>
        <v>156518.57695248138</v>
      </c>
      <c r="R41" s="127"/>
      <c r="S41" s="127"/>
      <c r="T41" s="127">
        <f>SUM($AN$43:$AN$45)*3</f>
        <v>469555.73085744411</v>
      </c>
      <c r="U41" s="127">
        <f>SUM($AN$43:$AN$45)</f>
        <v>156518.57695248138</v>
      </c>
      <c r="V41" s="127">
        <f>SUM($AN$43:$AN$45)</f>
        <v>156518.57695248138</v>
      </c>
      <c r="W41" s="127">
        <f t="shared" ref="W41:X41" si="12">SUM($AN$43:$AN$45)</f>
        <v>156518.57695248138</v>
      </c>
      <c r="X41" s="127">
        <f t="shared" si="12"/>
        <v>156518.57695248138</v>
      </c>
      <c r="Y41" s="127"/>
      <c r="Z41" s="127"/>
      <c r="AA41" s="127">
        <f>SUM($AN$43:$AN$45)*3</f>
        <v>469555.73085744411</v>
      </c>
      <c r="AB41" s="127">
        <f>SUM($AN$43:$AN$45)</f>
        <v>156518.57695248138</v>
      </c>
      <c r="AC41" s="127">
        <f>SUM($AN$43:$AN$45)</f>
        <v>156518.57695248138</v>
      </c>
      <c r="AD41" s="127">
        <f t="shared" ref="AD41:AE41" si="13">SUM($AN$43:$AN$45)</f>
        <v>156518.57695248138</v>
      </c>
      <c r="AE41" s="127">
        <f t="shared" si="13"/>
        <v>156518.57695248138</v>
      </c>
      <c r="AF41" s="127"/>
      <c r="AG41" s="127"/>
      <c r="AH41" s="128">
        <f t="shared" si="5"/>
        <v>4539038.7316219592</v>
      </c>
      <c r="AI41" s="127"/>
      <c r="AJ41" s="128"/>
      <c r="AK41" s="105"/>
      <c r="AL41" s="103" t="s">
        <v>228</v>
      </c>
      <c r="AM41" s="103">
        <f>'Exec Summary_Base Case'!K98*70%*1.07+'Exec Summary_Base Case'!K98*30%*1.19</f>
        <v>9792215.1563793197</v>
      </c>
      <c r="AN41" s="103">
        <f>+AM41/$AN$39</f>
        <v>315877.90827030066</v>
      </c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</row>
    <row r="42" spans="1:91" x14ac:dyDescent="0.15">
      <c r="A42" s="124" t="s">
        <v>227</v>
      </c>
      <c r="B42" s="122">
        <f>SUM(B40:B41)</f>
        <v>9119268.4015413187</v>
      </c>
      <c r="C42" s="119">
        <f t="shared" ref="C42:AG42" si="14">SUM(C35:C41)</f>
        <v>314457.53108763171</v>
      </c>
      <c r="D42" s="119">
        <f t="shared" si="14"/>
        <v>0</v>
      </c>
      <c r="E42" s="119">
        <f t="shared" si="14"/>
        <v>0</v>
      </c>
      <c r="F42" s="119">
        <f t="shared" si="14"/>
        <v>627494.68499259441</v>
      </c>
      <c r="G42" s="119">
        <f t="shared" si="14"/>
        <v>630335.43935793242</v>
      </c>
      <c r="H42" s="119">
        <f t="shared" si="14"/>
        <v>314457.53108763171</v>
      </c>
      <c r="I42" s="119">
        <f t="shared" si="14"/>
        <v>314457.53108763171</v>
      </c>
      <c r="J42" s="119">
        <f t="shared" si="14"/>
        <v>314457.53108763171</v>
      </c>
      <c r="K42" s="119">
        <f t="shared" si="14"/>
        <v>0</v>
      </c>
      <c r="L42" s="119">
        <f t="shared" si="14"/>
        <v>0</v>
      </c>
      <c r="M42" s="119">
        <f t="shared" si="14"/>
        <v>627494.68499259441</v>
      </c>
      <c r="N42" s="119">
        <f t="shared" si="14"/>
        <v>630335.43935793242</v>
      </c>
      <c r="O42" s="119">
        <f t="shared" si="14"/>
        <v>314457.53108763171</v>
      </c>
      <c r="P42" s="119">
        <f t="shared" si="14"/>
        <v>314457.53108763171</v>
      </c>
      <c r="Q42" s="119">
        <f t="shared" si="14"/>
        <v>314457.53108763171</v>
      </c>
      <c r="R42" s="119">
        <f t="shared" si="14"/>
        <v>0</v>
      </c>
      <c r="S42" s="119">
        <f t="shared" si="14"/>
        <v>0</v>
      </c>
      <c r="T42" s="119">
        <f t="shared" si="14"/>
        <v>627494.68499259441</v>
      </c>
      <c r="U42" s="119">
        <f t="shared" si="14"/>
        <v>630335.43935793242</v>
      </c>
      <c r="V42" s="119">
        <f t="shared" si="14"/>
        <v>314457.53108763171</v>
      </c>
      <c r="W42" s="119">
        <f t="shared" si="14"/>
        <v>314457.53108763171</v>
      </c>
      <c r="X42" s="119">
        <f t="shared" si="14"/>
        <v>314457.53108763171</v>
      </c>
      <c r="Y42" s="119">
        <f t="shared" si="14"/>
        <v>0</v>
      </c>
      <c r="Z42" s="119">
        <f t="shared" si="14"/>
        <v>0</v>
      </c>
      <c r="AA42" s="119">
        <f t="shared" si="14"/>
        <v>627494.68499259441</v>
      </c>
      <c r="AB42" s="119">
        <f t="shared" si="14"/>
        <v>630335.43935793242</v>
      </c>
      <c r="AC42" s="119">
        <f t="shared" si="14"/>
        <v>314457.53108763171</v>
      </c>
      <c r="AD42" s="119">
        <f t="shared" si="14"/>
        <v>314457.53108763171</v>
      </c>
      <c r="AE42" s="119">
        <f t="shared" si="14"/>
        <v>314457.53108763171</v>
      </c>
      <c r="AF42" s="119">
        <f t="shared" si="14"/>
        <v>0</v>
      </c>
      <c r="AG42" s="120">
        <f t="shared" si="14"/>
        <v>0</v>
      </c>
      <c r="AH42" s="105">
        <f t="shared" si="5"/>
        <v>9119268.4015413187</v>
      </c>
      <c r="AI42" s="119"/>
      <c r="AJ42" s="105"/>
      <c r="AK42" s="232"/>
      <c r="AL42" s="103" t="s">
        <v>226</v>
      </c>
      <c r="AM42" s="103">
        <f>AM41*AO42</f>
        <v>4896107.5781896599</v>
      </c>
      <c r="AN42" s="103">
        <f>+AM42/$AN$39</f>
        <v>157938.95413515033</v>
      </c>
      <c r="AO42" s="174">
        <v>0.5</v>
      </c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</row>
    <row r="43" spans="1:91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 t="s">
        <v>219</v>
      </c>
      <c r="AI43" s="119"/>
      <c r="AJ43" s="105"/>
      <c r="AK43" s="105"/>
      <c r="AL43" s="103" t="s">
        <v>225</v>
      </c>
      <c r="AM43" s="103">
        <f>AM41*AO43</f>
        <v>2448053.7890948299</v>
      </c>
      <c r="AN43" s="103">
        <f>+AM43/$AN$39</f>
        <v>78969.477067575164</v>
      </c>
      <c r="AO43" s="174">
        <v>0.25</v>
      </c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</row>
    <row r="44" spans="1:91" x14ac:dyDescent="0.15">
      <c r="A44" s="124" t="s">
        <v>224</v>
      </c>
      <c r="B44" s="122">
        <f t="shared" ref="B44:AH44" si="15">B42-B32</f>
        <v>9119268.4015413187</v>
      </c>
      <c r="C44" s="119">
        <f t="shared" si="15"/>
        <v>314457.53108763171</v>
      </c>
      <c r="D44" s="119">
        <f t="shared" si="15"/>
        <v>0</v>
      </c>
      <c r="E44" s="119">
        <f t="shared" si="15"/>
        <v>0</v>
      </c>
      <c r="F44" s="119">
        <f t="shared" si="15"/>
        <v>-1096018.3150074056</v>
      </c>
      <c r="G44" s="119">
        <f t="shared" si="15"/>
        <v>-744228.70973598422</v>
      </c>
      <c r="H44" s="119">
        <f t="shared" si="15"/>
        <v>314457.53108763171</v>
      </c>
      <c r="I44" s="119">
        <f t="shared" si="15"/>
        <v>314457.53108763171</v>
      </c>
      <c r="J44" s="119">
        <f t="shared" si="15"/>
        <v>164457.53108763171</v>
      </c>
      <c r="K44" s="119">
        <f t="shared" si="15"/>
        <v>0</v>
      </c>
      <c r="L44" s="119">
        <f t="shared" si="15"/>
        <v>0</v>
      </c>
      <c r="M44" s="119">
        <f t="shared" si="15"/>
        <v>627494.68499259441</v>
      </c>
      <c r="N44" s="119">
        <f t="shared" si="15"/>
        <v>-744228.70973598422</v>
      </c>
      <c r="O44" s="119">
        <f t="shared" si="15"/>
        <v>-35542.468912368291</v>
      </c>
      <c r="P44" s="119">
        <f t="shared" si="15"/>
        <v>314457.53108763171</v>
      </c>
      <c r="Q44" s="119">
        <f t="shared" si="15"/>
        <v>-1185542.4689123682</v>
      </c>
      <c r="R44" s="119">
        <f t="shared" si="15"/>
        <v>0</v>
      </c>
      <c r="S44" s="119">
        <f t="shared" si="15"/>
        <v>0</v>
      </c>
      <c r="T44" s="119">
        <f t="shared" si="15"/>
        <v>627494.68499259441</v>
      </c>
      <c r="U44" s="119">
        <f t="shared" si="15"/>
        <v>-744228.70973598422</v>
      </c>
      <c r="V44" s="119">
        <f t="shared" si="15"/>
        <v>314457.53108763171</v>
      </c>
      <c r="W44" s="119">
        <f t="shared" si="15"/>
        <v>314457.53108763171</v>
      </c>
      <c r="X44" s="119">
        <f t="shared" si="15"/>
        <v>314457.53108763171</v>
      </c>
      <c r="Y44" s="119">
        <f t="shared" si="15"/>
        <v>0</v>
      </c>
      <c r="Z44" s="119">
        <f t="shared" si="15"/>
        <v>0</v>
      </c>
      <c r="AA44" s="119">
        <f t="shared" si="15"/>
        <v>627494.68499259441</v>
      </c>
      <c r="AB44" s="119">
        <f t="shared" si="15"/>
        <v>-1694228.7097359842</v>
      </c>
      <c r="AC44" s="119">
        <f t="shared" si="15"/>
        <v>-1185542.4689123682</v>
      </c>
      <c r="AD44" s="119">
        <f t="shared" si="15"/>
        <v>314457.53108763171</v>
      </c>
      <c r="AE44" s="119">
        <f t="shared" si="15"/>
        <v>314457.53108763171</v>
      </c>
      <c r="AF44" s="120">
        <f t="shared" si="15"/>
        <v>0</v>
      </c>
      <c r="AG44" s="120">
        <f t="shared" si="15"/>
        <v>0</v>
      </c>
      <c r="AH44" s="125">
        <f t="shared" si="15"/>
        <v>-2552501.1948343478</v>
      </c>
      <c r="AI44" s="119"/>
      <c r="AJ44" s="125"/>
      <c r="AK44" s="105"/>
      <c r="AL44" s="103" t="s">
        <v>319</v>
      </c>
      <c r="AM44" s="103">
        <f>Juli!AM41*März!AP44</f>
        <v>1128157.9980982151</v>
      </c>
      <c r="AN44" s="103">
        <f>+AM44/$AN$39</f>
        <v>36392.1934870392</v>
      </c>
      <c r="AO44" s="175">
        <v>0.125</v>
      </c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</row>
    <row r="45" spans="1:91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 t="s">
        <v>219</v>
      </c>
      <c r="AI45" s="119"/>
      <c r="AJ45" s="105"/>
      <c r="AK45" s="105"/>
      <c r="AL45" s="103" t="s">
        <v>320</v>
      </c>
      <c r="AM45" s="103">
        <f>Juni!AM41*März!AP45</f>
        <v>1275864.0983338775</v>
      </c>
      <c r="AN45" s="103">
        <f>+AM45/$AN$39</f>
        <v>41156.906397867016</v>
      </c>
      <c r="AO45" s="175">
        <v>0.125</v>
      </c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</row>
    <row r="46" spans="1:91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>SUM(C46:AG46)</f>
        <v>0</v>
      </c>
      <c r="AI46" s="119"/>
      <c r="AJ46" s="105"/>
      <c r="AK46" s="105"/>
      <c r="AM46" s="103">
        <f>SUM(AM43:AM45)</f>
        <v>4852075.8855269225</v>
      </c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</row>
    <row r="47" spans="1:91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>SUM(C47:AG47)</f>
        <v>0</v>
      </c>
      <c r="AI47" s="119"/>
      <c r="AJ47" s="105"/>
      <c r="AK47" s="105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</row>
    <row r="48" spans="1:91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>SUM(C48:AG48)</f>
        <v>0</v>
      </c>
      <c r="AI48" s="119"/>
      <c r="AJ48" s="105"/>
      <c r="AK48" s="105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</row>
    <row r="49" spans="1:37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105"/>
      <c r="AK49" s="105"/>
    </row>
    <row r="50" spans="1:37" s="105" customFormat="1" ht="12.75" customHeight="1" thickBot="1" x14ac:dyDescent="0.2">
      <c r="A50" s="159" t="s">
        <v>299</v>
      </c>
      <c r="B50" s="158">
        <f t="shared" ref="B50:AH50" si="16">B6+B44-B46-B47-B48</f>
        <v>17611792.703247849</v>
      </c>
      <c r="C50" s="157">
        <f t="shared" si="16"/>
        <v>8806981.8327941615</v>
      </c>
      <c r="D50" s="157">
        <f t="shared" si="16"/>
        <v>8806981.8327941615</v>
      </c>
      <c r="E50" s="157">
        <f t="shared" si="16"/>
        <v>8806981.8327941615</v>
      </c>
      <c r="F50" s="157">
        <f t="shared" si="16"/>
        <v>7710963.5177867562</v>
      </c>
      <c r="G50" s="157">
        <f t="shared" si="16"/>
        <v>6966734.8080507722</v>
      </c>
      <c r="H50" s="157">
        <f t="shared" si="16"/>
        <v>7281192.3391384035</v>
      </c>
      <c r="I50" s="157">
        <f t="shared" si="16"/>
        <v>7595649.8702260349</v>
      </c>
      <c r="J50" s="157">
        <f t="shared" si="16"/>
        <v>7760107.4013136663</v>
      </c>
      <c r="K50" s="157">
        <f t="shared" si="16"/>
        <v>7760107.4013136663</v>
      </c>
      <c r="L50" s="157">
        <f t="shared" si="16"/>
        <v>7760107.4013136663</v>
      </c>
      <c r="M50" s="157">
        <f t="shared" si="16"/>
        <v>8387602.0863062609</v>
      </c>
      <c r="N50" s="157">
        <f t="shared" si="16"/>
        <v>7643373.3765702769</v>
      </c>
      <c r="O50" s="157">
        <f t="shared" si="16"/>
        <v>7607830.9076579083</v>
      </c>
      <c r="P50" s="157">
        <f t="shared" si="16"/>
        <v>7922288.4387455396</v>
      </c>
      <c r="Q50" s="157">
        <f t="shared" si="16"/>
        <v>6736745.969833171</v>
      </c>
      <c r="R50" s="157">
        <f t="shared" si="16"/>
        <v>6736745.969833171</v>
      </c>
      <c r="S50" s="157">
        <f t="shared" si="16"/>
        <v>6736745.969833171</v>
      </c>
      <c r="T50" s="157">
        <f t="shared" si="16"/>
        <v>7364240.6548257656</v>
      </c>
      <c r="U50" s="157">
        <f t="shared" si="16"/>
        <v>6620011.9450897817</v>
      </c>
      <c r="V50" s="157">
        <f t="shared" si="16"/>
        <v>6934469.476177413</v>
      </c>
      <c r="W50" s="157">
        <f t="shared" si="16"/>
        <v>7248927.0072650444</v>
      </c>
      <c r="X50" s="157">
        <f t="shared" si="16"/>
        <v>7563384.5383526757</v>
      </c>
      <c r="Y50" s="157">
        <f t="shared" si="16"/>
        <v>7563384.5383526757</v>
      </c>
      <c r="Z50" s="157">
        <f t="shared" si="16"/>
        <v>7563384.5383526757</v>
      </c>
      <c r="AA50" s="157">
        <f t="shared" si="16"/>
        <v>8190879.2233452704</v>
      </c>
      <c r="AB50" s="157">
        <f t="shared" si="16"/>
        <v>6496650.5136092864</v>
      </c>
      <c r="AC50" s="157">
        <f t="shared" si="16"/>
        <v>5311108.0446969178</v>
      </c>
      <c r="AD50" s="157">
        <f t="shared" si="16"/>
        <v>5625565.5757845491</v>
      </c>
      <c r="AE50" s="157">
        <f t="shared" si="16"/>
        <v>5940023.1068721805</v>
      </c>
      <c r="AF50" s="168">
        <f t="shared" si="16"/>
        <v>5940023.1068721805</v>
      </c>
      <c r="AG50" s="168">
        <f t="shared" si="16"/>
        <v>5940023.1068721805</v>
      </c>
      <c r="AH50" s="167">
        <f t="shared" si="16"/>
        <v>5940023.1068721823</v>
      </c>
      <c r="AI50" s="157" t="s">
        <v>219</v>
      </c>
      <c r="AJ50" s="115"/>
      <c r="AK50" s="231"/>
    </row>
    <row r="51" spans="1:37" ht="16" thickTop="1" thickBot="1" x14ac:dyDescent="0.2">
      <c r="A51" s="146" t="s">
        <v>221</v>
      </c>
      <c r="B51" s="156">
        <f>+B5</f>
        <v>0</v>
      </c>
      <c r="C51" s="110">
        <f t="shared" ref="C51:AH51" si="17">+C50-C52</f>
        <v>8806981.8327941615</v>
      </c>
      <c r="D51" s="110">
        <f t="shared" si="17"/>
        <v>8806981.8327941615</v>
      </c>
      <c r="E51" s="110">
        <f t="shared" si="17"/>
        <v>8806981.8327941615</v>
      </c>
      <c r="F51" s="110">
        <f t="shared" si="17"/>
        <v>7710963.5177867562</v>
      </c>
      <c r="G51" s="110">
        <f t="shared" si="17"/>
        <v>6966734.8080507722</v>
      </c>
      <c r="H51" s="110">
        <f t="shared" si="17"/>
        <v>7281192.3391384035</v>
      </c>
      <c r="I51" s="110">
        <f t="shared" si="17"/>
        <v>7595649.8702260349</v>
      </c>
      <c r="J51" s="110">
        <f t="shared" si="17"/>
        <v>7760107.4013136663</v>
      </c>
      <c r="K51" s="110">
        <f t="shared" si="17"/>
        <v>7760107.4013136663</v>
      </c>
      <c r="L51" s="110">
        <f t="shared" si="17"/>
        <v>7760107.4013136663</v>
      </c>
      <c r="M51" s="110">
        <f t="shared" si="17"/>
        <v>8387602.0863062609</v>
      </c>
      <c r="N51" s="110">
        <f t="shared" si="17"/>
        <v>7643373.3765702769</v>
      </c>
      <c r="O51" s="110">
        <f t="shared" si="17"/>
        <v>7607830.9076579083</v>
      </c>
      <c r="P51" s="110">
        <f t="shared" si="17"/>
        <v>7922288.4387455396</v>
      </c>
      <c r="Q51" s="110">
        <f t="shared" si="17"/>
        <v>6736745.969833171</v>
      </c>
      <c r="R51" s="110">
        <f t="shared" si="17"/>
        <v>6736745.969833171</v>
      </c>
      <c r="S51" s="110">
        <f t="shared" si="17"/>
        <v>6736745.969833171</v>
      </c>
      <c r="T51" s="110">
        <f t="shared" si="17"/>
        <v>7364240.6548257656</v>
      </c>
      <c r="U51" s="110">
        <f t="shared" si="17"/>
        <v>6620011.9450897817</v>
      </c>
      <c r="V51" s="110">
        <f t="shared" si="17"/>
        <v>6934469.476177413</v>
      </c>
      <c r="W51" s="110">
        <f t="shared" si="17"/>
        <v>7248927.0072650444</v>
      </c>
      <c r="X51" s="110">
        <f t="shared" si="17"/>
        <v>7563384.5383526757</v>
      </c>
      <c r="Y51" s="110">
        <f t="shared" si="17"/>
        <v>7563384.5383526757</v>
      </c>
      <c r="Z51" s="110">
        <f t="shared" si="17"/>
        <v>7563384.5383526757</v>
      </c>
      <c r="AA51" s="110">
        <f t="shared" si="17"/>
        <v>8190879.2233452704</v>
      </c>
      <c r="AB51" s="110">
        <f t="shared" si="17"/>
        <v>6496650.5136092864</v>
      </c>
      <c r="AC51" s="110">
        <f t="shared" si="17"/>
        <v>5311108.0446969178</v>
      </c>
      <c r="AD51" s="110">
        <f t="shared" si="17"/>
        <v>5625565.5757845491</v>
      </c>
      <c r="AE51" s="110">
        <f t="shared" si="17"/>
        <v>5940023.1068721805</v>
      </c>
      <c r="AF51" s="110">
        <f t="shared" si="17"/>
        <v>5940023.1068721805</v>
      </c>
      <c r="AG51" s="110">
        <f t="shared" si="17"/>
        <v>5940023.1068721805</v>
      </c>
      <c r="AH51" s="110">
        <f t="shared" si="17"/>
        <v>5940023.1068721823</v>
      </c>
      <c r="AI51" s="123"/>
      <c r="AJ51" s="110"/>
      <c r="AK51" s="110"/>
    </row>
    <row r="52" spans="1:37" x14ac:dyDescent="0.15">
      <c r="A52" s="149" t="s">
        <v>220</v>
      </c>
      <c r="B52" s="111">
        <f>B50-B51</f>
        <v>17611792.703247849</v>
      </c>
      <c r="C52" s="110">
        <f>+Mai!AG52</f>
        <v>0</v>
      </c>
      <c r="D52" s="110">
        <f t="shared" ref="D52:AH52" si="18">+C52</f>
        <v>0</v>
      </c>
      <c r="E52" s="110">
        <f t="shared" si="18"/>
        <v>0</v>
      </c>
      <c r="F52" s="110">
        <f t="shared" si="18"/>
        <v>0</v>
      </c>
      <c r="G52" s="110">
        <f t="shared" si="18"/>
        <v>0</v>
      </c>
      <c r="H52" s="110">
        <f t="shared" si="18"/>
        <v>0</v>
      </c>
      <c r="I52" s="110">
        <f t="shared" si="18"/>
        <v>0</v>
      </c>
      <c r="J52" s="110">
        <f t="shared" si="18"/>
        <v>0</v>
      </c>
      <c r="K52" s="110">
        <f t="shared" si="18"/>
        <v>0</v>
      </c>
      <c r="L52" s="110">
        <f t="shared" si="18"/>
        <v>0</v>
      </c>
      <c r="M52" s="110">
        <f t="shared" si="18"/>
        <v>0</v>
      </c>
      <c r="N52" s="110">
        <f t="shared" si="18"/>
        <v>0</v>
      </c>
      <c r="O52" s="110">
        <f t="shared" si="18"/>
        <v>0</v>
      </c>
      <c r="P52" s="110">
        <f t="shared" si="18"/>
        <v>0</v>
      </c>
      <c r="Q52" s="110">
        <f t="shared" si="18"/>
        <v>0</v>
      </c>
      <c r="R52" s="110">
        <f t="shared" si="18"/>
        <v>0</v>
      </c>
      <c r="S52" s="110">
        <f t="shared" si="18"/>
        <v>0</v>
      </c>
      <c r="T52" s="110">
        <f t="shared" si="18"/>
        <v>0</v>
      </c>
      <c r="U52" s="110">
        <f t="shared" si="18"/>
        <v>0</v>
      </c>
      <c r="V52" s="110">
        <f t="shared" si="18"/>
        <v>0</v>
      </c>
      <c r="W52" s="110">
        <f t="shared" si="18"/>
        <v>0</v>
      </c>
      <c r="X52" s="110">
        <f t="shared" si="18"/>
        <v>0</v>
      </c>
      <c r="Y52" s="110">
        <f t="shared" si="18"/>
        <v>0</v>
      </c>
      <c r="Z52" s="110">
        <f t="shared" si="18"/>
        <v>0</v>
      </c>
      <c r="AA52" s="110">
        <f t="shared" si="18"/>
        <v>0</v>
      </c>
      <c r="AB52" s="110">
        <f t="shared" si="18"/>
        <v>0</v>
      </c>
      <c r="AC52" s="110">
        <f t="shared" si="18"/>
        <v>0</v>
      </c>
      <c r="AD52" s="110">
        <f t="shared" si="18"/>
        <v>0</v>
      </c>
      <c r="AE52" s="110">
        <f t="shared" si="18"/>
        <v>0</v>
      </c>
      <c r="AF52" s="110">
        <f t="shared" si="18"/>
        <v>0</v>
      </c>
      <c r="AG52" s="110">
        <f t="shared" si="18"/>
        <v>0</v>
      </c>
      <c r="AH52" s="110">
        <f t="shared" si="18"/>
        <v>0</v>
      </c>
      <c r="AI52" s="110"/>
      <c r="AJ52" s="110"/>
      <c r="AK52" s="110"/>
    </row>
    <row r="53" spans="1:37" x14ac:dyDescent="0.15">
      <c r="A53" s="103" t="s">
        <v>219</v>
      </c>
    </row>
    <row r="56" spans="1:37" x14ac:dyDescent="0.15">
      <c r="A56" s="106"/>
    </row>
    <row r="57" spans="1:37" x14ac:dyDescent="0.15">
      <c r="A57" s="106"/>
      <c r="W57" s="173"/>
    </row>
    <row r="58" spans="1:37" x14ac:dyDescent="0.15">
      <c r="A58" s="106"/>
    </row>
    <row r="59" spans="1:37" x14ac:dyDescent="0.15">
      <c r="A59" s="106"/>
    </row>
    <row r="60" spans="1:37" x14ac:dyDescent="0.15">
      <c r="A60" s="106"/>
    </row>
    <row r="61" spans="1:37" x14ac:dyDescent="0.15">
      <c r="A61" s="106"/>
    </row>
    <row r="62" spans="1:37" x14ac:dyDescent="0.15">
      <c r="A62" s="106"/>
    </row>
    <row r="63" spans="1:37" x14ac:dyDescent="0.15">
      <c r="A63" s="106"/>
    </row>
    <row r="64" spans="1:37" x14ac:dyDescent="0.15">
      <c r="A64" s="108"/>
      <c r="B64" s="105"/>
    </row>
    <row r="65" spans="1:2" x14ac:dyDescent="0.15">
      <c r="A65" s="107"/>
    </row>
    <row r="66" spans="1:2" x14ac:dyDescent="0.15">
      <c r="A66" s="106"/>
    </row>
    <row r="67" spans="1:2" x14ac:dyDescent="0.15">
      <c r="A67" s="106"/>
    </row>
    <row r="68" spans="1:2" x14ac:dyDescent="0.15">
      <c r="A68" s="106"/>
    </row>
    <row r="69" spans="1:2" x14ac:dyDescent="0.15">
      <c r="A69" s="106"/>
    </row>
    <row r="70" spans="1:2" x14ac:dyDescent="0.15">
      <c r="A70" s="106"/>
    </row>
    <row r="71" spans="1:2" x14ac:dyDescent="0.15">
      <c r="A71" s="106"/>
    </row>
    <row r="72" spans="1:2" x14ac:dyDescent="0.15">
      <c r="A72" s="106"/>
      <c r="B72" s="105"/>
    </row>
    <row r="77" spans="1:2" x14ac:dyDescent="0.15">
      <c r="B77" s="104"/>
    </row>
    <row r="78" spans="1:2" x14ac:dyDescent="0.15">
      <c r="A78" s="104"/>
    </row>
    <row r="79" spans="1:2" x14ac:dyDescent="0.15">
      <c r="A79" s="104"/>
    </row>
    <row r="83" spans="1:1" x14ac:dyDescent="0.15">
      <c r="A83" s="104"/>
    </row>
  </sheetData>
  <phoneticPr fontId="38" type="noConversion"/>
  <pageMargins left="0.23622047244094491" right="0.23622047244094491" top="0.55118110236220474" bottom="0.15748031496062992" header="0.31496062992125984" footer="0.11811023622047245"/>
  <pageSetup paperSize="9" scale="64" fitToWidth="2" fitToHeight="2" orientation="landscape" r:id="rId1"/>
  <headerFooter alignWithMargins="0">
    <oddHeader>&amp;F</oddHeader>
    <oddFooter>Seite &amp;P von &amp;N</oddFooter>
  </headerFooter>
  <colBreaks count="1" manualBreakCount="1">
    <brk id="17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91E1-DA20-4957-A9BF-D6C7999991F9}">
  <sheetPr>
    <pageSetUpPr fitToPage="1"/>
  </sheetPr>
  <dimension ref="A1:CM83"/>
  <sheetViews>
    <sheetView zoomScale="70" zoomScaleNormal="70" workbookViewId="0">
      <pane xSplit="2" ySplit="6" topLeftCell="C7" activePane="bottomRight" state="frozen"/>
      <selection activeCell="B27" sqref="B27"/>
      <selection pane="topRight" activeCell="B27" sqref="B27"/>
      <selection pane="bottomLeft" activeCell="B27" sqref="B27"/>
      <selection pane="bottomRight" activeCell="AF31" sqref="AF31"/>
    </sheetView>
  </sheetViews>
  <sheetFormatPr baseColWidth="10" defaultColWidth="11.5" defaultRowHeight="14" outlineLevelRow="1" x14ac:dyDescent="0.15"/>
  <cols>
    <col min="1" max="1" width="23.1640625" style="103" bestFit="1" customWidth="1"/>
    <col min="2" max="2" width="39.5" style="103" bestFit="1" customWidth="1"/>
    <col min="3" max="3" width="13.5" style="103" customWidth="1"/>
    <col min="4" max="7" width="12" style="103" customWidth="1"/>
    <col min="8" max="8" width="12.6640625" style="103" customWidth="1"/>
    <col min="9" max="9" width="12" style="103" bestFit="1" customWidth="1"/>
    <col min="10" max="10" width="12.83203125" style="103" customWidth="1"/>
    <col min="11" max="11" width="14" style="103" customWidth="1"/>
    <col min="12" max="12" width="13.33203125" style="103" customWidth="1"/>
    <col min="13" max="13" width="13.1640625" style="103" customWidth="1"/>
    <col min="14" max="14" width="14.33203125" style="103" customWidth="1"/>
    <col min="15" max="15" width="13.6640625" style="103" customWidth="1"/>
    <col min="16" max="16" width="12" style="103" bestFit="1" customWidth="1"/>
    <col min="17" max="25" width="11.5" style="103"/>
    <col min="26" max="26" width="11.33203125" style="103" bestFit="1" customWidth="1"/>
    <col min="27" max="27" width="11.6640625" style="103" customWidth="1"/>
    <col min="28" max="29" width="11.83203125" style="103" bestFit="1" customWidth="1"/>
    <col min="30" max="30" width="10.33203125" style="103" bestFit="1" customWidth="1"/>
    <col min="31" max="33" width="11.83203125" style="103" bestFit="1" customWidth="1"/>
    <col min="34" max="34" width="14.5" style="103" bestFit="1" customWidth="1"/>
    <col min="35" max="35" width="1.6640625" style="103" bestFit="1" customWidth="1"/>
    <col min="36" max="36" width="15.1640625" style="103" bestFit="1" customWidth="1"/>
    <col min="37" max="37" width="11.33203125" style="103" customWidth="1"/>
    <col min="38" max="38" width="15.5" style="103" bestFit="1" customWidth="1"/>
    <col min="39" max="39" width="13.5" style="103" customWidth="1"/>
    <col min="40" max="16384" width="11.5" style="103"/>
  </cols>
  <sheetData>
    <row r="1" spans="1:91" x14ac:dyDescent="0.15">
      <c r="A1" s="103" t="s">
        <v>536</v>
      </c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</row>
    <row r="2" spans="1:91" x14ac:dyDescent="0.15">
      <c r="A2" s="154" t="s">
        <v>219</v>
      </c>
      <c r="B2" s="154" t="s">
        <v>297</v>
      </c>
      <c r="C2" s="155">
        <v>45901</v>
      </c>
      <c r="D2" s="155">
        <v>45902</v>
      </c>
      <c r="E2" s="155">
        <v>45903</v>
      </c>
      <c r="F2" s="155">
        <v>45904</v>
      </c>
      <c r="G2" s="155">
        <v>45905</v>
      </c>
      <c r="H2" s="155">
        <v>45906</v>
      </c>
      <c r="I2" s="155">
        <v>45907</v>
      </c>
      <c r="J2" s="155">
        <v>45908</v>
      </c>
      <c r="K2" s="155">
        <v>45909</v>
      </c>
      <c r="L2" s="155">
        <v>45910</v>
      </c>
      <c r="M2" s="155">
        <v>45911</v>
      </c>
      <c r="N2" s="155">
        <v>45912</v>
      </c>
      <c r="O2" s="155">
        <v>45913</v>
      </c>
      <c r="P2" s="155">
        <v>45914</v>
      </c>
      <c r="Q2" s="155">
        <v>45915</v>
      </c>
      <c r="R2" s="155">
        <v>45916</v>
      </c>
      <c r="S2" s="155">
        <v>45917</v>
      </c>
      <c r="T2" s="155">
        <v>45918</v>
      </c>
      <c r="U2" s="155">
        <v>45919</v>
      </c>
      <c r="V2" s="155">
        <v>45920</v>
      </c>
      <c r="W2" s="155">
        <v>45921</v>
      </c>
      <c r="X2" s="155">
        <v>45922</v>
      </c>
      <c r="Y2" s="155">
        <v>45923</v>
      </c>
      <c r="Z2" s="155">
        <v>45924</v>
      </c>
      <c r="AA2" s="155">
        <v>45925</v>
      </c>
      <c r="AB2" s="155">
        <v>45926</v>
      </c>
      <c r="AC2" s="155">
        <v>45927</v>
      </c>
      <c r="AD2" s="155">
        <v>45928</v>
      </c>
      <c r="AE2" s="155">
        <v>45929</v>
      </c>
      <c r="AF2" s="155">
        <v>45930</v>
      </c>
      <c r="AG2" s="155" t="s">
        <v>219</v>
      </c>
      <c r="AH2" s="154" t="s">
        <v>297</v>
      </c>
      <c r="AI2" s="154" t="s">
        <v>219</v>
      </c>
      <c r="AJ2" s="154" t="s">
        <v>375</v>
      </c>
      <c r="AK2" s="154" t="s">
        <v>376</v>
      </c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</row>
    <row r="3" spans="1:91" x14ac:dyDescent="0.15">
      <c r="A3" s="153" t="s">
        <v>296</v>
      </c>
      <c r="B3" s="151"/>
      <c r="C3" s="153" t="s">
        <v>295</v>
      </c>
      <c r="D3" s="153" t="s">
        <v>294</v>
      </c>
      <c r="E3" s="153" t="s">
        <v>293</v>
      </c>
      <c r="F3" s="153" t="s">
        <v>292</v>
      </c>
      <c r="G3" s="153" t="s">
        <v>291</v>
      </c>
      <c r="H3" s="153" t="s">
        <v>290</v>
      </c>
      <c r="I3" s="153" t="s">
        <v>289</v>
      </c>
      <c r="J3" s="153" t="s">
        <v>288</v>
      </c>
      <c r="K3" s="153" t="s">
        <v>287</v>
      </c>
      <c r="L3" s="153" t="s">
        <v>286</v>
      </c>
      <c r="M3" s="153" t="s">
        <v>285</v>
      </c>
      <c r="N3" s="153" t="s">
        <v>284</v>
      </c>
      <c r="O3" s="153" t="s">
        <v>283</v>
      </c>
      <c r="P3" s="153" t="s">
        <v>282</v>
      </c>
      <c r="Q3" s="153" t="s">
        <v>281</v>
      </c>
      <c r="R3" s="153" t="s">
        <v>280</v>
      </c>
      <c r="S3" s="153" t="s">
        <v>279</v>
      </c>
      <c r="T3" s="153" t="s">
        <v>278</v>
      </c>
      <c r="U3" s="153" t="s">
        <v>277</v>
      </c>
      <c r="V3" s="153" t="s">
        <v>276</v>
      </c>
      <c r="W3" s="153" t="s">
        <v>275</v>
      </c>
      <c r="X3" s="153" t="s">
        <v>274</v>
      </c>
      <c r="Y3" s="153" t="s">
        <v>273</v>
      </c>
      <c r="Z3" s="153" t="s">
        <v>272</v>
      </c>
      <c r="AA3" s="153" t="s">
        <v>271</v>
      </c>
      <c r="AB3" s="153" t="s">
        <v>270</v>
      </c>
      <c r="AC3" s="153" t="s">
        <v>269</v>
      </c>
      <c r="AD3" s="153" t="s">
        <v>268</v>
      </c>
      <c r="AE3" s="153" t="s">
        <v>267</v>
      </c>
      <c r="AF3" s="153" t="s">
        <v>266</v>
      </c>
      <c r="AG3" s="153" t="s">
        <v>219</v>
      </c>
      <c r="AH3" s="152" t="s">
        <v>264</v>
      </c>
      <c r="AI3" s="151"/>
      <c r="AJ3" s="152"/>
      <c r="AK3" s="152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</row>
    <row r="4" spans="1:91" x14ac:dyDescent="0.15">
      <c r="A4" s="112" t="s">
        <v>302</v>
      </c>
      <c r="B4" s="150">
        <f>+August!AH50</f>
        <v>5940023.1068721823</v>
      </c>
      <c r="C4" s="149">
        <f>B4</f>
        <v>5940023.1068721823</v>
      </c>
      <c r="D4" s="149">
        <f t="shared" ref="D4:AG4" si="0">+C50</f>
        <v>5940023.1068721823</v>
      </c>
      <c r="E4" s="149">
        <f t="shared" si="0"/>
        <v>6709385.7815237781</v>
      </c>
      <c r="F4" s="149">
        <f t="shared" si="0"/>
        <v>5812080.8041538112</v>
      </c>
      <c r="G4" s="149">
        <f t="shared" si="0"/>
        <v>6210973.4784742184</v>
      </c>
      <c r="H4" s="149">
        <f t="shared" si="0"/>
        <v>4943767.3431776408</v>
      </c>
      <c r="I4" s="149">
        <f t="shared" si="0"/>
        <v>5342660.017498048</v>
      </c>
      <c r="J4" s="149">
        <f t="shared" si="0"/>
        <v>5342660.017498048</v>
      </c>
      <c r="K4" s="149">
        <f t="shared" si="0"/>
        <v>5342660.017498048</v>
      </c>
      <c r="L4" s="149">
        <f t="shared" si="0"/>
        <v>5962022.6921496438</v>
      </c>
      <c r="M4" s="149">
        <f t="shared" si="0"/>
        <v>6788230.7147796769</v>
      </c>
      <c r="N4" s="149">
        <f t="shared" si="0"/>
        <v>7187123.3891000841</v>
      </c>
      <c r="O4" s="149">
        <f t="shared" si="0"/>
        <v>5569917.2538035065</v>
      </c>
      <c r="P4" s="149">
        <f t="shared" si="0"/>
        <v>5968809.9281239137</v>
      </c>
      <c r="Q4" s="149">
        <f t="shared" si="0"/>
        <v>5968809.9281239137</v>
      </c>
      <c r="R4" s="149">
        <f t="shared" si="0"/>
        <v>5968809.9281239137</v>
      </c>
      <c r="S4" s="149">
        <f t="shared" si="0"/>
        <v>6738172.6027755095</v>
      </c>
      <c r="T4" s="149">
        <f t="shared" si="0"/>
        <v>7564380.6254055426</v>
      </c>
      <c r="U4" s="149">
        <f t="shared" si="0"/>
        <v>7963273.2997259498</v>
      </c>
      <c r="V4" s="149">
        <f t="shared" si="0"/>
        <v>6696067.1644293722</v>
      </c>
      <c r="W4" s="149">
        <f t="shared" si="0"/>
        <v>7094959.8387497794</v>
      </c>
      <c r="X4" s="149">
        <f t="shared" si="0"/>
        <v>7094959.8387497794</v>
      </c>
      <c r="Y4" s="149">
        <f t="shared" si="0"/>
        <v>7094959.8387497794</v>
      </c>
      <c r="Z4" s="149">
        <f t="shared" si="0"/>
        <v>7864322.5134013752</v>
      </c>
      <c r="AA4" s="149">
        <f t="shared" si="0"/>
        <v>8690530.5360314082</v>
      </c>
      <c r="AB4" s="149">
        <f t="shared" si="0"/>
        <v>6523324.4007348306</v>
      </c>
      <c r="AC4" s="149">
        <f t="shared" si="0"/>
        <v>5672217.0750552379</v>
      </c>
      <c r="AD4" s="149">
        <f t="shared" si="0"/>
        <v>6071109.7493756451</v>
      </c>
      <c r="AE4" s="149">
        <f t="shared" si="0"/>
        <v>6071109.7493756451</v>
      </c>
      <c r="AF4" s="149">
        <f t="shared" si="0"/>
        <v>6071109.7493756451</v>
      </c>
      <c r="AG4" s="149">
        <f t="shared" si="0"/>
        <v>4468895.0980164595</v>
      </c>
      <c r="AH4" s="105">
        <f>+B4</f>
        <v>5940023.1068721823</v>
      </c>
      <c r="AI4" s="148"/>
      <c r="AJ4" s="105"/>
      <c r="AK4" s="105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</row>
    <row r="5" spans="1:91" ht="15" thickBot="1" x14ac:dyDescent="0.2">
      <c r="A5" s="145" t="s">
        <v>262</v>
      </c>
      <c r="B5" s="147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0</v>
      </c>
      <c r="Z5" s="146">
        <v>0</v>
      </c>
      <c r="AA5" s="146">
        <v>0</v>
      </c>
      <c r="AB5" s="146">
        <v>0</v>
      </c>
      <c r="AC5" s="146">
        <v>0</v>
      </c>
      <c r="AD5" s="146">
        <v>0</v>
      </c>
      <c r="AE5" s="146">
        <v>0</v>
      </c>
      <c r="AF5" s="146">
        <v>0</v>
      </c>
      <c r="AG5" s="146">
        <v>0</v>
      </c>
      <c r="AH5" s="145">
        <f>+B5</f>
        <v>0</v>
      </c>
      <c r="AI5" s="144"/>
      <c r="AJ5" s="145"/>
      <c r="AK5" s="145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</row>
    <row r="6" spans="1:91" x14ac:dyDescent="0.15">
      <c r="A6" s="133" t="s">
        <v>261</v>
      </c>
      <c r="B6" s="142">
        <f t="shared" ref="B6:AG6" si="1">+B4+B5</f>
        <v>5940023.1068721823</v>
      </c>
      <c r="C6" s="142">
        <f t="shared" si="1"/>
        <v>5940023.1068721823</v>
      </c>
      <c r="D6" s="142">
        <f t="shared" si="1"/>
        <v>5940023.1068721823</v>
      </c>
      <c r="E6" s="142">
        <f t="shared" si="1"/>
        <v>6709385.7815237781</v>
      </c>
      <c r="F6" s="142">
        <f t="shared" si="1"/>
        <v>5812080.8041538112</v>
      </c>
      <c r="G6" s="142">
        <f t="shared" si="1"/>
        <v>6210973.4784742184</v>
      </c>
      <c r="H6" s="142">
        <f t="shared" si="1"/>
        <v>4943767.3431776408</v>
      </c>
      <c r="I6" s="142">
        <f t="shared" si="1"/>
        <v>5342660.017498048</v>
      </c>
      <c r="J6" s="142">
        <f t="shared" si="1"/>
        <v>5342660.017498048</v>
      </c>
      <c r="K6" s="142">
        <f t="shared" si="1"/>
        <v>5342660.017498048</v>
      </c>
      <c r="L6" s="142">
        <f t="shared" si="1"/>
        <v>5962022.6921496438</v>
      </c>
      <c r="M6" s="142">
        <f t="shared" si="1"/>
        <v>6788230.7147796769</v>
      </c>
      <c r="N6" s="142">
        <f t="shared" si="1"/>
        <v>7187123.3891000841</v>
      </c>
      <c r="O6" s="142">
        <f t="shared" si="1"/>
        <v>5569917.2538035065</v>
      </c>
      <c r="P6" s="142">
        <f t="shared" si="1"/>
        <v>5968809.9281239137</v>
      </c>
      <c r="Q6" s="142">
        <f t="shared" si="1"/>
        <v>5968809.9281239137</v>
      </c>
      <c r="R6" s="142">
        <f t="shared" si="1"/>
        <v>5968809.9281239137</v>
      </c>
      <c r="S6" s="142">
        <f t="shared" si="1"/>
        <v>6738172.6027755095</v>
      </c>
      <c r="T6" s="142">
        <f t="shared" si="1"/>
        <v>7564380.6254055426</v>
      </c>
      <c r="U6" s="142">
        <f t="shared" si="1"/>
        <v>7963273.2997259498</v>
      </c>
      <c r="V6" s="142">
        <f t="shared" si="1"/>
        <v>6696067.1644293722</v>
      </c>
      <c r="W6" s="142">
        <f t="shared" si="1"/>
        <v>7094959.8387497794</v>
      </c>
      <c r="X6" s="142">
        <f t="shared" si="1"/>
        <v>7094959.8387497794</v>
      </c>
      <c r="Y6" s="142">
        <f t="shared" si="1"/>
        <v>7094959.8387497794</v>
      </c>
      <c r="Z6" s="142">
        <f t="shared" si="1"/>
        <v>7864322.5134013752</v>
      </c>
      <c r="AA6" s="142">
        <f t="shared" si="1"/>
        <v>8690530.5360314082</v>
      </c>
      <c r="AB6" s="142">
        <f t="shared" si="1"/>
        <v>6523324.4007348306</v>
      </c>
      <c r="AC6" s="142">
        <f t="shared" si="1"/>
        <v>5672217.0750552379</v>
      </c>
      <c r="AD6" s="142">
        <f t="shared" si="1"/>
        <v>6071109.7493756451</v>
      </c>
      <c r="AE6" s="142">
        <f t="shared" si="1"/>
        <v>6071109.7493756451</v>
      </c>
      <c r="AF6" s="132">
        <f t="shared" si="1"/>
        <v>6071109.7493756451</v>
      </c>
      <c r="AG6" s="132">
        <f t="shared" si="1"/>
        <v>4468895.0980164595</v>
      </c>
      <c r="AH6" s="105">
        <f>AH5+AH4</f>
        <v>5940023.1068721823</v>
      </c>
      <c r="AI6" s="142"/>
      <c r="AJ6" s="105"/>
      <c r="AK6" s="105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</row>
    <row r="7" spans="1:91" x14ac:dyDescent="0.15">
      <c r="A7" s="133" t="s">
        <v>260</v>
      </c>
      <c r="B7" s="142"/>
      <c r="C7" s="14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43"/>
      <c r="AG7" s="132"/>
      <c r="AH7" s="105" t="s">
        <v>219</v>
      </c>
      <c r="AI7" s="142"/>
      <c r="AJ7" s="105" t="s">
        <v>219</v>
      </c>
      <c r="AK7" s="105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</row>
    <row r="8" spans="1:91" x14ac:dyDescent="0.15">
      <c r="A8" s="136" t="s">
        <v>259</v>
      </c>
      <c r="B8" s="122"/>
      <c r="C8" s="120"/>
      <c r="D8" s="120"/>
      <c r="E8" s="120">
        <f>1946461-222948</f>
        <v>1723513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05">
        <f t="shared" ref="AH8:AH31" si="2">SUM(C8:AG8)</f>
        <v>1723513</v>
      </c>
      <c r="AI8" s="119"/>
      <c r="AJ8" s="105"/>
      <c r="AK8" s="105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</row>
    <row r="9" spans="1:91" x14ac:dyDescent="0.15">
      <c r="A9" s="141" t="s">
        <v>258</v>
      </c>
      <c r="B9" s="122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05">
        <f t="shared" si="2"/>
        <v>0</v>
      </c>
      <c r="AI9" s="119"/>
      <c r="AJ9" s="105"/>
      <c r="AK9" s="105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</row>
    <row r="10" spans="1:91" x14ac:dyDescent="0.15">
      <c r="A10" s="136" t="s">
        <v>257</v>
      </c>
      <c r="B10" s="122"/>
      <c r="C10" s="120"/>
      <c r="D10" s="120"/>
      <c r="E10" s="120"/>
      <c r="F10" s="120"/>
      <c r="G10" s="120">
        <f>$AM$10</f>
        <v>1666098.8096169846</v>
      </c>
      <c r="H10" s="120"/>
      <c r="I10" s="120"/>
      <c r="J10" s="120"/>
      <c r="K10" s="120"/>
      <c r="L10" s="120"/>
      <c r="M10" s="120"/>
      <c r="N10" s="120">
        <f>$AM$10</f>
        <v>1666098.8096169846</v>
      </c>
      <c r="O10" s="120"/>
      <c r="P10" s="120"/>
      <c r="Q10" s="120"/>
      <c r="R10" s="120"/>
      <c r="S10" s="120"/>
      <c r="T10" s="120"/>
      <c r="U10" s="120">
        <f>$AM$10</f>
        <v>1666098.8096169846</v>
      </c>
      <c r="V10" s="120"/>
      <c r="W10" s="120"/>
      <c r="X10" s="120"/>
      <c r="Y10" s="120"/>
      <c r="Z10" s="120"/>
      <c r="AA10" s="120">
        <f>$AM$10</f>
        <v>1666098.8096169846</v>
      </c>
      <c r="AB10" s="120"/>
      <c r="AC10" s="120"/>
      <c r="AD10" s="120"/>
      <c r="AE10" s="120"/>
      <c r="AF10" s="120"/>
      <c r="AG10" s="120"/>
      <c r="AH10" s="105">
        <f t="shared" si="2"/>
        <v>6664395.2384679383</v>
      </c>
      <c r="AI10" s="119"/>
      <c r="AJ10" s="105"/>
      <c r="AK10" s="105"/>
      <c r="AL10" s="103">
        <f>'Exec Summary_Base Case'!L103*1.19-AH23-AH25</f>
        <v>6664395.2384679383</v>
      </c>
      <c r="AM10" s="103">
        <f>AL10/4</f>
        <v>1666098.8096169846</v>
      </c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</row>
    <row r="11" spans="1:91" x14ac:dyDescent="0.15">
      <c r="A11" s="136" t="s">
        <v>256</v>
      </c>
      <c r="B11" s="122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05">
        <f t="shared" si="2"/>
        <v>0</v>
      </c>
      <c r="AI11" s="119"/>
      <c r="AJ11" s="105"/>
      <c r="AK11" s="105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</row>
    <row r="12" spans="1:91" x14ac:dyDescent="0.15">
      <c r="A12" s="136" t="s">
        <v>255</v>
      </c>
      <c r="B12" s="122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70"/>
      <c r="AH12" s="105">
        <f t="shared" si="2"/>
        <v>0</v>
      </c>
      <c r="AI12" s="119"/>
      <c r="AJ12" s="105"/>
      <c r="AK12" s="105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</row>
    <row r="13" spans="1:91" hidden="1" outlineLevel="1" x14ac:dyDescent="0.15">
      <c r="A13" s="169" t="s">
        <v>254</v>
      </c>
      <c r="B13" s="139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7">
        <f t="shared" si="2"/>
        <v>0</v>
      </c>
      <c r="AI13" s="119"/>
      <c r="AJ13" s="163"/>
      <c r="AK13" s="16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</row>
    <row r="14" spans="1:91" hidden="1" outlineLevel="1" x14ac:dyDescent="0.15">
      <c r="A14" s="169" t="s">
        <v>253</v>
      </c>
      <c r="B14" s="139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7">
        <f t="shared" si="2"/>
        <v>0</v>
      </c>
      <c r="AI14" s="119"/>
      <c r="AJ14" s="163"/>
      <c r="AK14" s="16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</row>
    <row r="15" spans="1:91" hidden="1" outlineLevel="1" x14ac:dyDescent="0.15">
      <c r="A15" s="169" t="s">
        <v>252</v>
      </c>
      <c r="B15" s="139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7">
        <f t="shared" si="2"/>
        <v>0</v>
      </c>
      <c r="AI15" s="119"/>
      <c r="AJ15" s="163"/>
      <c r="AK15" s="16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</row>
    <row r="16" spans="1:91" hidden="1" outlineLevel="1" x14ac:dyDescent="0.15">
      <c r="A16" s="169" t="s">
        <v>251</v>
      </c>
      <c r="B16" s="139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7">
        <f t="shared" si="2"/>
        <v>0</v>
      </c>
      <c r="AI16" s="119"/>
      <c r="AJ16" s="163"/>
      <c r="AK16" s="16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</row>
    <row r="17" spans="1:91" hidden="1" outlineLevel="1" x14ac:dyDescent="0.15">
      <c r="A17" s="169" t="s">
        <v>250</v>
      </c>
      <c r="B17" s="139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7">
        <f t="shared" si="2"/>
        <v>0</v>
      </c>
      <c r="AI17" s="119"/>
      <c r="AJ17" s="163"/>
      <c r="AK17" s="16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</row>
    <row r="18" spans="1:91" hidden="1" outlineLevel="1" x14ac:dyDescent="0.15">
      <c r="A18" s="169" t="s">
        <v>249</v>
      </c>
      <c r="B18" s="139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7">
        <f t="shared" si="2"/>
        <v>0</v>
      </c>
      <c r="AI18" s="119"/>
      <c r="AJ18" s="163"/>
      <c r="AK18" s="16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</row>
    <row r="19" spans="1:91" hidden="1" outlineLevel="1" x14ac:dyDescent="0.15">
      <c r="A19" s="169" t="s">
        <v>248</v>
      </c>
      <c r="B19" s="139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7">
        <f t="shared" si="2"/>
        <v>0</v>
      </c>
      <c r="AI19" s="119"/>
      <c r="AJ19" s="163"/>
      <c r="AK19" s="16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</row>
    <row r="20" spans="1:91" hidden="1" outlineLevel="1" x14ac:dyDescent="0.15">
      <c r="A20" s="169" t="s">
        <v>247</v>
      </c>
      <c r="B20" s="139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7">
        <f t="shared" si="2"/>
        <v>0</v>
      </c>
      <c r="AI20" s="119"/>
      <c r="AJ20" s="163"/>
      <c r="AK20" s="16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</row>
    <row r="21" spans="1:91" hidden="1" outlineLevel="1" x14ac:dyDescent="0.15">
      <c r="A21" s="169" t="s">
        <v>246</v>
      </c>
      <c r="B21" s="139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7">
        <f t="shared" si="2"/>
        <v>0</v>
      </c>
      <c r="AI21" s="119"/>
      <c r="AJ21" s="163"/>
      <c r="AK21" s="16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</row>
    <row r="22" spans="1:91" hidden="1" outlineLevel="1" x14ac:dyDescent="0.15">
      <c r="A22" s="169" t="s">
        <v>245</v>
      </c>
      <c r="B22" s="139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7">
        <f t="shared" si="2"/>
        <v>0</v>
      </c>
      <c r="AI22" s="119"/>
      <c r="AJ22" s="163"/>
      <c r="AK22" s="16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</row>
    <row r="23" spans="1:91" collapsed="1" x14ac:dyDescent="0.15">
      <c r="A23" s="136" t="s">
        <v>244</v>
      </c>
      <c r="B23" s="122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05">
        <f t="shared" si="2"/>
        <v>0</v>
      </c>
      <c r="AI23" s="119"/>
      <c r="AJ23" s="105"/>
      <c r="AK23" s="105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</row>
    <row r="24" spans="1:91" x14ac:dyDescent="0.15">
      <c r="A24" s="136" t="s">
        <v>232</v>
      </c>
      <c r="B24" s="122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>
        <v>50000</v>
      </c>
      <c r="AB24" s="120"/>
      <c r="AC24" s="120"/>
      <c r="AD24" s="120"/>
      <c r="AE24" s="120"/>
      <c r="AF24" s="120"/>
      <c r="AG24" s="120"/>
      <c r="AH24" s="105">
        <f t="shared" si="2"/>
        <v>50000</v>
      </c>
      <c r="AI24" s="119"/>
      <c r="AJ24" s="105"/>
      <c r="AK24" s="105"/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</row>
    <row r="25" spans="1:91" x14ac:dyDescent="0.15">
      <c r="A25" s="136" t="s">
        <v>243</v>
      </c>
      <c r="B25" s="122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05">
        <f t="shared" si="2"/>
        <v>0</v>
      </c>
      <c r="AI25" s="119"/>
      <c r="AJ25" s="105"/>
      <c r="AK25" s="105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</row>
    <row r="26" spans="1:91" x14ac:dyDescent="0.15">
      <c r="A26" s="136" t="s">
        <v>242</v>
      </c>
      <c r="B26" s="122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>
        <f>1800000-300000</f>
        <v>1500000</v>
      </c>
      <c r="AC26" s="120"/>
      <c r="AD26" s="120"/>
      <c r="AE26" s="120"/>
      <c r="AF26" s="120"/>
      <c r="AG26" s="120"/>
      <c r="AH26" s="105">
        <f t="shared" si="2"/>
        <v>1500000</v>
      </c>
      <c r="AI26" s="119"/>
      <c r="AJ26" s="105"/>
      <c r="AK26" s="105"/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</row>
    <row r="27" spans="1:91" x14ac:dyDescent="0.15">
      <c r="A27" s="136" t="s">
        <v>241</v>
      </c>
      <c r="B27" s="122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>
        <f>950000-100000</f>
        <v>850000</v>
      </c>
      <c r="AB27" s="120"/>
      <c r="AC27" s="120"/>
      <c r="AD27" s="120"/>
      <c r="AE27" s="120"/>
      <c r="AF27" s="120"/>
      <c r="AG27" s="120"/>
      <c r="AH27" s="105">
        <f t="shared" si="2"/>
        <v>850000</v>
      </c>
      <c r="AI27" s="119"/>
      <c r="AJ27" s="105"/>
      <c r="AK27" s="105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</row>
    <row r="28" spans="1:91" x14ac:dyDescent="0.15">
      <c r="A28" s="136" t="s">
        <v>240</v>
      </c>
      <c r="B28" s="122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>
        <v>350000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05">
        <f t="shared" si="2"/>
        <v>350000</v>
      </c>
      <c r="AI28" s="119"/>
      <c r="AJ28" s="105"/>
      <c r="AK28" s="105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</row>
    <row r="29" spans="1:91" x14ac:dyDescent="0.15">
      <c r="A29" s="136" t="s">
        <v>300</v>
      </c>
      <c r="B29" s="122"/>
      <c r="C29" s="120"/>
      <c r="D29" s="120"/>
      <c r="E29" s="120"/>
      <c r="F29" s="120"/>
      <c r="G29" s="120"/>
      <c r="H29" s="120"/>
      <c r="I29" s="120"/>
      <c r="J29" s="120"/>
      <c r="K29" s="120">
        <v>150000</v>
      </c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05">
        <f>SUM(C29:AG29)</f>
        <v>150000</v>
      </c>
      <c r="AI29" s="119"/>
      <c r="AJ29" s="105"/>
      <c r="AK29" s="105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</row>
    <row r="30" spans="1:91" x14ac:dyDescent="0.15">
      <c r="A30" s="136" t="s">
        <v>365</v>
      </c>
      <c r="B30" s="122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>
        <v>2400000</v>
      </c>
      <c r="AG30" s="120"/>
      <c r="AH30" s="105">
        <f t="shared" si="2"/>
        <v>2400000</v>
      </c>
      <c r="AI30" s="119"/>
      <c r="AJ30" s="105"/>
      <c r="AK30" s="105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</row>
    <row r="31" spans="1:91" ht="15" thickBot="1" x14ac:dyDescent="0.2">
      <c r="A31" s="113" t="s">
        <v>238</v>
      </c>
      <c r="B31" s="129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4"/>
      <c r="AH31" s="128">
        <f t="shared" si="2"/>
        <v>0</v>
      </c>
      <c r="AI31" s="127"/>
      <c r="AJ31" s="128"/>
      <c r="AK31" s="128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</row>
    <row r="32" spans="1:91" x14ac:dyDescent="0.15">
      <c r="A32" s="133" t="s">
        <v>237</v>
      </c>
      <c r="B32" s="122">
        <f>SUM(B8:B31)</f>
        <v>0</v>
      </c>
      <c r="C32" s="119">
        <f t="shared" ref="C32:AH32" si="3">SUM(C8:C31)-C12</f>
        <v>0</v>
      </c>
      <c r="D32" s="119">
        <f t="shared" si="3"/>
        <v>0</v>
      </c>
      <c r="E32" s="119">
        <f t="shared" si="3"/>
        <v>1723513</v>
      </c>
      <c r="F32" s="119">
        <f t="shared" si="3"/>
        <v>0</v>
      </c>
      <c r="G32" s="119">
        <f t="shared" si="3"/>
        <v>1666098.8096169846</v>
      </c>
      <c r="H32" s="119">
        <f t="shared" si="3"/>
        <v>0</v>
      </c>
      <c r="I32" s="119">
        <f t="shared" si="3"/>
        <v>0</v>
      </c>
      <c r="J32" s="119">
        <f t="shared" si="3"/>
        <v>0</v>
      </c>
      <c r="K32" s="119">
        <f t="shared" si="3"/>
        <v>150000</v>
      </c>
      <c r="L32" s="119">
        <f t="shared" si="3"/>
        <v>0</v>
      </c>
      <c r="M32" s="119">
        <f t="shared" si="3"/>
        <v>0</v>
      </c>
      <c r="N32" s="119">
        <f t="shared" si="3"/>
        <v>2016098.8096169846</v>
      </c>
      <c r="O32" s="119">
        <f t="shared" si="3"/>
        <v>0</v>
      </c>
      <c r="P32" s="119">
        <f t="shared" si="3"/>
        <v>0</v>
      </c>
      <c r="Q32" s="119">
        <f t="shared" si="3"/>
        <v>0</v>
      </c>
      <c r="R32" s="119">
        <f t="shared" si="3"/>
        <v>0</v>
      </c>
      <c r="S32" s="119">
        <f t="shared" si="3"/>
        <v>0</v>
      </c>
      <c r="T32" s="119">
        <f t="shared" si="3"/>
        <v>0</v>
      </c>
      <c r="U32" s="119">
        <f t="shared" si="3"/>
        <v>1666098.8096169846</v>
      </c>
      <c r="V32" s="119">
        <f t="shared" si="3"/>
        <v>0</v>
      </c>
      <c r="W32" s="119">
        <f t="shared" si="3"/>
        <v>0</v>
      </c>
      <c r="X32" s="119">
        <f t="shared" si="3"/>
        <v>0</v>
      </c>
      <c r="Y32" s="119">
        <f t="shared" si="3"/>
        <v>0</v>
      </c>
      <c r="Z32" s="119">
        <f t="shared" si="3"/>
        <v>0</v>
      </c>
      <c r="AA32" s="119">
        <f t="shared" si="3"/>
        <v>2566098.8096169848</v>
      </c>
      <c r="AB32" s="119">
        <f t="shared" si="3"/>
        <v>1500000</v>
      </c>
      <c r="AC32" s="119">
        <f t="shared" si="3"/>
        <v>0</v>
      </c>
      <c r="AD32" s="119">
        <f t="shared" si="3"/>
        <v>0</v>
      </c>
      <c r="AE32" s="119">
        <f t="shared" si="3"/>
        <v>0</v>
      </c>
      <c r="AF32" s="119">
        <f t="shared" si="3"/>
        <v>2400000</v>
      </c>
      <c r="AG32" s="119">
        <f t="shared" si="3"/>
        <v>0</v>
      </c>
      <c r="AH32" s="160">
        <f t="shared" si="3"/>
        <v>13687908.238467939</v>
      </c>
      <c r="AI32" s="119"/>
      <c r="AJ32" s="160"/>
      <c r="AK32" s="105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</row>
    <row r="33" spans="1:91" x14ac:dyDescent="0.15">
      <c r="A33" s="124"/>
      <c r="B33" s="122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0"/>
      <c r="AH33" s="105" t="s">
        <v>219</v>
      </c>
      <c r="AI33" s="119"/>
      <c r="AJ33" s="105"/>
      <c r="AK33" s="105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</row>
    <row r="34" spans="1:91" x14ac:dyDescent="0.15">
      <c r="A34" s="124" t="s">
        <v>236</v>
      </c>
      <c r="B34" s="12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20"/>
      <c r="AH34" s="105"/>
      <c r="AI34" s="119"/>
      <c r="AJ34" s="105"/>
      <c r="AK34" s="105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</row>
    <row r="35" spans="1:91" hidden="1" x14ac:dyDescent="0.15">
      <c r="A35" s="124" t="s">
        <v>235</v>
      </c>
      <c r="B35" s="122">
        <f t="shared" ref="B35:B41" si="4">SUM(C35:AG35)</f>
        <v>0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05">
        <f t="shared" ref="AH35:AH42" si="5">SUM(C35:AG35)</f>
        <v>0</v>
      </c>
      <c r="AI35" s="119"/>
      <c r="AJ35" s="105"/>
      <c r="AK35" s="105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</row>
    <row r="36" spans="1:91" hidden="1" x14ac:dyDescent="0.15">
      <c r="A36" s="124" t="s">
        <v>234</v>
      </c>
      <c r="B36" s="122">
        <f t="shared" si="4"/>
        <v>0</v>
      </c>
      <c r="C36" s="120"/>
      <c r="D36" s="120"/>
      <c r="E36" s="120"/>
      <c r="F36" s="120">
        <v>0</v>
      </c>
      <c r="G36" s="120">
        <v>0</v>
      </c>
      <c r="H36" s="120"/>
      <c r="I36" s="120"/>
      <c r="J36" s="120"/>
      <c r="K36" s="120"/>
      <c r="L36" s="120"/>
      <c r="M36" s="120">
        <v>0</v>
      </c>
      <c r="N36" s="120">
        <v>0</v>
      </c>
      <c r="O36" s="120"/>
      <c r="P36" s="120"/>
      <c r="Q36" s="120"/>
      <c r="R36" s="120"/>
      <c r="S36" s="120"/>
      <c r="T36" s="120">
        <v>0</v>
      </c>
      <c r="U36" s="120">
        <v>0</v>
      </c>
      <c r="V36" s="120"/>
      <c r="W36" s="120"/>
      <c r="X36" s="120"/>
      <c r="Y36" s="120"/>
      <c r="Z36" s="120"/>
      <c r="AA36" s="120">
        <v>0</v>
      </c>
      <c r="AB36" s="120">
        <v>0</v>
      </c>
      <c r="AC36" s="120"/>
      <c r="AD36" s="120"/>
      <c r="AE36" s="120"/>
      <c r="AF36" s="120"/>
      <c r="AG36" s="120"/>
      <c r="AH36" s="105">
        <f t="shared" si="5"/>
        <v>0</v>
      </c>
      <c r="AI36" s="119"/>
      <c r="AJ36" s="105"/>
      <c r="AK36" s="105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</row>
    <row r="37" spans="1:91" hidden="1" x14ac:dyDescent="0.15">
      <c r="A37" s="124" t="s">
        <v>233</v>
      </c>
      <c r="B37" s="122">
        <f t="shared" si="4"/>
        <v>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05">
        <f t="shared" si="5"/>
        <v>0</v>
      </c>
      <c r="AI37" s="119"/>
      <c r="AJ37" s="105"/>
      <c r="AK37" s="105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</row>
    <row r="38" spans="1:91" x14ac:dyDescent="0.15">
      <c r="A38" s="124" t="s">
        <v>232</v>
      </c>
      <c r="B38" s="122">
        <f t="shared" si="4"/>
        <v>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05">
        <f t="shared" si="5"/>
        <v>0</v>
      </c>
      <c r="AI38" s="119"/>
      <c r="AJ38" s="105"/>
      <c r="AK38" s="105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</row>
    <row r="39" spans="1:91" x14ac:dyDescent="0.15">
      <c r="A39" s="124" t="s">
        <v>231</v>
      </c>
      <c r="B39" s="122">
        <f t="shared" si="4"/>
        <v>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05">
        <f t="shared" si="5"/>
        <v>0</v>
      </c>
      <c r="AI39" s="119"/>
      <c r="AJ39" s="105"/>
      <c r="AK39" s="105"/>
      <c r="AN39" s="103">
        <v>30</v>
      </c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</row>
    <row r="40" spans="1:91" x14ac:dyDescent="0.15">
      <c r="A40" s="124" t="s">
        <v>230</v>
      </c>
      <c r="B40" s="122">
        <f t="shared" si="4"/>
        <v>6659730.2246443918</v>
      </c>
      <c r="C40" s="131"/>
      <c r="D40" s="131">
        <f>+$AN$42</f>
        <v>213657.67415481299</v>
      </c>
      <c r="E40" s="131">
        <f>+$AN$42*3</f>
        <v>640973.02246443904</v>
      </c>
      <c r="F40" s="131">
        <f>+$AN$42</f>
        <v>213657.67415481299</v>
      </c>
      <c r="G40" s="131">
        <f>+$AN$42</f>
        <v>213657.67415481299</v>
      </c>
      <c r="H40" s="131">
        <f>+$AN$42</f>
        <v>213657.67415481299</v>
      </c>
      <c r="I40" s="131"/>
      <c r="J40" s="131"/>
      <c r="K40" s="131">
        <f>+$AN$42</f>
        <v>213657.67415481299</v>
      </c>
      <c r="L40" s="131">
        <f>+$AN$42*3</f>
        <v>640973.02246443904</v>
      </c>
      <c r="M40" s="131">
        <f>+$AN$42</f>
        <v>213657.67415481299</v>
      </c>
      <c r="N40" s="131">
        <f>+$AN$42</f>
        <v>213657.67415481299</v>
      </c>
      <c r="O40" s="131">
        <f>+$AN$42</f>
        <v>213657.67415481299</v>
      </c>
      <c r="P40" s="131"/>
      <c r="Q40" s="131"/>
      <c r="R40" s="131">
        <f>+$AN$42</f>
        <v>213657.67415481299</v>
      </c>
      <c r="S40" s="131">
        <f>+$AN$42*3</f>
        <v>640973.02246443904</v>
      </c>
      <c r="T40" s="131">
        <f>+$AN$42</f>
        <v>213657.67415481299</v>
      </c>
      <c r="U40" s="131">
        <f>+$AN$42</f>
        <v>213657.67415481299</v>
      </c>
      <c r="V40" s="131">
        <f>+$AN$42</f>
        <v>213657.67415481299</v>
      </c>
      <c r="W40" s="131"/>
      <c r="X40" s="131"/>
      <c r="Y40" s="131">
        <f>+$AN$42</f>
        <v>213657.67415481299</v>
      </c>
      <c r="Z40" s="131">
        <f>+$AN$42*3</f>
        <v>640973.02246443904</v>
      </c>
      <c r="AA40" s="131">
        <f>+$AN$42</f>
        <v>213657.67415481299</v>
      </c>
      <c r="AB40" s="131">
        <f>+$AN$42+250000</f>
        <v>463657.67415481299</v>
      </c>
      <c r="AC40" s="131">
        <f>+$AN$42</f>
        <v>213657.67415481299</v>
      </c>
      <c r="AD40" s="131"/>
      <c r="AE40" s="131"/>
      <c r="AF40" s="131">
        <f>+$AN$42*2</f>
        <v>427315.34830962599</v>
      </c>
      <c r="AG40" s="131"/>
      <c r="AH40" s="105">
        <f t="shared" si="5"/>
        <v>6659730.2246443918</v>
      </c>
      <c r="AI40" s="119"/>
      <c r="AJ40" s="105"/>
      <c r="AK40" s="105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</row>
    <row r="41" spans="1:91" ht="15" thickBot="1" x14ac:dyDescent="0.2">
      <c r="A41" s="130" t="s">
        <v>229</v>
      </c>
      <c r="B41" s="129">
        <f t="shared" si="4"/>
        <v>5557050.0049678246</v>
      </c>
      <c r="C41" s="127"/>
      <c r="D41" s="127">
        <f>SUM($AN$43:$AN$45)*3</f>
        <v>555705.00049678248</v>
      </c>
      <c r="E41" s="127">
        <f>SUM($AN$43:$AN$45)</f>
        <v>185235.00016559416</v>
      </c>
      <c r="F41" s="127">
        <f>SUM($AN$43:$AN$45)</f>
        <v>185235.00016559416</v>
      </c>
      <c r="G41" s="127">
        <f>SUM($AN$43:$AN$45)</f>
        <v>185235.00016559416</v>
      </c>
      <c r="H41" s="127">
        <f>SUM($AN$43:$AN$45)</f>
        <v>185235.00016559416</v>
      </c>
      <c r="I41" s="127"/>
      <c r="J41" s="127"/>
      <c r="K41" s="127">
        <f>SUM($AN$43:$AN$45)*3</f>
        <v>555705.00049678248</v>
      </c>
      <c r="L41" s="127">
        <f>SUM($AN$43:$AN$45)</f>
        <v>185235.00016559416</v>
      </c>
      <c r="M41" s="127">
        <f>SUM($AN$43:$AN$45)</f>
        <v>185235.00016559416</v>
      </c>
      <c r="N41" s="127">
        <f>SUM($AN$43:$AN$45)</f>
        <v>185235.00016559416</v>
      </c>
      <c r="O41" s="127">
        <f>SUM($AN$43:$AN$45)</f>
        <v>185235.00016559416</v>
      </c>
      <c r="P41" s="127"/>
      <c r="Q41" s="127"/>
      <c r="R41" s="127">
        <f>SUM($AN$43:$AN$45)*3</f>
        <v>555705.00049678248</v>
      </c>
      <c r="S41" s="127">
        <f>SUM($AN$43:$AN$45)</f>
        <v>185235.00016559416</v>
      </c>
      <c r="T41" s="127">
        <f>SUM($AN$43:$AN$45)</f>
        <v>185235.00016559416</v>
      </c>
      <c r="U41" s="127">
        <f>SUM($AN$43:$AN$45)</f>
        <v>185235.00016559416</v>
      </c>
      <c r="V41" s="127">
        <f>SUM($AN$43:$AN$45)</f>
        <v>185235.00016559416</v>
      </c>
      <c r="W41" s="127"/>
      <c r="X41" s="127"/>
      <c r="Y41" s="127">
        <f>SUM($AN$43:$AN$45)*3</f>
        <v>555705.00049678248</v>
      </c>
      <c r="Z41" s="127">
        <f>SUM($AN$43:$AN$45)</f>
        <v>185235.00016559416</v>
      </c>
      <c r="AA41" s="127">
        <f>SUM($AN$43:$AN$45)</f>
        <v>185235.00016559416</v>
      </c>
      <c r="AB41" s="127">
        <f>SUM($AN$43:$AN$45)</f>
        <v>185235.00016559416</v>
      </c>
      <c r="AC41" s="127">
        <f>SUM($AN$43:$AN$45)</f>
        <v>185235.00016559416</v>
      </c>
      <c r="AD41" s="127"/>
      <c r="AE41" s="127"/>
      <c r="AF41" s="127">
        <f>SUM($AN$43:$AN$45)*2</f>
        <v>370470.00033118832</v>
      </c>
      <c r="AG41" s="134"/>
      <c r="AH41" s="128">
        <f t="shared" si="5"/>
        <v>5557050.0049678246</v>
      </c>
      <c r="AI41" s="127"/>
      <c r="AJ41" s="128"/>
      <c r="AK41" s="105"/>
      <c r="AL41" s="103" t="s">
        <v>228</v>
      </c>
      <c r="AM41" s="103">
        <f>'Exec Summary_Base Case'!L98*70%*1.07+'Exec Summary_Base Case'!L98*30%*1.19</f>
        <v>12819460.44928878</v>
      </c>
      <c r="AN41" s="103">
        <f>+AM41/$AN$39</f>
        <v>427315.34830962599</v>
      </c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</row>
    <row r="42" spans="1:91" x14ac:dyDescent="0.15">
      <c r="A42" s="124" t="s">
        <v>227</v>
      </c>
      <c r="B42" s="122">
        <f>SUM(B40:B41)</f>
        <v>12216780.229612216</v>
      </c>
      <c r="C42" s="119">
        <f t="shared" ref="C42:AG42" si="6">SUM(C35:C41)</f>
        <v>0</v>
      </c>
      <c r="D42" s="119">
        <f t="shared" si="6"/>
        <v>769362.67465159553</v>
      </c>
      <c r="E42" s="119">
        <f t="shared" si="6"/>
        <v>826208.0226300332</v>
      </c>
      <c r="F42" s="119">
        <f t="shared" si="6"/>
        <v>398892.67432040715</v>
      </c>
      <c r="G42" s="119">
        <f t="shared" si="6"/>
        <v>398892.67432040715</v>
      </c>
      <c r="H42" s="119">
        <f t="shared" si="6"/>
        <v>398892.67432040715</v>
      </c>
      <c r="I42" s="119">
        <f t="shared" si="6"/>
        <v>0</v>
      </c>
      <c r="J42" s="119">
        <f t="shared" si="6"/>
        <v>0</v>
      </c>
      <c r="K42" s="119">
        <f t="shared" si="6"/>
        <v>769362.67465159553</v>
      </c>
      <c r="L42" s="119">
        <f t="shared" si="6"/>
        <v>826208.0226300332</v>
      </c>
      <c r="M42" s="119">
        <f t="shared" si="6"/>
        <v>398892.67432040715</v>
      </c>
      <c r="N42" s="119">
        <f t="shared" si="6"/>
        <v>398892.67432040715</v>
      </c>
      <c r="O42" s="119">
        <f t="shared" si="6"/>
        <v>398892.67432040715</v>
      </c>
      <c r="P42" s="119">
        <f t="shared" si="6"/>
        <v>0</v>
      </c>
      <c r="Q42" s="119">
        <f t="shared" si="6"/>
        <v>0</v>
      </c>
      <c r="R42" s="119">
        <f t="shared" si="6"/>
        <v>769362.67465159553</v>
      </c>
      <c r="S42" s="119">
        <f t="shared" si="6"/>
        <v>826208.0226300332</v>
      </c>
      <c r="T42" s="119">
        <f t="shared" si="6"/>
        <v>398892.67432040715</v>
      </c>
      <c r="U42" s="119">
        <f t="shared" si="6"/>
        <v>398892.67432040715</v>
      </c>
      <c r="V42" s="119">
        <f t="shared" si="6"/>
        <v>398892.67432040715</v>
      </c>
      <c r="W42" s="119">
        <f t="shared" si="6"/>
        <v>0</v>
      </c>
      <c r="X42" s="119">
        <f t="shared" si="6"/>
        <v>0</v>
      </c>
      <c r="Y42" s="119">
        <f t="shared" si="6"/>
        <v>769362.67465159553</v>
      </c>
      <c r="Z42" s="119">
        <f t="shared" si="6"/>
        <v>826208.0226300332</v>
      </c>
      <c r="AA42" s="119">
        <f t="shared" si="6"/>
        <v>398892.67432040715</v>
      </c>
      <c r="AB42" s="119">
        <f t="shared" si="6"/>
        <v>648892.67432040721</v>
      </c>
      <c r="AC42" s="119">
        <f t="shared" si="6"/>
        <v>398892.67432040715</v>
      </c>
      <c r="AD42" s="119">
        <f t="shared" si="6"/>
        <v>0</v>
      </c>
      <c r="AE42" s="119">
        <f t="shared" si="6"/>
        <v>0</v>
      </c>
      <c r="AF42" s="119">
        <f t="shared" si="6"/>
        <v>797785.34864081431</v>
      </c>
      <c r="AG42" s="120">
        <f t="shared" si="6"/>
        <v>0</v>
      </c>
      <c r="AH42" s="105">
        <f t="shared" si="5"/>
        <v>12216780.229612216</v>
      </c>
      <c r="AI42" s="119"/>
      <c r="AJ42" s="105"/>
      <c r="AK42" s="232"/>
      <c r="AL42" s="103" t="s">
        <v>226</v>
      </c>
      <c r="AM42" s="103">
        <f>AM41*AO42</f>
        <v>6409730.2246443899</v>
      </c>
      <c r="AN42" s="103">
        <f>+AM42/$AN$39</f>
        <v>213657.67415481299</v>
      </c>
      <c r="AO42" s="174">
        <v>0.5</v>
      </c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</row>
    <row r="43" spans="1:91" x14ac:dyDescent="0.15">
      <c r="A43" s="124" t="s">
        <v>219</v>
      </c>
      <c r="B43" s="122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0"/>
      <c r="AH43" s="105" t="s">
        <v>219</v>
      </c>
      <c r="AI43" s="119"/>
      <c r="AJ43" s="105"/>
      <c r="AK43" s="105"/>
      <c r="AL43" s="103" t="s">
        <v>225</v>
      </c>
      <c r="AM43" s="103">
        <f>AM41*AO43</f>
        <v>3204865.112322195</v>
      </c>
      <c r="AN43" s="103">
        <f>+AM43/$AN$39</f>
        <v>106828.8370774065</v>
      </c>
      <c r="AO43" s="174">
        <v>0.25</v>
      </c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</row>
    <row r="44" spans="1:91" x14ac:dyDescent="0.15">
      <c r="A44" s="124" t="s">
        <v>224</v>
      </c>
      <c r="B44" s="122">
        <f t="shared" ref="B44:AH44" si="7">B42-B32</f>
        <v>12216780.229612216</v>
      </c>
      <c r="C44" s="119">
        <f t="shared" si="7"/>
        <v>0</v>
      </c>
      <c r="D44" s="119">
        <f t="shared" si="7"/>
        <v>769362.67465159553</v>
      </c>
      <c r="E44" s="119">
        <f t="shared" si="7"/>
        <v>-897304.9773699668</v>
      </c>
      <c r="F44" s="119">
        <f t="shared" si="7"/>
        <v>398892.67432040715</v>
      </c>
      <c r="G44" s="119">
        <f t="shared" si="7"/>
        <v>-1267206.1352965774</v>
      </c>
      <c r="H44" s="119">
        <f t="shared" si="7"/>
        <v>398892.67432040715</v>
      </c>
      <c r="I44" s="119">
        <f t="shared" si="7"/>
        <v>0</v>
      </c>
      <c r="J44" s="119">
        <f t="shared" si="7"/>
        <v>0</v>
      </c>
      <c r="K44" s="119">
        <f t="shared" si="7"/>
        <v>619362.67465159553</v>
      </c>
      <c r="L44" s="119">
        <f t="shared" si="7"/>
        <v>826208.0226300332</v>
      </c>
      <c r="M44" s="119">
        <f t="shared" si="7"/>
        <v>398892.67432040715</v>
      </c>
      <c r="N44" s="119">
        <f t="shared" si="7"/>
        <v>-1617206.1352965774</v>
      </c>
      <c r="O44" s="119">
        <f t="shared" si="7"/>
        <v>398892.67432040715</v>
      </c>
      <c r="P44" s="119">
        <f t="shared" si="7"/>
        <v>0</v>
      </c>
      <c r="Q44" s="119">
        <f t="shared" si="7"/>
        <v>0</v>
      </c>
      <c r="R44" s="119">
        <f t="shared" si="7"/>
        <v>769362.67465159553</v>
      </c>
      <c r="S44" s="119">
        <f t="shared" si="7"/>
        <v>826208.0226300332</v>
      </c>
      <c r="T44" s="119">
        <f t="shared" si="7"/>
        <v>398892.67432040715</v>
      </c>
      <c r="U44" s="119">
        <f t="shared" si="7"/>
        <v>-1267206.1352965774</v>
      </c>
      <c r="V44" s="119">
        <f t="shared" si="7"/>
        <v>398892.67432040715</v>
      </c>
      <c r="W44" s="119">
        <f t="shared" si="7"/>
        <v>0</v>
      </c>
      <c r="X44" s="119">
        <f t="shared" si="7"/>
        <v>0</v>
      </c>
      <c r="Y44" s="119">
        <f t="shared" si="7"/>
        <v>769362.67465159553</v>
      </c>
      <c r="Z44" s="119">
        <f t="shared" si="7"/>
        <v>826208.0226300332</v>
      </c>
      <c r="AA44" s="119">
        <f t="shared" si="7"/>
        <v>-2167206.1352965776</v>
      </c>
      <c r="AB44" s="119">
        <f t="shared" si="7"/>
        <v>-851107.32567959279</v>
      </c>
      <c r="AC44" s="119">
        <f t="shared" si="7"/>
        <v>398892.67432040715</v>
      </c>
      <c r="AD44" s="119">
        <f t="shared" si="7"/>
        <v>0</v>
      </c>
      <c r="AE44" s="119">
        <f t="shared" si="7"/>
        <v>0</v>
      </c>
      <c r="AF44" s="120">
        <f t="shared" si="7"/>
        <v>-1602214.6513591856</v>
      </c>
      <c r="AG44" s="120">
        <f t="shared" si="7"/>
        <v>0</v>
      </c>
      <c r="AH44" s="125">
        <f t="shared" si="7"/>
        <v>-1471128.0088557228</v>
      </c>
      <c r="AI44" s="119"/>
      <c r="AJ44" s="125"/>
      <c r="AK44" s="105"/>
      <c r="AL44" s="103" t="s">
        <v>319</v>
      </c>
      <c r="AM44" s="103">
        <f>August!AM41*März!AP44</f>
        <v>1224026.894547415</v>
      </c>
      <c r="AN44" s="103">
        <f>+AM44/$AN$39</f>
        <v>40800.896484913836</v>
      </c>
      <c r="AO44" s="175">
        <v>0.125</v>
      </c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</row>
    <row r="45" spans="1:91" x14ac:dyDescent="0.15">
      <c r="A45" s="124"/>
      <c r="B45" s="122"/>
      <c r="C45" s="119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120"/>
      <c r="AH45" s="105" t="s">
        <v>219</v>
      </c>
      <c r="AI45" s="119"/>
      <c r="AJ45" s="105"/>
      <c r="AK45" s="105"/>
      <c r="AL45" s="103" t="s">
        <v>320</v>
      </c>
      <c r="AM45" s="103">
        <f>Juli!AM41*März!AP45</f>
        <v>1128157.9980982151</v>
      </c>
      <c r="AN45" s="103">
        <f>+AM45/$AN$39</f>
        <v>37605.266603273834</v>
      </c>
      <c r="AO45" s="175">
        <v>0.125</v>
      </c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</row>
    <row r="46" spans="1:91" x14ac:dyDescent="0.15">
      <c r="A46" s="124" t="s">
        <v>223</v>
      </c>
      <c r="B46" s="122">
        <v>0</v>
      </c>
      <c r="C46" s="119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120"/>
      <c r="AH46" s="105">
        <f>SUM(C46:AG46)</f>
        <v>0</v>
      </c>
      <c r="AI46" s="119"/>
      <c r="AJ46" s="105"/>
      <c r="AK46" s="105"/>
      <c r="AM46" s="103">
        <f>SUM(AM43:AM45)</f>
        <v>5557050.0049678255</v>
      </c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</row>
    <row r="47" spans="1:91" x14ac:dyDescent="0.15">
      <c r="A47" s="124" t="s">
        <v>219</v>
      </c>
      <c r="B47" s="122">
        <v>0</v>
      </c>
      <c r="C47" s="119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120"/>
      <c r="AH47" s="105">
        <f>SUM(C47:AG47)</f>
        <v>0</v>
      </c>
      <c r="AI47" s="119"/>
      <c r="AJ47" s="105"/>
      <c r="AK47" s="105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</row>
    <row r="48" spans="1:91" x14ac:dyDescent="0.15">
      <c r="A48" s="124" t="s">
        <v>219</v>
      </c>
      <c r="B48" s="122">
        <v>0</v>
      </c>
      <c r="C48" s="119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120"/>
      <c r="AH48" s="105">
        <f>SUM(C48:AG48)</f>
        <v>0</v>
      </c>
      <c r="AI48" s="119"/>
      <c r="AJ48" s="105"/>
      <c r="AK48" s="105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</row>
    <row r="49" spans="1:37" ht="5" customHeight="1" x14ac:dyDescent="0.15">
      <c r="A49" s="121"/>
      <c r="B49" s="122"/>
      <c r="C49" s="119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120"/>
      <c r="AH49" s="105" t="s">
        <v>219</v>
      </c>
      <c r="AI49" s="119"/>
      <c r="AJ49" s="105"/>
      <c r="AK49" s="105"/>
    </row>
    <row r="50" spans="1:37" s="105" customFormat="1" ht="12.75" customHeight="1" thickBot="1" x14ac:dyDescent="0.2">
      <c r="A50" s="159" t="s">
        <v>299</v>
      </c>
      <c r="B50" s="158">
        <f t="shared" ref="B50:AH50" si="8">B6+B44-B46-B47-B48</f>
        <v>18156803.336484399</v>
      </c>
      <c r="C50" s="157">
        <f t="shared" si="8"/>
        <v>5940023.1068721823</v>
      </c>
      <c r="D50" s="157">
        <f t="shared" si="8"/>
        <v>6709385.7815237781</v>
      </c>
      <c r="E50" s="157">
        <f t="shared" si="8"/>
        <v>5812080.8041538112</v>
      </c>
      <c r="F50" s="157">
        <f t="shared" si="8"/>
        <v>6210973.4784742184</v>
      </c>
      <c r="G50" s="157">
        <f t="shared" si="8"/>
        <v>4943767.3431776408</v>
      </c>
      <c r="H50" s="157">
        <f t="shared" si="8"/>
        <v>5342660.017498048</v>
      </c>
      <c r="I50" s="157">
        <f t="shared" si="8"/>
        <v>5342660.017498048</v>
      </c>
      <c r="J50" s="157">
        <f t="shared" si="8"/>
        <v>5342660.017498048</v>
      </c>
      <c r="K50" s="157">
        <f t="shared" si="8"/>
        <v>5962022.6921496438</v>
      </c>
      <c r="L50" s="157">
        <f t="shared" si="8"/>
        <v>6788230.7147796769</v>
      </c>
      <c r="M50" s="157">
        <f t="shared" si="8"/>
        <v>7187123.3891000841</v>
      </c>
      <c r="N50" s="157">
        <f t="shared" si="8"/>
        <v>5569917.2538035065</v>
      </c>
      <c r="O50" s="157">
        <f t="shared" si="8"/>
        <v>5968809.9281239137</v>
      </c>
      <c r="P50" s="157">
        <f t="shared" si="8"/>
        <v>5968809.9281239137</v>
      </c>
      <c r="Q50" s="157">
        <f t="shared" si="8"/>
        <v>5968809.9281239137</v>
      </c>
      <c r="R50" s="157">
        <f t="shared" si="8"/>
        <v>6738172.6027755095</v>
      </c>
      <c r="S50" s="157">
        <f t="shared" si="8"/>
        <v>7564380.6254055426</v>
      </c>
      <c r="T50" s="157">
        <f t="shared" si="8"/>
        <v>7963273.2997259498</v>
      </c>
      <c r="U50" s="157">
        <f t="shared" si="8"/>
        <v>6696067.1644293722</v>
      </c>
      <c r="V50" s="157">
        <f t="shared" si="8"/>
        <v>7094959.8387497794</v>
      </c>
      <c r="W50" s="157">
        <f t="shared" si="8"/>
        <v>7094959.8387497794</v>
      </c>
      <c r="X50" s="157">
        <f t="shared" si="8"/>
        <v>7094959.8387497794</v>
      </c>
      <c r="Y50" s="157">
        <f t="shared" si="8"/>
        <v>7864322.5134013752</v>
      </c>
      <c r="Z50" s="157">
        <f t="shared" si="8"/>
        <v>8690530.5360314082</v>
      </c>
      <c r="AA50" s="157">
        <f t="shared" si="8"/>
        <v>6523324.4007348306</v>
      </c>
      <c r="AB50" s="157">
        <f t="shared" si="8"/>
        <v>5672217.0750552379</v>
      </c>
      <c r="AC50" s="157">
        <f t="shared" si="8"/>
        <v>6071109.7493756451</v>
      </c>
      <c r="AD50" s="157">
        <f t="shared" si="8"/>
        <v>6071109.7493756451</v>
      </c>
      <c r="AE50" s="157">
        <f t="shared" si="8"/>
        <v>6071109.7493756451</v>
      </c>
      <c r="AF50" s="168">
        <f t="shared" si="8"/>
        <v>4468895.0980164595</v>
      </c>
      <c r="AG50" s="168">
        <f t="shared" si="8"/>
        <v>4468895.0980164595</v>
      </c>
      <c r="AH50" s="167">
        <f t="shared" si="8"/>
        <v>4468895.0980164595</v>
      </c>
      <c r="AI50" s="157" t="s">
        <v>219</v>
      </c>
      <c r="AJ50" s="115"/>
      <c r="AK50" s="231"/>
    </row>
    <row r="51" spans="1:37" ht="16" thickTop="1" thickBot="1" x14ac:dyDescent="0.2">
      <c r="A51" s="146" t="s">
        <v>221</v>
      </c>
      <c r="B51" s="156">
        <f>+B5</f>
        <v>0</v>
      </c>
      <c r="C51" s="110">
        <f t="shared" ref="C51:AH51" si="9">+C50-C52</f>
        <v>5940023.1068721823</v>
      </c>
      <c r="D51" s="110">
        <f t="shared" si="9"/>
        <v>6709385.7815237781</v>
      </c>
      <c r="E51" s="110">
        <f t="shared" si="9"/>
        <v>5812080.8041538112</v>
      </c>
      <c r="F51" s="110">
        <f t="shared" si="9"/>
        <v>6210973.4784742184</v>
      </c>
      <c r="G51" s="110">
        <f t="shared" si="9"/>
        <v>4943767.3431776408</v>
      </c>
      <c r="H51" s="110">
        <f t="shared" si="9"/>
        <v>5342660.017498048</v>
      </c>
      <c r="I51" s="110">
        <f t="shared" si="9"/>
        <v>5342660.017498048</v>
      </c>
      <c r="J51" s="110">
        <f t="shared" si="9"/>
        <v>5342660.017498048</v>
      </c>
      <c r="K51" s="110">
        <f t="shared" si="9"/>
        <v>5962022.6921496438</v>
      </c>
      <c r="L51" s="110">
        <f t="shared" si="9"/>
        <v>6788230.7147796769</v>
      </c>
      <c r="M51" s="110">
        <f t="shared" si="9"/>
        <v>7187123.3891000841</v>
      </c>
      <c r="N51" s="110">
        <f t="shared" si="9"/>
        <v>5569917.2538035065</v>
      </c>
      <c r="O51" s="110">
        <f t="shared" si="9"/>
        <v>5968809.9281239137</v>
      </c>
      <c r="P51" s="110">
        <f t="shared" si="9"/>
        <v>5968809.9281239137</v>
      </c>
      <c r="Q51" s="110">
        <f t="shared" si="9"/>
        <v>5968809.9281239137</v>
      </c>
      <c r="R51" s="110">
        <f t="shared" si="9"/>
        <v>6738172.6027755095</v>
      </c>
      <c r="S51" s="110">
        <f t="shared" si="9"/>
        <v>7564380.6254055426</v>
      </c>
      <c r="T51" s="110">
        <f t="shared" si="9"/>
        <v>7963273.2997259498</v>
      </c>
      <c r="U51" s="110">
        <f t="shared" si="9"/>
        <v>6696067.1644293722</v>
      </c>
      <c r="V51" s="110">
        <f t="shared" si="9"/>
        <v>7094959.8387497794</v>
      </c>
      <c r="W51" s="110">
        <f t="shared" si="9"/>
        <v>7094959.8387497794</v>
      </c>
      <c r="X51" s="110">
        <f t="shared" si="9"/>
        <v>7094959.8387497794</v>
      </c>
      <c r="Y51" s="110">
        <f t="shared" si="9"/>
        <v>7864322.5134013752</v>
      </c>
      <c r="Z51" s="110">
        <f t="shared" si="9"/>
        <v>8690530.5360314082</v>
      </c>
      <c r="AA51" s="110">
        <f t="shared" si="9"/>
        <v>6523324.4007348306</v>
      </c>
      <c r="AB51" s="110">
        <f t="shared" si="9"/>
        <v>5672217.0750552379</v>
      </c>
      <c r="AC51" s="110">
        <f t="shared" si="9"/>
        <v>6071109.7493756451</v>
      </c>
      <c r="AD51" s="110">
        <f t="shared" si="9"/>
        <v>6071109.7493756451</v>
      </c>
      <c r="AE51" s="110">
        <f t="shared" si="9"/>
        <v>6071109.7493756451</v>
      </c>
      <c r="AF51" s="110">
        <f t="shared" si="9"/>
        <v>4468895.0980164595</v>
      </c>
      <c r="AG51" s="110">
        <f t="shared" si="9"/>
        <v>4468895.0980164595</v>
      </c>
      <c r="AH51" s="110">
        <f t="shared" si="9"/>
        <v>4468895.0980164595</v>
      </c>
      <c r="AI51" s="123"/>
      <c r="AJ51" s="110"/>
      <c r="AK51" s="110"/>
    </row>
    <row r="52" spans="1:37" x14ac:dyDescent="0.15">
      <c r="A52" s="149" t="s">
        <v>220</v>
      </c>
      <c r="B52" s="111">
        <f>B50-B51</f>
        <v>18156803.336484399</v>
      </c>
      <c r="C52" s="110">
        <f>+Mai!AG52</f>
        <v>0</v>
      </c>
      <c r="D52" s="110">
        <f t="shared" ref="D52:AH52" si="10">+C52</f>
        <v>0</v>
      </c>
      <c r="E52" s="110">
        <f t="shared" si="10"/>
        <v>0</v>
      </c>
      <c r="F52" s="110">
        <f t="shared" si="10"/>
        <v>0</v>
      </c>
      <c r="G52" s="110">
        <f t="shared" si="10"/>
        <v>0</v>
      </c>
      <c r="H52" s="110">
        <f t="shared" si="10"/>
        <v>0</v>
      </c>
      <c r="I52" s="110">
        <f t="shared" si="10"/>
        <v>0</v>
      </c>
      <c r="J52" s="110">
        <f t="shared" si="10"/>
        <v>0</v>
      </c>
      <c r="K52" s="110">
        <f t="shared" si="10"/>
        <v>0</v>
      </c>
      <c r="L52" s="110">
        <f t="shared" si="10"/>
        <v>0</v>
      </c>
      <c r="M52" s="110">
        <f t="shared" si="10"/>
        <v>0</v>
      </c>
      <c r="N52" s="110">
        <f t="shared" si="10"/>
        <v>0</v>
      </c>
      <c r="O52" s="110">
        <f t="shared" si="10"/>
        <v>0</v>
      </c>
      <c r="P52" s="110">
        <f t="shared" si="10"/>
        <v>0</v>
      </c>
      <c r="Q52" s="110">
        <f t="shared" si="10"/>
        <v>0</v>
      </c>
      <c r="R52" s="110">
        <f t="shared" si="10"/>
        <v>0</v>
      </c>
      <c r="S52" s="110">
        <f t="shared" si="10"/>
        <v>0</v>
      </c>
      <c r="T52" s="110">
        <f t="shared" si="10"/>
        <v>0</v>
      </c>
      <c r="U52" s="110">
        <f t="shared" si="10"/>
        <v>0</v>
      </c>
      <c r="V52" s="110">
        <f t="shared" si="10"/>
        <v>0</v>
      </c>
      <c r="W52" s="110">
        <f t="shared" si="10"/>
        <v>0</v>
      </c>
      <c r="X52" s="110">
        <f t="shared" si="10"/>
        <v>0</v>
      </c>
      <c r="Y52" s="110">
        <f t="shared" si="10"/>
        <v>0</v>
      </c>
      <c r="Z52" s="110">
        <f t="shared" si="10"/>
        <v>0</v>
      </c>
      <c r="AA52" s="110">
        <f t="shared" si="10"/>
        <v>0</v>
      </c>
      <c r="AB52" s="110">
        <f t="shared" si="10"/>
        <v>0</v>
      </c>
      <c r="AC52" s="110">
        <f t="shared" si="10"/>
        <v>0</v>
      </c>
      <c r="AD52" s="110">
        <f t="shared" si="10"/>
        <v>0</v>
      </c>
      <c r="AE52" s="110">
        <f t="shared" si="10"/>
        <v>0</v>
      </c>
      <c r="AF52" s="110">
        <f t="shared" si="10"/>
        <v>0</v>
      </c>
      <c r="AG52" s="110">
        <f t="shared" si="10"/>
        <v>0</v>
      </c>
      <c r="AH52" s="110">
        <f t="shared" si="10"/>
        <v>0</v>
      </c>
      <c r="AI52" s="110"/>
      <c r="AJ52" s="110"/>
      <c r="AK52" s="110"/>
    </row>
    <row r="53" spans="1:37" x14ac:dyDescent="0.15">
      <c r="A53" s="103" t="s">
        <v>219</v>
      </c>
    </row>
    <row r="56" spans="1:37" x14ac:dyDescent="0.15">
      <c r="A56" s="106"/>
    </row>
    <row r="57" spans="1:37" x14ac:dyDescent="0.15">
      <c r="A57" s="106"/>
      <c r="W57" s="173"/>
    </row>
    <row r="58" spans="1:37" x14ac:dyDescent="0.15">
      <c r="A58" s="106"/>
    </row>
    <row r="59" spans="1:37" x14ac:dyDescent="0.15">
      <c r="A59" s="106"/>
    </row>
    <row r="60" spans="1:37" x14ac:dyDescent="0.15">
      <c r="A60" s="106"/>
    </row>
    <row r="61" spans="1:37" x14ac:dyDescent="0.15">
      <c r="A61" s="106"/>
    </row>
    <row r="62" spans="1:37" x14ac:dyDescent="0.15">
      <c r="A62" s="106"/>
    </row>
    <row r="63" spans="1:37" x14ac:dyDescent="0.15">
      <c r="A63" s="106"/>
    </row>
    <row r="64" spans="1:37" x14ac:dyDescent="0.15">
      <c r="A64" s="108"/>
      <c r="B64" s="105"/>
    </row>
    <row r="65" spans="1:2" x14ac:dyDescent="0.15">
      <c r="A65" s="107"/>
    </row>
    <row r="66" spans="1:2" x14ac:dyDescent="0.15">
      <c r="A66" s="106"/>
    </row>
    <row r="67" spans="1:2" x14ac:dyDescent="0.15">
      <c r="A67" s="106"/>
    </row>
    <row r="68" spans="1:2" x14ac:dyDescent="0.15">
      <c r="A68" s="106"/>
    </row>
    <row r="69" spans="1:2" x14ac:dyDescent="0.15">
      <c r="A69" s="106"/>
    </row>
    <row r="70" spans="1:2" x14ac:dyDescent="0.15">
      <c r="A70" s="106"/>
    </row>
    <row r="71" spans="1:2" x14ac:dyDescent="0.15">
      <c r="A71" s="106"/>
    </row>
    <row r="72" spans="1:2" x14ac:dyDescent="0.15">
      <c r="A72" s="106"/>
      <c r="B72" s="105"/>
    </row>
    <row r="77" spans="1:2" x14ac:dyDescent="0.15">
      <c r="B77" s="104"/>
    </row>
    <row r="78" spans="1:2" x14ac:dyDescent="0.15">
      <c r="A78" s="104"/>
    </row>
    <row r="79" spans="1:2" x14ac:dyDescent="0.15">
      <c r="A79" s="104"/>
    </row>
    <row r="83" spans="1:1" x14ac:dyDescent="0.15">
      <c r="A83" s="104"/>
    </row>
  </sheetData>
  <pageMargins left="0.23622047244094491" right="0.23622047244094491" top="0.55118110236220474" bottom="0.15748031496062992" header="0.31496062992125984" footer="0.11811023622047245"/>
  <pageSetup paperSize="9" scale="64" fitToWidth="2" fitToHeight="2" orientation="landscape" r:id="rId1"/>
  <headerFooter alignWithMargins="0">
    <oddHeader>&amp;F</oddHeader>
    <oddFooter>Seite &amp;P von &amp;N</oddFooter>
  </headerFooter>
  <colBreaks count="1" manualBreakCount="1">
    <brk id="17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181"/>
  <sheetViews>
    <sheetView zoomScale="70" zoomScaleNormal="70" workbookViewId="0">
      <pane xSplit="2" ySplit="10" topLeftCell="C11" activePane="bottomRight" state="frozen"/>
      <selection pane="topRight"/>
      <selection pane="bottomLeft"/>
      <selection pane="bottomRight" activeCell="I136" sqref="I136"/>
    </sheetView>
  </sheetViews>
  <sheetFormatPr baseColWidth="10" defaultColWidth="9.1640625" defaultRowHeight="13" x14ac:dyDescent="0.15"/>
  <cols>
    <col min="1" max="1" width="0.6640625" customWidth="1"/>
    <col min="2" max="2" width="29.6640625" customWidth="1"/>
    <col min="3" max="3" width="15.6640625" bestFit="1" customWidth="1"/>
    <col min="4" max="15" width="14.5" customWidth="1"/>
    <col min="16" max="17" width="14.5" bestFit="1" customWidth="1"/>
    <col min="18" max="18" width="10.6640625" bestFit="1" customWidth="1"/>
  </cols>
  <sheetData>
    <row r="2" spans="2:18" ht="35" customHeight="1" x14ac:dyDescent="0.3">
      <c r="B2" s="1" t="s">
        <v>0</v>
      </c>
    </row>
    <row r="3" spans="2:18" ht="14" x14ac:dyDescent="0.15">
      <c r="B3" s="2" t="s">
        <v>1</v>
      </c>
      <c r="C3" s="3"/>
    </row>
    <row r="4" spans="2:18" ht="14" x14ac:dyDescent="0.15">
      <c r="B4" s="2" t="s">
        <v>2</v>
      </c>
      <c r="C4" s="3"/>
    </row>
    <row r="5" spans="2:18" ht="14" x14ac:dyDescent="0.15">
      <c r="B5" s="2" t="s">
        <v>3</v>
      </c>
      <c r="C5" s="3"/>
    </row>
    <row r="6" spans="2:18" ht="14" x14ac:dyDescent="0.15">
      <c r="B6" s="2" t="s">
        <v>4</v>
      </c>
      <c r="C6" s="3"/>
    </row>
    <row r="7" spans="2:18" ht="14" x14ac:dyDescent="0.15">
      <c r="B7" s="2" t="s">
        <v>5</v>
      </c>
      <c r="C7" s="3"/>
      <c r="D7" s="22">
        <f>+D8/D12</f>
        <v>0.11889860334939155</v>
      </c>
      <c r="E7" s="22">
        <f>2930*(1-D7)</f>
        <v>2581.6270921862829</v>
      </c>
    </row>
    <row r="8" spans="2:18" ht="14" x14ac:dyDescent="0.15">
      <c r="B8" s="2" t="s">
        <v>6</v>
      </c>
      <c r="C8" s="52"/>
      <c r="D8" s="22">
        <f>+Oberstaufen!D12+Sylt!D12+Wiesensee!D12</f>
        <v>450906.91000000003</v>
      </c>
    </row>
    <row r="10" spans="2:18" ht="28" x14ac:dyDescent="0.15"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4" t="s">
        <v>17</v>
      </c>
      <c r="M10" s="4" t="s">
        <v>18</v>
      </c>
      <c r="N10" s="4" t="s">
        <v>19</v>
      </c>
      <c r="O10" s="4" t="s">
        <v>20</v>
      </c>
      <c r="P10" s="20" t="s">
        <v>121</v>
      </c>
      <c r="Q10" s="20" t="s">
        <v>122</v>
      </c>
    </row>
    <row r="11" spans="2:18" ht="14" x14ac:dyDescent="0.15">
      <c r="B11" s="5" t="s">
        <v>21</v>
      </c>
      <c r="C11" s="6">
        <v>121988476.0851</v>
      </c>
      <c r="D11" s="6">
        <v>7240087.3559999997</v>
      </c>
      <c r="E11" s="6">
        <v>8314846.3295</v>
      </c>
      <c r="F11" s="6">
        <v>11118560.569499999</v>
      </c>
      <c r="G11" s="6">
        <v>8842420.0604999997</v>
      </c>
      <c r="H11" s="6">
        <v>11077677.168</v>
      </c>
      <c r="I11" s="6">
        <v>10908122.016799999</v>
      </c>
      <c r="J11" s="6">
        <v>9390566.3160999995</v>
      </c>
      <c r="K11" s="6">
        <v>10250151.282600001</v>
      </c>
      <c r="L11" s="6">
        <v>12897675.805299999</v>
      </c>
      <c r="M11" s="6">
        <v>12387225.269400001</v>
      </c>
      <c r="N11" s="6">
        <v>10794718.781199999</v>
      </c>
      <c r="O11" s="6">
        <v>8766425.1302000005</v>
      </c>
      <c r="P11" s="21">
        <f>SUM(D11:I11)</f>
        <v>57501713.500299998</v>
      </c>
      <c r="Q11" s="21">
        <f>SUM(J11:O11)</f>
        <v>64486762.584799998</v>
      </c>
      <c r="R11" s="22">
        <f t="shared" ref="R11:R23" si="0">P11+Q11-C11</f>
        <v>0</v>
      </c>
    </row>
    <row r="12" spans="2:18" ht="14" x14ac:dyDescent="0.15">
      <c r="B12" s="5" t="s">
        <v>22</v>
      </c>
      <c r="C12" s="6">
        <v>46975896.0713</v>
      </c>
      <c r="D12" s="6">
        <v>3792365.0682000001</v>
      </c>
      <c r="E12" s="6">
        <v>3908626.0414999998</v>
      </c>
      <c r="F12" s="6">
        <v>4046732.5731000002</v>
      </c>
      <c r="G12" s="6">
        <v>3846189.0427999999</v>
      </c>
      <c r="H12" s="6">
        <v>3937724.7763999999</v>
      </c>
      <c r="I12" s="6">
        <v>4039104.3158</v>
      </c>
      <c r="J12" s="6">
        <v>3752530.0902</v>
      </c>
      <c r="K12" s="6">
        <v>3776933.8273</v>
      </c>
      <c r="L12" s="6">
        <v>3995896.7919000001</v>
      </c>
      <c r="M12" s="6">
        <v>3933104.2362000002</v>
      </c>
      <c r="N12" s="6">
        <v>4146594.9105000002</v>
      </c>
      <c r="O12" s="6">
        <v>3800094.3974000001</v>
      </c>
      <c r="P12" s="21">
        <f t="shared" ref="P12:P23" si="1">SUM(D12:I12)</f>
        <v>23570741.8178</v>
      </c>
      <c r="Q12" s="21">
        <f t="shared" ref="Q12:Q23" si="2">SUM(J12:O12)</f>
        <v>23405154.2535</v>
      </c>
      <c r="R12" s="22">
        <f t="shared" si="0"/>
        <v>0</v>
      </c>
    </row>
    <row r="13" spans="2:18" ht="14" x14ac:dyDescent="0.15">
      <c r="B13" s="5" t="s">
        <v>23</v>
      </c>
      <c r="C13" s="6">
        <v>30075828.920000002</v>
      </c>
      <c r="D13" s="6">
        <v>290044.42129999999</v>
      </c>
      <c r="E13" s="6">
        <v>889605.51150000002</v>
      </c>
      <c r="F13" s="6">
        <v>2812348.5323999999</v>
      </c>
      <c r="G13" s="6">
        <v>1496788.1555999999</v>
      </c>
      <c r="H13" s="6">
        <v>3386770.1165999998</v>
      </c>
      <c r="I13" s="6">
        <v>2841946.3816999998</v>
      </c>
      <c r="J13" s="6">
        <v>2276610.4515</v>
      </c>
      <c r="K13" s="6">
        <v>2905225.7744999998</v>
      </c>
      <c r="L13" s="6">
        <v>4624136.0016000001</v>
      </c>
      <c r="M13" s="6">
        <v>4442699.7719000001</v>
      </c>
      <c r="N13" s="6">
        <v>2818991.9043000001</v>
      </c>
      <c r="O13" s="6">
        <v>1290661.8970999999</v>
      </c>
      <c r="P13" s="21">
        <f t="shared" si="1"/>
        <v>11717503.119099999</v>
      </c>
      <c r="Q13" s="21">
        <f t="shared" si="2"/>
        <v>18358325.800900001</v>
      </c>
      <c r="R13" s="22">
        <f t="shared" si="0"/>
        <v>0</v>
      </c>
    </row>
    <row r="14" spans="2:18" ht="14" x14ac:dyDescent="0.15">
      <c r="B14" s="5" t="s">
        <v>24</v>
      </c>
      <c r="C14" s="8">
        <v>824900</v>
      </c>
      <c r="D14" s="8">
        <v>70060</v>
      </c>
      <c r="E14" s="8">
        <v>63280</v>
      </c>
      <c r="F14" s="8">
        <v>70060</v>
      </c>
      <c r="G14" s="8">
        <v>67800</v>
      </c>
      <c r="H14" s="8">
        <v>70060</v>
      </c>
      <c r="I14" s="8">
        <v>67800</v>
      </c>
      <c r="J14" s="8">
        <v>70060</v>
      </c>
      <c r="K14" s="8">
        <v>70060</v>
      </c>
      <c r="L14" s="8">
        <v>67800</v>
      </c>
      <c r="M14" s="8">
        <v>70060</v>
      </c>
      <c r="N14" s="8">
        <v>67800</v>
      </c>
      <c r="O14" s="8">
        <v>70060</v>
      </c>
      <c r="P14" s="21">
        <f t="shared" si="1"/>
        <v>409060</v>
      </c>
      <c r="Q14" s="21">
        <f t="shared" si="2"/>
        <v>415840</v>
      </c>
      <c r="R14" s="22">
        <f t="shared" si="0"/>
        <v>0</v>
      </c>
    </row>
    <row r="15" spans="2:18" ht="14" x14ac:dyDescent="0.15">
      <c r="B15" s="5" t="s">
        <v>25</v>
      </c>
      <c r="C15" s="9">
        <v>540060</v>
      </c>
      <c r="D15" s="9">
        <v>36033</v>
      </c>
      <c r="E15" s="9">
        <v>39507</v>
      </c>
      <c r="F15" s="9">
        <v>49055</v>
      </c>
      <c r="G15" s="9">
        <v>41789</v>
      </c>
      <c r="H15" s="9">
        <v>47550</v>
      </c>
      <c r="I15" s="9">
        <v>47041</v>
      </c>
      <c r="J15" s="9">
        <v>42384</v>
      </c>
      <c r="K15" s="9">
        <v>46032</v>
      </c>
      <c r="L15" s="9">
        <v>52526</v>
      </c>
      <c r="M15" s="9">
        <v>49112</v>
      </c>
      <c r="N15" s="9">
        <v>48568</v>
      </c>
      <c r="O15" s="9">
        <v>40463</v>
      </c>
      <c r="P15" s="21">
        <f t="shared" si="1"/>
        <v>260975</v>
      </c>
      <c r="Q15" s="21">
        <f t="shared" si="2"/>
        <v>279085</v>
      </c>
      <c r="R15" s="22">
        <f t="shared" si="0"/>
        <v>0</v>
      </c>
    </row>
    <row r="16" spans="2:18" ht="14" x14ac:dyDescent="0.15">
      <c r="B16" s="5" t="s">
        <v>26</v>
      </c>
      <c r="C16" s="8">
        <v>65.813310704328003</v>
      </c>
      <c r="D16" s="8">
        <v>51.7727662004</v>
      </c>
      <c r="E16" s="8">
        <v>62.923514538558997</v>
      </c>
      <c r="F16" s="8">
        <v>70.342563516984995</v>
      </c>
      <c r="G16" s="8">
        <v>62.010324483776003</v>
      </c>
      <c r="H16" s="8">
        <v>68.305737938909999</v>
      </c>
      <c r="I16" s="8">
        <v>69.824483775811004</v>
      </c>
      <c r="J16" s="8">
        <v>60.852126748501</v>
      </c>
      <c r="K16" s="8">
        <v>66.074793034541997</v>
      </c>
      <c r="L16" s="8">
        <v>77.817109144542997</v>
      </c>
      <c r="M16" s="8">
        <v>70.324007993148996</v>
      </c>
      <c r="N16" s="8">
        <v>71.883480825958998</v>
      </c>
      <c r="O16" s="8">
        <v>57.938909506138003</v>
      </c>
      <c r="P16" s="21">
        <f t="shared" si="1"/>
        <v>385.17939045444098</v>
      </c>
      <c r="Q16" s="21">
        <f t="shared" si="2"/>
        <v>404.89042725283196</v>
      </c>
      <c r="R16" s="22">
        <f t="shared" si="0"/>
        <v>724.25650700294489</v>
      </c>
    </row>
    <row r="17" spans="2:18" ht="14" x14ac:dyDescent="0.15">
      <c r="B17" s="5" t="s">
        <v>27</v>
      </c>
      <c r="C17" s="9">
        <v>132.71698453024001</v>
      </c>
      <c r="D17" s="9">
        <v>114.80619145506</v>
      </c>
      <c r="E17" s="9">
        <v>121.51362113296</v>
      </c>
      <c r="F17" s="9">
        <v>138.74131626542001</v>
      </c>
      <c r="G17" s="9">
        <v>123.40963399459</v>
      </c>
      <c r="H17" s="9">
        <v>141.99155388643999</v>
      </c>
      <c r="I17" s="9">
        <v>132.54899154992</v>
      </c>
      <c r="J17" s="9">
        <v>123.94446482399</v>
      </c>
      <c r="K17" s="9">
        <v>127.68629654154</v>
      </c>
      <c r="L17" s="9">
        <v>142.64024072078999</v>
      </c>
      <c r="M17" s="9">
        <v>157.60430521665</v>
      </c>
      <c r="N17" s="9">
        <v>133.2835920215</v>
      </c>
      <c r="O17" s="9">
        <v>122.35398652348999</v>
      </c>
      <c r="P17" s="21">
        <f t="shared" si="1"/>
        <v>773.01130828439</v>
      </c>
      <c r="Q17" s="21">
        <f t="shared" si="2"/>
        <v>807.51288584795998</v>
      </c>
      <c r="R17" s="22">
        <f t="shared" si="0"/>
        <v>1447.8072096021099</v>
      </c>
    </row>
    <row r="18" spans="2:18" ht="14" x14ac:dyDescent="0.15">
      <c r="B18" s="5" t="s">
        <v>28</v>
      </c>
      <c r="C18" s="6">
        <v>85.627390793307995</v>
      </c>
      <c r="D18" s="6">
        <v>57.891971120468</v>
      </c>
      <c r="E18" s="6">
        <v>74.542329805625997</v>
      </c>
      <c r="F18" s="6">
        <v>95.729450034256004</v>
      </c>
      <c r="G18" s="6">
        <v>74.821758038347994</v>
      </c>
      <c r="H18" s="6">
        <v>95.038515376820001</v>
      </c>
      <c r="I18" s="6">
        <v>90.696712558997007</v>
      </c>
      <c r="J18" s="6">
        <v>73.926808408507</v>
      </c>
      <c r="K18" s="6">
        <v>82.742015449614996</v>
      </c>
      <c r="L18" s="6">
        <v>109.06963545870001</v>
      </c>
      <c r="M18" s="6">
        <v>109.01174190408</v>
      </c>
      <c r="N18" s="6">
        <v>94.157337718289</v>
      </c>
      <c r="O18" s="6">
        <v>69.673984537538999</v>
      </c>
      <c r="P18" s="21">
        <f t="shared" si="1"/>
        <v>488.720736934515</v>
      </c>
      <c r="Q18" s="21">
        <f t="shared" si="2"/>
        <v>538.58152347673001</v>
      </c>
      <c r="R18" s="22">
        <f t="shared" si="0"/>
        <v>941.67486961793702</v>
      </c>
    </row>
    <row r="19" spans="2:18" ht="14" x14ac:dyDescent="0.15">
      <c r="B19" s="5" t="s">
        <v>29</v>
      </c>
      <c r="C19" s="9">
        <v>147.88274467826</v>
      </c>
      <c r="D19" s="9">
        <v>103.34124116472</v>
      </c>
      <c r="E19" s="9">
        <v>131.39769800094999</v>
      </c>
      <c r="F19" s="9">
        <v>158.70055052097999</v>
      </c>
      <c r="G19" s="9">
        <v>130.41917493362999</v>
      </c>
      <c r="H19" s="9">
        <v>158.11700211248001</v>
      </c>
      <c r="I19" s="9">
        <v>160.88675541002999</v>
      </c>
      <c r="J19" s="9">
        <v>134.03605932201</v>
      </c>
      <c r="K19" s="9">
        <v>146.30532804168001</v>
      </c>
      <c r="L19" s="9">
        <v>190.23120656784999</v>
      </c>
      <c r="M19" s="9">
        <v>176.80881058236</v>
      </c>
      <c r="N19" s="9">
        <v>159.21414131563</v>
      </c>
      <c r="O19" s="9">
        <v>125.12739266629001</v>
      </c>
      <c r="P19" s="21">
        <f t="shared" si="1"/>
        <v>842.86242214278991</v>
      </c>
      <c r="Q19" s="21">
        <f t="shared" si="2"/>
        <v>931.72293849582002</v>
      </c>
      <c r="R19" s="22">
        <f t="shared" si="0"/>
        <v>1626.7026159603499</v>
      </c>
    </row>
    <row r="20" spans="2:18" ht="14" x14ac:dyDescent="0.15">
      <c r="B20" s="5" t="s">
        <v>30</v>
      </c>
      <c r="C20" s="8">
        <v>744636.92469999997</v>
      </c>
      <c r="D20" s="8">
        <v>46243.554700000001</v>
      </c>
      <c r="E20" s="8">
        <v>51902.210500000001</v>
      </c>
      <c r="F20" s="8">
        <v>65871.501600000003</v>
      </c>
      <c r="G20" s="8">
        <v>56416.150999999998</v>
      </c>
      <c r="H20" s="8">
        <v>65738.665500000003</v>
      </c>
      <c r="I20" s="8">
        <v>64694.092400000001</v>
      </c>
      <c r="J20" s="8">
        <v>62619.381999999998</v>
      </c>
      <c r="K20" s="8">
        <v>68425.838900000002</v>
      </c>
      <c r="L20" s="8">
        <v>71191.698099999994</v>
      </c>
      <c r="M20" s="8">
        <v>69161.3</v>
      </c>
      <c r="N20" s="8">
        <v>63404.9</v>
      </c>
      <c r="O20" s="8">
        <v>58967.63</v>
      </c>
      <c r="P20" s="21">
        <f t="shared" si="1"/>
        <v>350866.17570000002</v>
      </c>
      <c r="Q20" s="21">
        <f t="shared" si="2"/>
        <v>393770.74900000001</v>
      </c>
      <c r="R20" s="22">
        <f t="shared" si="0"/>
        <v>0</v>
      </c>
    </row>
    <row r="21" spans="2:18" ht="14" x14ac:dyDescent="0.15">
      <c r="B21" s="5" t="s">
        <v>31</v>
      </c>
      <c r="C21" s="9">
        <v>1.371606473271</v>
      </c>
      <c r="D21" s="9">
        <v>1.2749105287825</v>
      </c>
      <c r="E21" s="9">
        <v>1.3034861243658999</v>
      </c>
      <c r="F21" s="9">
        <v>1.3366239519500001</v>
      </c>
      <c r="G21" s="9">
        <v>1.3418678733677001</v>
      </c>
      <c r="H21" s="9">
        <v>1.3737052659074001</v>
      </c>
      <c r="I21" s="9">
        <v>1.3665552565429999</v>
      </c>
      <c r="J21" s="9">
        <v>1.4688007412099</v>
      </c>
      <c r="K21" s="9">
        <v>1.4781352911950001</v>
      </c>
      <c r="L21" s="9">
        <v>1.3493498502654</v>
      </c>
      <c r="M21" s="9">
        <v>1.4037488075666</v>
      </c>
      <c r="N21" s="9">
        <v>1.3009602560683</v>
      </c>
      <c r="O21" s="9">
        <v>1.4526909243201001</v>
      </c>
      <c r="P21" s="21">
        <f t="shared" si="1"/>
        <v>7.9971490009165009</v>
      </c>
      <c r="Q21" s="21">
        <f t="shared" si="2"/>
        <v>8.4536858706253</v>
      </c>
      <c r="R21" s="22">
        <f t="shared" si="0"/>
        <v>15.0792283982708</v>
      </c>
    </row>
    <row r="22" spans="2:18" ht="14" x14ac:dyDescent="0.15">
      <c r="B22" s="5" t="s">
        <v>32</v>
      </c>
      <c r="C22" s="8">
        <v>887397.83039999998</v>
      </c>
      <c r="D22" s="8">
        <v>57581.770499999999</v>
      </c>
      <c r="E22" s="8">
        <v>64906.698900000003</v>
      </c>
      <c r="F22" s="8">
        <v>76338.346000000005</v>
      </c>
      <c r="G22" s="8">
        <v>68538.0386</v>
      </c>
      <c r="H22" s="8">
        <v>76858.808399999994</v>
      </c>
      <c r="I22" s="8">
        <v>74693.977100000004</v>
      </c>
      <c r="J22" s="8">
        <v>69081.763699999996</v>
      </c>
      <c r="K22" s="8">
        <v>79196.072899999999</v>
      </c>
      <c r="L22" s="8">
        <v>88605.0959</v>
      </c>
      <c r="M22" s="8">
        <v>85343.551099999997</v>
      </c>
      <c r="N22" s="8">
        <v>79676.765100000004</v>
      </c>
      <c r="O22" s="8">
        <v>66576.942200000005</v>
      </c>
      <c r="P22" s="21">
        <f t="shared" si="1"/>
        <v>418917.63950000005</v>
      </c>
      <c r="Q22" s="21">
        <f t="shared" si="2"/>
        <v>468480.19089999999</v>
      </c>
      <c r="R22" s="22">
        <f t="shared" si="0"/>
        <v>0</v>
      </c>
    </row>
    <row r="23" spans="2:18" ht="14" x14ac:dyDescent="0.15">
      <c r="B23" s="5" t="s">
        <v>33</v>
      </c>
      <c r="C23" s="8">
        <v>626.55690000000004</v>
      </c>
      <c r="D23" s="8">
        <v>628.07839999999999</v>
      </c>
      <c r="E23" s="8">
        <v>636.67840000000001</v>
      </c>
      <c r="F23" s="8">
        <v>637.17840000000001</v>
      </c>
      <c r="G23" s="8">
        <v>629.82839999999999</v>
      </c>
      <c r="H23" s="8">
        <v>632.32839999999999</v>
      </c>
      <c r="I23" s="8">
        <v>629.32839999999999</v>
      </c>
      <c r="J23" s="8">
        <v>624.66840000000002</v>
      </c>
      <c r="K23" s="8">
        <v>624.3184</v>
      </c>
      <c r="L23" s="8">
        <v>618.3184</v>
      </c>
      <c r="M23" s="8">
        <v>619.3184</v>
      </c>
      <c r="N23" s="8">
        <v>619.3184</v>
      </c>
      <c r="O23" s="8">
        <v>619.3184</v>
      </c>
      <c r="P23" s="21">
        <f t="shared" si="1"/>
        <v>3793.4204</v>
      </c>
      <c r="Q23" s="21">
        <f t="shared" si="2"/>
        <v>3725.2604000000006</v>
      </c>
      <c r="R23" s="22">
        <f t="shared" si="0"/>
        <v>6892.1239000000005</v>
      </c>
    </row>
    <row r="25" spans="2:18" ht="14" x14ac:dyDescent="0.15">
      <c r="B25" s="5" t="s">
        <v>34</v>
      </c>
      <c r="C25" s="8"/>
    </row>
    <row r="26" spans="2:18" x14ac:dyDescent="0.1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2:18" ht="14" x14ac:dyDescent="0.15">
      <c r="B27" s="10" t="s">
        <v>21</v>
      </c>
      <c r="C27" s="11">
        <v>121988476.0851</v>
      </c>
      <c r="D27" s="11">
        <v>7240087.3559999997</v>
      </c>
      <c r="E27" s="11">
        <v>8314846.3295</v>
      </c>
      <c r="F27" s="11">
        <v>11118560.569499999</v>
      </c>
      <c r="G27" s="11">
        <v>8842420.0604999997</v>
      </c>
      <c r="H27" s="11">
        <v>11077677.168</v>
      </c>
      <c r="I27" s="11">
        <v>10908122.016799999</v>
      </c>
      <c r="J27" s="11">
        <v>9390566.3160999995</v>
      </c>
      <c r="K27" s="11">
        <v>10250151.282600001</v>
      </c>
      <c r="L27" s="11">
        <v>12897675.805299999</v>
      </c>
      <c r="M27" s="11">
        <v>12387225.269400001</v>
      </c>
      <c r="N27" s="11">
        <v>10794718.781199999</v>
      </c>
      <c r="O27" s="11">
        <v>8766425.1302000005</v>
      </c>
      <c r="P27" s="21">
        <f t="shared" ref="P27" si="3">SUM(D27:I27)</f>
        <v>57501713.500299998</v>
      </c>
      <c r="Q27" s="21">
        <f t="shared" ref="Q27" si="4">SUM(J27:O27)</f>
        <v>64486762.584799998</v>
      </c>
      <c r="R27" s="22">
        <f>P27+Q27-C27</f>
        <v>0</v>
      </c>
    </row>
    <row r="28" spans="2:18" ht="14" x14ac:dyDescent="0.15">
      <c r="B28" s="5" t="s">
        <v>35</v>
      </c>
      <c r="C28" s="8">
        <v>71675134.665399998</v>
      </c>
      <c r="D28" s="8">
        <v>4136811.4967</v>
      </c>
      <c r="E28" s="8">
        <v>4800638.6300999997</v>
      </c>
      <c r="F28" s="8">
        <v>6805955.2693999996</v>
      </c>
      <c r="G28" s="8">
        <v>5157165.1950000003</v>
      </c>
      <c r="H28" s="8">
        <v>6751698.3872999996</v>
      </c>
      <c r="I28" s="8">
        <v>6235237.1114999996</v>
      </c>
      <c r="J28" s="8">
        <v>5253262.1971000005</v>
      </c>
      <c r="K28" s="8">
        <v>5877655.6024000002</v>
      </c>
      <c r="L28" s="8">
        <v>7492321.2840999998</v>
      </c>
      <c r="M28" s="8">
        <v>7740262.6377999997</v>
      </c>
      <c r="N28" s="8">
        <v>6473317.4972999999</v>
      </c>
      <c r="O28" s="8">
        <v>4950809.3567000004</v>
      </c>
      <c r="P28" s="21">
        <f t="shared" ref="P28:P31" si="5">SUM(D28:I28)</f>
        <v>33887506.090000004</v>
      </c>
      <c r="Q28" s="21">
        <f t="shared" ref="Q28:Q31" si="6">SUM(J28:O28)</f>
        <v>37787628.575400002</v>
      </c>
      <c r="R28" s="22">
        <f>P28+Q28-C28</f>
        <v>0</v>
      </c>
    </row>
    <row r="29" spans="2:18" ht="14" x14ac:dyDescent="0.15">
      <c r="B29" s="5" t="s">
        <v>36</v>
      </c>
      <c r="C29" s="8">
        <v>27110904.108199999</v>
      </c>
      <c r="D29" s="8">
        <v>1845934.3166</v>
      </c>
      <c r="E29" s="8">
        <v>2166474.8553999998</v>
      </c>
      <c r="F29" s="8">
        <v>2499682.7285000002</v>
      </c>
      <c r="G29" s="8">
        <v>2111881.6501000002</v>
      </c>
      <c r="H29" s="8">
        <v>2284825.7527999999</v>
      </c>
      <c r="I29" s="8">
        <v>2341321.5921</v>
      </c>
      <c r="J29" s="8">
        <v>1757392.7945999999</v>
      </c>
      <c r="K29" s="8">
        <v>1960046.3940999999</v>
      </c>
      <c r="L29" s="8">
        <v>2945980.5183999999</v>
      </c>
      <c r="M29" s="8">
        <v>2550904.9545999998</v>
      </c>
      <c r="N29" s="8">
        <v>2675402.9707999998</v>
      </c>
      <c r="O29" s="8">
        <v>1971055.5802</v>
      </c>
      <c r="P29" s="21">
        <f t="shared" si="5"/>
        <v>13250120.895499999</v>
      </c>
      <c r="Q29" s="21">
        <f t="shared" si="6"/>
        <v>13860783.212699998</v>
      </c>
      <c r="R29" s="22">
        <f>P29+Q29-C29</f>
        <v>0</v>
      </c>
    </row>
    <row r="30" spans="2:18" ht="14" x14ac:dyDescent="0.15">
      <c r="B30" s="5" t="s">
        <v>37</v>
      </c>
      <c r="C30" s="8">
        <v>4283822.7854000004</v>
      </c>
      <c r="D30" s="8">
        <v>286832.35230000003</v>
      </c>
      <c r="E30" s="8">
        <v>324057.58620000002</v>
      </c>
      <c r="F30" s="8">
        <v>363546.35979999998</v>
      </c>
      <c r="G30" s="8">
        <v>338467.56969999999</v>
      </c>
      <c r="H30" s="8">
        <v>398241.1433</v>
      </c>
      <c r="I30" s="8">
        <v>383543.99080000003</v>
      </c>
      <c r="J30" s="8">
        <v>368802.62699999998</v>
      </c>
      <c r="K30" s="8">
        <v>378084.87939999998</v>
      </c>
      <c r="L30" s="8">
        <v>408861.68329999998</v>
      </c>
      <c r="M30" s="8">
        <v>375262.86580000003</v>
      </c>
      <c r="N30" s="8">
        <v>348985.92129999999</v>
      </c>
      <c r="O30" s="8">
        <v>309135.80650000001</v>
      </c>
      <c r="P30" s="21">
        <f t="shared" si="5"/>
        <v>2094689.0020999999</v>
      </c>
      <c r="Q30" s="21">
        <f t="shared" si="6"/>
        <v>2189133.7833000002</v>
      </c>
      <c r="R30" s="22">
        <f>P30+Q30-C30</f>
        <v>0</v>
      </c>
    </row>
    <row r="31" spans="2:18" ht="14" x14ac:dyDescent="0.15">
      <c r="B31" s="5" t="s">
        <v>38</v>
      </c>
      <c r="C31" s="8">
        <v>1174894.7871999999</v>
      </c>
      <c r="D31" s="8">
        <v>75497.383600000001</v>
      </c>
      <c r="E31" s="8">
        <v>76366.258300000001</v>
      </c>
      <c r="F31" s="8">
        <v>140783.64180000001</v>
      </c>
      <c r="G31" s="8">
        <v>81646.668399999995</v>
      </c>
      <c r="H31" s="8">
        <v>84491.499200000006</v>
      </c>
      <c r="I31" s="8">
        <v>98406.031799999997</v>
      </c>
      <c r="J31" s="8">
        <v>69740.029599999994</v>
      </c>
      <c r="K31" s="8">
        <v>74394.7068</v>
      </c>
      <c r="L31" s="8">
        <v>130622.8284</v>
      </c>
      <c r="M31" s="8">
        <v>145234.84090000001</v>
      </c>
      <c r="N31" s="8">
        <v>123977.6606</v>
      </c>
      <c r="O31" s="8">
        <v>73733.237800000003</v>
      </c>
      <c r="P31" s="21">
        <f t="shared" si="5"/>
        <v>557191.48310000007</v>
      </c>
      <c r="Q31" s="21">
        <f t="shared" si="6"/>
        <v>617703.30410000007</v>
      </c>
      <c r="R31" s="22">
        <f>P31+Q31-C31</f>
        <v>0</v>
      </c>
    </row>
    <row r="32" spans="2:18" x14ac:dyDescent="0.1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2:17" ht="14" x14ac:dyDescent="0.15">
      <c r="B33" s="13" t="s">
        <v>39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2:17" ht="14" x14ac:dyDescent="0.15">
      <c r="B34" s="10" t="s">
        <v>35</v>
      </c>
      <c r="C34" s="11">
        <v>71675134.665399998</v>
      </c>
      <c r="D34" s="11">
        <v>4136811.4967</v>
      </c>
      <c r="E34" s="11">
        <v>4800638.6300999997</v>
      </c>
      <c r="F34" s="11">
        <v>6805955.2693999996</v>
      </c>
      <c r="G34" s="11">
        <v>5157165.1950000003</v>
      </c>
      <c r="H34" s="11">
        <v>6751698.3872999996</v>
      </c>
      <c r="I34" s="11">
        <v>6235237.1114999996</v>
      </c>
      <c r="J34" s="11">
        <v>5253262.1971000005</v>
      </c>
      <c r="K34" s="11">
        <v>5877655.6024000002</v>
      </c>
      <c r="L34" s="11">
        <v>7492321.2840999998</v>
      </c>
      <c r="M34" s="11">
        <v>7740262.6377999997</v>
      </c>
      <c r="N34" s="11">
        <v>6473317.4972999999</v>
      </c>
      <c r="O34" s="11">
        <v>4950809.3567000004</v>
      </c>
      <c r="P34" s="21">
        <f t="shared" ref="P34" si="7">SUM(D34:I34)</f>
        <v>33887506.090000004</v>
      </c>
      <c r="Q34" s="21">
        <f t="shared" ref="Q34" si="8">SUM(J34:O34)</f>
        <v>37787628.575400002</v>
      </c>
    </row>
    <row r="35" spans="2:17" ht="14" x14ac:dyDescent="0.15">
      <c r="B35" s="5" t="s">
        <v>22</v>
      </c>
      <c r="C35" s="8">
        <v>14927382.4592</v>
      </c>
      <c r="D35" s="8">
        <v>1150985.6713</v>
      </c>
      <c r="E35" s="8">
        <v>1195591.5341</v>
      </c>
      <c r="F35" s="8">
        <v>1263390.6207999999</v>
      </c>
      <c r="G35" s="8">
        <v>1199755.3711000001</v>
      </c>
      <c r="H35" s="8">
        <v>1254052.1975</v>
      </c>
      <c r="I35" s="8">
        <v>1308247.9791000001</v>
      </c>
      <c r="J35" s="8">
        <v>1209967.9504</v>
      </c>
      <c r="K35" s="8">
        <v>1224281.4886</v>
      </c>
      <c r="L35" s="8">
        <v>1308659.7807</v>
      </c>
      <c r="M35" s="8">
        <v>1265785.868</v>
      </c>
      <c r="N35" s="8">
        <v>1331244.6022000001</v>
      </c>
      <c r="O35" s="8">
        <v>1215419.3954</v>
      </c>
      <c r="P35" s="21">
        <f t="shared" ref="P35:P37" si="9">SUM(D35:I35)</f>
        <v>7372023.3739</v>
      </c>
      <c r="Q35" s="21">
        <f t="shared" ref="Q35:Q37" si="10">SUM(J35:O35)</f>
        <v>7555359.0852999995</v>
      </c>
    </row>
    <row r="36" spans="2:17" ht="14" x14ac:dyDescent="0.15">
      <c r="B36" s="5" t="s">
        <v>40</v>
      </c>
      <c r="C36" s="8">
        <v>11316499.7019</v>
      </c>
      <c r="D36" s="8">
        <v>699808.75910000002</v>
      </c>
      <c r="E36" s="8">
        <v>798402.25699999998</v>
      </c>
      <c r="F36" s="8">
        <v>1064316.4924999999</v>
      </c>
      <c r="G36" s="8">
        <v>833095.10930000001</v>
      </c>
      <c r="H36" s="8">
        <v>1008530.1256</v>
      </c>
      <c r="I36" s="8">
        <v>1009980.4182</v>
      </c>
      <c r="J36" s="8">
        <v>892610.80810000002</v>
      </c>
      <c r="K36" s="8">
        <v>975216.26690000005</v>
      </c>
      <c r="L36" s="8">
        <v>1141191.2808000001</v>
      </c>
      <c r="M36" s="8">
        <v>1124487.8914000001</v>
      </c>
      <c r="N36" s="8">
        <v>978351.73360000004</v>
      </c>
      <c r="O36" s="8">
        <v>790508.55940000003</v>
      </c>
      <c r="P36" s="21">
        <f t="shared" si="9"/>
        <v>5414133.161700001</v>
      </c>
      <c r="Q36" s="21">
        <f t="shared" si="10"/>
        <v>5902366.5401999997</v>
      </c>
    </row>
    <row r="37" spans="2:17" ht="14" x14ac:dyDescent="0.15">
      <c r="B37" s="10" t="s">
        <v>41</v>
      </c>
      <c r="C37" s="11">
        <v>45431252.504600003</v>
      </c>
      <c r="D37" s="11">
        <v>2286017.0660999999</v>
      </c>
      <c r="E37" s="11">
        <v>2806644.8391</v>
      </c>
      <c r="F37" s="11">
        <v>4478248.1561000003</v>
      </c>
      <c r="G37" s="11">
        <v>3124314.7146999999</v>
      </c>
      <c r="H37" s="11">
        <v>4489116.0641999999</v>
      </c>
      <c r="I37" s="11">
        <v>3917008.7143999999</v>
      </c>
      <c r="J37" s="11">
        <v>3150683.4386999998</v>
      </c>
      <c r="K37" s="11">
        <v>3678157.8467999999</v>
      </c>
      <c r="L37" s="11">
        <v>5042470.2226</v>
      </c>
      <c r="M37" s="11">
        <v>5349988.8783999998</v>
      </c>
      <c r="N37" s="11">
        <v>4163721.1616000002</v>
      </c>
      <c r="O37" s="11">
        <v>2944881.4018999999</v>
      </c>
      <c r="P37" s="21">
        <f t="shared" si="9"/>
        <v>21101349.5546</v>
      </c>
      <c r="Q37" s="21">
        <f t="shared" si="10"/>
        <v>24329902.950000003</v>
      </c>
    </row>
    <row r="38" spans="2:17" x14ac:dyDescent="0.1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2:17" ht="14" x14ac:dyDescent="0.15">
      <c r="B39" s="13" t="s">
        <v>42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2:17" ht="14" x14ac:dyDescent="0.15">
      <c r="B40" s="5" t="s">
        <v>43</v>
      </c>
      <c r="C40" s="8">
        <v>16634037.8061</v>
      </c>
      <c r="D40" s="8">
        <v>1107459.2039999999</v>
      </c>
      <c r="E40" s="8">
        <v>1274039.1037999999</v>
      </c>
      <c r="F40" s="8">
        <v>1523950.2117999999</v>
      </c>
      <c r="G40" s="8">
        <v>1288151.6702000001</v>
      </c>
      <c r="H40" s="8">
        <v>1414044.2265000001</v>
      </c>
      <c r="I40" s="8">
        <v>1445661.3732</v>
      </c>
      <c r="J40" s="8">
        <v>1107692.2431999999</v>
      </c>
      <c r="K40" s="8">
        <v>1242505.1157</v>
      </c>
      <c r="L40" s="8">
        <v>1825679.5924</v>
      </c>
      <c r="M40" s="8">
        <v>1583714.976</v>
      </c>
      <c r="N40" s="8">
        <v>1603559.317</v>
      </c>
      <c r="O40" s="8">
        <v>1217580.7723000001</v>
      </c>
      <c r="P40" s="21">
        <f t="shared" ref="P40:P50" si="11">SUM(D40:I40)</f>
        <v>8053305.7895</v>
      </c>
      <c r="Q40" s="21">
        <f t="shared" ref="Q40:Q50" si="12">SUM(J40:O40)</f>
        <v>8580732.0165999997</v>
      </c>
    </row>
    <row r="41" spans="2:17" ht="14" x14ac:dyDescent="0.15">
      <c r="B41" s="5" t="s">
        <v>44</v>
      </c>
      <c r="C41" s="8">
        <v>7486725.0777000003</v>
      </c>
      <c r="D41" s="8">
        <v>500796.2928</v>
      </c>
      <c r="E41" s="8">
        <v>639110.1716</v>
      </c>
      <c r="F41" s="8">
        <v>714857.08649999998</v>
      </c>
      <c r="G41" s="8">
        <v>597059.20010000002</v>
      </c>
      <c r="H41" s="8">
        <v>623253.12639999995</v>
      </c>
      <c r="I41" s="8">
        <v>629867.79890000005</v>
      </c>
      <c r="J41" s="8">
        <v>497756.88650000002</v>
      </c>
      <c r="K41" s="8">
        <v>570156.99840000004</v>
      </c>
      <c r="L41" s="8">
        <v>765251.85620000004</v>
      </c>
      <c r="M41" s="8">
        <v>677870.48860000004</v>
      </c>
      <c r="N41" s="8">
        <v>727029.87379999994</v>
      </c>
      <c r="O41" s="8">
        <v>543715.29790000001</v>
      </c>
      <c r="P41" s="21">
        <f t="shared" si="11"/>
        <v>3704943.6763000004</v>
      </c>
      <c r="Q41" s="21">
        <f t="shared" si="12"/>
        <v>3781781.4014000003</v>
      </c>
    </row>
    <row r="42" spans="2:17" ht="14" x14ac:dyDescent="0.15">
      <c r="B42" s="5" t="s">
        <v>45</v>
      </c>
      <c r="C42" s="8">
        <v>2990141.2250000001</v>
      </c>
      <c r="D42" s="8">
        <v>237678.82</v>
      </c>
      <c r="E42" s="8">
        <v>253325.58</v>
      </c>
      <c r="F42" s="8">
        <v>260875.43</v>
      </c>
      <c r="G42" s="8">
        <v>226670.78</v>
      </c>
      <c r="H42" s="8">
        <v>247528.4</v>
      </c>
      <c r="I42" s="8">
        <v>265792.42</v>
      </c>
      <c r="J42" s="8">
        <v>151943.66500000001</v>
      </c>
      <c r="K42" s="8">
        <v>147384.28</v>
      </c>
      <c r="L42" s="8">
        <v>355049.07</v>
      </c>
      <c r="M42" s="8">
        <v>289319.49</v>
      </c>
      <c r="N42" s="8">
        <v>344813.78</v>
      </c>
      <c r="O42" s="8">
        <v>209759.51</v>
      </c>
      <c r="P42" s="21">
        <f t="shared" si="11"/>
        <v>1491871.43</v>
      </c>
      <c r="Q42" s="21">
        <f t="shared" si="12"/>
        <v>1498269.7950000002</v>
      </c>
    </row>
    <row r="43" spans="2:17" ht="14" x14ac:dyDescent="0.15">
      <c r="B43" s="10" t="s">
        <v>36</v>
      </c>
      <c r="C43" s="11">
        <v>27110904.108199999</v>
      </c>
      <c r="D43" s="11">
        <v>1845934.3166</v>
      </c>
      <c r="E43" s="11">
        <v>2166474.8553999998</v>
      </c>
      <c r="F43" s="11">
        <v>2499682.7285000002</v>
      </c>
      <c r="G43" s="11">
        <v>2111881.6501000002</v>
      </c>
      <c r="H43" s="11">
        <v>2284825.7527999999</v>
      </c>
      <c r="I43" s="11">
        <v>2341321.5921</v>
      </c>
      <c r="J43" s="11">
        <v>1757392.7945999999</v>
      </c>
      <c r="K43" s="11">
        <v>1960046.3940999999</v>
      </c>
      <c r="L43" s="11">
        <v>2945980.5183999999</v>
      </c>
      <c r="M43" s="11">
        <v>2550904.9545999998</v>
      </c>
      <c r="N43" s="11">
        <v>2675402.9707999998</v>
      </c>
      <c r="O43" s="11">
        <v>1971055.5802</v>
      </c>
      <c r="P43" s="21">
        <f t="shared" si="11"/>
        <v>13250120.895499999</v>
      </c>
      <c r="Q43" s="21">
        <f t="shared" si="12"/>
        <v>13860783.212699998</v>
      </c>
    </row>
    <row r="44" spans="2:17" ht="14" x14ac:dyDescent="0.15">
      <c r="B44" s="5" t="s">
        <v>46</v>
      </c>
      <c r="C44" s="8">
        <v>5085929.5042000003</v>
      </c>
      <c r="D44" s="8">
        <v>333187.26010000001</v>
      </c>
      <c r="E44" s="8">
        <v>391538.5552</v>
      </c>
      <c r="F44" s="8">
        <v>465349.65210000001</v>
      </c>
      <c r="G44" s="8">
        <v>393745.48259999999</v>
      </c>
      <c r="H44" s="8">
        <v>431554.1054</v>
      </c>
      <c r="I44" s="8">
        <v>438140.12239999999</v>
      </c>
      <c r="J44" s="8">
        <v>347743.08769999997</v>
      </c>
      <c r="K44" s="8">
        <v>391621.18609999999</v>
      </c>
      <c r="L44" s="8">
        <v>552937.66020000004</v>
      </c>
      <c r="M44" s="8">
        <v>484700.42959999997</v>
      </c>
      <c r="N44" s="8">
        <v>485892.95199999999</v>
      </c>
      <c r="O44" s="8">
        <v>369519.01079999999</v>
      </c>
      <c r="P44" s="21">
        <f t="shared" si="11"/>
        <v>2453515.1777999997</v>
      </c>
      <c r="Q44" s="21">
        <f t="shared" si="12"/>
        <v>2632414.3263999997</v>
      </c>
    </row>
    <row r="45" spans="2:17" ht="14" x14ac:dyDescent="0.15">
      <c r="B45" s="5" t="s">
        <v>47</v>
      </c>
      <c r="C45" s="8">
        <v>1338622.2476999999</v>
      </c>
      <c r="D45" s="8">
        <v>88165.581399999995</v>
      </c>
      <c r="E45" s="8">
        <v>113913.7674</v>
      </c>
      <c r="F45" s="8">
        <v>127404.4871</v>
      </c>
      <c r="G45" s="8">
        <v>106416.2064</v>
      </c>
      <c r="H45" s="8">
        <v>112350.47289999999</v>
      </c>
      <c r="I45" s="8">
        <v>113728.0791</v>
      </c>
      <c r="J45" s="8">
        <v>90660.094200000007</v>
      </c>
      <c r="K45" s="8">
        <v>103337.5362</v>
      </c>
      <c r="L45" s="8">
        <v>136041.6966</v>
      </c>
      <c r="M45" s="8">
        <v>120505.7868</v>
      </c>
      <c r="N45" s="8">
        <v>128344.90360000001</v>
      </c>
      <c r="O45" s="8">
        <v>97753.635999999999</v>
      </c>
      <c r="P45" s="21">
        <f t="shared" si="11"/>
        <v>661978.5943</v>
      </c>
      <c r="Q45" s="21">
        <f t="shared" si="12"/>
        <v>676643.65339999995</v>
      </c>
    </row>
    <row r="46" spans="2:17" ht="14" x14ac:dyDescent="0.15">
      <c r="B46" s="5" t="s">
        <v>48</v>
      </c>
      <c r="C46" s="8">
        <v>209170</v>
      </c>
      <c r="D46" s="8">
        <v>17577</v>
      </c>
      <c r="E46" s="8">
        <v>18470</v>
      </c>
      <c r="F46" s="8">
        <v>21130</v>
      </c>
      <c r="G46" s="8">
        <v>15530</v>
      </c>
      <c r="H46" s="8">
        <v>15740</v>
      </c>
      <c r="I46" s="8">
        <v>20265</v>
      </c>
      <c r="J46" s="8">
        <v>12265</v>
      </c>
      <c r="K46" s="8">
        <v>10018</v>
      </c>
      <c r="L46" s="8">
        <v>25790</v>
      </c>
      <c r="M46" s="8">
        <v>17110</v>
      </c>
      <c r="N46" s="8">
        <v>21720</v>
      </c>
      <c r="O46" s="8">
        <v>13555</v>
      </c>
      <c r="P46" s="21">
        <f t="shared" si="11"/>
        <v>108712</v>
      </c>
      <c r="Q46" s="21">
        <f t="shared" si="12"/>
        <v>100458</v>
      </c>
    </row>
    <row r="47" spans="2:17" ht="14" x14ac:dyDescent="0.15">
      <c r="B47" s="10" t="s">
        <v>49</v>
      </c>
      <c r="C47" s="11">
        <v>6633721.7520000003</v>
      </c>
      <c r="D47" s="11">
        <v>438929.84159999999</v>
      </c>
      <c r="E47" s="11">
        <v>523922.32260000001</v>
      </c>
      <c r="F47" s="11">
        <v>613884.13919999998</v>
      </c>
      <c r="G47" s="11">
        <v>515691.68900000001</v>
      </c>
      <c r="H47" s="11">
        <v>559644.57830000005</v>
      </c>
      <c r="I47" s="11">
        <v>572133.20149999997</v>
      </c>
      <c r="J47" s="11">
        <v>450668.18180000002</v>
      </c>
      <c r="K47" s="11">
        <v>504976.72220000002</v>
      </c>
      <c r="L47" s="11">
        <v>714769.35679999995</v>
      </c>
      <c r="M47" s="11">
        <v>622316.21649999998</v>
      </c>
      <c r="N47" s="11">
        <v>635957.85569999996</v>
      </c>
      <c r="O47" s="11">
        <v>480827.64679999999</v>
      </c>
      <c r="P47" s="21">
        <f t="shared" si="11"/>
        <v>3224205.7722</v>
      </c>
      <c r="Q47" s="21">
        <f t="shared" si="12"/>
        <v>3409515.9797999999</v>
      </c>
    </row>
    <row r="48" spans="2:17" ht="14" x14ac:dyDescent="0.15">
      <c r="B48" s="5" t="s">
        <v>22</v>
      </c>
      <c r="C48" s="8">
        <v>13286922.394099999</v>
      </c>
      <c r="D48" s="8">
        <v>1062408.7786000001</v>
      </c>
      <c r="E48" s="8">
        <v>1103781.0983</v>
      </c>
      <c r="F48" s="8">
        <v>1146025.5518</v>
      </c>
      <c r="G48" s="8">
        <v>1093535.3507999999</v>
      </c>
      <c r="H48" s="8">
        <v>1096980.3001999999</v>
      </c>
      <c r="I48" s="8">
        <v>1143363.3784</v>
      </c>
      <c r="J48" s="8">
        <v>1026101.3255</v>
      </c>
      <c r="K48" s="8">
        <v>1038345.4771</v>
      </c>
      <c r="L48" s="8">
        <v>1138209.9823</v>
      </c>
      <c r="M48" s="8">
        <v>1112443.2056</v>
      </c>
      <c r="N48" s="8">
        <v>1243016.6664</v>
      </c>
      <c r="O48" s="8">
        <v>1082711.2790999999</v>
      </c>
      <c r="P48" s="21">
        <f t="shared" si="11"/>
        <v>6646094.4581000004</v>
      </c>
      <c r="Q48" s="21">
        <f t="shared" si="12"/>
        <v>6640827.9359999998</v>
      </c>
    </row>
    <row r="49" spans="2:17" ht="14" x14ac:dyDescent="0.15">
      <c r="B49" s="5" t="s">
        <v>40</v>
      </c>
      <c r="C49" s="8">
        <v>1192925.3177</v>
      </c>
      <c r="D49" s="8">
        <v>89119.326300000001</v>
      </c>
      <c r="E49" s="8">
        <v>102029.48759999999</v>
      </c>
      <c r="F49" s="8">
        <v>117551.68090000001</v>
      </c>
      <c r="G49" s="8">
        <v>91479.499899999995</v>
      </c>
      <c r="H49" s="8">
        <v>109869.25260000001</v>
      </c>
      <c r="I49" s="8">
        <v>103611.6982</v>
      </c>
      <c r="J49" s="8">
        <v>77884.5677</v>
      </c>
      <c r="K49" s="8">
        <v>86531.902100000007</v>
      </c>
      <c r="L49" s="8">
        <v>122022.0422</v>
      </c>
      <c r="M49" s="8">
        <v>97260.821599999996</v>
      </c>
      <c r="N49" s="8">
        <v>105924.85830000001</v>
      </c>
      <c r="O49" s="8">
        <v>89640.180300000007</v>
      </c>
      <c r="P49" s="21">
        <f t="shared" si="11"/>
        <v>613660.94550000003</v>
      </c>
      <c r="Q49" s="21">
        <f t="shared" si="12"/>
        <v>579264.3722000001</v>
      </c>
    </row>
    <row r="50" spans="2:17" ht="14" x14ac:dyDescent="0.15">
      <c r="B50" s="10" t="s">
        <v>41</v>
      </c>
      <c r="C50" s="11">
        <v>5997334.6458999999</v>
      </c>
      <c r="D50" s="11">
        <v>255476.3702</v>
      </c>
      <c r="E50" s="11">
        <v>436741.94669999997</v>
      </c>
      <c r="F50" s="11">
        <v>622221.35660000006</v>
      </c>
      <c r="G50" s="11">
        <v>411175.11060000001</v>
      </c>
      <c r="H50" s="11">
        <v>518331.62209999998</v>
      </c>
      <c r="I50" s="11">
        <v>522213.31390000001</v>
      </c>
      <c r="J50" s="11">
        <v>202738.7199</v>
      </c>
      <c r="K50" s="11">
        <v>330192.29259999999</v>
      </c>
      <c r="L50" s="11">
        <v>970979.13710000005</v>
      </c>
      <c r="M50" s="11">
        <v>718884.71120000002</v>
      </c>
      <c r="N50" s="11">
        <v>690503.59069999994</v>
      </c>
      <c r="O50" s="11">
        <v>317876.4743</v>
      </c>
      <c r="P50" s="21">
        <f t="shared" si="11"/>
        <v>2766159.7201</v>
      </c>
      <c r="Q50" s="21">
        <f t="shared" si="12"/>
        <v>3231174.9257999999</v>
      </c>
    </row>
    <row r="51" spans="2:17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2:17" ht="14" x14ac:dyDescent="0.15">
      <c r="B52" s="13" t="s">
        <v>50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2:17" ht="14" x14ac:dyDescent="0.15">
      <c r="B53" s="5" t="s">
        <v>37</v>
      </c>
      <c r="C53" s="8">
        <v>4283822.7854000004</v>
      </c>
      <c r="D53" s="8">
        <v>286832.35230000003</v>
      </c>
      <c r="E53" s="8">
        <v>324057.58620000002</v>
      </c>
      <c r="F53" s="8">
        <v>363546.35979999998</v>
      </c>
      <c r="G53" s="8">
        <v>338467.56969999999</v>
      </c>
      <c r="H53" s="8">
        <v>398241.1433</v>
      </c>
      <c r="I53" s="8">
        <v>383543.99080000003</v>
      </c>
      <c r="J53" s="8">
        <v>368802.62699999998</v>
      </c>
      <c r="K53" s="8">
        <v>378084.87939999998</v>
      </c>
      <c r="L53" s="8">
        <v>408861.68329999998</v>
      </c>
      <c r="M53" s="8">
        <v>375262.86580000003</v>
      </c>
      <c r="N53" s="8">
        <v>348985.92129999999</v>
      </c>
      <c r="O53" s="8">
        <v>309135.80650000001</v>
      </c>
      <c r="P53" s="21">
        <f t="shared" ref="P53:P57" si="13">SUM(D53:I53)</f>
        <v>2094689.0020999999</v>
      </c>
      <c r="Q53" s="21">
        <f t="shared" ref="Q53:Q57" si="14">SUM(J53:O53)</f>
        <v>2189133.7833000002</v>
      </c>
    </row>
    <row r="54" spans="2:17" ht="14" x14ac:dyDescent="0.15">
      <c r="B54" s="5" t="s">
        <v>49</v>
      </c>
      <c r="C54" s="8">
        <v>416646.95699999999</v>
      </c>
      <c r="D54" s="8">
        <v>20680.179100000001</v>
      </c>
      <c r="E54" s="8">
        <v>33491.7094</v>
      </c>
      <c r="F54" s="8">
        <v>31243.796999999999</v>
      </c>
      <c r="G54" s="8">
        <v>63332.372499999998</v>
      </c>
      <c r="H54" s="8">
        <v>38878.293799999999</v>
      </c>
      <c r="I54" s="8">
        <v>40776.303599999999</v>
      </c>
      <c r="J54" s="8">
        <v>35983.223299999998</v>
      </c>
      <c r="K54" s="8">
        <v>33253.996500000001</v>
      </c>
      <c r="L54" s="8">
        <v>39881.940699999999</v>
      </c>
      <c r="M54" s="8">
        <v>36487.345200000003</v>
      </c>
      <c r="N54" s="8">
        <v>22415.027999999998</v>
      </c>
      <c r="O54" s="8">
        <v>20222.767899999999</v>
      </c>
      <c r="P54" s="21">
        <f t="shared" si="13"/>
        <v>228402.65539999999</v>
      </c>
      <c r="Q54" s="21">
        <f t="shared" si="14"/>
        <v>188244.30160000001</v>
      </c>
    </row>
    <row r="55" spans="2:17" ht="14" x14ac:dyDescent="0.15">
      <c r="B55" s="5" t="s">
        <v>22</v>
      </c>
      <c r="C55" s="8">
        <v>830021.17630000005</v>
      </c>
      <c r="D55" s="8">
        <v>57504.482600000003</v>
      </c>
      <c r="E55" s="8">
        <v>69671.885399999999</v>
      </c>
      <c r="F55" s="8">
        <v>68024.207299999995</v>
      </c>
      <c r="G55" s="8">
        <v>72444.037500000006</v>
      </c>
      <c r="H55" s="8">
        <v>74221.403000000006</v>
      </c>
      <c r="I55" s="8">
        <v>75127.923500000004</v>
      </c>
      <c r="J55" s="8">
        <v>71906.876900000003</v>
      </c>
      <c r="K55" s="8">
        <v>72346.635200000004</v>
      </c>
      <c r="L55" s="8">
        <v>74455.064299999998</v>
      </c>
      <c r="M55" s="8">
        <v>72463.234500000006</v>
      </c>
      <c r="N55" s="8">
        <v>61102.9637</v>
      </c>
      <c r="O55" s="8">
        <v>60752.462399999997</v>
      </c>
      <c r="P55" s="21">
        <f t="shared" si="13"/>
        <v>416993.93929999997</v>
      </c>
      <c r="Q55" s="21">
        <f t="shared" si="14"/>
        <v>413027.23700000002</v>
      </c>
    </row>
    <row r="56" spans="2:17" ht="14" x14ac:dyDescent="0.15">
      <c r="B56" s="5" t="s">
        <v>40</v>
      </c>
      <c r="C56" s="8">
        <v>233976.36</v>
      </c>
      <c r="D56" s="8">
        <v>5196.28</v>
      </c>
      <c r="E56" s="8">
        <v>7296.28</v>
      </c>
      <c r="F56" s="8">
        <v>20146.28</v>
      </c>
      <c r="G56" s="8">
        <v>25921.279999999999</v>
      </c>
      <c r="H56" s="8">
        <v>30446.28</v>
      </c>
      <c r="I56" s="8">
        <v>26046.28</v>
      </c>
      <c r="J56" s="8">
        <v>22919.279999999999</v>
      </c>
      <c r="K56" s="8">
        <v>21446.28</v>
      </c>
      <c r="L56" s="8">
        <v>23946.28</v>
      </c>
      <c r="M56" s="8">
        <v>22846.28</v>
      </c>
      <c r="N56" s="8">
        <v>15696.28</v>
      </c>
      <c r="O56" s="8">
        <v>12069.28</v>
      </c>
      <c r="P56" s="21">
        <f t="shared" si="13"/>
        <v>115052.68</v>
      </c>
      <c r="Q56" s="21">
        <f t="shared" si="14"/>
        <v>118923.68</v>
      </c>
    </row>
    <row r="57" spans="2:17" ht="14" x14ac:dyDescent="0.15">
      <c r="B57" s="10" t="s">
        <v>41</v>
      </c>
      <c r="C57" s="11">
        <v>2803178.2921000002</v>
      </c>
      <c r="D57" s="11">
        <v>203451.4106</v>
      </c>
      <c r="E57" s="11">
        <v>213597.7114</v>
      </c>
      <c r="F57" s="11">
        <v>244132.07550000001</v>
      </c>
      <c r="G57" s="11">
        <v>176769.87959999999</v>
      </c>
      <c r="H57" s="11">
        <v>254695.16649999999</v>
      </c>
      <c r="I57" s="11">
        <v>241593.48370000001</v>
      </c>
      <c r="J57" s="11">
        <v>237993.24679999999</v>
      </c>
      <c r="K57" s="11">
        <v>251037.96780000001</v>
      </c>
      <c r="L57" s="11">
        <v>270578.3982</v>
      </c>
      <c r="M57" s="11">
        <v>243466.0061</v>
      </c>
      <c r="N57" s="11">
        <v>249771.64970000001</v>
      </c>
      <c r="O57" s="11">
        <v>216091.29620000001</v>
      </c>
      <c r="P57" s="21">
        <f t="shared" si="13"/>
        <v>1334239.7272999999</v>
      </c>
      <c r="Q57" s="21">
        <f t="shared" si="14"/>
        <v>1468938.5648000001</v>
      </c>
    </row>
    <row r="58" spans="2:17" x14ac:dyDescent="0.1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2:17" ht="14" x14ac:dyDescent="0.15">
      <c r="B59" s="13" t="s">
        <v>38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2:17" ht="14" x14ac:dyDescent="0.15">
      <c r="B60" s="10" t="s">
        <v>38</v>
      </c>
      <c r="C60" s="11">
        <v>1174894.7871999999</v>
      </c>
      <c r="D60" s="11">
        <v>75497.383600000001</v>
      </c>
      <c r="E60" s="11">
        <v>76366.258300000001</v>
      </c>
      <c r="F60" s="11">
        <v>140783.64180000001</v>
      </c>
      <c r="G60" s="11">
        <v>81646.668399999995</v>
      </c>
      <c r="H60" s="11">
        <v>84491.499200000006</v>
      </c>
      <c r="I60" s="11">
        <v>98406.031799999997</v>
      </c>
      <c r="J60" s="11">
        <v>69740.029599999994</v>
      </c>
      <c r="K60" s="11">
        <v>74394.7068</v>
      </c>
      <c r="L60" s="11">
        <v>130622.8284</v>
      </c>
      <c r="M60" s="11">
        <v>145234.84090000001</v>
      </c>
      <c r="N60" s="11">
        <v>123977.6606</v>
      </c>
      <c r="O60" s="11">
        <v>73733.237800000003</v>
      </c>
      <c r="P60" s="21">
        <f t="shared" ref="P60" si="15">SUM(D60:I60)</f>
        <v>557191.48310000007</v>
      </c>
      <c r="Q60" s="21">
        <f t="shared" ref="Q60" si="16">SUM(J60:O60)</f>
        <v>617703.30410000007</v>
      </c>
    </row>
    <row r="61" spans="2:17" x14ac:dyDescent="0.1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2:17" ht="14" x14ac:dyDescent="0.15">
      <c r="B62" s="13" t="s">
        <v>51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2:17" ht="14" x14ac:dyDescent="0.15">
      <c r="B63" s="10" t="s">
        <v>52</v>
      </c>
      <c r="C63" s="11">
        <v>55406660.2293</v>
      </c>
      <c r="D63" s="11">
        <v>2820442.2303999998</v>
      </c>
      <c r="E63" s="11">
        <v>3533350.7552999998</v>
      </c>
      <c r="F63" s="11">
        <v>5485385.2302000001</v>
      </c>
      <c r="G63" s="11">
        <v>3793906.3731999998</v>
      </c>
      <c r="H63" s="11">
        <v>5346634.3518000003</v>
      </c>
      <c r="I63" s="11">
        <v>4779221.5438000001</v>
      </c>
      <c r="J63" s="11">
        <v>3661155.4350000001</v>
      </c>
      <c r="K63" s="11">
        <v>4333782.8141999999</v>
      </c>
      <c r="L63" s="11">
        <v>6414650.5861999998</v>
      </c>
      <c r="M63" s="11">
        <v>6457574.4369000001</v>
      </c>
      <c r="N63" s="11">
        <v>5227974.0624000002</v>
      </c>
      <c r="O63" s="11">
        <v>3552582.4098999999</v>
      </c>
      <c r="P63" s="21">
        <f t="shared" ref="P63" si="17">SUM(D63:I63)</f>
        <v>25758940.484699998</v>
      </c>
      <c r="Q63" s="21">
        <f t="shared" ref="Q63" si="18">SUM(J63:O63)</f>
        <v>29647719.744600002</v>
      </c>
    </row>
    <row r="64" spans="2:17" x14ac:dyDescent="0.1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2:17" ht="14" x14ac:dyDescent="0.15">
      <c r="B65" s="13" t="s">
        <v>53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2:17" ht="14" x14ac:dyDescent="0.15">
      <c r="B66" s="5" t="s">
        <v>22</v>
      </c>
      <c r="C66" s="8">
        <v>7929088.0521</v>
      </c>
      <c r="D66" s="8">
        <v>660477.86939999997</v>
      </c>
      <c r="E66" s="8">
        <v>668925.51009999996</v>
      </c>
      <c r="F66" s="8">
        <v>676408.85230000003</v>
      </c>
      <c r="G66" s="8">
        <v>671255.50179999997</v>
      </c>
      <c r="H66" s="8">
        <v>665671.07149999996</v>
      </c>
      <c r="I66" s="8">
        <v>661370.39260000002</v>
      </c>
      <c r="J66" s="8">
        <v>649525.85210000002</v>
      </c>
      <c r="K66" s="8">
        <v>651699.64560000005</v>
      </c>
      <c r="L66" s="8">
        <v>636463.33770000003</v>
      </c>
      <c r="M66" s="8">
        <v>653247.42969999998</v>
      </c>
      <c r="N66" s="8">
        <v>660568.3946</v>
      </c>
      <c r="O66" s="8">
        <v>673474.19469999999</v>
      </c>
      <c r="P66" s="21">
        <f t="shared" ref="P66:P68" si="19">SUM(D66:I66)</f>
        <v>4004109.1976999999</v>
      </c>
      <c r="Q66" s="21">
        <f t="shared" ref="Q66:Q68" si="20">SUM(J66:O66)</f>
        <v>3924978.8544000005</v>
      </c>
    </row>
    <row r="67" spans="2:17" ht="14" x14ac:dyDescent="0.15">
      <c r="B67" s="5" t="s">
        <v>40</v>
      </c>
      <c r="C67" s="8">
        <v>6428748.3536999999</v>
      </c>
      <c r="D67" s="8">
        <v>389592.52850000001</v>
      </c>
      <c r="E67" s="8">
        <v>432294.37390000001</v>
      </c>
      <c r="F67" s="8">
        <v>640303.83219999995</v>
      </c>
      <c r="G67" s="8">
        <v>431062.93829999998</v>
      </c>
      <c r="H67" s="8">
        <v>453868.34210000001</v>
      </c>
      <c r="I67" s="8">
        <v>762894.02350000001</v>
      </c>
      <c r="J67" s="8">
        <v>430059.86589999998</v>
      </c>
      <c r="K67" s="8">
        <v>425340.61410000001</v>
      </c>
      <c r="L67" s="8">
        <v>584592.82499999995</v>
      </c>
      <c r="M67" s="8">
        <v>482259.84610000002</v>
      </c>
      <c r="N67" s="8">
        <v>527652.72120000003</v>
      </c>
      <c r="O67" s="8">
        <v>868826.44290000002</v>
      </c>
      <c r="P67" s="21">
        <f t="shared" si="19"/>
        <v>3110016.0385000003</v>
      </c>
      <c r="Q67" s="21">
        <f t="shared" si="20"/>
        <v>3318732.3152000001</v>
      </c>
    </row>
    <row r="68" spans="2:17" ht="14" x14ac:dyDescent="0.15">
      <c r="B68" s="10" t="s">
        <v>41</v>
      </c>
      <c r="C68" s="11">
        <v>-14357836.406199999</v>
      </c>
      <c r="D68" s="11">
        <v>-1050070.3977000001</v>
      </c>
      <c r="E68" s="11">
        <v>-1101219.8838</v>
      </c>
      <c r="F68" s="11">
        <v>-1316712.6843999999</v>
      </c>
      <c r="G68" s="11">
        <v>-1102318.4406000001</v>
      </c>
      <c r="H68" s="11">
        <v>-1119539.4135</v>
      </c>
      <c r="I68" s="11">
        <v>-1424264.4161</v>
      </c>
      <c r="J68" s="11">
        <v>-1079585.7180999999</v>
      </c>
      <c r="K68" s="11">
        <v>-1077040.2597000001</v>
      </c>
      <c r="L68" s="11">
        <v>-1221056.1625999999</v>
      </c>
      <c r="M68" s="11">
        <v>-1135507.2760000001</v>
      </c>
      <c r="N68" s="11">
        <v>-1188221.1159000001</v>
      </c>
      <c r="O68" s="11">
        <v>-1542300.6377999999</v>
      </c>
      <c r="P68" s="21">
        <f t="shared" si="19"/>
        <v>-7114125.2361000003</v>
      </c>
      <c r="Q68" s="21">
        <f t="shared" si="20"/>
        <v>-7243711.1701000007</v>
      </c>
    </row>
    <row r="69" spans="2:17" x14ac:dyDescent="0.1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2:17" ht="14" x14ac:dyDescent="0.15">
      <c r="B70" s="13" t="s">
        <v>54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2:17" ht="14" x14ac:dyDescent="0.15">
      <c r="B71" s="5" t="s">
        <v>55</v>
      </c>
      <c r="C71" s="8">
        <v>326313.71999999997</v>
      </c>
      <c r="D71" s="8">
        <v>27211.81</v>
      </c>
      <c r="E71" s="8">
        <v>27211.81</v>
      </c>
      <c r="F71" s="8">
        <v>27211.81</v>
      </c>
      <c r="G71" s="8">
        <v>26911.81</v>
      </c>
      <c r="H71" s="8">
        <v>27211.81</v>
      </c>
      <c r="I71" s="8">
        <v>27247.81</v>
      </c>
      <c r="J71" s="8">
        <v>27247.81</v>
      </c>
      <c r="K71" s="8">
        <v>27211.81</v>
      </c>
      <c r="L71" s="8">
        <v>27211.81</v>
      </c>
      <c r="M71" s="8">
        <v>27211.81</v>
      </c>
      <c r="N71" s="8">
        <v>27211.81</v>
      </c>
      <c r="O71" s="8">
        <v>27211.81</v>
      </c>
      <c r="P71" s="21">
        <f t="shared" ref="P71:P73" si="21">SUM(D71:I71)</f>
        <v>163006.86000000002</v>
      </c>
      <c r="Q71" s="21">
        <f t="shared" ref="Q71:Q73" si="22">SUM(J71:O71)</f>
        <v>163306.86000000002</v>
      </c>
    </row>
    <row r="72" spans="2:17" ht="14" x14ac:dyDescent="0.15">
      <c r="B72" s="5" t="s">
        <v>56</v>
      </c>
      <c r="C72" s="8">
        <v>2464615.0417999998</v>
      </c>
      <c r="D72" s="8">
        <v>239328.27739999999</v>
      </c>
      <c r="E72" s="8">
        <v>210187.7874</v>
      </c>
      <c r="F72" s="8">
        <v>206203.26740000001</v>
      </c>
      <c r="G72" s="8">
        <v>222616.26740000001</v>
      </c>
      <c r="H72" s="8">
        <v>198190.10740000001</v>
      </c>
      <c r="I72" s="8">
        <v>200852.01740000001</v>
      </c>
      <c r="J72" s="8">
        <v>218616.26740000001</v>
      </c>
      <c r="K72" s="8">
        <v>189541.61040000001</v>
      </c>
      <c r="L72" s="8">
        <v>189760.77739999999</v>
      </c>
      <c r="M72" s="8">
        <v>209792.2574</v>
      </c>
      <c r="N72" s="8">
        <v>189541.6274</v>
      </c>
      <c r="O72" s="8">
        <v>189984.77739999999</v>
      </c>
      <c r="P72" s="21">
        <f t="shared" si="21"/>
        <v>1277377.7244000002</v>
      </c>
      <c r="Q72" s="21">
        <f t="shared" si="22"/>
        <v>1187237.3174000001</v>
      </c>
    </row>
    <row r="73" spans="2:17" ht="14" x14ac:dyDescent="0.15">
      <c r="B73" s="5" t="s">
        <v>40</v>
      </c>
      <c r="C73" s="8">
        <v>432061</v>
      </c>
      <c r="D73" s="8">
        <v>39779.25</v>
      </c>
      <c r="E73" s="8">
        <v>95074.25</v>
      </c>
      <c r="F73" s="8">
        <v>60404.25</v>
      </c>
      <c r="G73" s="8">
        <v>56579.25</v>
      </c>
      <c r="H73" s="8">
        <v>49284.25</v>
      </c>
      <c r="I73" s="8">
        <v>26404.25</v>
      </c>
      <c r="J73" s="8">
        <v>14579.25</v>
      </c>
      <c r="K73" s="8">
        <v>29284.25</v>
      </c>
      <c r="L73" s="8">
        <v>15404.25</v>
      </c>
      <c r="M73" s="8">
        <v>15579.25</v>
      </c>
      <c r="N73" s="8">
        <v>14284.25</v>
      </c>
      <c r="O73" s="8">
        <v>15404.25</v>
      </c>
      <c r="P73" s="21">
        <f t="shared" si="21"/>
        <v>327525.5</v>
      </c>
      <c r="Q73" s="21">
        <f t="shared" si="22"/>
        <v>104535.5</v>
      </c>
    </row>
    <row r="74" spans="2:17" ht="14" x14ac:dyDescent="0.15">
      <c r="B74" s="10" t="s">
        <v>41</v>
      </c>
      <c r="C74" s="11">
        <v>-3481996.0523999999</v>
      </c>
      <c r="D74" s="11">
        <v>-328797.1667</v>
      </c>
      <c r="E74" s="11">
        <v>-352091.67670000001</v>
      </c>
      <c r="F74" s="11">
        <v>-312037.15669999999</v>
      </c>
      <c r="G74" s="11">
        <v>-325025.15669999999</v>
      </c>
      <c r="H74" s="11">
        <v>-292903.99670000002</v>
      </c>
      <c r="I74" s="11">
        <v>-272721.90669999999</v>
      </c>
      <c r="J74" s="11">
        <v>-284333.2132</v>
      </c>
      <c r="K74" s="11">
        <v>-269927.55619999999</v>
      </c>
      <c r="L74" s="11">
        <v>-256266.72320000001</v>
      </c>
      <c r="M74" s="11">
        <v>-276473.20319999999</v>
      </c>
      <c r="N74" s="11">
        <v>-254927.57320000001</v>
      </c>
      <c r="O74" s="11">
        <v>-256490.72320000001</v>
      </c>
      <c r="P74" s="21">
        <f t="shared" ref="P74" si="23">SUM(D74:I74)</f>
        <v>-1883577.0601999999</v>
      </c>
      <c r="Q74" s="21">
        <f t="shared" ref="Q74" si="24">SUM(J74:O74)</f>
        <v>-1598418.9921999997</v>
      </c>
    </row>
    <row r="75" spans="2:17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2:17" ht="14" x14ac:dyDescent="0.15">
      <c r="B76" s="13" t="s">
        <v>57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2:17" ht="14" x14ac:dyDescent="0.15">
      <c r="B77" s="5" t="s">
        <v>22</v>
      </c>
      <c r="C77" s="8">
        <v>6048216.9671</v>
      </c>
      <c r="D77" s="8">
        <v>527846.78870000003</v>
      </c>
      <c r="E77" s="8">
        <v>538872.80669999996</v>
      </c>
      <c r="F77" s="8">
        <v>568510.13630000001</v>
      </c>
      <c r="G77" s="8">
        <v>496466.72560000001</v>
      </c>
      <c r="H77" s="8">
        <v>523734.63630000001</v>
      </c>
      <c r="I77" s="8">
        <v>515792.0061</v>
      </c>
      <c r="J77" s="8">
        <v>467824.15909999999</v>
      </c>
      <c r="K77" s="8">
        <v>469391.3799</v>
      </c>
      <c r="L77" s="8">
        <v>501181.17989999999</v>
      </c>
      <c r="M77" s="8">
        <v>500068.36229999998</v>
      </c>
      <c r="N77" s="8">
        <v>492674.7304</v>
      </c>
      <c r="O77" s="8">
        <v>445854.05579999997</v>
      </c>
      <c r="P77" s="21">
        <f t="shared" ref="P77:P79" si="25">SUM(D77:I77)</f>
        <v>3171223.0996999997</v>
      </c>
      <c r="Q77" s="21">
        <f t="shared" ref="Q77:Q79" si="26">SUM(J77:O77)</f>
        <v>2876993.8673999999</v>
      </c>
    </row>
    <row r="78" spans="2:17" ht="14" x14ac:dyDescent="0.15">
      <c r="B78" s="5" t="s">
        <v>40</v>
      </c>
      <c r="C78" s="8">
        <v>6980384.4461000003</v>
      </c>
      <c r="D78" s="8">
        <v>510364.3039</v>
      </c>
      <c r="E78" s="8">
        <v>583074.14930000005</v>
      </c>
      <c r="F78" s="8">
        <v>669689.83519999997</v>
      </c>
      <c r="G78" s="8">
        <v>531159.23690000002</v>
      </c>
      <c r="H78" s="8">
        <v>594841.55870000005</v>
      </c>
      <c r="I78" s="8">
        <v>572156.23389999999</v>
      </c>
      <c r="J78" s="8">
        <v>517380.81829999998</v>
      </c>
      <c r="K78" s="8">
        <v>615541.45250000001</v>
      </c>
      <c r="L78" s="8">
        <v>645034.92130000005</v>
      </c>
      <c r="M78" s="8">
        <v>640110.73869999999</v>
      </c>
      <c r="N78" s="8">
        <v>591203.36069999996</v>
      </c>
      <c r="O78" s="8">
        <v>509827.83669999999</v>
      </c>
      <c r="P78" s="21">
        <f t="shared" si="25"/>
        <v>3461285.3178999997</v>
      </c>
      <c r="Q78" s="21">
        <f t="shared" si="26"/>
        <v>3519099.1282000002</v>
      </c>
    </row>
    <row r="79" spans="2:17" ht="14" x14ac:dyDescent="0.15">
      <c r="B79" s="10" t="s">
        <v>41</v>
      </c>
      <c r="C79" s="11">
        <v>-13028601.413799999</v>
      </c>
      <c r="D79" s="11">
        <v>-1038211.0926</v>
      </c>
      <c r="E79" s="11">
        <v>-1121946.9561999999</v>
      </c>
      <c r="F79" s="11">
        <v>-1238199.9715</v>
      </c>
      <c r="G79" s="11">
        <v>-1027625.9624</v>
      </c>
      <c r="H79" s="11">
        <v>-1118576.1947999999</v>
      </c>
      <c r="I79" s="11">
        <v>-1087948.2401999999</v>
      </c>
      <c r="J79" s="11">
        <v>-985204.97750000004</v>
      </c>
      <c r="K79" s="11">
        <v>-1084932.8324</v>
      </c>
      <c r="L79" s="11">
        <v>-1146216.1007999999</v>
      </c>
      <c r="M79" s="11">
        <v>-1140179.1011000001</v>
      </c>
      <c r="N79" s="11">
        <v>-1083878.0914</v>
      </c>
      <c r="O79" s="11">
        <v>-955681.89289999998</v>
      </c>
      <c r="P79" s="21">
        <f t="shared" si="25"/>
        <v>-6632508.4176999992</v>
      </c>
      <c r="Q79" s="21">
        <f t="shared" si="26"/>
        <v>-6396092.996100001</v>
      </c>
    </row>
    <row r="80" spans="2:17" x14ac:dyDescent="0.1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2:17" ht="14" x14ac:dyDescent="0.15">
      <c r="B81" s="13" t="s">
        <v>58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2:17" ht="14" x14ac:dyDescent="0.15">
      <c r="B82" s="5" t="s">
        <v>22</v>
      </c>
      <c r="C82" s="8">
        <v>1902289.0427000001</v>
      </c>
      <c r="D82" s="8">
        <v>158750.09049999999</v>
      </c>
      <c r="E82" s="8">
        <v>161375.88440000001</v>
      </c>
      <c r="F82" s="8">
        <v>159623.25380000001</v>
      </c>
      <c r="G82" s="8">
        <v>151966.16889999999</v>
      </c>
      <c r="H82" s="8">
        <v>148673.78140000001</v>
      </c>
      <c r="I82" s="8">
        <v>159811.2488</v>
      </c>
      <c r="J82" s="8">
        <v>159765.98310000001</v>
      </c>
      <c r="K82" s="8">
        <v>153431.25779999999</v>
      </c>
      <c r="L82" s="8">
        <v>155864.0036</v>
      </c>
      <c r="M82" s="8">
        <v>157674.12880000001</v>
      </c>
      <c r="N82" s="8">
        <v>176924.10990000001</v>
      </c>
      <c r="O82" s="8">
        <v>158429.1317</v>
      </c>
      <c r="P82" s="21">
        <f t="shared" ref="P82:P84" si="27">SUM(D82:I82)</f>
        <v>940200.42779999995</v>
      </c>
      <c r="Q82" s="21">
        <f t="shared" ref="Q82:Q84" si="28">SUM(J82:O82)</f>
        <v>962088.61490000004</v>
      </c>
    </row>
    <row r="83" spans="2:17" ht="14" x14ac:dyDescent="0.15">
      <c r="B83" s="5" t="s">
        <v>40</v>
      </c>
      <c r="C83" s="8">
        <v>3062245.7895999998</v>
      </c>
      <c r="D83" s="8">
        <v>253628.90330000001</v>
      </c>
      <c r="E83" s="8">
        <v>260474.07329999999</v>
      </c>
      <c r="F83" s="8">
        <v>286685.7133</v>
      </c>
      <c r="G83" s="8">
        <v>260610.03330000001</v>
      </c>
      <c r="H83" s="8">
        <v>244648.84330000001</v>
      </c>
      <c r="I83" s="8">
        <v>254791.7133</v>
      </c>
      <c r="J83" s="8">
        <v>240734.50330000001</v>
      </c>
      <c r="K83" s="8">
        <v>229329.07329999999</v>
      </c>
      <c r="L83" s="8">
        <v>299105.11330000003</v>
      </c>
      <c r="M83" s="8">
        <v>268581.5833</v>
      </c>
      <c r="N83" s="8">
        <v>224246.5233</v>
      </c>
      <c r="O83" s="8">
        <v>239409.7133</v>
      </c>
      <c r="P83" s="21">
        <f t="shared" si="27"/>
        <v>1560839.2797999999</v>
      </c>
      <c r="Q83" s="21">
        <f t="shared" si="28"/>
        <v>1501406.5098000001</v>
      </c>
    </row>
    <row r="84" spans="2:17" ht="14" x14ac:dyDescent="0.15">
      <c r="B84" s="10" t="s">
        <v>41</v>
      </c>
      <c r="C84" s="11">
        <v>-4964534.8322999999</v>
      </c>
      <c r="D84" s="11">
        <v>-412378.9938</v>
      </c>
      <c r="E84" s="11">
        <v>-421849.95770000003</v>
      </c>
      <c r="F84" s="11">
        <v>-446308.96710000001</v>
      </c>
      <c r="G84" s="11">
        <v>-412576.2022</v>
      </c>
      <c r="H84" s="11">
        <v>-393322.62469999999</v>
      </c>
      <c r="I84" s="11">
        <v>-414602.9621</v>
      </c>
      <c r="J84" s="11">
        <v>-400500.48639999999</v>
      </c>
      <c r="K84" s="11">
        <v>-382760.33110000001</v>
      </c>
      <c r="L84" s="11">
        <v>-454969.11690000002</v>
      </c>
      <c r="M84" s="11">
        <v>-426255.7121</v>
      </c>
      <c r="N84" s="11">
        <v>-401170.63319999998</v>
      </c>
      <c r="O84" s="11">
        <v>-397838.84499999997</v>
      </c>
      <c r="P84" s="21">
        <f t="shared" si="27"/>
        <v>-2501039.7075999998</v>
      </c>
      <c r="Q84" s="21">
        <f t="shared" si="28"/>
        <v>-2463495.1247000005</v>
      </c>
    </row>
    <row r="85" spans="2:17" x14ac:dyDescent="0.1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2:17" ht="14" x14ac:dyDescent="0.15">
      <c r="B86" s="13" t="s">
        <v>59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2:17" ht="14" x14ac:dyDescent="0.15">
      <c r="B87" s="10" t="s">
        <v>41</v>
      </c>
      <c r="C87" s="11">
        <v>-4885590.6551999999</v>
      </c>
      <c r="D87" s="11">
        <v>-401369.40730000002</v>
      </c>
      <c r="E87" s="11">
        <v>-398281.27590000001</v>
      </c>
      <c r="F87" s="11">
        <v>-469168.36609999998</v>
      </c>
      <c r="G87" s="11">
        <v>-389152.37579999998</v>
      </c>
      <c r="H87" s="11">
        <v>-387278.8334</v>
      </c>
      <c r="I87" s="11">
        <v>-383317.37</v>
      </c>
      <c r="J87" s="11">
        <v>-389494.1986</v>
      </c>
      <c r="K87" s="11">
        <v>-392467.70289999997</v>
      </c>
      <c r="L87" s="11">
        <v>-427122.41450000001</v>
      </c>
      <c r="M87" s="11">
        <v>-417907.22149999999</v>
      </c>
      <c r="N87" s="11">
        <v>-433145.91840000002</v>
      </c>
      <c r="O87" s="11">
        <v>-396885.57079999999</v>
      </c>
      <c r="P87" s="21">
        <f t="shared" ref="P87" si="29">SUM(D87:I87)</f>
        <v>-2428567.6285000001</v>
      </c>
      <c r="Q87" s="21">
        <f t="shared" ref="Q87" si="30">SUM(J87:O87)</f>
        <v>-2457023.0266999998</v>
      </c>
    </row>
    <row r="88" spans="2:17" x14ac:dyDescent="0.1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2:17" ht="14" x14ac:dyDescent="0.15">
      <c r="B89" s="10" t="s">
        <v>23</v>
      </c>
      <c r="C89" s="11">
        <v>30075828.920000002</v>
      </c>
      <c r="D89" s="11">
        <v>290044.42129999999</v>
      </c>
      <c r="E89" s="11">
        <v>889605.51150000002</v>
      </c>
      <c r="F89" s="11">
        <v>2812348.5323999999</v>
      </c>
      <c r="G89" s="11">
        <v>1496788.1555999999</v>
      </c>
      <c r="H89" s="11">
        <v>3386770.1165999998</v>
      </c>
      <c r="I89" s="11">
        <v>2841946.3816999998</v>
      </c>
      <c r="J89" s="11">
        <v>2276610.4515</v>
      </c>
      <c r="K89" s="11">
        <v>2905225.7744999998</v>
      </c>
      <c r="L89" s="11">
        <v>4624136.0016000001</v>
      </c>
      <c r="M89" s="11">
        <v>4442699.7719000001</v>
      </c>
      <c r="N89" s="11">
        <v>2818991.9043000001</v>
      </c>
      <c r="O89" s="11">
        <v>1290661.8970999999</v>
      </c>
      <c r="P89" s="21">
        <f t="shared" ref="P89" si="31">SUM(D89:I89)</f>
        <v>11717503.119099999</v>
      </c>
      <c r="Q89" s="21">
        <f t="shared" ref="Q89" si="32">SUM(J89:O89)</f>
        <v>18358325.800900001</v>
      </c>
    </row>
    <row r="90" spans="2:17" x14ac:dyDescent="0.1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2:17" ht="14" x14ac:dyDescent="0.15">
      <c r="B91" s="10" t="s">
        <v>60</v>
      </c>
      <c r="C91" s="11">
        <v>6619916.5300000003</v>
      </c>
      <c r="D91" s="11">
        <v>554149.53</v>
      </c>
      <c r="E91" s="11">
        <v>532677</v>
      </c>
      <c r="F91" s="11">
        <v>538309</v>
      </c>
      <c r="G91" s="11">
        <v>538309</v>
      </c>
      <c r="H91" s="11">
        <v>538309</v>
      </c>
      <c r="I91" s="11">
        <v>538309</v>
      </c>
      <c r="J91" s="11">
        <v>688309</v>
      </c>
      <c r="K91" s="11">
        <v>538309</v>
      </c>
      <c r="L91" s="11">
        <v>538309</v>
      </c>
      <c r="M91" s="11">
        <v>538309</v>
      </c>
      <c r="N91" s="11">
        <v>538309</v>
      </c>
      <c r="O91" s="11">
        <v>538309</v>
      </c>
      <c r="P91" s="21">
        <f t="shared" ref="P91:P111" si="33">SUM(D91:I91)</f>
        <v>3240062.5300000003</v>
      </c>
      <c r="Q91" s="21">
        <f t="shared" ref="Q91:Q111" si="34">SUM(J91:O91)</f>
        <v>3379854</v>
      </c>
    </row>
    <row r="92" spans="2:17" ht="28" x14ac:dyDescent="0.15">
      <c r="B92" s="5" t="s">
        <v>61</v>
      </c>
      <c r="C92" s="8">
        <v>5599504.5300000003</v>
      </c>
      <c r="D92" s="8">
        <v>486308.53</v>
      </c>
      <c r="E92" s="8">
        <v>464836</v>
      </c>
      <c r="F92" s="8">
        <v>464836</v>
      </c>
      <c r="G92" s="8">
        <v>464836</v>
      </c>
      <c r="H92" s="8">
        <v>464836</v>
      </c>
      <c r="I92" s="8">
        <v>464836</v>
      </c>
      <c r="J92" s="8">
        <v>464836</v>
      </c>
      <c r="K92" s="8">
        <v>464836</v>
      </c>
      <c r="L92" s="8">
        <v>464836</v>
      </c>
      <c r="M92" s="8">
        <v>464836</v>
      </c>
      <c r="N92" s="8">
        <v>464836</v>
      </c>
      <c r="O92" s="8">
        <v>464836</v>
      </c>
      <c r="P92" s="21">
        <f t="shared" si="33"/>
        <v>2810488.5300000003</v>
      </c>
      <c r="Q92" s="21">
        <f t="shared" si="34"/>
        <v>2789016</v>
      </c>
    </row>
    <row r="93" spans="2:17" ht="28" x14ac:dyDescent="0.15">
      <c r="B93" s="5" t="s">
        <v>62</v>
      </c>
      <c r="C93" s="8">
        <v>206320</v>
      </c>
      <c r="D93" s="8">
        <v>0</v>
      </c>
      <c r="E93" s="8">
        <v>0</v>
      </c>
      <c r="F93" s="8">
        <v>5632</v>
      </c>
      <c r="G93" s="8">
        <v>5632</v>
      </c>
      <c r="H93" s="8">
        <v>5632</v>
      </c>
      <c r="I93" s="8">
        <v>5632</v>
      </c>
      <c r="J93" s="8">
        <v>155632</v>
      </c>
      <c r="K93" s="8">
        <v>5632</v>
      </c>
      <c r="L93" s="8">
        <v>5632</v>
      </c>
      <c r="M93" s="8">
        <v>5632</v>
      </c>
      <c r="N93" s="8">
        <v>5632</v>
      </c>
      <c r="O93" s="8">
        <v>5632</v>
      </c>
      <c r="P93" s="21">
        <f t="shared" si="33"/>
        <v>22528</v>
      </c>
      <c r="Q93" s="21">
        <f t="shared" si="34"/>
        <v>183792</v>
      </c>
    </row>
    <row r="94" spans="2:17" ht="14" x14ac:dyDescent="0.15">
      <c r="B94" s="5" t="s">
        <v>63</v>
      </c>
      <c r="C94" s="8">
        <v>814092</v>
      </c>
      <c r="D94" s="8">
        <v>67841</v>
      </c>
      <c r="E94" s="8">
        <v>67841</v>
      </c>
      <c r="F94" s="8">
        <v>67841</v>
      </c>
      <c r="G94" s="8">
        <v>67841</v>
      </c>
      <c r="H94" s="8">
        <v>67841</v>
      </c>
      <c r="I94" s="8">
        <v>67841</v>
      </c>
      <c r="J94" s="8">
        <v>67841</v>
      </c>
      <c r="K94" s="8">
        <v>67841</v>
      </c>
      <c r="L94" s="8">
        <v>67841</v>
      </c>
      <c r="M94" s="8">
        <v>67841</v>
      </c>
      <c r="N94" s="8">
        <v>67841</v>
      </c>
      <c r="O94" s="8">
        <v>67841</v>
      </c>
      <c r="P94" s="21">
        <f t="shared" si="33"/>
        <v>407046</v>
      </c>
      <c r="Q94" s="21">
        <f t="shared" si="34"/>
        <v>407046</v>
      </c>
    </row>
    <row r="95" spans="2:17" ht="14" x14ac:dyDescent="0.15">
      <c r="B95" s="5" t="s">
        <v>64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21">
        <f t="shared" si="33"/>
        <v>0</v>
      </c>
      <c r="Q95" s="21">
        <f t="shared" si="34"/>
        <v>0</v>
      </c>
    </row>
    <row r="96" spans="2:17" x14ac:dyDescent="0.1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1">
        <f t="shared" si="33"/>
        <v>0</v>
      </c>
      <c r="Q96" s="21">
        <f t="shared" si="34"/>
        <v>0</v>
      </c>
    </row>
    <row r="97" spans="2:17" ht="28" x14ac:dyDescent="0.15">
      <c r="B97" s="10" t="s">
        <v>65</v>
      </c>
      <c r="C97" s="11">
        <v>6788960</v>
      </c>
      <c r="D97" s="11">
        <v>548220</v>
      </c>
      <c r="E97" s="11">
        <v>548220</v>
      </c>
      <c r="F97" s="11">
        <v>553852</v>
      </c>
      <c r="G97" s="11">
        <v>553852</v>
      </c>
      <c r="H97" s="11">
        <v>553852</v>
      </c>
      <c r="I97" s="11">
        <v>553852</v>
      </c>
      <c r="J97" s="11">
        <v>707852</v>
      </c>
      <c r="K97" s="11">
        <v>553852</v>
      </c>
      <c r="L97" s="11">
        <v>553852</v>
      </c>
      <c r="M97" s="11">
        <v>553852</v>
      </c>
      <c r="N97" s="11">
        <v>553852</v>
      </c>
      <c r="O97" s="11">
        <v>553852</v>
      </c>
      <c r="P97" s="21">
        <f t="shared" si="33"/>
        <v>3311848</v>
      </c>
      <c r="Q97" s="21">
        <f t="shared" si="34"/>
        <v>3477112</v>
      </c>
    </row>
    <row r="98" spans="2:17" ht="28" x14ac:dyDescent="0.15">
      <c r="B98" s="5" t="s">
        <v>66</v>
      </c>
      <c r="C98" s="8">
        <v>5568000</v>
      </c>
      <c r="D98" s="8">
        <v>464000</v>
      </c>
      <c r="E98" s="8">
        <v>464000</v>
      </c>
      <c r="F98" s="8">
        <v>464000</v>
      </c>
      <c r="G98" s="8">
        <v>464000</v>
      </c>
      <c r="H98" s="8">
        <v>464000</v>
      </c>
      <c r="I98" s="8">
        <v>464000</v>
      </c>
      <c r="J98" s="8">
        <v>464000</v>
      </c>
      <c r="K98" s="8">
        <v>464000</v>
      </c>
      <c r="L98" s="8">
        <v>464000</v>
      </c>
      <c r="M98" s="8">
        <v>464000</v>
      </c>
      <c r="N98" s="8">
        <v>464000</v>
      </c>
      <c r="O98" s="8">
        <v>464000</v>
      </c>
      <c r="P98" s="21">
        <f t="shared" si="33"/>
        <v>2784000</v>
      </c>
      <c r="Q98" s="21">
        <f t="shared" si="34"/>
        <v>2784000</v>
      </c>
    </row>
    <row r="99" spans="2:17" ht="28" x14ac:dyDescent="0.15">
      <c r="B99" s="5" t="s">
        <v>67</v>
      </c>
      <c r="C99" s="8">
        <v>1220960</v>
      </c>
      <c r="D99" s="8">
        <v>84220</v>
      </c>
      <c r="E99" s="8">
        <v>84220</v>
      </c>
      <c r="F99" s="8">
        <v>89852</v>
      </c>
      <c r="G99" s="8">
        <v>89852</v>
      </c>
      <c r="H99" s="8">
        <v>89852</v>
      </c>
      <c r="I99" s="8">
        <v>89852</v>
      </c>
      <c r="J99" s="8">
        <v>243852</v>
      </c>
      <c r="K99" s="8">
        <v>89852</v>
      </c>
      <c r="L99" s="8">
        <v>89852</v>
      </c>
      <c r="M99" s="8">
        <v>89852</v>
      </c>
      <c r="N99" s="8">
        <v>89852</v>
      </c>
      <c r="O99" s="8">
        <v>89852</v>
      </c>
      <c r="P99" s="21">
        <f t="shared" si="33"/>
        <v>527848</v>
      </c>
      <c r="Q99" s="21">
        <f t="shared" si="34"/>
        <v>693112</v>
      </c>
    </row>
    <row r="100" spans="2:17" x14ac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1">
        <f t="shared" si="33"/>
        <v>0</v>
      </c>
      <c r="Q100" s="21">
        <f t="shared" si="34"/>
        <v>0</v>
      </c>
    </row>
    <row r="101" spans="2:17" ht="28" x14ac:dyDescent="0.15">
      <c r="B101" s="10" t="s">
        <v>68</v>
      </c>
      <c r="C101" s="11">
        <v>-169043.47</v>
      </c>
      <c r="D101" s="11">
        <v>5929.53</v>
      </c>
      <c r="E101" s="11">
        <v>-15543</v>
      </c>
      <c r="F101" s="11">
        <v>-15543</v>
      </c>
      <c r="G101" s="11">
        <v>-15543</v>
      </c>
      <c r="H101" s="11">
        <v>-15543</v>
      </c>
      <c r="I101" s="11">
        <v>-15543</v>
      </c>
      <c r="J101" s="11">
        <v>-19543</v>
      </c>
      <c r="K101" s="11">
        <v>-15543</v>
      </c>
      <c r="L101" s="11">
        <v>-15543</v>
      </c>
      <c r="M101" s="11">
        <v>-15543</v>
      </c>
      <c r="N101" s="11">
        <v>-15543</v>
      </c>
      <c r="O101" s="11">
        <v>-15543</v>
      </c>
      <c r="P101" s="21">
        <f t="shared" si="33"/>
        <v>-71785.47</v>
      </c>
      <c r="Q101" s="21">
        <f t="shared" si="34"/>
        <v>-97258</v>
      </c>
    </row>
    <row r="102" spans="2:17" x14ac:dyDescent="0.1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1">
        <f t="shared" si="33"/>
        <v>0</v>
      </c>
      <c r="Q102" s="21">
        <f t="shared" si="34"/>
        <v>0</v>
      </c>
    </row>
    <row r="103" spans="2:17" ht="14" x14ac:dyDescent="0.15">
      <c r="B103" s="10" t="s">
        <v>69</v>
      </c>
      <c r="C103" s="11">
        <v>29906785.449999999</v>
      </c>
      <c r="D103" s="11">
        <v>295973.95130000002</v>
      </c>
      <c r="E103" s="11">
        <v>874062.51150000002</v>
      </c>
      <c r="F103" s="11">
        <v>2796805.5323999999</v>
      </c>
      <c r="G103" s="11">
        <v>1481245.1555999999</v>
      </c>
      <c r="H103" s="11">
        <v>3371227.1165999998</v>
      </c>
      <c r="I103" s="11">
        <v>2826403.3816999998</v>
      </c>
      <c r="J103" s="11">
        <v>2257067.4515</v>
      </c>
      <c r="K103" s="11">
        <v>2889682.7744999998</v>
      </c>
      <c r="L103" s="11">
        <v>4608593.0016000001</v>
      </c>
      <c r="M103" s="11">
        <v>4427156.7719000001</v>
      </c>
      <c r="N103" s="11">
        <v>2803448.9043000001</v>
      </c>
      <c r="O103" s="11">
        <v>1275118.8970999999</v>
      </c>
      <c r="P103" s="21">
        <f t="shared" si="33"/>
        <v>11645717.6491</v>
      </c>
      <c r="Q103" s="21">
        <f t="shared" si="34"/>
        <v>18261067.800900001</v>
      </c>
    </row>
    <row r="104" spans="2:17" x14ac:dyDescent="0.1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1">
        <f t="shared" si="33"/>
        <v>0</v>
      </c>
      <c r="Q104" s="21">
        <f t="shared" si="34"/>
        <v>0</v>
      </c>
    </row>
    <row r="105" spans="2:17" ht="14" x14ac:dyDescent="0.15">
      <c r="B105" s="10" t="s">
        <v>70</v>
      </c>
      <c r="C105" s="11">
        <v>2515203.6</v>
      </c>
      <c r="D105" s="11">
        <v>207731.94</v>
      </c>
      <c r="E105" s="11">
        <v>215582.91</v>
      </c>
      <c r="F105" s="11">
        <v>207731.94</v>
      </c>
      <c r="G105" s="11">
        <v>207373.1</v>
      </c>
      <c r="H105" s="11">
        <v>213506.07</v>
      </c>
      <c r="I105" s="11">
        <v>207373.1</v>
      </c>
      <c r="J105" s="11">
        <v>207373.1</v>
      </c>
      <c r="K105" s="11">
        <v>213206.07</v>
      </c>
      <c r="L105" s="11">
        <v>207373.1</v>
      </c>
      <c r="M105" s="11">
        <v>207373.1</v>
      </c>
      <c r="N105" s="11">
        <v>213206.07</v>
      </c>
      <c r="O105" s="11">
        <v>207373.1</v>
      </c>
      <c r="P105" s="21">
        <f t="shared" si="33"/>
        <v>1259299.06</v>
      </c>
      <c r="Q105" s="21">
        <f t="shared" si="34"/>
        <v>1255904.54</v>
      </c>
    </row>
    <row r="106" spans="2:17" ht="14" x14ac:dyDescent="0.15">
      <c r="B106" s="5" t="s">
        <v>71</v>
      </c>
      <c r="C106" s="8">
        <v>717658.56</v>
      </c>
      <c r="D106" s="8">
        <v>59779.88</v>
      </c>
      <c r="E106" s="8">
        <v>59779.88</v>
      </c>
      <c r="F106" s="8">
        <v>59779.88</v>
      </c>
      <c r="G106" s="8">
        <v>59779.88</v>
      </c>
      <c r="H106" s="8">
        <v>60079.88</v>
      </c>
      <c r="I106" s="8">
        <v>59779.88</v>
      </c>
      <c r="J106" s="8">
        <v>59779.88</v>
      </c>
      <c r="K106" s="8">
        <v>59779.88</v>
      </c>
      <c r="L106" s="8">
        <v>59779.88</v>
      </c>
      <c r="M106" s="8">
        <v>59779.88</v>
      </c>
      <c r="N106" s="8">
        <v>59779.88</v>
      </c>
      <c r="O106" s="8">
        <v>59779.88</v>
      </c>
      <c r="P106" s="21">
        <f t="shared" si="33"/>
        <v>358979.27999999997</v>
      </c>
      <c r="Q106" s="21">
        <f t="shared" si="34"/>
        <v>358679.27999999997</v>
      </c>
    </row>
    <row r="107" spans="2:17" ht="14" x14ac:dyDescent="0.15">
      <c r="B107" s="5" t="s">
        <v>72</v>
      </c>
      <c r="C107" s="8">
        <v>142562.12</v>
      </c>
      <c r="D107" s="8">
        <v>11712.01</v>
      </c>
      <c r="E107" s="8">
        <v>13730.01</v>
      </c>
      <c r="F107" s="8">
        <v>11712.01</v>
      </c>
      <c r="G107" s="8">
        <v>11712.01</v>
      </c>
      <c r="H107" s="8">
        <v>11712.01</v>
      </c>
      <c r="I107" s="8">
        <v>11712.01</v>
      </c>
      <c r="J107" s="8">
        <v>11712.01</v>
      </c>
      <c r="K107" s="8">
        <v>11712.01</v>
      </c>
      <c r="L107" s="8">
        <v>11712.01</v>
      </c>
      <c r="M107" s="8">
        <v>11712.01</v>
      </c>
      <c r="N107" s="8">
        <v>11712.01</v>
      </c>
      <c r="O107" s="8">
        <v>11712.01</v>
      </c>
      <c r="P107" s="21">
        <f t="shared" si="33"/>
        <v>72290.06</v>
      </c>
      <c r="Q107" s="21">
        <f t="shared" si="34"/>
        <v>70272.06</v>
      </c>
    </row>
    <row r="108" spans="2:17" ht="14" x14ac:dyDescent="0.15">
      <c r="B108" s="5" t="s">
        <v>73</v>
      </c>
      <c r="C108" s="8">
        <v>725064</v>
      </c>
      <c r="D108" s="8">
        <v>60422</v>
      </c>
      <c r="E108" s="8">
        <v>60422</v>
      </c>
      <c r="F108" s="8">
        <v>60422</v>
      </c>
      <c r="G108" s="8">
        <v>60422</v>
      </c>
      <c r="H108" s="8">
        <v>60422</v>
      </c>
      <c r="I108" s="8">
        <v>60422</v>
      </c>
      <c r="J108" s="8">
        <v>60422</v>
      </c>
      <c r="K108" s="8">
        <v>60422</v>
      </c>
      <c r="L108" s="8">
        <v>60422</v>
      </c>
      <c r="M108" s="8">
        <v>60422</v>
      </c>
      <c r="N108" s="8">
        <v>60422</v>
      </c>
      <c r="O108" s="8">
        <v>60422</v>
      </c>
      <c r="P108" s="21">
        <f t="shared" si="33"/>
        <v>362532</v>
      </c>
      <c r="Q108" s="21">
        <f t="shared" si="34"/>
        <v>362532</v>
      </c>
    </row>
    <row r="109" spans="2:17" ht="14" x14ac:dyDescent="0.15">
      <c r="B109" s="5" t="s">
        <v>74</v>
      </c>
      <c r="C109" s="8">
        <v>104562.96</v>
      </c>
      <c r="D109" s="8">
        <v>8982.7099999999991</v>
      </c>
      <c r="E109" s="8">
        <v>8982.7099999999991</v>
      </c>
      <c r="F109" s="8">
        <v>8982.7099999999991</v>
      </c>
      <c r="G109" s="8">
        <v>8623.8700000000008</v>
      </c>
      <c r="H109" s="8">
        <v>8623.8700000000008</v>
      </c>
      <c r="I109" s="8">
        <v>8623.8700000000008</v>
      </c>
      <c r="J109" s="8">
        <v>8623.8700000000008</v>
      </c>
      <c r="K109" s="8">
        <v>8623.8700000000008</v>
      </c>
      <c r="L109" s="8">
        <v>8623.8700000000008</v>
      </c>
      <c r="M109" s="8">
        <v>8623.8700000000008</v>
      </c>
      <c r="N109" s="8">
        <v>8623.8700000000008</v>
      </c>
      <c r="O109" s="8">
        <v>8623.8700000000008</v>
      </c>
      <c r="P109" s="21">
        <f t="shared" si="33"/>
        <v>52819.740000000005</v>
      </c>
      <c r="Q109" s="21">
        <f t="shared" si="34"/>
        <v>51743.220000000008</v>
      </c>
    </row>
    <row r="110" spans="2:17" ht="14" x14ac:dyDescent="0.15">
      <c r="B110" s="5" t="s">
        <v>75</v>
      </c>
      <c r="C110" s="8">
        <v>572863.36</v>
      </c>
      <c r="D110" s="8">
        <v>45794.29</v>
      </c>
      <c r="E110" s="8">
        <v>51627.26</v>
      </c>
      <c r="F110" s="8">
        <v>45794.29</v>
      </c>
      <c r="G110" s="8">
        <v>45794.29</v>
      </c>
      <c r="H110" s="8">
        <v>51627.26</v>
      </c>
      <c r="I110" s="8">
        <v>45794.29</v>
      </c>
      <c r="J110" s="8">
        <v>45794.29</v>
      </c>
      <c r="K110" s="8">
        <v>51627.26</v>
      </c>
      <c r="L110" s="8">
        <v>45794.29</v>
      </c>
      <c r="M110" s="8">
        <v>45794.29</v>
      </c>
      <c r="N110" s="8">
        <v>51627.26</v>
      </c>
      <c r="O110" s="8">
        <v>45794.29</v>
      </c>
      <c r="P110" s="21">
        <f t="shared" si="33"/>
        <v>286431.68</v>
      </c>
      <c r="Q110" s="21">
        <f t="shared" si="34"/>
        <v>286431.68</v>
      </c>
    </row>
    <row r="111" spans="2:17" ht="14" x14ac:dyDescent="0.15">
      <c r="B111" s="5" t="s">
        <v>76</v>
      </c>
      <c r="C111" s="8">
        <v>252492.6</v>
      </c>
      <c r="D111" s="8">
        <v>21041.05</v>
      </c>
      <c r="E111" s="8">
        <v>21041.05</v>
      </c>
      <c r="F111" s="8">
        <v>21041.05</v>
      </c>
      <c r="G111" s="8">
        <v>21041.05</v>
      </c>
      <c r="H111" s="8">
        <v>21041.05</v>
      </c>
      <c r="I111" s="8">
        <v>21041.05</v>
      </c>
      <c r="J111" s="8">
        <v>21041.05</v>
      </c>
      <c r="K111" s="8">
        <v>21041.05</v>
      </c>
      <c r="L111" s="8">
        <v>21041.05</v>
      </c>
      <c r="M111" s="8">
        <v>21041.05</v>
      </c>
      <c r="N111" s="8">
        <v>21041.05</v>
      </c>
      <c r="O111" s="8">
        <v>21041.05</v>
      </c>
      <c r="P111" s="21">
        <f t="shared" si="33"/>
        <v>126246.3</v>
      </c>
      <c r="Q111" s="21">
        <f t="shared" si="34"/>
        <v>126246.3</v>
      </c>
    </row>
    <row r="112" spans="2:17" ht="14" x14ac:dyDescent="0.15">
      <c r="B112" s="5" t="s">
        <v>77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</row>
    <row r="113" spans="2:17" ht="28" x14ac:dyDescent="0.15">
      <c r="B113" s="5" t="s">
        <v>78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</row>
    <row r="114" spans="2:17" ht="14" x14ac:dyDescent="0.15">
      <c r="B114" s="5" t="s">
        <v>79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</row>
    <row r="115" spans="2:17" ht="14" x14ac:dyDescent="0.15">
      <c r="B115" s="5" t="s">
        <v>80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</row>
    <row r="116" spans="2:17" x14ac:dyDescent="0.1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2:17" ht="14" x14ac:dyDescent="0.15">
      <c r="B117" s="10" t="s">
        <v>81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</row>
    <row r="118" spans="2:17" ht="14" x14ac:dyDescent="0.15">
      <c r="B118" s="5" t="s">
        <v>82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</row>
    <row r="119" spans="2:17" ht="14" x14ac:dyDescent="0.15">
      <c r="B119" s="5" t="s">
        <v>83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</row>
    <row r="120" spans="2:17" x14ac:dyDescent="0.1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2:17" ht="28" x14ac:dyDescent="0.15">
      <c r="B121" s="10" t="s">
        <v>84</v>
      </c>
      <c r="C121" s="11">
        <v>27391581.850000001</v>
      </c>
      <c r="D121" s="11">
        <v>88242.011299999998</v>
      </c>
      <c r="E121" s="11">
        <v>658479.60149999999</v>
      </c>
      <c r="F121" s="11">
        <v>2589073.5924</v>
      </c>
      <c r="G121" s="11">
        <v>1273872.0556000001</v>
      </c>
      <c r="H121" s="11">
        <v>3157721.0466</v>
      </c>
      <c r="I121" s="11">
        <v>2619030.2817000002</v>
      </c>
      <c r="J121" s="11">
        <v>2049694.3515000001</v>
      </c>
      <c r="K121" s="11">
        <v>2676476.7045</v>
      </c>
      <c r="L121" s="11">
        <v>4401219.9016000004</v>
      </c>
      <c r="M121" s="11">
        <v>4219783.6719000004</v>
      </c>
      <c r="N121" s="11">
        <v>2590242.8343000002</v>
      </c>
      <c r="O121" s="11">
        <v>1067745.7971000001</v>
      </c>
      <c r="P121" s="21">
        <f t="shared" ref="P121:P166" si="35">SUM(D121:I121)</f>
        <v>10386418.5891</v>
      </c>
      <c r="Q121" s="21">
        <f t="shared" ref="Q121:Q166" si="36">SUM(J121:O121)</f>
        <v>17005163.260900002</v>
      </c>
    </row>
    <row r="122" spans="2:17" ht="14" x14ac:dyDescent="0.15">
      <c r="B122" s="5" t="s">
        <v>85</v>
      </c>
      <c r="C122" s="8">
        <v>1573804.1085000001</v>
      </c>
      <c r="D122" s="8">
        <v>102746.63860000001</v>
      </c>
      <c r="E122" s="8">
        <v>117386.89969999999</v>
      </c>
      <c r="F122" s="8">
        <v>152516.6153</v>
      </c>
      <c r="G122" s="8">
        <v>114441.72749999999</v>
      </c>
      <c r="H122" s="8">
        <v>135659.66930000001</v>
      </c>
      <c r="I122" s="8">
        <v>132476.35070000001</v>
      </c>
      <c r="J122" s="8">
        <v>109311.1409</v>
      </c>
      <c r="K122" s="8">
        <v>122870.51850000001</v>
      </c>
      <c r="L122" s="8">
        <v>162467.09160000001</v>
      </c>
      <c r="M122" s="8">
        <v>155833.04639999999</v>
      </c>
      <c r="N122" s="8">
        <v>152632.10130000001</v>
      </c>
      <c r="O122" s="8">
        <v>115462.30869999999</v>
      </c>
      <c r="P122" s="21">
        <f t="shared" si="35"/>
        <v>755227.90110000013</v>
      </c>
      <c r="Q122" s="21">
        <f t="shared" si="36"/>
        <v>818576.20739999996</v>
      </c>
    </row>
    <row r="123" spans="2:17" x14ac:dyDescent="0.1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21">
        <f t="shared" si="35"/>
        <v>0</v>
      </c>
      <c r="Q123" s="21">
        <f t="shared" si="36"/>
        <v>0</v>
      </c>
    </row>
    <row r="124" spans="2:17" ht="28" x14ac:dyDescent="0.15">
      <c r="B124" s="10" t="s">
        <v>86</v>
      </c>
      <c r="C124" s="11">
        <v>25817777.741500001</v>
      </c>
      <c r="D124" s="11">
        <v>-14504.6273</v>
      </c>
      <c r="E124" s="11">
        <v>541092.70180000004</v>
      </c>
      <c r="F124" s="11">
        <v>2436556.977</v>
      </c>
      <c r="G124" s="11">
        <v>1159430.3278000001</v>
      </c>
      <c r="H124" s="11">
        <v>3022061.3774000001</v>
      </c>
      <c r="I124" s="11">
        <v>2486553.9309999999</v>
      </c>
      <c r="J124" s="11">
        <v>1940383.2106000001</v>
      </c>
      <c r="K124" s="11">
        <v>2553606.1860000002</v>
      </c>
      <c r="L124" s="11">
        <v>4238752.8101000004</v>
      </c>
      <c r="M124" s="11">
        <v>4063950.6255000001</v>
      </c>
      <c r="N124" s="11">
        <v>2437610.7330999998</v>
      </c>
      <c r="O124" s="11">
        <v>952283.48849999998</v>
      </c>
      <c r="P124" s="21">
        <f t="shared" si="35"/>
        <v>9631190.6876999997</v>
      </c>
      <c r="Q124" s="21">
        <f t="shared" si="36"/>
        <v>16186587.053800002</v>
      </c>
    </row>
    <row r="125" spans="2:17" ht="14" x14ac:dyDescent="0.15">
      <c r="B125" s="5" t="s">
        <v>87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21">
        <f t="shared" si="35"/>
        <v>0</v>
      </c>
      <c r="Q125" s="21">
        <f t="shared" si="36"/>
        <v>0</v>
      </c>
    </row>
    <row r="126" spans="2:17" x14ac:dyDescent="0.1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21">
        <f t="shared" si="35"/>
        <v>0</v>
      </c>
      <c r="Q126" s="21">
        <f t="shared" si="36"/>
        <v>0</v>
      </c>
    </row>
    <row r="127" spans="2:17" ht="28" x14ac:dyDescent="0.15">
      <c r="B127" s="10" t="s">
        <v>88</v>
      </c>
      <c r="C127" s="11">
        <v>25817777.741500001</v>
      </c>
      <c r="D127" s="11">
        <v>-14504.6273</v>
      </c>
      <c r="E127" s="11">
        <v>541092.70180000004</v>
      </c>
      <c r="F127" s="11">
        <v>2436556.977</v>
      </c>
      <c r="G127" s="11">
        <v>1159430.3278000001</v>
      </c>
      <c r="H127" s="11">
        <v>3022061.3774000001</v>
      </c>
      <c r="I127" s="11">
        <v>2486553.9309999999</v>
      </c>
      <c r="J127" s="11">
        <v>1940383.2106000001</v>
      </c>
      <c r="K127" s="11">
        <v>2553606.1860000002</v>
      </c>
      <c r="L127" s="11">
        <v>4238752.8101000004</v>
      </c>
      <c r="M127" s="11">
        <v>4063950.6255000001</v>
      </c>
      <c r="N127" s="11">
        <v>2437610.7330999998</v>
      </c>
      <c r="O127" s="11">
        <v>952283.48849999998</v>
      </c>
      <c r="P127" s="21">
        <f t="shared" si="35"/>
        <v>9631190.6876999997</v>
      </c>
      <c r="Q127" s="21">
        <f t="shared" si="36"/>
        <v>16186587.053800002</v>
      </c>
    </row>
    <row r="128" spans="2:17" x14ac:dyDescent="0.1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21">
        <f t="shared" si="35"/>
        <v>0</v>
      </c>
      <c r="Q128" s="21">
        <f t="shared" si="36"/>
        <v>0</v>
      </c>
    </row>
    <row r="129" spans="2:17" ht="14" x14ac:dyDescent="0.15">
      <c r="B129" s="10" t="s">
        <v>89</v>
      </c>
      <c r="C129" s="11">
        <v>3127342.6905999999</v>
      </c>
      <c r="D129" s="11">
        <v>190352.26629999999</v>
      </c>
      <c r="E129" s="11">
        <v>221026.11989999999</v>
      </c>
      <c r="F129" s="11">
        <v>294299.03989999997</v>
      </c>
      <c r="G129" s="11">
        <v>230674.83249999999</v>
      </c>
      <c r="H129" s="11">
        <v>285577.7035</v>
      </c>
      <c r="I129" s="11">
        <v>271755.26179999998</v>
      </c>
      <c r="J129" s="11">
        <v>223475.9295</v>
      </c>
      <c r="K129" s="11">
        <v>248705.44769999999</v>
      </c>
      <c r="L129" s="11">
        <v>329333.5894</v>
      </c>
      <c r="M129" s="11">
        <v>324349.95909999998</v>
      </c>
      <c r="N129" s="11">
        <v>288650.52159999998</v>
      </c>
      <c r="O129" s="11">
        <v>219142.01939999999</v>
      </c>
      <c r="P129" s="21">
        <f t="shared" si="35"/>
        <v>1493685.2238999999</v>
      </c>
      <c r="Q129" s="21">
        <f t="shared" si="36"/>
        <v>1633657.4667000002</v>
      </c>
    </row>
    <row r="130" spans="2:17" ht="14" x14ac:dyDescent="0.15">
      <c r="B130" s="5" t="s">
        <v>90</v>
      </c>
      <c r="C130" s="8">
        <v>3127342.6905999999</v>
      </c>
      <c r="D130" s="8">
        <v>190352.26629999999</v>
      </c>
      <c r="E130" s="8">
        <v>221026.11989999999</v>
      </c>
      <c r="F130" s="8">
        <v>294299.03989999997</v>
      </c>
      <c r="G130" s="8">
        <v>230674.83249999999</v>
      </c>
      <c r="H130" s="8">
        <v>285577.7035</v>
      </c>
      <c r="I130" s="8">
        <v>271755.26179999998</v>
      </c>
      <c r="J130" s="8">
        <v>223475.9295</v>
      </c>
      <c r="K130" s="8">
        <v>248705.44769999999</v>
      </c>
      <c r="L130" s="8">
        <v>329333.5894</v>
      </c>
      <c r="M130" s="8">
        <v>324349.95909999998</v>
      </c>
      <c r="N130" s="8">
        <v>288650.52159999998</v>
      </c>
      <c r="O130" s="8">
        <v>219142.01939999999</v>
      </c>
      <c r="P130" s="21">
        <f t="shared" si="35"/>
        <v>1493685.2238999999</v>
      </c>
      <c r="Q130" s="21">
        <f t="shared" si="36"/>
        <v>1633657.4667000002</v>
      </c>
    </row>
    <row r="131" spans="2:17" ht="14" x14ac:dyDescent="0.15">
      <c r="B131" s="5" t="s">
        <v>91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21">
        <f t="shared" si="35"/>
        <v>0</v>
      </c>
      <c r="Q131" s="21">
        <f t="shared" si="36"/>
        <v>0</v>
      </c>
    </row>
    <row r="132" spans="2:17" ht="14" x14ac:dyDescent="0.15">
      <c r="B132" s="5" t="s">
        <v>92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21">
        <f t="shared" si="35"/>
        <v>0</v>
      </c>
      <c r="Q132" s="21">
        <f t="shared" si="36"/>
        <v>0</v>
      </c>
    </row>
    <row r="133" spans="2:17" x14ac:dyDescent="0.1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21">
        <f t="shared" si="35"/>
        <v>0</v>
      </c>
      <c r="Q133" s="21">
        <f t="shared" si="36"/>
        <v>0</v>
      </c>
    </row>
    <row r="134" spans="2:17" ht="14" x14ac:dyDescent="0.15">
      <c r="B134" s="10" t="s">
        <v>93</v>
      </c>
      <c r="C134" s="11">
        <v>22690435.0502</v>
      </c>
      <c r="D134" s="11">
        <v>-204856.8939</v>
      </c>
      <c r="E134" s="11">
        <v>320066.58189999999</v>
      </c>
      <c r="F134" s="11">
        <v>2142257.9369999999</v>
      </c>
      <c r="G134" s="11">
        <v>928755.49529999995</v>
      </c>
      <c r="H134" s="11">
        <v>2736483.6740000001</v>
      </c>
      <c r="I134" s="11">
        <v>2214798.6690000002</v>
      </c>
      <c r="J134" s="11">
        <v>1716907.2812000001</v>
      </c>
      <c r="K134" s="11">
        <v>2304900.7385</v>
      </c>
      <c r="L134" s="11">
        <v>3909419.2204</v>
      </c>
      <c r="M134" s="11">
        <v>3739600.6664999998</v>
      </c>
      <c r="N134" s="11">
        <v>2148960.2113999999</v>
      </c>
      <c r="O134" s="11">
        <v>733141.46889999998</v>
      </c>
      <c r="P134" s="21">
        <f t="shared" si="35"/>
        <v>8137505.4633000009</v>
      </c>
      <c r="Q134" s="21">
        <f t="shared" si="36"/>
        <v>14552929.586900001</v>
      </c>
    </row>
    <row r="135" spans="2:17" x14ac:dyDescent="0.1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21">
        <f t="shared" si="35"/>
        <v>0</v>
      </c>
      <c r="Q135" s="21">
        <f t="shared" si="36"/>
        <v>0</v>
      </c>
    </row>
    <row r="136" spans="2:17" ht="14" x14ac:dyDescent="0.15">
      <c r="B136" s="10" t="s">
        <v>94</v>
      </c>
      <c r="C136" s="11">
        <v>25973945.7062</v>
      </c>
      <c r="D136" s="11">
        <v>2093637.0789999999</v>
      </c>
      <c r="E136" s="11">
        <v>2097315.5164000001</v>
      </c>
      <c r="F136" s="11">
        <v>2288177.0671999999</v>
      </c>
      <c r="G136" s="11">
        <v>2081749.4635999999</v>
      </c>
      <c r="H136" s="11">
        <v>2184774.4602000001</v>
      </c>
      <c r="I136" s="11">
        <v>2097658.7637999998</v>
      </c>
      <c r="J136" s="11">
        <v>2043385.1647999999</v>
      </c>
      <c r="K136" s="11">
        <v>2104375.3816</v>
      </c>
      <c r="L136" s="11">
        <v>2287842.0554</v>
      </c>
      <c r="M136" s="11">
        <v>2372139.3368000002</v>
      </c>
      <c r="N136" s="11">
        <v>2278632.2231000001</v>
      </c>
      <c r="O136" s="11">
        <v>2044259.1943000001</v>
      </c>
      <c r="P136" s="21">
        <f t="shared" si="35"/>
        <v>12843312.350200001</v>
      </c>
      <c r="Q136" s="21">
        <f t="shared" si="36"/>
        <v>13130633.355999999</v>
      </c>
    </row>
    <row r="137" spans="2:17" ht="14" x14ac:dyDescent="0.15">
      <c r="B137" s="5" t="s">
        <v>95</v>
      </c>
      <c r="C137" s="8">
        <v>20185614.440000001</v>
      </c>
      <c r="D137" s="8">
        <v>1679565.96</v>
      </c>
      <c r="E137" s="8">
        <v>1682368.04</v>
      </c>
      <c r="F137" s="8">
        <v>1682368.04</v>
      </c>
      <c r="G137" s="8">
        <v>1682368.04</v>
      </c>
      <c r="H137" s="8">
        <v>1682368.04</v>
      </c>
      <c r="I137" s="8">
        <v>1682368.04</v>
      </c>
      <c r="J137" s="8">
        <v>1682368.04</v>
      </c>
      <c r="K137" s="8">
        <v>1682368.04</v>
      </c>
      <c r="L137" s="8">
        <v>1682368.04</v>
      </c>
      <c r="M137" s="8">
        <v>1682368.04</v>
      </c>
      <c r="N137" s="8">
        <v>1682368.04</v>
      </c>
      <c r="O137" s="8">
        <v>1682368.08</v>
      </c>
      <c r="P137" s="21">
        <f t="shared" si="35"/>
        <v>10091406.16</v>
      </c>
      <c r="Q137" s="21">
        <f t="shared" si="36"/>
        <v>10094208.279999999</v>
      </c>
    </row>
    <row r="138" spans="2:17" ht="14" x14ac:dyDescent="0.15">
      <c r="B138" s="5" t="s">
        <v>96</v>
      </c>
      <c r="C138" s="8">
        <v>5788331.2662000004</v>
      </c>
      <c r="D138" s="8">
        <v>414071.11900000001</v>
      </c>
      <c r="E138" s="8">
        <v>414947.47639999999</v>
      </c>
      <c r="F138" s="8">
        <v>605809.02720000001</v>
      </c>
      <c r="G138" s="8">
        <v>399381.42359999998</v>
      </c>
      <c r="H138" s="8">
        <v>502406.42019999999</v>
      </c>
      <c r="I138" s="8">
        <v>415290.72379999998</v>
      </c>
      <c r="J138" s="8">
        <v>361017.12479999999</v>
      </c>
      <c r="K138" s="8">
        <v>422007.34159999999</v>
      </c>
      <c r="L138" s="8">
        <v>605474.01540000003</v>
      </c>
      <c r="M138" s="8">
        <v>689771.29680000001</v>
      </c>
      <c r="N138" s="8">
        <v>596264.18310000002</v>
      </c>
      <c r="O138" s="8">
        <v>361891.11430000002</v>
      </c>
      <c r="P138" s="21">
        <f t="shared" si="35"/>
        <v>2751906.1901999996</v>
      </c>
      <c r="Q138" s="21">
        <f t="shared" si="36"/>
        <v>3036425.0760000004</v>
      </c>
    </row>
    <row r="139" spans="2:17" ht="14" x14ac:dyDescent="0.15">
      <c r="B139" s="5" t="s">
        <v>97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21">
        <f t="shared" si="35"/>
        <v>0</v>
      </c>
      <c r="Q139" s="21">
        <f t="shared" si="36"/>
        <v>0</v>
      </c>
    </row>
    <row r="140" spans="2:17" x14ac:dyDescent="0.1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21">
        <f t="shared" si="35"/>
        <v>0</v>
      </c>
      <c r="Q140" s="21">
        <f t="shared" si="36"/>
        <v>0</v>
      </c>
    </row>
    <row r="141" spans="2:17" ht="28" x14ac:dyDescent="0.15">
      <c r="B141" s="10" t="s">
        <v>98</v>
      </c>
      <c r="C141" s="11">
        <v>-3283510.6556000002</v>
      </c>
      <c r="D141" s="11">
        <v>-2298493.9728999999</v>
      </c>
      <c r="E141" s="11">
        <v>-1777248.9343999999</v>
      </c>
      <c r="F141" s="11">
        <v>-145919.13020000001</v>
      </c>
      <c r="G141" s="11">
        <v>-1152993.9683000001</v>
      </c>
      <c r="H141" s="11">
        <v>551709.21380000003</v>
      </c>
      <c r="I141" s="11">
        <v>117139.9053</v>
      </c>
      <c r="J141" s="11">
        <v>-326477.8835</v>
      </c>
      <c r="K141" s="11">
        <v>200525.35709999999</v>
      </c>
      <c r="L141" s="11">
        <v>1621577.1651999999</v>
      </c>
      <c r="M141" s="11">
        <v>1367461.3295</v>
      </c>
      <c r="N141" s="11">
        <v>-129672.01179999999</v>
      </c>
      <c r="O141" s="11">
        <v>-1311117.7254000001</v>
      </c>
      <c r="P141" s="21">
        <f t="shared" si="35"/>
        <v>-4705806.8866999997</v>
      </c>
      <c r="Q141" s="21">
        <f t="shared" si="36"/>
        <v>1422296.2310999997</v>
      </c>
    </row>
    <row r="142" spans="2:17" ht="14" x14ac:dyDescent="0.15">
      <c r="B142" s="5" t="s">
        <v>99</v>
      </c>
      <c r="C142" s="8">
        <v>90780</v>
      </c>
      <c r="D142" s="8">
        <v>7565</v>
      </c>
      <c r="E142" s="8">
        <v>7565</v>
      </c>
      <c r="F142" s="8">
        <v>7565</v>
      </c>
      <c r="G142" s="8">
        <v>7565</v>
      </c>
      <c r="H142" s="8">
        <v>7565</v>
      </c>
      <c r="I142" s="8">
        <v>7565</v>
      </c>
      <c r="J142" s="8">
        <v>7565</v>
      </c>
      <c r="K142" s="8">
        <v>7565</v>
      </c>
      <c r="L142" s="8">
        <v>7565</v>
      </c>
      <c r="M142" s="8">
        <v>7565</v>
      </c>
      <c r="N142" s="8">
        <v>7565</v>
      </c>
      <c r="O142" s="8">
        <v>7565</v>
      </c>
      <c r="P142" s="21">
        <f t="shared" si="35"/>
        <v>45390</v>
      </c>
      <c r="Q142" s="21">
        <f t="shared" si="36"/>
        <v>45390</v>
      </c>
    </row>
    <row r="143" spans="2:17" x14ac:dyDescent="0.1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21">
        <f t="shared" si="35"/>
        <v>0</v>
      </c>
      <c r="Q143" s="21">
        <f t="shared" si="36"/>
        <v>0</v>
      </c>
    </row>
    <row r="144" spans="2:17" ht="14" x14ac:dyDescent="0.15">
      <c r="B144" s="10" t="s">
        <v>100</v>
      </c>
      <c r="C144" s="11">
        <v>-3374290.6556000002</v>
      </c>
      <c r="D144" s="11">
        <v>-2306058.9728999999</v>
      </c>
      <c r="E144" s="11">
        <v>-1784813.9343999999</v>
      </c>
      <c r="F144" s="11">
        <v>-153484.13020000001</v>
      </c>
      <c r="G144" s="11">
        <v>-1160558.9683000001</v>
      </c>
      <c r="H144" s="11">
        <v>544144.21380000003</v>
      </c>
      <c r="I144" s="11">
        <v>109574.9053</v>
      </c>
      <c r="J144" s="11">
        <v>-334042.8835</v>
      </c>
      <c r="K144" s="11">
        <v>192960.35709999999</v>
      </c>
      <c r="L144" s="11">
        <v>1614012.1651999999</v>
      </c>
      <c r="M144" s="11">
        <v>1359896.3295</v>
      </c>
      <c r="N144" s="11">
        <v>-137237.01180000001</v>
      </c>
      <c r="O144" s="11">
        <v>-1318682.7254000001</v>
      </c>
      <c r="P144" s="21">
        <f t="shared" si="35"/>
        <v>-4751196.8866999997</v>
      </c>
      <c r="Q144" s="21">
        <f t="shared" si="36"/>
        <v>1376906.2310999997</v>
      </c>
    </row>
    <row r="145" spans="2:17" ht="14" x14ac:dyDescent="0.15">
      <c r="B145" s="5" t="s">
        <v>101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21">
        <f t="shared" si="35"/>
        <v>0</v>
      </c>
      <c r="Q145" s="21">
        <f t="shared" si="36"/>
        <v>0</v>
      </c>
    </row>
    <row r="146" spans="2:17" x14ac:dyDescent="0.1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21">
        <f t="shared" si="35"/>
        <v>0</v>
      </c>
      <c r="Q146" s="21">
        <f t="shared" si="36"/>
        <v>0</v>
      </c>
    </row>
    <row r="147" spans="2:17" ht="28" x14ac:dyDescent="0.15">
      <c r="B147" s="10" t="s">
        <v>102</v>
      </c>
      <c r="C147" s="11">
        <v>-3374290.6556000002</v>
      </c>
      <c r="D147" s="11">
        <v>-2306058.9728999999</v>
      </c>
      <c r="E147" s="11">
        <v>-1784813.9343999999</v>
      </c>
      <c r="F147" s="11">
        <v>-153484.13020000001</v>
      </c>
      <c r="G147" s="11">
        <v>-1160558.9683000001</v>
      </c>
      <c r="H147" s="11">
        <v>544144.21380000003</v>
      </c>
      <c r="I147" s="11">
        <v>109574.9053</v>
      </c>
      <c r="J147" s="11">
        <v>-334042.8835</v>
      </c>
      <c r="K147" s="11">
        <v>192960.35709999999</v>
      </c>
      <c r="L147" s="11">
        <v>1614012.1651999999</v>
      </c>
      <c r="M147" s="11">
        <v>1359896.3295</v>
      </c>
      <c r="N147" s="11">
        <v>-137237.01180000001</v>
      </c>
      <c r="O147" s="11">
        <v>-1318682.7254000001</v>
      </c>
      <c r="P147" s="21">
        <f t="shared" si="35"/>
        <v>-4751196.8866999997</v>
      </c>
      <c r="Q147" s="21">
        <f t="shared" si="36"/>
        <v>1376906.2310999997</v>
      </c>
    </row>
    <row r="148" spans="2:17" ht="14" x14ac:dyDescent="0.15">
      <c r="B148" s="5" t="s">
        <v>103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21">
        <f t="shared" si="35"/>
        <v>0</v>
      </c>
      <c r="Q148" s="21">
        <f t="shared" si="36"/>
        <v>0</v>
      </c>
    </row>
    <row r="149" spans="2:17" x14ac:dyDescent="0.1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21">
        <f t="shared" si="35"/>
        <v>0</v>
      </c>
      <c r="Q149" s="21">
        <f t="shared" si="36"/>
        <v>0</v>
      </c>
    </row>
    <row r="150" spans="2:17" ht="14" x14ac:dyDescent="0.15">
      <c r="B150" s="10" t="s">
        <v>104</v>
      </c>
      <c r="C150" s="11">
        <v>-3374290.6556000002</v>
      </c>
      <c r="D150" s="11">
        <v>-2306058.9728999999</v>
      </c>
      <c r="E150" s="11">
        <v>-1784813.9343999999</v>
      </c>
      <c r="F150" s="11">
        <v>-153484.13020000001</v>
      </c>
      <c r="G150" s="11">
        <v>-1160558.9683000001</v>
      </c>
      <c r="H150" s="11">
        <v>544144.21380000003</v>
      </c>
      <c r="I150" s="11">
        <v>109574.9053</v>
      </c>
      <c r="J150" s="11">
        <v>-334042.8835</v>
      </c>
      <c r="K150" s="11">
        <v>192960.35709999999</v>
      </c>
      <c r="L150" s="11">
        <v>1614012.1651999999</v>
      </c>
      <c r="M150" s="11">
        <v>1359896.3295</v>
      </c>
      <c r="N150" s="11">
        <v>-137237.01180000001</v>
      </c>
      <c r="O150" s="11">
        <v>-1318682.7254000001</v>
      </c>
      <c r="P150" s="21">
        <f t="shared" si="35"/>
        <v>-4751196.8866999997</v>
      </c>
      <c r="Q150" s="21">
        <f t="shared" si="36"/>
        <v>1376906.2310999997</v>
      </c>
    </row>
    <row r="151" spans="2:17" x14ac:dyDescent="0.1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21">
        <f t="shared" si="35"/>
        <v>0</v>
      </c>
      <c r="Q151" s="21">
        <f t="shared" si="36"/>
        <v>0</v>
      </c>
    </row>
    <row r="152" spans="2:17" ht="14" x14ac:dyDescent="0.15">
      <c r="B152" s="13" t="s">
        <v>105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1">
        <f t="shared" si="35"/>
        <v>0</v>
      </c>
      <c r="Q152" s="21">
        <f t="shared" si="36"/>
        <v>0</v>
      </c>
    </row>
    <row r="153" spans="2:17" s="18" customFormat="1" ht="14" x14ac:dyDescent="0.15">
      <c r="B153" s="16" t="s">
        <v>106</v>
      </c>
      <c r="C153" s="17">
        <v>-3120046.0556000001</v>
      </c>
      <c r="D153" s="19">
        <v>-2284871.9229000001</v>
      </c>
      <c r="E153" s="19">
        <v>-1763626.8844000001</v>
      </c>
      <c r="F153" s="19">
        <v>-132297.0802</v>
      </c>
      <c r="G153" s="19">
        <v>-1139371.9183</v>
      </c>
      <c r="H153" s="19">
        <v>565331.26379999996</v>
      </c>
      <c r="I153" s="19">
        <v>130761.9553</v>
      </c>
      <c r="J153" s="19">
        <v>-312855.83350000001</v>
      </c>
      <c r="K153" s="19">
        <v>214147.40710000001</v>
      </c>
      <c r="L153" s="19">
        <v>1635199.2152</v>
      </c>
      <c r="M153" s="19">
        <v>1381083.3795</v>
      </c>
      <c r="N153" s="19">
        <v>-116049.9618</v>
      </c>
      <c r="O153" s="19">
        <v>-1297495.6754000001</v>
      </c>
      <c r="P153" s="23">
        <f t="shared" si="35"/>
        <v>-4624074.5867000008</v>
      </c>
      <c r="Q153" s="23">
        <f t="shared" si="36"/>
        <v>1504028.5310999998</v>
      </c>
    </row>
    <row r="154" spans="2:17" ht="14" x14ac:dyDescent="0.15">
      <c r="B154" s="5" t="s">
        <v>107</v>
      </c>
      <c r="C154" s="6">
        <v>-3845110.0556000001</v>
      </c>
      <c r="D154" s="8">
        <v>-2345293.9229000001</v>
      </c>
      <c r="E154" s="8">
        <v>-1824048.8844000001</v>
      </c>
      <c r="F154" s="8">
        <v>-192719.0802</v>
      </c>
      <c r="G154" s="8">
        <v>-1199793.9183</v>
      </c>
      <c r="H154" s="8">
        <v>504909.26380000002</v>
      </c>
      <c r="I154" s="8">
        <v>70339.955300000001</v>
      </c>
      <c r="J154" s="8">
        <v>-373277.83350000001</v>
      </c>
      <c r="K154" s="8">
        <v>153725.40710000001</v>
      </c>
      <c r="L154" s="8">
        <v>1574777.2152</v>
      </c>
      <c r="M154" s="8">
        <v>1320661.3795</v>
      </c>
      <c r="N154" s="8">
        <v>-176471.96179999999</v>
      </c>
      <c r="O154" s="8">
        <v>-1357917.6754000001</v>
      </c>
      <c r="P154" s="21">
        <f t="shared" si="35"/>
        <v>-4986606.5867000008</v>
      </c>
      <c r="Q154" s="21">
        <f t="shared" si="36"/>
        <v>1141496.5310999998</v>
      </c>
    </row>
    <row r="155" spans="2:17" ht="14" x14ac:dyDescent="0.15">
      <c r="B155" s="10" t="s">
        <v>108</v>
      </c>
      <c r="C155" s="15">
        <v>4160395.4879000001</v>
      </c>
      <c r="D155" s="11">
        <v>254149.81529999999</v>
      </c>
      <c r="E155" s="11">
        <v>294153.17450000002</v>
      </c>
      <c r="F155" s="11">
        <v>391859.55589999998</v>
      </c>
      <c r="G155" s="11">
        <v>307497.56469999999</v>
      </c>
      <c r="H155" s="11">
        <v>379857.78080000001</v>
      </c>
      <c r="I155" s="11">
        <v>361279.7585</v>
      </c>
      <c r="J155" s="11">
        <v>297345.39449999999</v>
      </c>
      <c r="K155" s="11">
        <v>331319.20929999999</v>
      </c>
      <c r="L155" s="11">
        <v>435788.14049999998</v>
      </c>
      <c r="M155" s="11">
        <v>431239.46519999998</v>
      </c>
      <c r="N155" s="11">
        <v>383534.5624</v>
      </c>
      <c r="O155" s="11">
        <v>292371.06630000001</v>
      </c>
      <c r="P155" s="21">
        <f t="shared" si="35"/>
        <v>1988797.6497</v>
      </c>
      <c r="Q155" s="21">
        <f t="shared" si="36"/>
        <v>2171597.8381999996</v>
      </c>
    </row>
    <row r="156" spans="2:17" ht="14" x14ac:dyDescent="0.15">
      <c r="B156" s="5" t="s">
        <v>109</v>
      </c>
      <c r="C156" s="6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21">
        <f t="shared" si="35"/>
        <v>0</v>
      </c>
      <c r="Q156" s="21">
        <f t="shared" si="36"/>
        <v>0</v>
      </c>
    </row>
    <row r="157" spans="2:17" ht="14" x14ac:dyDescent="0.15">
      <c r="B157" s="5" t="s">
        <v>110</v>
      </c>
      <c r="C157" s="6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21">
        <f t="shared" si="35"/>
        <v>0</v>
      </c>
      <c r="Q157" s="21">
        <f t="shared" si="36"/>
        <v>0</v>
      </c>
    </row>
    <row r="158" spans="2:17" ht="14" x14ac:dyDescent="0.15">
      <c r="B158" s="5" t="s">
        <v>111</v>
      </c>
      <c r="C158" s="6">
        <v>1033052.7971</v>
      </c>
      <c r="D158" s="8">
        <v>63797.548799999997</v>
      </c>
      <c r="E158" s="8">
        <v>73127.054499999998</v>
      </c>
      <c r="F158" s="8">
        <v>97560.515899999999</v>
      </c>
      <c r="G158" s="8">
        <v>76822.732000000004</v>
      </c>
      <c r="H158" s="8">
        <v>94280.077300000004</v>
      </c>
      <c r="I158" s="8">
        <v>89524.496700000003</v>
      </c>
      <c r="J158" s="8">
        <v>73869.464900000006</v>
      </c>
      <c r="K158" s="8">
        <v>82613.762000000002</v>
      </c>
      <c r="L158" s="8">
        <v>106454.5512</v>
      </c>
      <c r="M158" s="8">
        <v>106889.50629999999</v>
      </c>
      <c r="N158" s="8">
        <v>94884.040699999998</v>
      </c>
      <c r="O158" s="8">
        <v>73229.046799999996</v>
      </c>
      <c r="P158" s="21">
        <f t="shared" si="35"/>
        <v>495112.4252</v>
      </c>
      <c r="Q158" s="21">
        <f t="shared" si="36"/>
        <v>537940.37190000003</v>
      </c>
    </row>
    <row r="159" spans="2:17" ht="14" x14ac:dyDescent="0.15">
      <c r="B159" s="5" t="s">
        <v>112</v>
      </c>
      <c r="C159" s="6">
        <v>2418669.0238000001</v>
      </c>
      <c r="D159" s="8">
        <v>150337.35329999999</v>
      </c>
      <c r="E159" s="8">
        <v>171866.75409999999</v>
      </c>
      <c r="F159" s="8">
        <v>230236.8841</v>
      </c>
      <c r="G159" s="8">
        <v>177410.19149999999</v>
      </c>
      <c r="H159" s="8">
        <v>219844.9534</v>
      </c>
      <c r="I159" s="8">
        <v>207896.75529999999</v>
      </c>
      <c r="J159" s="8">
        <v>169280.7035</v>
      </c>
      <c r="K159" s="8">
        <v>188180.58780000001</v>
      </c>
      <c r="L159" s="8">
        <v>252314.79370000001</v>
      </c>
      <c r="M159" s="8">
        <v>252575.04209999999</v>
      </c>
      <c r="N159" s="8">
        <v>227133.1023</v>
      </c>
      <c r="O159" s="8">
        <v>171591.90270000001</v>
      </c>
      <c r="P159" s="21">
        <f t="shared" si="35"/>
        <v>1157592.8917</v>
      </c>
      <c r="Q159" s="21">
        <f t="shared" si="36"/>
        <v>1261076.1321</v>
      </c>
    </row>
    <row r="160" spans="2:17" ht="14" x14ac:dyDescent="0.15">
      <c r="B160" s="5" t="s">
        <v>113</v>
      </c>
      <c r="C160" s="6">
        <v>3127342.6905999999</v>
      </c>
      <c r="D160" s="8">
        <v>190352.26629999999</v>
      </c>
      <c r="E160" s="8">
        <v>221026.11989999999</v>
      </c>
      <c r="F160" s="8">
        <v>294299.03989999997</v>
      </c>
      <c r="G160" s="8">
        <v>230674.83249999999</v>
      </c>
      <c r="H160" s="8">
        <v>285577.7035</v>
      </c>
      <c r="I160" s="8">
        <v>271755.26179999998</v>
      </c>
      <c r="J160" s="8">
        <v>223475.9295</v>
      </c>
      <c r="K160" s="8">
        <v>248705.44769999999</v>
      </c>
      <c r="L160" s="8">
        <v>329333.5894</v>
      </c>
      <c r="M160" s="8">
        <v>324349.95909999998</v>
      </c>
      <c r="N160" s="8">
        <v>288650.52159999998</v>
      </c>
      <c r="O160" s="8">
        <v>219142.01939999999</v>
      </c>
      <c r="P160" s="21">
        <f t="shared" si="35"/>
        <v>1493685.2238999999</v>
      </c>
      <c r="Q160" s="21">
        <f t="shared" si="36"/>
        <v>1633657.4667000002</v>
      </c>
    </row>
    <row r="161" spans="2:17" ht="14" x14ac:dyDescent="0.15">
      <c r="B161" s="5" t="s">
        <v>114</v>
      </c>
      <c r="C161" s="6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21">
        <f t="shared" si="35"/>
        <v>0</v>
      </c>
      <c r="Q161" s="21">
        <f t="shared" si="36"/>
        <v>0</v>
      </c>
    </row>
    <row r="162" spans="2:17" ht="14" x14ac:dyDescent="0.15">
      <c r="B162" s="10" t="s">
        <v>115</v>
      </c>
      <c r="C162" s="15">
        <v>5421528.3071999997</v>
      </c>
      <c r="D162" s="11">
        <v>321800.78100000002</v>
      </c>
      <c r="E162" s="11">
        <v>370816.67839999998</v>
      </c>
      <c r="F162" s="11">
        <v>508313.2303</v>
      </c>
      <c r="G162" s="11">
        <v>396081.39390000002</v>
      </c>
      <c r="H162" s="11">
        <v>509182.45970000001</v>
      </c>
      <c r="I162" s="11">
        <v>469049.60749999998</v>
      </c>
      <c r="J162" s="11">
        <v>398502.1655</v>
      </c>
      <c r="K162" s="11">
        <v>442441.45130000002</v>
      </c>
      <c r="L162" s="11">
        <v>559171.65119999996</v>
      </c>
      <c r="M162" s="11">
        <v>572548.69310000003</v>
      </c>
      <c r="N162" s="11">
        <v>490725.74449999997</v>
      </c>
      <c r="O162" s="11">
        <v>382894.45079999999</v>
      </c>
      <c r="P162" s="21">
        <f t="shared" si="35"/>
        <v>2575244.1507999999</v>
      </c>
      <c r="Q162" s="21">
        <f t="shared" si="36"/>
        <v>2846284.1563999997</v>
      </c>
    </row>
    <row r="163" spans="2:17" ht="14" x14ac:dyDescent="0.15">
      <c r="B163" s="5" t="s">
        <v>116</v>
      </c>
      <c r="C163" s="6">
        <v>2502065.3531999998</v>
      </c>
      <c r="D163" s="8">
        <v>144249.6324</v>
      </c>
      <c r="E163" s="8">
        <v>167507.98199999999</v>
      </c>
      <c r="F163" s="8">
        <v>237601.2395</v>
      </c>
      <c r="G163" s="8">
        <v>179874.04180000001</v>
      </c>
      <c r="H163" s="8">
        <v>235614.09349999999</v>
      </c>
      <c r="I163" s="8">
        <v>217667.42389999999</v>
      </c>
      <c r="J163" s="8">
        <v>183219.5269</v>
      </c>
      <c r="K163" s="8">
        <v>204950.99609999999</v>
      </c>
      <c r="L163" s="8">
        <v>261490.61489999999</v>
      </c>
      <c r="M163" s="8">
        <v>270150.91230000003</v>
      </c>
      <c r="N163" s="8">
        <v>226947.76240000001</v>
      </c>
      <c r="O163" s="8">
        <v>172791.1275</v>
      </c>
      <c r="P163" s="21">
        <f t="shared" si="35"/>
        <v>1182514.4131</v>
      </c>
      <c r="Q163" s="21">
        <f t="shared" si="36"/>
        <v>1319550.9400999998</v>
      </c>
    </row>
    <row r="164" spans="2:17" ht="14" x14ac:dyDescent="0.15">
      <c r="B164" s="5" t="s">
        <v>117</v>
      </c>
      <c r="C164" s="6">
        <v>1755859.2709999999</v>
      </c>
      <c r="D164" s="8">
        <v>102437.7404</v>
      </c>
      <c r="E164" s="8">
        <v>119315.4513</v>
      </c>
      <c r="F164" s="8">
        <v>167411.33689999999</v>
      </c>
      <c r="G164" s="8">
        <v>126269.8051</v>
      </c>
      <c r="H164" s="8">
        <v>164536.08199999999</v>
      </c>
      <c r="I164" s="8">
        <v>151240.5533</v>
      </c>
      <c r="J164" s="8">
        <v>126618.88069999999</v>
      </c>
      <c r="K164" s="8">
        <v>141832.37330000001</v>
      </c>
      <c r="L164" s="8">
        <v>183333.52290000001</v>
      </c>
      <c r="M164" s="8">
        <v>189808.1385</v>
      </c>
      <c r="N164" s="8">
        <v>160826.73800000001</v>
      </c>
      <c r="O164" s="8">
        <v>122228.6486</v>
      </c>
      <c r="P164" s="21">
        <f t="shared" si="35"/>
        <v>831210.96900000004</v>
      </c>
      <c r="Q164" s="21">
        <f t="shared" si="36"/>
        <v>924648.30200000003</v>
      </c>
    </row>
    <row r="165" spans="2:17" ht="14" x14ac:dyDescent="0.15">
      <c r="B165" s="5" t="s">
        <v>118</v>
      </c>
      <c r="C165" s="6">
        <v>592089.2746</v>
      </c>
      <c r="D165" s="8">
        <v>41108.1466</v>
      </c>
      <c r="E165" s="8">
        <v>43713.8151</v>
      </c>
      <c r="F165" s="8">
        <v>50105.742200000001</v>
      </c>
      <c r="G165" s="8">
        <v>47175.474999999999</v>
      </c>
      <c r="H165" s="8">
        <v>56055.0746</v>
      </c>
      <c r="I165" s="8">
        <v>50117.468500000003</v>
      </c>
      <c r="J165" s="8">
        <v>47691.346299999997</v>
      </c>
      <c r="K165" s="8">
        <v>51111.215300000003</v>
      </c>
      <c r="L165" s="8">
        <v>54698.928200000002</v>
      </c>
      <c r="M165" s="8">
        <v>53294.206700000002</v>
      </c>
      <c r="N165" s="8">
        <v>50259.500399999997</v>
      </c>
      <c r="O165" s="8">
        <v>46758.3557</v>
      </c>
      <c r="P165" s="21">
        <f t="shared" si="35"/>
        <v>288275.72200000001</v>
      </c>
      <c r="Q165" s="21">
        <f t="shared" si="36"/>
        <v>303813.5526</v>
      </c>
    </row>
    <row r="166" spans="2:17" ht="14" x14ac:dyDescent="0.15">
      <c r="B166" s="5" t="s">
        <v>119</v>
      </c>
      <c r="C166" s="6">
        <v>571514.40899999999</v>
      </c>
      <c r="D166" s="8">
        <v>34005.2618</v>
      </c>
      <c r="E166" s="8">
        <v>40279.430200000003</v>
      </c>
      <c r="F166" s="8">
        <v>53194.911800000002</v>
      </c>
      <c r="G166" s="8">
        <v>42762.072</v>
      </c>
      <c r="H166" s="8">
        <v>52977.209600000002</v>
      </c>
      <c r="I166" s="8">
        <v>50024.161800000002</v>
      </c>
      <c r="J166" s="8">
        <v>40972.411599999999</v>
      </c>
      <c r="K166" s="8">
        <v>44546.866699999999</v>
      </c>
      <c r="L166" s="8">
        <v>59648.585099999997</v>
      </c>
      <c r="M166" s="8">
        <v>59295.435599999997</v>
      </c>
      <c r="N166" s="8">
        <v>52691.743699999999</v>
      </c>
      <c r="O166" s="8">
        <v>41116.319100000001</v>
      </c>
      <c r="P166" s="21">
        <f t="shared" si="35"/>
        <v>273243.04720000003</v>
      </c>
      <c r="Q166" s="21">
        <f t="shared" si="36"/>
        <v>298271.36180000001</v>
      </c>
    </row>
    <row r="168" spans="2:17" ht="14" x14ac:dyDescent="0.15">
      <c r="B168" t="s">
        <v>120</v>
      </c>
    </row>
    <row r="171" spans="2:17" ht="14" x14ac:dyDescent="0.15">
      <c r="B171" s="180" t="s">
        <v>331</v>
      </c>
      <c r="C171" s="51">
        <f t="shared" ref="C171:I171" si="37">+C11</f>
        <v>121988476.0851</v>
      </c>
      <c r="D171" s="51">
        <f t="shared" si="37"/>
        <v>7240087.3559999997</v>
      </c>
      <c r="E171" s="51">
        <f t="shared" si="37"/>
        <v>8314846.3295</v>
      </c>
      <c r="F171" s="51">
        <f t="shared" si="37"/>
        <v>11118560.569499999</v>
      </c>
      <c r="G171" s="51">
        <f t="shared" si="37"/>
        <v>8842420.0604999997</v>
      </c>
      <c r="H171" s="51">
        <f t="shared" si="37"/>
        <v>11077677.168</v>
      </c>
      <c r="I171" s="51">
        <f t="shared" si="37"/>
        <v>10908122.016799999</v>
      </c>
    </row>
    <row r="172" spans="2:17" ht="14" x14ac:dyDescent="0.15">
      <c r="B172" s="180" t="s">
        <v>106</v>
      </c>
      <c r="C172" s="51">
        <f t="shared" ref="C172:I172" si="38">+C153</f>
        <v>-3120046.0556000001</v>
      </c>
      <c r="D172" s="51">
        <f t="shared" si="38"/>
        <v>-2284871.9229000001</v>
      </c>
      <c r="E172" s="51">
        <f t="shared" si="38"/>
        <v>-1763626.8844000001</v>
      </c>
      <c r="F172" s="51">
        <f t="shared" si="38"/>
        <v>-132297.0802</v>
      </c>
      <c r="G172" s="51">
        <f t="shared" si="38"/>
        <v>-1139371.9183</v>
      </c>
      <c r="H172" s="51">
        <f t="shared" si="38"/>
        <v>565331.26379999996</v>
      </c>
      <c r="I172" s="51">
        <f t="shared" si="38"/>
        <v>130761.9553</v>
      </c>
    </row>
    <row r="173" spans="2:17" ht="14" x14ac:dyDescent="0.15">
      <c r="B173" s="180" t="s">
        <v>317</v>
      </c>
      <c r="C173" s="51">
        <f t="shared" ref="C173:I173" si="39">+C171-C172</f>
        <v>125108522.1407</v>
      </c>
      <c r="D173" s="51">
        <f t="shared" si="39"/>
        <v>9524959.2788999993</v>
      </c>
      <c r="E173" s="51">
        <f t="shared" si="39"/>
        <v>10078473.2139</v>
      </c>
      <c r="F173" s="51">
        <f t="shared" si="39"/>
        <v>11250857.649699999</v>
      </c>
      <c r="G173" s="51">
        <f t="shared" si="39"/>
        <v>9981791.9787999988</v>
      </c>
      <c r="H173" s="51">
        <f t="shared" si="39"/>
        <v>10512345.904199999</v>
      </c>
      <c r="I173" s="51">
        <f t="shared" si="39"/>
        <v>10777360.0615</v>
      </c>
    </row>
    <row r="174" spans="2:17" ht="14" x14ac:dyDescent="0.15">
      <c r="B174" s="180" t="s">
        <v>178</v>
      </c>
      <c r="C174" s="51">
        <f t="shared" ref="C174:I174" si="40">-C12*(1-$D$7)</f>
        <v>-41390527.637336262</v>
      </c>
      <c r="D174" s="51">
        <f t="shared" si="40"/>
        <v>-3341458.1582000004</v>
      </c>
      <c r="E174" s="51">
        <f t="shared" si="40"/>
        <v>-3443895.8641505889</v>
      </c>
      <c r="F174" s="51">
        <f t="shared" si="40"/>
        <v>-3565581.7220299207</v>
      </c>
      <c r="G174" s="51">
        <f t="shared" si="40"/>
        <v>-3388882.5373933469</v>
      </c>
      <c r="H174" s="51">
        <f t="shared" si="40"/>
        <v>-3469534.800111745</v>
      </c>
      <c r="I174" s="51">
        <f t="shared" si="40"/>
        <v>-3558860.4538688804</v>
      </c>
    </row>
    <row r="175" spans="2:17" ht="14" x14ac:dyDescent="0.15">
      <c r="B175" s="180" t="s">
        <v>94</v>
      </c>
      <c r="C175" s="51">
        <f t="shared" ref="C175:I175" si="41">-C136</f>
        <v>-25973945.7062</v>
      </c>
      <c r="D175" s="51">
        <f t="shared" si="41"/>
        <v>-2093637.0789999999</v>
      </c>
      <c r="E175" s="51">
        <f t="shared" si="41"/>
        <v>-2097315.5164000001</v>
      </c>
      <c r="F175" s="51">
        <f t="shared" si="41"/>
        <v>-2288177.0671999999</v>
      </c>
      <c r="G175" s="51">
        <f t="shared" si="41"/>
        <v>-2081749.4635999999</v>
      </c>
      <c r="H175" s="51">
        <f t="shared" si="41"/>
        <v>-2184774.4602000001</v>
      </c>
      <c r="I175" s="51">
        <f t="shared" si="41"/>
        <v>-2097658.7637999998</v>
      </c>
    </row>
    <row r="176" spans="2:17" ht="14" x14ac:dyDescent="0.15">
      <c r="B176" s="180" t="s">
        <v>318</v>
      </c>
      <c r="C176" s="51">
        <f t="shared" ref="C176:I176" si="42">SUM(C173:C175)</f>
        <v>57744048.797163725</v>
      </c>
      <c r="D176" s="51">
        <f t="shared" si="42"/>
        <v>4089864.041699999</v>
      </c>
      <c r="E176" s="51">
        <f t="shared" si="42"/>
        <v>4537261.8333494104</v>
      </c>
      <c r="F176" s="51">
        <f t="shared" si="42"/>
        <v>5397098.8604700789</v>
      </c>
      <c r="G176" s="51">
        <f t="shared" si="42"/>
        <v>4511159.977806652</v>
      </c>
      <c r="H176" s="51">
        <f t="shared" si="42"/>
        <v>4858036.6438882537</v>
      </c>
      <c r="I176" s="51">
        <f t="shared" si="42"/>
        <v>5120840.8438311191</v>
      </c>
    </row>
    <row r="177" spans="2:9" x14ac:dyDescent="0.15">
      <c r="C177" s="51"/>
      <c r="D177" s="51"/>
      <c r="E177" s="51"/>
      <c r="F177" s="51"/>
      <c r="G177" s="51"/>
      <c r="H177" s="51"/>
      <c r="I177" s="51"/>
    </row>
    <row r="178" spans="2:9" ht="14" x14ac:dyDescent="0.15">
      <c r="B178" t="s">
        <v>332</v>
      </c>
      <c r="C178" s="51">
        <f>SUM(Oberstaufen:Wiesensee!C176)</f>
        <v>6595142.7778000003</v>
      </c>
      <c r="D178" s="51">
        <f>SUM(Oberstaufen:Wiesensee!D176)</f>
        <v>445032.35999999993</v>
      </c>
      <c r="E178" s="51">
        <f>SUM(Oberstaufen:Wiesensee!E176)</f>
        <v>475707.64000000007</v>
      </c>
      <c r="F178" s="51">
        <f>SUM(Oberstaufen:Wiesensee!F176)</f>
        <v>453810.78</v>
      </c>
      <c r="G178" s="51">
        <f>SUM(Oberstaufen:Wiesensee!G176)</f>
        <v>558526.59</v>
      </c>
      <c r="H178" s="51">
        <f>SUM(Oberstaufen:Wiesensee!H176)</f>
        <v>606103.17810000014</v>
      </c>
      <c r="I178" s="51">
        <f>SUM(Oberstaufen:Wiesensee!I176)</f>
        <v>681215.0756000001</v>
      </c>
    </row>
    <row r="179" spans="2:9" x14ac:dyDescent="0.15">
      <c r="D179" s="210">
        <f t="shared" ref="D179:I179" si="43">+D178/D176</f>
        <v>0.1088134851091571</v>
      </c>
      <c r="E179" s="210">
        <f t="shared" si="43"/>
        <v>0.104844652451726</v>
      </c>
      <c r="F179" s="210">
        <f t="shared" si="43"/>
        <v>8.4084207410733594E-2</v>
      </c>
      <c r="G179" s="210">
        <f t="shared" si="43"/>
        <v>0.12380997188034958</v>
      </c>
      <c r="H179" s="210">
        <f t="shared" si="43"/>
        <v>0.1247629901809242</v>
      </c>
      <c r="I179" s="210">
        <f t="shared" si="43"/>
        <v>0.13302797262692392</v>
      </c>
    </row>
    <row r="181" spans="2:9" ht="28" x14ac:dyDescent="0.15">
      <c r="B181" t="s">
        <v>333</v>
      </c>
      <c r="D181" s="211">
        <f>+D176-D178</f>
        <v>3644831.6816999991</v>
      </c>
      <c r="E181" s="211">
        <f t="shared" ref="E181:H181" si="44">+E176-E178</f>
        <v>4061554.1933494103</v>
      </c>
      <c r="F181" s="211">
        <f t="shared" si="44"/>
        <v>4943288.0804700786</v>
      </c>
      <c r="G181" s="211">
        <f t="shared" si="44"/>
        <v>3952633.3878066521</v>
      </c>
      <c r="H181" s="211">
        <f t="shared" si="44"/>
        <v>4251933.4657882536</v>
      </c>
      <c r="I181" s="211">
        <f t="shared" ref="I181" si="45">+I176-I178</f>
        <v>4439625.768231119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DB17-C2EF-4D60-BDA0-550213F93553}">
  <dimension ref="A2:R38"/>
  <sheetViews>
    <sheetView workbookViewId="0">
      <selection activeCell="E29" sqref="E29"/>
    </sheetView>
  </sheetViews>
  <sheetFormatPr baseColWidth="10" defaultColWidth="9.1640625" defaultRowHeight="13" outlineLevelRow="1" x14ac:dyDescent="0.15"/>
  <cols>
    <col min="1" max="1" width="19.6640625" customWidth="1"/>
    <col min="2" max="2" width="12.33203125" customWidth="1"/>
    <col min="3" max="5" width="15.6640625" bestFit="1" customWidth="1"/>
    <col min="6" max="6" width="14.1640625" bestFit="1" customWidth="1"/>
    <col min="7" max="7" width="15.6640625" bestFit="1" customWidth="1"/>
    <col min="8" max="9" width="13.33203125" bestFit="1" customWidth="1"/>
    <col min="10" max="10" width="14.1640625" bestFit="1" customWidth="1"/>
    <col min="11" max="11" width="13.33203125" bestFit="1" customWidth="1"/>
    <col min="12" max="13" width="14.83203125" bestFit="1" customWidth="1"/>
    <col min="14" max="14" width="14.1640625" bestFit="1" customWidth="1"/>
    <col min="15" max="16" width="15.6640625" bestFit="1" customWidth="1"/>
    <col min="17" max="17" width="14.83203125" bestFit="1" customWidth="1"/>
  </cols>
  <sheetData>
    <row r="2" spans="1:17" ht="28" x14ac:dyDescent="0.15"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30" t="s">
        <v>125</v>
      </c>
      <c r="Q2" s="30" t="s">
        <v>122</v>
      </c>
    </row>
    <row r="3" spans="1:17" s="27" customFormat="1" ht="14" hidden="1" outlineLevel="1" x14ac:dyDescent="0.15">
      <c r="A3" s="28" t="s">
        <v>123</v>
      </c>
      <c r="B3" s="29" t="s">
        <v>124</v>
      </c>
      <c r="C3" s="31">
        <f>'Budget 25 LH AG'!C11</f>
        <v>121988476.0851</v>
      </c>
      <c r="D3" s="31">
        <f>'Budget 25 LH AG'!D11</f>
        <v>7240087.3559999997</v>
      </c>
      <c r="E3" s="31">
        <f>'Budget 25 LH AG'!E11</f>
        <v>8314846.3295</v>
      </c>
      <c r="F3" s="31">
        <f>'Budget 25 LH AG'!F11</f>
        <v>11118560.569499999</v>
      </c>
      <c r="G3" s="31">
        <f>'Budget 25 LH AG'!G11</f>
        <v>8842420.0604999997</v>
      </c>
      <c r="H3" s="31">
        <f>'Budget 25 LH AG'!H11</f>
        <v>11077677.168</v>
      </c>
      <c r="I3" s="31">
        <f>'Budget 25 LH AG'!I11</f>
        <v>10908122.016799999</v>
      </c>
      <c r="J3" s="31">
        <f>'Budget 25 LH AG'!J11</f>
        <v>9390566.3160999995</v>
      </c>
      <c r="K3" s="31">
        <f>'Budget 25 LH AG'!K11</f>
        <v>10250151.282600001</v>
      </c>
      <c r="L3" s="31">
        <f>'Budget 25 LH AG'!L11</f>
        <v>12897675.805299999</v>
      </c>
      <c r="M3" s="31">
        <f>'Budget 25 LH AG'!M11</f>
        <v>12387225.269400001</v>
      </c>
      <c r="N3" s="31">
        <f>'Budget 25 LH AG'!N11</f>
        <v>10794718.781199999</v>
      </c>
      <c r="O3" s="31">
        <f>'Budget 25 LH AG'!O11</f>
        <v>8766425.1302000005</v>
      </c>
      <c r="P3" s="31">
        <f>'Budget 25 LH AG'!P11</f>
        <v>57501713.500299998</v>
      </c>
      <c r="Q3" s="31">
        <f>'Budget 25 LH AG'!Q11</f>
        <v>64486762.584799998</v>
      </c>
    </row>
    <row r="4" spans="1:17" s="27" customFormat="1" ht="14" hidden="1" outlineLevel="1" x14ac:dyDescent="0.15">
      <c r="A4" s="28"/>
      <c r="B4" s="29" t="s">
        <v>128</v>
      </c>
      <c r="C4" s="31">
        <f>'Hotels Only'!C11</f>
        <v>93365066.829699993</v>
      </c>
      <c r="D4" s="31">
        <f>'Hotels Only'!D11</f>
        <v>5324462.53</v>
      </c>
      <c r="E4" s="31">
        <f>'Hotels Only'!E11</f>
        <v>6311402.4699999997</v>
      </c>
      <c r="F4" s="31">
        <f>'Hotels Only'!F11</f>
        <v>8569487.6699999999</v>
      </c>
      <c r="G4" s="31">
        <f>'Hotels Only'!G11</f>
        <v>6313744.0499999998</v>
      </c>
      <c r="H4" s="31">
        <f>'Hotels Only'!H11</f>
        <v>8687115.6600000001</v>
      </c>
      <c r="I4" s="31">
        <f>'Hotels Only'!I11</f>
        <v>7353274.8399999999</v>
      </c>
      <c r="J4" s="31">
        <f>'Hotels Only'!J11</f>
        <v>6427992.7048000004</v>
      </c>
      <c r="K4" s="31">
        <f>'Hotels Only'!K11</f>
        <v>7105821.2424999997</v>
      </c>
      <c r="L4" s="31">
        <f>'Hotels Only'!L11</f>
        <v>10549865.398399999</v>
      </c>
      <c r="M4" s="31">
        <f>'Hotels Only'!M11</f>
        <v>10432178.8453</v>
      </c>
      <c r="N4" s="31">
        <f>'Hotels Only'!N11</f>
        <v>9491176.3024000004</v>
      </c>
      <c r="O4" s="31">
        <f>'Hotels Only'!O11</f>
        <v>6798545.1162999999</v>
      </c>
      <c r="P4" s="31">
        <f>SUM(D4:I4)</f>
        <v>42559487.219999999</v>
      </c>
      <c r="Q4" s="31">
        <f>SUM(E4:J4)</f>
        <v>43663017.3948</v>
      </c>
    </row>
    <row r="5" spans="1:17" s="27" customFormat="1" ht="14" hidden="1" outlineLevel="1" x14ac:dyDescent="0.15">
      <c r="A5" s="28"/>
      <c r="B5" s="29" t="s">
        <v>130</v>
      </c>
      <c r="C5" s="31">
        <f>'HQ only'!C11</f>
        <v>15256234.3805</v>
      </c>
      <c r="D5" s="31">
        <f>'HQ only'!D11</f>
        <v>552614.44999999995</v>
      </c>
      <c r="E5" s="31">
        <f>'HQ only'!E11</f>
        <v>528587.06000000006</v>
      </c>
      <c r="F5" s="31">
        <f>'HQ only'!F11</f>
        <v>1070582.96</v>
      </c>
      <c r="G5" s="31">
        <f>'HQ only'!G11</f>
        <v>610468.18000000005</v>
      </c>
      <c r="H5" s="31">
        <f>'HQ only'!H11</f>
        <v>1537438.9</v>
      </c>
      <c r="I5" s="31">
        <f>'HQ only'!I11</f>
        <v>1012045.73</v>
      </c>
      <c r="J5" s="31">
        <f>'HQ only'!J11</f>
        <v>1924757.9398000001</v>
      </c>
      <c r="K5" s="31">
        <f>'HQ only'!K11</f>
        <v>1942110.5708000001</v>
      </c>
      <c r="L5" s="31">
        <f>'HQ only'!L11</f>
        <v>1900916.1665000001</v>
      </c>
      <c r="M5" s="31">
        <f>'HQ only'!M11</f>
        <v>1561011.1294</v>
      </c>
      <c r="N5" s="31">
        <f>'HQ only'!N11</f>
        <v>1160767.0135999999</v>
      </c>
      <c r="O5" s="31">
        <f>'HQ only'!O11</f>
        <v>1454934.2804</v>
      </c>
      <c r="P5" s="31">
        <f>SUM(D5:I5)</f>
        <v>5311737.2799999993</v>
      </c>
      <c r="Q5" s="31">
        <f>SUM(E5:J5)</f>
        <v>6683880.7697999999</v>
      </c>
    </row>
    <row r="6" spans="1:17" s="27" customFormat="1" hidden="1" outlineLevel="1" x14ac:dyDescent="0.15">
      <c r="A6" s="28"/>
      <c r="B6" s="29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spans="1:17" s="27" customFormat="1" hidden="1" outlineLevel="1" x14ac:dyDescent="0.15">
      <c r="A7" s="28"/>
      <c r="B7" s="29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s="27" customFormat="1" hidden="1" outlineLevel="1" x14ac:dyDescent="0.15">
      <c r="A8" s="28"/>
      <c r="B8" s="29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spans="1:17" s="27" customFormat="1" hidden="1" outlineLevel="1" x14ac:dyDescent="0.15">
      <c r="A9" s="28"/>
      <c r="B9" s="29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s="27" customFormat="1" hidden="1" outlineLevel="1" x14ac:dyDescent="0.15">
      <c r="A10" s="28"/>
      <c r="B10" s="29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s="27" customFormat="1" hidden="1" outlineLevel="1" x14ac:dyDescent="0.15">
      <c r="A11" s="28"/>
      <c r="B11" s="29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s="27" customFormat="1" hidden="1" outlineLevel="1" x14ac:dyDescent="0.15">
      <c r="A12" s="28"/>
      <c r="B12" s="29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s="27" customFormat="1" hidden="1" outlineLevel="1" x14ac:dyDescent="0.15">
      <c r="A13" s="28"/>
      <c r="B13" s="29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s="27" customFormat="1" hidden="1" outlineLevel="1" x14ac:dyDescent="0.15">
      <c r="A14" s="28"/>
      <c r="B14" s="29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 spans="1:17" s="27" customFormat="1" hidden="1" outlineLevel="1" x14ac:dyDescent="0.15">
      <c r="A15" s="28"/>
      <c r="B15" s="29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1:17" s="27" customFormat="1" hidden="1" outlineLevel="1" x14ac:dyDescent="0.15">
      <c r="A16" s="28"/>
      <c r="B16" s="29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spans="1:18" s="27" customFormat="1" hidden="1" outlineLevel="1" x14ac:dyDescent="0.15">
      <c r="A17" s="28"/>
      <c r="B17" s="29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 spans="1:18" s="27" customFormat="1" hidden="1" outlineLevel="1" x14ac:dyDescent="0.15">
      <c r="A18" s="28"/>
      <c r="B18" s="29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spans="1:18" s="27" customFormat="1" hidden="1" outlineLevel="1" x14ac:dyDescent="0.15">
      <c r="A19" s="28"/>
      <c r="B19" s="29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spans="1:18" s="27" customFormat="1" hidden="1" outlineLevel="1" x14ac:dyDescent="0.15">
      <c r="A20" s="28"/>
      <c r="B20" s="29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1:18" s="27" customFormat="1" collapsed="1" x14ac:dyDescent="0.15">
      <c r="A21" s="28"/>
      <c r="B21" s="29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8" s="24" customFormat="1" ht="14" x14ac:dyDescent="0.15">
      <c r="A22" s="361" t="s">
        <v>106</v>
      </c>
      <c r="B22" s="25" t="s">
        <v>106</v>
      </c>
      <c r="C22" s="26">
        <v>-3120046.0556000001</v>
      </c>
      <c r="D22" s="26">
        <v>-2284871.9229000001</v>
      </c>
      <c r="E22" s="26">
        <v>-1763626.8844000001</v>
      </c>
      <c r="F22" s="26">
        <v>-132297.0802</v>
      </c>
      <c r="G22" s="26">
        <v>-1139371.9183</v>
      </c>
      <c r="H22" s="26">
        <v>565331.26379999996</v>
      </c>
      <c r="I22" s="26">
        <v>130761.9553</v>
      </c>
      <c r="J22" s="26">
        <v>-312855.83350000001</v>
      </c>
      <c r="K22" s="26">
        <v>214147.40710000001</v>
      </c>
      <c r="L22" s="26">
        <v>1635199.2152</v>
      </c>
      <c r="M22" s="26">
        <v>1381083.3795</v>
      </c>
      <c r="N22" s="26">
        <v>-116049.9618</v>
      </c>
      <c r="O22" s="26">
        <v>-1297495.6754000001</v>
      </c>
      <c r="P22" s="32">
        <f t="shared" ref="P22" si="0">SUM(D22:I22)</f>
        <v>-4624074.5867000008</v>
      </c>
      <c r="Q22" s="32">
        <f t="shared" ref="Q22" si="1">SUM(J22:O22)</f>
        <v>1504028.5310999998</v>
      </c>
    </row>
    <row r="23" spans="1:18" ht="28" x14ac:dyDescent="0.15">
      <c r="A23" s="362"/>
      <c r="B23" s="47" t="s">
        <v>129</v>
      </c>
      <c r="C23" s="49">
        <f>'Hotels Only'!C153</f>
        <v>-5924419.9073000001</v>
      </c>
      <c r="D23" s="49">
        <f>'Hotels Only'!D153</f>
        <v>-2118525.13</v>
      </c>
      <c r="E23" s="49">
        <f>'Hotels Only'!E153</f>
        <v>-1714838.87</v>
      </c>
      <c r="F23" s="49">
        <f>'Hotels Only'!F153</f>
        <v>478508.93</v>
      </c>
      <c r="G23" s="49">
        <f>'Hotels Only'!G153</f>
        <v>-1661239.71</v>
      </c>
      <c r="H23" s="49">
        <f>'Hotels Only'!H153</f>
        <v>247414.62</v>
      </c>
      <c r="I23" s="49">
        <f>'Hotels Only'!I153</f>
        <v>-564157.19999999995</v>
      </c>
      <c r="J23" s="49">
        <f>'Hotels Only'!J153</f>
        <v>-1373154.7826</v>
      </c>
      <c r="K23" s="49">
        <f>'Hotels Only'!K153</f>
        <v>-911852.55110000004</v>
      </c>
      <c r="L23" s="49">
        <f>'Hotels Only'!L153</f>
        <v>1119421.9393</v>
      </c>
      <c r="M23" s="49">
        <f>'Hotels Only'!M153</f>
        <v>1188886.6211999999</v>
      </c>
      <c r="N23" s="49">
        <f>'Hotels Only'!N153</f>
        <v>382855.95380000002</v>
      </c>
      <c r="O23" s="49">
        <f>'Hotels Only'!O153</f>
        <v>-997739.72790000006</v>
      </c>
      <c r="P23" s="50">
        <f t="shared" ref="P23:P24" si="2">SUM(D23:I23)</f>
        <v>-5332837.3599999994</v>
      </c>
      <c r="Q23" s="50">
        <f t="shared" ref="Q23:Q24" si="3">SUM(J23:O23)</f>
        <v>-591582.54730000044</v>
      </c>
    </row>
    <row r="24" spans="1:18" ht="14" x14ac:dyDescent="0.15">
      <c r="A24" s="362"/>
      <c r="B24" s="47" t="s">
        <v>133</v>
      </c>
      <c r="C24" s="49">
        <f>'HQ only'!C153</f>
        <v>-4193451.4056000002</v>
      </c>
      <c r="D24" s="49">
        <f>'HQ only'!D153</f>
        <v>-468777.36</v>
      </c>
      <c r="E24" s="49">
        <f>'HQ only'!E153</f>
        <v>-1268229.6499999999</v>
      </c>
      <c r="F24" s="49">
        <f>'HQ only'!F153</f>
        <v>-1457014.04</v>
      </c>
      <c r="G24" s="49">
        <f>'HQ only'!G153</f>
        <v>-483166.92</v>
      </c>
      <c r="H24" s="49">
        <f>'HQ only'!H153</f>
        <v>-24692.400000000001</v>
      </c>
      <c r="I24" s="49">
        <f>'HQ only'!I153</f>
        <v>-722683.22</v>
      </c>
      <c r="J24" s="49">
        <f>'HQ only'!J153</f>
        <v>405271.35379999998</v>
      </c>
      <c r="K24" s="49">
        <f>'HQ only'!K153</f>
        <v>336489.1765</v>
      </c>
      <c r="L24" s="49">
        <f>'HQ only'!L153</f>
        <v>276346.23700000002</v>
      </c>
      <c r="M24" s="49">
        <f>'HQ only'!M153</f>
        <v>68890.861799999999</v>
      </c>
      <c r="N24" s="49">
        <f>'HQ only'!N153</f>
        <v>-397829.76189999998</v>
      </c>
      <c r="O24" s="49">
        <f>'HQ only'!O153</f>
        <v>-458055.68280000001</v>
      </c>
      <c r="P24" s="50">
        <f t="shared" si="2"/>
        <v>-4424563.59</v>
      </c>
      <c r="Q24" s="50">
        <f t="shared" si="3"/>
        <v>231112.18439999997</v>
      </c>
    </row>
    <row r="26" spans="1:18" ht="14" x14ac:dyDescent="0.15">
      <c r="B26" s="47" t="s">
        <v>134</v>
      </c>
      <c r="C26" s="48">
        <f>Kudamm!C153</f>
        <v>-1063749.0585</v>
      </c>
      <c r="D26" s="48">
        <f>Kudamm!D153</f>
        <v>-227478.81</v>
      </c>
      <c r="E26" s="48">
        <f>Kudamm!E153</f>
        <v>-101805.65</v>
      </c>
      <c r="F26" s="48">
        <f>Kudamm!F153</f>
        <v>-95446.9</v>
      </c>
      <c r="G26" s="48">
        <f>Kudamm!G153</f>
        <v>-183430.87</v>
      </c>
      <c r="H26" s="48">
        <f>Kudamm!H153</f>
        <v>-59454.729899999998</v>
      </c>
      <c r="I26" s="48">
        <f>Kudamm!I153</f>
        <v>-47923.902300000002</v>
      </c>
      <c r="J26" s="48">
        <f>Kudamm!J153</f>
        <v>-106849.3582</v>
      </c>
      <c r="K26" s="48">
        <f>Kudamm!K153</f>
        <v>-77288.151299999998</v>
      </c>
      <c r="L26" s="48">
        <f>Kudamm!L153</f>
        <v>61397.205699999999</v>
      </c>
      <c r="M26" s="48">
        <f>Kudamm!M153</f>
        <v>-21469.673200000001</v>
      </c>
      <c r="N26" s="48">
        <f>Kudamm!N153</f>
        <v>-100952.2482</v>
      </c>
      <c r="O26" s="48">
        <f>Kudamm!O153</f>
        <v>-103045.9711</v>
      </c>
      <c r="P26" s="50">
        <f t="shared" ref="P26:P38" si="4">SUM(D26:I26)</f>
        <v>-715540.86219999997</v>
      </c>
      <c r="Q26" s="50">
        <f t="shared" ref="Q26:Q38" si="5">SUM(J26:O26)</f>
        <v>-348208.19629999995</v>
      </c>
      <c r="R26" s="51">
        <f>P26+Q26-C26</f>
        <v>0</v>
      </c>
    </row>
    <row r="27" spans="1:18" ht="14" x14ac:dyDescent="0.15">
      <c r="B27" s="47" t="s">
        <v>161</v>
      </c>
      <c r="C27" s="48">
        <f>Airport!C153</f>
        <v>-858544.00150000001</v>
      </c>
      <c r="D27" s="48">
        <f>Airport!D153</f>
        <v>-145619.14000000001</v>
      </c>
      <c r="E27" s="48">
        <f>Airport!E153</f>
        <v>-145124.76999999999</v>
      </c>
      <c r="F27" s="48">
        <f>Airport!F153</f>
        <v>-8064.78</v>
      </c>
      <c r="G27" s="48">
        <f>Airport!G153</f>
        <v>-241808.88</v>
      </c>
      <c r="H27" s="48">
        <f>Airport!H153</f>
        <v>-92663.1492</v>
      </c>
      <c r="I27" s="48">
        <f>Airport!I153</f>
        <v>-150106.3052</v>
      </c>
      <c r="J27" s="48">
        <f>Airport!J153</f>
        <v>-213821.60490000001</v>
      </c>
      <c r="K27" s="48">
        <f>Airport!K153</f>
        <v>-139256.40400000001</v>
      </c>
      <c r="L27" s="48">
        <f>Airport!L153</f>
        <v>65189.217299999997</v>
      </c>
      <c r="M27" s="48">
        <f>Airport!M153</f>
        <v>148310.52480000001</v>
      </c>
      <c r="N27" s="48">
        <f>Airport!N153</f>
        <v>148840.47930000001</v>
      </c>
      <c r="O27" s="48">
        <f>Airport!O153</f>
        <v>-84419.189599999998</v>
      </c>
      <c r="P27" s="50">
        <f t="shared" si="4"/>
        <v>-783387.02439999999</v>
      </c>
      <c r="Q27" s="50">
        <f t="shared" si="5"/>
        <v>-75156.977099999975</v>
      </c>
      <c r="R27" s="51">
        <f t="shared" ref="R27:R38" si="6">P27+Q27-C27</f>
        <v>0</v>
      </c>
    </row>
    <row r="28" spans="1:18" ht="14" x14ac:dyDescent="0.15">
      <c r="B28" s="47" t="s">
        <v>162</v>
      </c>
      <c r="C28" s="48">
        <f>Seestern!C153</f>
        <v>587850.37760000001</v>
      </c>
      <c r="D28" s="48">
        <f>Seestern!D153</f>
        <v>-10504.74</v>
      </c>
      <c r="E28" s="48">
        <f>Seestern!E153</f>
        <v>-203276.93</v>
      </c>
      <c r="F28" s="48">
        <f>Seestern!F153</f>
        <v>200126.03</v>
      </c>
      <c r="G28" s="48">
        <f>Seestern!G153</f>
        <v>-52909.46</v>
      </c>
      <c r="H28" s="48">
        <f>Seestern!H153</f>
        <v>103015.50139999999</v>
      </c>
      <c r="I28" s="48">
        <f>Seestern!I153</f>
        <v>-15091.5816</v>
      </c>
      <c r="J28" s="48">
        <f>Seestern!J153</f>
        <v>-124845.7841</v>
      </c>
      <c r="K28" s="48">
        <f>Seestern!K153</f>
        <v>-36129.954100000003</v>
      </c>
      <c r="L28" s="48">
        <f>Seestern!L153</f>
        <v>189466.78049999999</v>
      </c>
      <c r="M28" s="48">
        <f>Seestern!M153</f>
        <v>319545.89559999999</v>
      </c>
      <c r="N28" s="48">
        <f>Seestern!N153</f>
        <v>242946.9529</v>
      </c>
      <c r="O28" s="48">
        <f>Seestern!O153</f>
        <v>-24492.332999999999</v>
      </c>
      <c r="P28" s="50">
        <f t="shared" si="4"/>
        <v>21358.819800000019</v>
      </c>
      <c r="Q28" s="50">
        <f t="shared" si="5"/>
        <v>566491.55779999995</v>
      </c>
      <c r="R28" s="51">
        <f t="shared" si="6"/>
        <v>0</v>
      </c>
    </row>
    <row r="29" spans="1:18" ht="14" x14ac:dyDescent="0.15">
      <c r="B29" s="47" t="s">
        <v>163</v>
      </c>
      <c r="C29" s="48">
        <f>Höchst!C153</f>
        <v>-1205030.0774999999</v>
      </c>
      <c r="D29" s="48">
        <f>Höchst!D153</f>
        <v>-212155.9</v>
      </c>
      <c r="E29" s="48">
        <f>Höchst!E153</f>
        <v>-120714.41</v>
      </c>
      <c r="F29" s="48">
        <f>Höchst!F153</f>
        <v>10949.47</v>
      </c>
      <c r="G29" s="48">
        <f>Höchst!G153</f>
        <v>-263290.92</v>
      </c>
      <c r="H29" s="48">
        <f>Höchst!H153</f>
        <v>-51561.218200000003</v>
      </c>
      <c r="I29" s="48">
        <f>Höchst!I153</f>
        <v>-45336.008999999998</v>
      </c>
      <c r="J29" s="48">
        <f>Höchst!J153</f>
        <v>-213719.65820000001</v>
      </c>
      <c r="K29" s="48">
        <f>Höchst!K153</f>
        <v>-173486.86910000001</v>
      </c>
      <c r="L29" s="48">
        <f>Höchst!L153</f>
        <v>39539.994100000004</v>
      </c>
      <c r="M29" s="48">
        <f>Höchst!M153</f>
        <v>72164.391600000003</v>
      </c>
      <c r="N29" s="48">
        <f>Höchst!N153</f>
        <v>-21737.418300000001</v>
      </c>
      <c r="O29" s="48">
        <f>Höchst!O153</f>
        <v>-225681.53039999999</v>
      </c>
      <c r="P29" s="50">
        <f t="shared" si="4"/>
        <v>-682108.98719999997</v>
      </c>
      <c r="Q29" s="50">
        <f t="shared" si="5"/>
        <v>-522921.09029999998</v>
      </c>
      <c r="R29" s="51">
        <f t="shared" si="6"/>
        <v>0</v>
      </c>
    </row>
    <row r="30" spans="1:18" ht="14" x14ac:dyDescent="0.15">
      <c r="B30" s="47" t="s">
        <v>164</v>
      </c>
      <c r="C30" s="48">
        <f>'Main Plaza'!C153</f>
        <v>-1499349.7892</v>
      </c>
      <c r="D30" s="48">
        <f>'Main Plaza'!D153</f>
        <v>-274552.14</v>
      </c>
      <c r="E30" s="48">
        <f>'Main Plaza'!E153</f>
        <v>-166853.12</v>
      </c>
      <c r="F30" s="48">
        <f>'Main Plaza'!F153</f>
        <v>-76400.009999999995</v>
      </c>
      <c r="G30" s="48">
        <f>'Main Plaza'!G153</f>
        <v>-272562.78999999998</v>
      </c>
      <c r="H30" s="48">
        <f>'Main Plaza'!H153</f>
        <v>-145846.08850000001</v>
      </c>
      <c r="I30" s="48">
        <f>'Main Plaza'!I153</f>
        <v>-98949.767600000006</v>
      </c>
      <c r="J30" s="48">
        <f>'Main Plaza'!J153</f>
        <v>-162913.03959999999</v>
      </c>
      <c r="K30" s="48">
        <f>'Main Plaza'!K153</f>
        <v>-142601.7304</v>
      </c>
      <c r="L30" s="48">
        <f>'Main Plaza'!L153</f>
        <v>-65318.778100000003</v>
      </c>
      <c r="M30" s="48">
        <f>'Main Plaza'!M153</f>
        <v>34585.984700000001</v>
      </c>
      <c r="N30" s="48">
        <f>'Main Plaza'!N153</f>
        <v>-18871.376100000001</v>
      </c>
      <c r="O30" s="48">
        <f>'Main Plaza'!O153</f>
        <v>-109066.9336</v>
      </c>
      <c r="P30" s="50">
        <f t="shared" si="4"/>
        <v>-1035163.9161000001</v>
      </c>
      <c r="Q30" s="50">
        <f t="shared" si="5"/>
        <v>-464185.87309999997</v>
      </c>
      <c r="R30" s="51">
        <f t="shared" si="6"/>
        <v>0</v>
      </c>
    </row>
    <row r="31" spans="1:18" ht="14" x14ac:dyDescent="0.15">
      <c r="B31" s="47" t="s">
        <v>165</v>
      </c>
      <c r="C31" s="48">
        <f>Michel!C153</f>
        <v>1498105.7712000001</v>
      </c>
      <c r="D31" s="48">
        <f>Michel!D153</f>
        <v>-164842.28</v>
      </c>
      <c r="E31" s="48">
        <f>Michel!E153</f>
        <v>-196350.38</v>
      </c>
      <c r="F31" s="48">
        <f>Michel!F153</f>
        <v>89456.43</v>
      </c>
      <c r="G31" s="48">
        <f>Michel!G153</f>
        <v>100022.62</v>
      </c>
      <c r="H31" s="48">
        <f>Michel!H153</f>
        <v>384065.31430000003</v>
      </c>
      <c r="I31" s="48">
        <f>Michel!I153</f>
        <v>256507.40609999999</v>
      </c>
      <c r="J31" s="48">
        <f>Michel!J153</f>
        <v>101063.78170000001</v>
      </c>
      <c r="K31" s="48">
        <f>Michel!K153</f>
        <v>50639.013099999996</v>
      </c>
      <c r="L31" s="48">
        <f>Michel!L153</f>
        <v>335396.4363</v>
      </c>
      <c r="M31" s="48">
        <f>Michel!M153</f>
        <v>267152.4425</v>
      </c>
      <c r="N31" s="48">
        <f>Michel!N153</f>
        <v>173411.38</v>
      </c>
      <c r="O31" s="48">
        <f>Michel!O153</f>
        <v>101583.6072</v>
      </c>
      <c r="P31" s="50">
        <f t="shared" si="4"/>
        <v>468859.11040000001</v>
      </c>
      <c r="Q31" s="50">
        <f t="shared" si="5"/>
        <v>1029246.6608</v>
      </c>
      <c r="R31" s="51">
        <f t="shared" si="6"/>
        <v>0</v>
      </c>
    </row>
    <row r="32" spans="1:18" ht="14" x14ac:dyDescent="0.15">
      <c r="B32" s="47" t="s">
        <v>166</v>
      </c>
      <c r="C32" s="48">
        <f>'Köln Dom'!C153</f>
        <v>120286.1274</v>
      </c>
      <c r="D32" s="48">
        <f>'Köln Dom'!D153</f>
        <v>-126132.15</v>
      </c>
      <c r="E32" s="48">
        <f>'Köln Dom'!E153</f>
        <v>-38758.06</v>
      </c>
      <c r="F32" s="48">
        <f>'Köln Dom'!F153</f>
        <v>79067.62</v>
      </c>
      <c r="G32" s="48">
        <f>'Köln Dom'!G153</f>
        <v>18302.689999999999</v>
      </c>
      <c r="H32" s="48">
        <f>'Köln Dom'!H153</f>
        <v>21909.5605</v>
      </c>
      <c r="I32" s="48">
        <f>'Köln Dom'!I153</f>
        <v>-6044.1391000000003</v>
      </c>
      <c r="J32" s="48">
        <f>'Köln Dom'!J153</f>
        <v>-28080.1702</v>
      </c>
      <c r="K32" s="48">
        <f>'Köln Dom'!K153</f>
        <v>10807.8305</v>
      </c>
      <c r="L32" s="48">
        <f>'Köln Dom'!L153</f>
        <v>35876.088600000003</v>
      </c>
      <c r="M32" s="48">
        <f>'Köln Dom'!M153</f>
        <v>116058.73540000001</v>
      </c>
      <c r="N32" s="48">
        <f>'Köln Dom'!N153</f>
        <v>24781.2546</v>
      </c>
      <c r="O32" s="48">
        <f>'Köln Dom'!O153</f>
        <v>12496.867099999999</v>
      </c>
      <c r="P32" s="50">
        <f t="shared" si="4"/>
        <v>-51654.478599999995</v>
      </c>
      <c r="Q32" s="50">
        <f t="shared" si="5"/>
        <v>171940.606</v>
      </c>
      <c r="R32" s="51">
        <f t="shared" si="6"/>
        <v>0</v>
      </c>
    </row>
    <row r="33" spans="2:18" ht="14" x14ac:dyDescent="0.15">
      <c r="B33" s="47" t="s">
        <v>167</v>
      </c>
      <c r="C33" s="48">
        <f>'City Plza'!C153</f>
        <v>281020.42619999999</v>
      </c>
      <c r="D33" s="48">
        <f>'City Plza'!D153</f>
        <v>-208942.58</v>
      </c>
      <c r="E33" s="48">
        <f>'City Plza'!E153</f>
        <v>-147468.01</v>
      </c>
      <c r="F33" s="48">
        <f>'City Plza'!F153</f>
        <v>263639.94</v>
      </c>
      <c r="G33" s="48">
        <f>'City Plza'!G153</f>
        <v>-11798.61</v>
      </c>
      <c r="H33" s="48">
        <f>'City Plza'!H153</f>
        <v>32594.665300000001</v>
      </c>
      <c r="I33" s="48">
        <f>'City Plza'!I153</f>
        <v>-34034.179700000001</v>
      </c>
      <c r="J33" s="48">
        <f>'City Plza'!J153</f>
        <v>-156251.9057</v>
      </c>
      <c r="K33" s="48">
        <f>'City Plza'!K153</f>
        <v>-1685.4707000000001</v>
      </c>
      <c r="L33" s="48">
        <f>'City Plza'!L153</f>
        <v>135422.5735</v>
      </c>
      <c r="M33" s="48">
        <f>'City Plza'!M153</f>
        <v>240099.92300000001</v>
      </c>
      <c r="N33" s="48">
        <f>'City Plza'!N153</f>
        <v>132258.87450000001</v>
      </c>
      <c r="O33" s="48">
        <f>'City Plza'!O153</f>
        <v>37185.205999999998</v>
      </c>
      <c r="P33" s="50">
        <f t="shared" si="4"/>
        <v>-106008.77439999997</v>
      </c>
      <c r="Q33" s="50">
        <f t="shared" si="5"/>
        <v>387029.20059999998</v>
      </c>
      <c r="R33" s="51">
        <f t="shared" si="6"/>
        <v>0</v>
      </c>
    </row>
    <row r="34" spans="2:18" ht="14" x14ac:dyDescent="0.15">
      <c r="B34" s="47" t="s">
        <v>168</v>
      </c>
      <c r="C34" s="48">
        <f>Leverkusen!C153</f>
        <v>561711.49529999995</v>
      </c>
      <c r="D34" s="48">
        <f>Leverkusen!D153</f>
        <v>11652.16</v>
      </c>
      <c r="E34" s="48">
        <f>Leverkusen!E153</f>
        <v>-16003.8</v>
      </c>
      <c r="F34" s="48">
        <f>Leverkusen!F153</f>
        <v>69980.789999999994</v>
      </c>
      <c r="G34" s="48">
        <f>Leverkusen!G153</f>
        <v>-65092.08</v>
      </c>
      <c r="H34" s="48">
        <f>Leverkusen!H153</f>
        <v>55107.464699999997</v>
      </c>
      <c r="I34" s="48">
        <f>Leverkusen!I153</f>
        <v>47326.388899999998</v>
      </c>
      <c r="J34" s="48">
        <f>Leverkusen!J153</f>
        <v>-70594.638399999996</v>
      </c>
      <c r="K34" s="48">
        <f>Leverkusen!K153</f>
        <v>14088.2183</v>
      </c>
      <c r="L34" s="48">
        <f>Leverkusen!L153</f>
        <v>158851.5514</v>
      </c>
      <c r="M34" s="48">
        <f>Leverkusen!M153</f>
        <v>183949.8823</v>
      </c>
      <c r="N34" s="48">
        <f>Leverkusen!N153</f>
        <v>126926.5205</v>
      </c>
      <c r="O34" s="48">
        <f>Leverkusen!O153</f>
        <v>45519.037600000003</v>
      </c>
      <c r="P34" s="50">
        <f t="shared" si="4"/>
        <v>102970.92359999998</v>
      </c>
      <c r="Q34" s="50">
        <f t="shared" si="5"/>
        <v>458740.57169999997</v>
      </c>
      <c r="R34" s="51">
        <f t="shared" si="6"/>
        <v>0</v>
      </c>
    </row>
    <row r="35" spans="2:18" ht="14" x14ac:dyDescent="0.15">
      <c r="B35" s="47" t="s">
        <v>169</v>
      </c>
      <c r="C35" s="48">
        <f>Oberstaufen!C153</f>
        <v>-1484989.9561999999</v>
      </c>
      <c r="D35" s="48">
        <f>Oberstaufen!D153</f>
        <v>-181371.5</v>
      </c>
      <c r="E35" s="48">
        <f>Oberstaufen!E153</f>
        <v>-175734.32</v>
      </c>
      <c r="F35" s="48">
        <f>Oberstaufen!F153</f>
        <v>-175302</v>
      </c>
      <c r="G35" s="48">
        <f>Oberstaufen!G153</f>
        <v>-206233.27</v>
      </c>
      <c r="H35" s="48">
        <f>Oberstaufen!H153</f>
        <v>-104388.8606</v>
      </c>
      <c r="I35" s="48">
        <f>Oberstaufen!I153</f>
        <v>-116504.1479</v>
      </c>
      <c r="J35" s="48">
        <f>Oberstaufen!J153</f>
        <v>-27307.282299999999</v>
      </c>
      <c r="K35" s="48">
        <f>Oberstaufen!K153</f>
        <v>13587.2212</v>
      </c>
      <c r="L35" s="48">
        <f>Oberstaufen!L153</f>
        <v>-45201.834499999997</v>
      </c>
      <c r="M35" s="48">
        <f>Oberstaufen!M153</f>
        <v>-79254.811300000001</v>
      </c>
      <c r="N35" s="48">
        <f>Oberstaufen!N153</f>
        <v>-152965.4129</v>
      </c>
      <c r="O35" s="48">
        <f>Oberstaufen!O153</f>
        <v>-234313.73790000001</v>
      </c>
      <c r="P35" s="50">
        <f t="shared" si="4"/>
        <v>-959534.09850000008</v>
      </c>
      <c r="Q35" s="50">
        <f t="shared" si="5"/>
        <v>-525455.85770000005</v>
      </c>
      <c r="R35" s="51">
        <f t="shared" si="6"/>
        <v>0</v>
      </c>
    </row>
    <row r="36" spans="2:18" ht="14" x14ac:dyDescent="0.15">
      <c r="B36" s="47" t="s">
        <v>170</v>
      </c>
      <c r="C36" s="48">
        <f>Sylt!C153</f>
        <v>-333105.88260000001</v>
      </c>
      <c r="D36" s="48">
        <f>Sylt!D153</f>
        <v>-219368.6</v>
      </c>
      <c r="E36" s="48">
        <f>Sylt!E153</f>
        <v>-151835.32</v>
      </c>
      <c r="F36" s="48">
        <f>Sylt!F153</f>
        <v>-91474.18</v>
      </c>
      <c r="G36" s="48">
        <f>Sylt!G153</f>
        <v>-45523.53</v>
      </c>
      <c r="H36" s="48">
        <f>Sylt!H153</f>
        <v>63583.046499999997</v>
      </c>
      <c r="I36" s="48">
        <f>Sylt!I153</f>
        <v>71983.866099999999</v>
      </c>
      <c r="J36" s="48">
        <f>Sylt!J153</f>
        <v>131600.91070000001</v>
      </c>
      <c r="K36" s="48">
        <f>Sylt!K153</f>
        <v>185128.04269999999</v>
      </c>
      <c r="L36" s="48">
        <f>Sylt!L153</f>
        <v>140672.598</v>
      </c>
      <c r="M36" s="48">
        <f>Sylt!M153</f>
        <v>-168044.8725</v>
      </c>
      <c r="N36" s="48">
        <f>Sylt!N153</f>
        <v>-129757.633</v>
      </c>
      <c r="O36" s="48">
        <f>Sylt!O153</f>
        <v>-120070.2111</v>
      </c>
      <c r="P36" s="50">
        <f t="shared" si="4"/>
        <v>-372634.71740000002</v>
      </c>
      <c r="Q36" s="50">
        <f t="shared" si="5"/>
        <v>39528.834799999997</v>
      </c>
      <c r="R36" s="51">
        <f t="shared" si="6"/>
        <v>0</v>
      </c>
    </row>
    <row r="37" spans="2:18" ht="14" x14ac:dyDescent="0.15">
      <c r="B37" s="47" t="s">
        <v>171</v>
      </c>
      <c r="C37" s="48">
        <f>Wiesensee!C153</f>
        <v>-1290897.5437</v>
      </c>
      <c r="D37" s="48">
        <f>Wiesensee!D153</f>
        <v>-281949.18</v>
      </c>
      <c r="E37" s="48">
        <f>Wiesensee!E153</f>
        <v>-216854.64</v>
      </c>
      <c r="F37" s="48">
        <f>Wiesensee!F153</f>
        <v>37373.800000000003</v>
      </c>
      <c r="G37" s="48">
        <f>Wiesensee!G153</f>
        <v>-186943.22</v>
      </c>
      <c r="H37" s="48">
        <f>Wiesensee!H153</f>
        <v>-77134.5867</v>
      </c>
      <c r="I37" s="48">
        <f>Wiesensee!I153</f>
        <v>-89014.294200000004</v>
      </c>
      <c r="J37" s="48">
        <f>Wiesensee!J153</f>
        <v>-101077.70699999999</v>
      </c>
      <c r="K37" s="48">
        <f>Wiesensee!K153</f>
        <v>4649.9858999999997</v>
      </c>
      <c r="L37" s="48">
        <f>Wiesensee!L153</f>
        <v>60146.968500000003</v>
      </c>
      <c r="M37" s="48">
        <f>Wiesensee!M153</f>
        <v>-128115.6024</v>
      </c>
      <c r="N37" s="48">
        <f>Wiesensee!N153</f>
        <v>-128187.2147</v>
      </c>
      <c r="O37" s="48">
        <f>Wiesensee!O153</f>
        <v>-183791.85310000001</v>
      </c>
      <c r="P37" s="50">
        <f t="shared" si="4"/>
        <v>-814522.12089999998</v>
      </c>
      <c r="Q37" s="50">
        <f t="shared" si="5"/>
        <v>-476375.4228</v>
      </c>
      <c r="R37" s="51">
        <f t="shared" si="6"/>
        <v>0</v>
      </c>
    </row>
    <row r="38" spans="2:18" ht="14" x14ac:dyDescent="0.15">
      <c r="B38" s="47" t="s">
        <v>172</v>
      </c>
      <c r="C38" s="48">
        <f>'MAA Mainz'!C153</f>
        <v>445680.01250000001</v>
      </c>
      <c r="D38" s="48">
        <f>'MAA Mainz'!D153</f>
        <v>-77260.27</v>
      </c>
      <c r="E38" s="48">
        <f>'MAA Mainz'!E153</f>
        <v>-34059.46</v>
      </c>
      <c r="F38" s="48">
        <f>'MAA Mainz'!F153</f>
        <v>174602.72</v>
      </c>
      <c r="G38" s="48">
        <f>'MAA Mainz'!G153</f>
        <v>-211350.75</v>
      </c>
      <c r="H38" s="48">
        <f>'MAA Mainz'!H153</f>
        <v>28420.521400000001</v>
      </c>
      <c r="I38" s="48">
        <f>'MAA Mainz'!I153</f>
        <v>99978.8321</v>
      </c>
      <c r="J38" s="48">
        <f>'MAA Mainz'!J153</f>
        <v>66832.498099999997</v>
      </c>
      <c r="K38" s="48">
        <f>'MAA Mainz'!K153</f>
        <v>18647.959900000002</v>
      </c>
      <c r="L38" s="48">
        <f>'MAA Mainz'!L153</f>
        <v>202918.72930000001</v>
      </c>
      <c r="M38" s="48">
        <f>'MAA Mainz'!M153</f>
        <v>100732.31690000001</v>
      </c>
      <c r="N38" s="48">
        <f>'MAA Mainz'!N153</f>
        <v>83784.556200000006</v>
      </c>
      <c r="O38" s="48">
        <f>'MAA Mainz'!O153</f>
        <v>-7567.6414000000004</v>
      </c>
      <c r="P38" s="50">
        <f t="shared" si="4"/>
        <v>-19668.406500000012</v>
      </c>
      <c r="Q38" s="50">
        <f t="shared" si="5"/>
        <v>465348.41899999994</v>
      </c>
      <c r="R38" s="51">
        <f t="shared" si="6"/>
        <v>0</v>
      </c>
    </row>
  </sheetData>
  <mergeCells count="1">
    <mergeCell ref="A22:A2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D7E3-864E-4429-AB81-2293141C703E}">
  <sheetPr>
    <pageSetUpPr fitToPage="1"/>
  </sheetPr>
  <dimension ref="B2:U166"/>
  <sheetViews>
    <sheetView zoomScale="70" zoomScaleNormal="70" workbookViewId="0">
      <pane xSplit="2" ySplit="10" topLeftCell="C11" activePane="bottomRight" state="frozen"/>
      <selection pane="topRight"/>
      <selection pane="bottomLeft"/>
      <selection pane="bottomRight" activeCell="F135" sqref="F135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7" width="14.5" style="33" customWidth="1"/>
    <col min="18" max="18" width="15.83203125" style="33" customWidth="1"/>
    <col min="19" max="16384" width="8.83203125" style="33"/>
  </cols>
  <sheetData>
    <row r="2" spans="2:18" ht="35" customHeight="1" x14ac:dyDescent="0.3">
      <c r="B2" s="34" t="s">
        <v>0</v>
      </c>
    </row>
    <row r="3" spans="2:18" ht="28" x14ac:dyDescent="0.15">
      <c r="B3" s="35" t="s">
        <v>131</v>
      </c>
      <c r="C3" s="36"/>
    </row>
    <row r="4" spans="2:18" ht="14" x14ac:dyDescent="0.15">
      <c r="B4" s="35" t="s">
        <v>2</v>
      </c>
      <c r="C4" s="36"/>
    </row>
    <row r="5" spans="2:18" ht="14" x14ac:dyDescent="0.15">
      <c r="B5" s="35" t="s">
        <v>3</v>
      </c>
      <c r="C5" s="36"/>
    </row>
    <row r="6" spans="2:18" ht="14" x14ac:dyDescent="0.15">
      <c r="B6" s="35" t="s">
        <v>4</v>
      </c>
      <c r="C6" s="36"/>
    </row>
    <row r="7" spans="2:18" ht="14" x14ac:dyDescent="0.15">
      <c r="B7" s="35" t="s">
        <v>5</v>
      </c>
      <c r="C7" s="36"/>
    </row>
    <row r="8" spans="2:18" ht="14" x14ac:dyDescent="0.15">
      <c r="B8" s="35" t="s">
        <v>6</v>
      </c>
      <c r="C8" s="36"/>
    </row>
    <row r="10" spans="2:18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8" ht="14" x14ac:dyDescent="0.15">
      <c r="B11" s="38" t="s">
        <v>21</v>
      </c>
      <c r="C11" s="39">
        <f>'Data entry HQ only'!C11</f>
        <v>15256234.3805</v>
      </c>
      <c r="D11" s="39">
        <f>'Data entry HQ only'!F11</f>
        <v>552614.44999999995</v>
      </c>
      <c r="E11" s="39">
        <f>'Data entry HQ only'!I11</f>
        <v>528587.06000000006</v>
      </c>
      <c r="F11" s="39">
        <f>'Data entry HQ only'!L11</f>
        <v>1070582.96</v>
      </c>
      <c r="G11" s="39">
        <f>'Data entry HQ only'!O11</f>
        <v>610468.18000000005</v>
      </c>
      <c r="H11" s="39">
        <f>'Data entry HQ only'!R11</f>
        <v>1537438.9</v>
      </c>
      <c r="I11" s="39">
        <f>'Data entry HQ only'!U11</f>
        <v>1012045.73</v>
      </c>
      <c r="J11" s="39">
        <f>'Data entry HQ only'!X11</f>
        <v>1924757.9398000001</v>
      </c>
      <c r="K11" s="39">
        <f>'Data entry HQ only'!AA11</f>
        <v>1942110.5708000001</v>
      </c>
      <c r="L11" s="39">
        <f>'Data entry HQ only'!AD11</f>
        <v>1900916.1665000001</v>
      </c>
      <c r="M11" s="39">
        <f>'Data entry HQ only'!AG11</f>
        <v>1561011.1294</v>
      </c>
      <c r="N11" s="39">
        <f>'Data entry HQ only'!AJ11</f>
        <v>1160767.0135999999</v>
      </c>
      <c r="O11" s="39">
        <f>'Data entry HQ only'!AM11</f>
        <v>1454934.2804</v>
      </c>
      <c r="Q11" s="224">
        <f>C11-'HQ only ORG'!C11</f>
        <v>-2487485.3581999987</v>
      </c>
      <c r="R11" s="224">
        <f>SUM(D11:I11)-SUM('HQ only ORG'!D11:I11)</f>
        <v>-2400468.7495999997</v>
      </c>
    </row>
    <row r="12" spans="2:18" ht="14" x14ac:dyDescent="0.15">
      <c r="B12" s="38" t="s">
        <v>22</v>
      </c>
      <c r="C12" s="39">
        <f>'Data entry HQ only'!C12</f>
        <v>10362094.976</v>
      </c>
      <c r="D12" s="39">
        <f>'Data entry HQ only'!F12</f>
        <v>785939.02</v>
      </c>
      <c r="E12" s="39">
        <f>'Data entry HQ only'!I12</f>
        <v>1092073.04</v>
      </c>
      <c r="F12" s="39">
        <f>'Data entry HQ only'!L12</f>
        <v>910686.26</v>
      </c>
      <c r="G12" s="39">
        <f>'Data entry HQ only'!O12</f>
        <v>684350.41</v>
      </c>
      <c r="H12" s="39">
        <f>'Data entry HQ only'!R12</f>
        <v>837281.85</v>
      </c>
      <c r="I12" s="39">
        <f>'Data entry HQ only'!U12</f>
        <v>699784.32</v>
      </c>
      <c r="J12" s="39">
        <f>'Data entry HQ only'!X12</f>
        <v>902621.446</v>
      </c>
      <c r="K12" s="39">
        <f>'Data entry HQ only'!AA12</f>
        <v>893441.25430000003</v>
      </c>
      <c r="L12" s="39">
        <f>'Data entry HQ only'!AD12</f>
        <v>901759.78940000001</v>
      </c>
      <c r="M12" s="39">
        <f>'Data entry HQ only'!AG12</f>
        <v>884811.12760000001</v>
      </c>
      <c r="N12" s="39">
        <f>'Data entry HQ only'!AJ12</f>
        <v>900707.63549999997</v>
      </c>
      <c r="O12" s="39">
        <f>'Data entry HQ only'!AM12</f>
        <v>868638.82319999998</v>
      </c>
      <c r="Q12" s="224">
        <f>C12-'HQ only ORG'!C12</f>
        <v>-742039.34530000016</v>
      </c>
      <c r="R12" s="224">
        <f>SUM(D12:I12)-SUM('HQ only ORG'!D12:I12)</f>
        <v>-755022.3292999994</v>
      </c>
    </row>
    <row r="13" spans="2:18" ht="14" x14ac:dyDescent="0.15">
      <c r="B13" s="38" t="s">
        <v>23</v>
      </c>
      <c r="C13" s="39">
        <f>'Data entry HQ only'!C13</f>
        <v>-2660258.6655999999</v>
      </c>
      <c r="D13" s="39">
        <f>'Data entry HQ only'!F13</f>
        <v>-440968.64</v>
      </c>
      <c r="E13" s="39">
        <f>'Data entry HQ only'!I13</f>
        <v>-1206024.22</v>
      </c>
      <c r="F13" s="39">
        <f>'Data entry HQ only'!L13</f>
        <v>-1369346.91</v>
      </c>
      <c r="G13" s="39">
        <f>'Data entry HQ only'!O13</f>
        <v>-503120.77</v>
      </c>
      <c r="H13" s="39">
        <f>'Data entry HQ only'!R13</f>
        <v>208360.81</v>
      </c>
      <c r="I13" s="39">
        <f>'Data entry HQ only'!U13</f>
        <v>-219127.12</v>
      </c>
      <c r="J13" s="39">
        <f>'Data entry HQ only'!X13</f>
        <v>511747.35379999998</v>
      </c>
      <c r="K13" s="39">
        <f>'Data entry HQ only'!AA13</f>
        <v>442965.1765</v>
      </c>
      <c r="L13" s="39">
        <f>'Data entry HQ only'!AD13</f>
        <v>382822.23700000002</v>
      </c>
      <c r="M13" s="39">
        <f>'Data entry HQ only'!AG13</f>
        <v>175366.86180000001</v>
      </c>
      <c r="N13" s="39">
        <f>'Data entry HQ only'!AJ13</f>
        <v>-291353.76189999998</v>
      </c>
      <c r="O13" s="39">
        <f>'Data entry HQ only'!AM13</f>
        <v>-351579.68280000001</v>
      </c>
      <c r="Q13" s="224">
        <f>C13-'HQ only ORG'!C13</f>
        <v>-1703208.4029999999</v>
      </c>
      <c r="R13" s="224">
        <f>SUM(D13:I13)-SUM('HQ only ORG'!D13:I13)</f>
        <v>-1562058.8102999998</v>
      </c>
    </row>
    <row r="14" spans="2:18" ht="14" x14ac:dyDescent="0.15">
      <c r="B14" s="38" t="s">
        <v>24</v>
      </c>
      <c r="C14" s="39">
        <f>'Data entry HQ only'!C14</f>
        <v>0</v>
      </c>
      <c r="D14" s="39">
        <f>'Data entry HQ only'!F14</f>
        <v>0</v>
      </c>
      <c r="E14" s="39">
        <f>'Data entry HQ only'!I14</f>
        <v>0</v>
      </c>
      <c r="F14" s="39">
        <f>'Data entry HQ only'!L14</f>
        <v>0</v>
      </c>
      <c r="G14" s="39">
        <f>'Data entry HQ only'!O14</f>
        <v>0</v>
      </c>
      <c r="H14" s="39">
        <f>'Data entry HQ only'!R14</f>
        <v>0</v>
      </c>
      <c r="I14" s="39">
        <f>'Data entry HQ only'!U14</f>
        <v>0</v>
      </c>
      <c r="J14" s="39">
        <f>'Data entry HQ only'!X14</f>
        <v>0</v>
      </c>
      <c r="K14" s="39">
        <f>'Data entry HQ only'!AA14</f>
        <v>0</v>
      </c>
      <c r="L14" s="39">
        <f>'Data entry HQ only'!AD14</f>
        <v>0</v>
      </c>
      <c r="M14" s="39">
        <f>'Data entry HQ only'!AG14</f>
        <v>0</v>
      </c>
      <c r="N14" s="39">
        <f>'Data entry HQ only'!AJ14</f>
        <v>0</v>
      </c>
      <c r="O14" s="39">
        <f>'Data entry HQ only'!AM14</f>
        <v>0</v>
      </c>
      <c r="Q14" s="224">
        <f>C14-'HQ only ORG'!C14</f>
        <v>0</v>
      </c>
      <c r="R14" s="224">
        <f>SUM(D14:I14)-SUM('HQ only ORG'!D14:I14)</f>
        <v>0</v>
      </c>
    </row>
    <row r="15" spans="2:18" ht="14" x14ac:dyDescent="0.15">
      <c r="B15" s="38" t="s">
        <v>25</v>
      </c>
      <c r="C15" s="39">
        <f>'Data entry HQ only'!C15</f>
        <v>0</v>
      </c>
      <c r="D15" s="39">
        <f>'Data entry HQ only'!F15</f>
        <v>0</v>
      </c>
      <c r="E15" s="39">
        <f>'Data entry HQ only'!I15</f>
        <v>0</v>
      </c>
      <c r="F15" s="39">
        <f>'Data entry HQ only'!L15</f>
        <v>0</v>
      </c>
      <c r="G15" s="39">
        <f>'Data entry HQ only'!O15</f>
        <v>0</v>
      </c>
      <c r="H15" s="39">
        <f>'Data entry HQ only'!R15</f>
        <v>0</v>
      </c>
      <c r="I15" s="39">
        <f>'Data entry HQ only'!U15</f>
        <v>0</v>
      </c>
      <c r="J15" s="39">
        <f>'Data entry HQ only'!X15</f>
        <v>0</v>
      </c>
      <c r="K15" s="39">
        <f>'Data entry HQ only'!AA15</f>
        <v>0</v>
      </c>
      <c r="L15" s="39">
        <f>'Data entry HQ only'!AD15</f>
        <v>0</v>
      </c>
      <c r="M15" s="39">
        <f>'Data entry HQ only'!AG15</f>
        <v>0</v>
      </c>
      <c r="N15" s="39">
        <f>'Data entry HQ only'!AJ15</f>
        <v>0</v>
      </c>
      <c r="O15" s="39">
        <f>'Data entry HQ only'!AM15</f>
        <v>0</v>
      </c>
      <c r="Q15" s="224">
        <f>C15-'HQ only ORG'!C15</f>
        <v>0</v>
      </c>
      <c r="R15" s="224">
        <f>SUM(D15:I15)-SUM('HQ only ORG'!D15:I15)</f>
        <v>0</v>
      </c>
    </row>
    <row r="16" spans="2:18" ht="14" x14ac:dyDescent="0.15">
      <c r="B16" s="38" t="s">
        <v>26</v>
      </c>
      <c r="C16" s="39">
        <f>'Data entry HQ only'!C16</f>
        <v>0</v>
      </c>
      <c r="D16" s="39">
        <f>'Data entry HQ only'!F16</f>
        <v>0</v>
      </c>
      <c r="E16" s="39">
        <f>'Data entry HQ only'!I16</f>
        <v>0</v>
      </c>
      <c r="F16" s="39">
        <f>'Data entry HQ only'!L16</f>
        <v>0</v>
      </c>
      <c r="G16" s="39">
        <f>'Data entry HQ only'!O16</f>
        <v>0</v>
      </c>
      <c r="H16" s="39">
        <f>'Data entry HQ only'!R16</f>
        <v>0</v>
      </c>
      <c r="I16" s="39">
        <f>'Data entry HQ only'!U16</f>
        <v>0</v>
      </c>
      <c r="J16" s="39">
        <f>'Data entry HQ only'!X16</f>
        <v>0</v>
      </c>
      <c r="K16" s="39">
        <f>'Data entry HQ only'!AA16</f>
        <v>0</v>
      </c>
      <c r="L16" s="39">
        <f>'Data entry HQ only'!AD16</f>
        <v>0</v>
      </c>
      <c r="M16" s="39">
        <f>'Data entry HQ only'!AG16</f>
        <v>0</v>
      </c>
      <c r="N16" s="39">
        <f>'Data entry HQ only'!AJ16</f>
        <v>0</v>
      </c>
      <c r="O16" s="39">
        <f>'Data entry HQ only'!AM16</f>
        <v>0</v>
      </c>
      <c r="Q16" s="224">
        <f>C16-'HQ only ORG'!C16</f>
        <v>0</v>
      </c>
      <c r="R16" s="224">
        <f>SUM(D16:I16)-SUM('HQ only ORG'!D16:I16)</f>
        <v>0</v>
      </c>
    </row>
    <row r="17" spans="2:18" ht="14" x14ac:dyDescent="0.15">
      <c r="B17" s="38" t="s">
        <v>27</v>
      </c>
      <c r="C17" s="39">
        <f>'Data entry HQ only'!C17</f>
        <v>0</v>
      </c>
      <c r="D17" s="39">
        <f>'Data entry HQ only'!F17</f>
        <v>0</v>
      </c>
      <c r="E17" s="39">
        <f>'Data entry HQ only'!I17</f>
        <v>0</v>
      </c>
      <c r="F17" s="39">
        <f>'Data entry HQ only'!L17</f>
        <v>0</v>
      </c>
      <c r="G17" s="39">
        <f>'Data entry HQ only'!O17</f>
        <v>0</v>
      </c>
      <c r="H17" s="39">
        <f>'Data entry HQ only'!R17</f>
        <v>0</v>
      </c>
      <c r="I17" s="39">
        <f>'Data entry HQ only'!U17</f>
        <v>0</v>
      </c>
      <c r="J17" s="39">
        <f>'Data entry HQ only'!X17</f>
        <v>0</v>
      </c>
      <c r="K17" s="39">
        <f>'Data entry HQ only'!AA17</f>
        <v>0</v>
      </c>
      <c r="L17" s="39">
        <f>'Data entry HQ only'!AD17</f>
        <v>0</v>
      </c>
      <c r="M17" s="39">
        <f>'Data entry HQ only'!AG17</f>
        <v>0</v>
      </c>
      <c r="N17" s="39">
        <f>'Data entry HQ only'!AJ17</f>
        <v>0</v>
      </c>
      <c r="O17" s="39">
        <f>'Data entry HQ only'!AM17</f>
        <v>0</v>
      </c>
      <c r="Q17" s="224">
        <f>C17-'HQ only ORG'!C17</f>
        <v>0</v>
      </c>
      <c r="R17" s="224">
        <f>SUM(D17:I17)-SUM('HQ only ORG'!D17:I17)</f>
        <v>0</v>
      </c>
    </row>
    <row r="18" spans="2:18" ht="14" x14ac:dyDescent="0.15">
      <c r="B18" s="38" t="s">
        <v>28</v>
      </c>
      <c r="C18" s="39">
        <f>'Data entry HQ only'!C18</f>
        <v>0</v>
      </c>
      <c r="D18" s="39">
        <f>'Data entry HQ only'!F18</f>
        <v>0</v>
      </c>
      <c r="E18" s="39">
        <f>'Data entry HQ only'!I18</f>
        <v>0</v>
      </c>
      <c r="F18" s="39">
        <f>'Data entry HQ only'!L18</f>
        <v>0</v>
      </c>
      <c r="G18" s="39">
        <f>'Data entry HQ only'!O18</f>
        <v>0</v>
      </c>
      <c r="H18" s="39">
        <f>'Data entry HQ only'!R18</f>
        <v>0</v>
      </c>
      <c r="I18" s="39">
        <f>'Data entry HQ only'!U18</f>
        <v>0</v>
      </c>
      <c r="J18" s="39">
        <f>'Data entry HQ only'!X18</f>
        <v>0</v>
      </c>
      <c r="K18" s="39">
        <f>'Data entry HQ only'!AA18</f>
        <v>0</v>
      </c>
      <c r="L18" s="39">
        <f>'Data entry HQ only'!AD18</f>
        <v>0</v>
      </c>
      <c r="M18" s="39">
        <f>'Data entry HQ only'!AG18</f>
        <v>0</v>
      </c>
      <c r="N18" s="39">
        <f>'Data entry HQ only'!AJ18</f>
        <v>0</v>
      </c>
      <c r="O18" s="39">
        <f>'Data entry HQ only'!AM18</f>
        <v>0</v>
      </c>
      <c r="Q18" s="224">
        <f>C18-'HQ only ORG'!C18</f>
        <v>0</v>
      </c>
      <c r="R18" s="224">
        <f>SUM(D18:I18)-SUM('HQ only ORG'!D18:I18)</f>
        <v>0</v>
      </c>
    </row>
    <row r="19" spans="2:18" ht="14" x14ac:dyDescent="0.15">
      <c r="B19" s="38" t="s">
        <v>29</v>
      </c>
      <c r="C19" s="39">
        <f>'Data entry HQ only'!C19</f>
        <v>0</v>
      </c>
      <c r="D19" s="39">
        <f>'Data entry HQ only'!F19</f>
        <v>0</v>
      </c>
      <c r="E19" s="39">
        <f>'Data entry HQ only'!I19</f>
        <v>0</v>
      </c>
      <c r="F19" s="39">
        <f>'Data entry HQ only'!L19</f>
        <v>0</v>
      </c>
      <c r="G19" s="39">
        <f>'Data entry HQ only'!O19</f>
        <v>0</v>
      </c>
      <c r="H19" s="39">
        <f>'Data entry HQ only'!R19</f>
        <v>0</v>
      </c>
      <c r="I19" s="39">
        <f>'Data entry HQ only'!U19</f>
        <v>0</v>
      </c>
      <c r="J19" s="39">
        <f>'Data entry HQ only'!X19</f>
        <v>0</v>
      </c>
      <c r="K19" s="39">
        <f>'Data entry HQ only'!AA19</f>
        <v>0</v>
      </c>
      <c r="L19" s="39">
        <f>'Data entry HQ only'!AD19</f>
        <v>0</v>
      </c>
      <c r="M19" s="39">
        <f>'Data entry HQ only'!AG19</f>
        <v>0</v>
      </c>
      <c r="N19" s="39">
        <f>'Data entry HQ only'!AJ19</f>
        <v>0</v>
      </c>
      <c r="O19" s="39">
        <f>'Data entry HQ only'!AM19</f>
        <v>0</v>
      </c>
      <c r="Q19" s="224">
        <f>C19-'HQ only ORG'!C19</f>
        <v>0</v>
      </c>
      <c r="R19" s="224">
        <f>SUM(D19:I19)-SUM('HQ only ORG'!D19:I19)</f>
        <v>0</v>
      </c>
    </row>
    <row r="20" spans="2:18" ht="14" x14ac:dyDescent="0.15">
      <c r="B20" s="38" t="s">
        <v>30</v>
      </c>
      <c r="C20" s="39">
        <f>'Data entry HQ only'!C20</f>
        <v>0</v>
      </c>
      <c r="D20" s="39">
        <f>'Data entry HQ only'!F20</f>
        <v>0</v>
      </c>
      <c r="E20" s="39">
        <f>'Data entry HQ only'!I20</f>
        <v>0</v>
      </c>
      <c r="F20" s="39">
        <f>'Data entry HQ only'!L20</f>
        <v>0</v>
      </c>
      <c r="G20" s="39">
        <f>'Data entry HQ only'!O20</f>
        <v>0</v>
      </c>
      <c r="H20" s="39">
        <f>'Data entry HQ only'!R20</f>
        <v>0</v>
      </c>
      <c r="I20" s="39">
        <f>'Data entry HQ only'!U20</f>
        <v>0</v>
      </c>
      <c r="J20" s="39">
        <f>'Data entry HQ only'!X20</f>
        <v>0</v>
      </c>
      <c r="K20" s="39">
        <f>'Data entry HQ only'!AA20</f>
        <v>0</v>
      </c>
      <c r="L20" s="39">
        <f>'Data entry HQ only'!AD20</f>
        <v>0</v>
      </c>
      <c r="M20" s="39">
        <f>'Data entry HQ only'!AG20</f>
        <v>0</v>
      </c>
      <c r="N20" s="39">
        <f>'Data entry HQ only'!AJ20</f>
        <v>0</v>
      </c>
      <c r="O20" s="39">
        <f>'Data entry HQ only'!AM20</f>
        <v>0</v>
      </c>
      <c r="Q20" s="224">
        <f>C20-'HQ only ORG'!C20</f>
        <v>0</v>
      </c>
      <c r="R20" s="224">
        <f>SUM(D20:I20)-SUM('HQ only ORG'!D20:I20)</f>
        <v>0</v>
      </c>
    </row>
    <row r="21" spans="2:18" ht="14" x14ac:dyDescent="0.15">
      <c r="B21" s="38" t="s">
        <v>31</v>
      </c>
      <c r="C21" s="39">
        <f>'Data entry HQ only'!C21</f>
        <v>0</v>
      </c>
      <c r="D21" s="39">
        <f>'Data entry HQ only'!F21</f>
        <v>0</v>
      </c>
      <c r="E21" s="39">
        <f>'Data entry HQ only'!I21</f>
        <v>0</v>
      </c>
      <c r="F21" s="39">
        <f>'Data entry HQ only'!L21</f>
        <v>0</v>
      </c>
      <c r="G21" s="39">
        <f>'Data entry HQ only'!O21</f>
        <v>0</v>
      </c>
      <c r="H21" s="39">
        <f>'Data entry HQ only'!R21</f>
        <v>0</v>
      </c>
      <c r="I21" s="39">
        <f>'Data entry HQ only'!U21</f>
        <v>0</v>
      </c>
      <c r="J21" s="39">
        <f>'Data entry HQ only'!X21</f>
        <v>0</v>
      </c>
      <c r="K21" s="39">
        <f>'Data entry HQ only'!AA21</f>
        <v>0</v>
      </c>
      <c r="L21" s="39">
        <f>'Data entry HQ only'!AD21</f>
        <v>0</v>
      </c>
      <c r="M21" s="39">
        <f>'Data entry HQ only'!AG21</f>
        <v>0</v>
      </c>
      <c r="N21" s="39">
        <f>'Data entry HQ only'!AJ21</f>
        <v>0</v>
      </c>
      <c r="O21" s="39">
        <f>'Data entry HQ only'!AM21</f>
        <v>0</v>
      </c>
      <c r="Q21" s="224">
        <f>C21-'HQ only ORG'!C21</f>
        <v>0</v>
      </c>
      <c r="R21" s="224">
        <f>SUM(D21:I21)-SUM('HQ only ORG'!D21:I21)</f>
        <v>0</v>
      </c>
    </row>
    <row r="22" spans="2:18" ht="14" x14ac:dyDescent="0.15">
      <c r="B22" s="38" t="s">
        <v>32</v>
      </c>
      <c r="C22" s="39">
        <f>'Data entry HQ only'!C22</f>
        <v>0</v>
      </c>
      <c r="D22" s="39">
        <f>'Data entry HQ only'!F22</f>
        <v>0</v>
      </c>
      <c r="E22" s="39">
        <f>'Data entry HQ only'!I22</f>
        <v>0</v>
      </c>
      <c r="F22" s="39">
        <f>'Data entry HQ only'!L22</f>
        <v>0</v>
      </c>
      <c r="G22" s="39">
        <f>'Data entry HQ only'!O22</f>
        <v>0</v>
      </c>
      <c r="H22" s="39">
        <f>'Data entry HQ only'!R22</f>
        <v>0</v>
      </c>
      <c r="I22" s="39">
        <f>'Data entry HQ only'!U22</f>
        <v>0</v>
      </c>
      <c r="J22" s="39">
        <f>'Data entry HQ only'!X22</f>
        <v>0</v>
      </c>
      <c r="K22" s="39">
        <f>'Data entry HQ only'!AA22</f>
        <v>0</v>
      </c>
      <c r="L22" s="39">
        <f>'Data entry HQ only'!AD22</f>
        <v>0</v>
      </c>
      <c r="M22" s="39">
        <f>'Data entry HQ only'!AG22</f>
        <v>0</v>
      </c>
      <c r="N22" s="39">
        <f>'Data entry HQ only'!AJ22</f>
        <v>0</v>
      </c>
      <c r="O22" s="39">
        <f>'Data entry HQ only'!AM22</f>
        <v>0</v>
      </c>
      <c r="Q22" s="224">
        <f>C22-'HQ only ORG'!C22</f>
        <v>0</v>
      </c>
      <c r="R22" s="224">
        <f>SUM(D22:I22)-SUM('HQ only ORG'!D22:I22)</f>
        <v>0</v>
      </c>
    </row>
    <row r="23" spans="2:18" ht="14" x14ac:dyDescent="0.15">
      <c r="B23" s="38" t="s">
        <v>33</v>
      </c>
      <c r="C23" s="39">
        <f>'Data entry HQ only'!C23</f>
        <v>94.954999999999998</v>
      </c>
      <c r="D23" s="39">
        <f>'Data entry HQ only'!F23</f>
        <v>0</v>
      </c>
      <c r="E23" s="39">
        <f>'Data entry HQ only'!I23</f>
        <v>0</v>
      </c>
      <c r="F23" s="39">
        <f>'Data entry HQ only'!L23</f>
        <v>0</v>
      </c>
      <c r="G23" s="39">
        <f>'Data entry HQ only'!O23</f>
        <v>0</v>
      </c>
      <c r="H23" s="39">
        <f>'Data entry HQ only'!R23</f>
        <v>0</v>
      </c>
      <c r="I23" s="39">
        <f>'Data entry HQ only'!U23</f>
        <v>0</v>
      </c>
      <c r="J23" s="39">
        <f>'Data entry HQ only'!X23</f>
        <v>97.38</v>
      </c>
      <c r="K23" s="39">
        <f>'Data entry HQ only'!AA23</f>
        <v>96.87</v>
      </c>
      <c r="L23" s="39">
        <f>'Data entry HQ only'!AD23</f>
        <v>93.87</v>
      </c>
      <c r="M23" s="39">
        <f>'Data entry HQ only'!AG23</f>
        <v>93.87</v>
      </c>
      <c r="N23" s="39">
        <f>'Data entry HQ only'!AJ23</f>
        <v>93.87</v>
      </c>
      <c r="O23" s="39">
        <f>'Data entry HQ only'!AM23</f>
        <v>93.87</v>
      </c>
      <c r="Q23" s="224">
        <f>C23-'HQ only ORG'!C23</f>
        <v>-4.9475000000000051</v>
      </c>
      <c r="R23" s="224">
        <f>SUM(D23:I23)-SUM('HQ only ORG'!D23:I23)</f>
        <v>-629.1</v>
      </c>
    </row>
    <row r="24" spans="2:18" x14ac:dyDescent="0.15">
      <c r="C24" s="39">
        <f>'Data entry HQ only'!C24</f>
        <v>0</v>
      </c>
      <c r="D24" s="39">
        <f>'Data entry HQ only'!F24</f>
        <v>0</v>
      </c>
      <c r="E24" s="39">
        <f>'Data entry HQ only'!I24</f>
        <v>0</v>
      </c>
      <c r="F24" s="39">
        <f>'Data entry HQ only'!L24</f>
        <v>0</v>
      </c>
      <c r="G24" s="39">
        <f>'Data entry HQ only'!O24</f>
        <v>0</v>
      </c>
      <c r="H24" s="39">
        <f>'Data entry HQ only'!R24</f>
        <v>0</v>
      </c>
      <c r="I24" s="39">
        <f>'Data entry HQ only'!U24</f>
        <v>0</v>
      </c>
      <c r="J24" s="39">
        <f>'Data entry HQ only'!X24</f>
        <v>0</v>
      </c>
      <c r="K24" s="39">
        <f>'Data entry HQ only'!AA24</f>
        <v>0</v>
      </c>
      <c r="L24" s="39">
        <f>'Data entry HQ only'!AD24</f>
        <v>0</v>
      </c>
      <c r="M24" s="39">
        <f>'Data entry HQ only'!AG24</f>
        <v>0</v>
      </c>
      <c r="N24" s="39">
        <f>'Data entry HQ only'!AJ24</f>
        <v>0</v>
      </c>
      <c r="O24" s="39">
        <f>'Data entry HQ only'!AM24</f>
        <v>0</v>
      </c>
      <c r="Q24" s="224">
        <f>C24-'HQ only ORG'!C24</f>
        <v>0</v>
      </c>
      <c r="R24" s="224">
        <f>SUM(D24:I24)-SUM('HQ only ORG'!D24:I24)</f>
        <v>0</v>
      </c>
    </row>
    <row r="25" spans="2:18" ht="14" x14ac:dyDescent="0.15">
      <c r="B25" s="38" t="s">
        <v>34</v>
      </c>
      <c r="C25" s="39">
        <f>'Data entry HQ only'!C25</f>
        <v>0</v>
      </c>
      <c r="D25" s="39">
        <f>'Data entry HQ only'!F25</f>
        <v>0</v>
      </c>
      <c r="E25" s="39">
        <f>'Data entry HQ only'!I25</f>
        <v>0</v>
      </c>
      <c r="F25" s="39">
        <f>'Data entry HQ only'!L25</f>
        <v>0</v>
      </c>
      <c r="G25" s="39">
        <f>'Data entry HQ only'!O25</f>
        <v>0</v>
      </c>
      <c r="H25" s="39">
        <f>'Data entry HQ only'!R25</f>
        <v>0</v>
      </c>
      <c r="I25" s="39">
        <f>'Data entry HQ only'!U25</f>
        <v>0</v>
      </c>
      <c r="J25" s="39">
        <f>'Data entry HQ only'!X25</f>
        <v>0</v>
      </c>
      <c r="K25" s="39">
        <f>'Data entry HQ only'!AA25</f>
        <v>0</v>
      </c>
      <c r="L25" s="39">
        <f>'Data entry HQ only'!AD25</f>
        <v>0</v>
      </c>
      <c r="M25" s="39">
        <f>'Data entry HQ only'!AG25</f>
        <v>0</v>
      </c>
      <c r="N25" s="39">
        <f>'Data entry HQ only'!AJ25</f>
        <v>0</v>
      </c>
      <c r="O25" s="39">
        <f>'Data entry HQ only'!AM25</f>
        <v>0</v>
      </c>
      <c r="Q25" s="224">
        <f>C25-'HQ only ORG'!C25</f>
        <v>0</v>
      </c>
      <c r="R25" s="224">
        <f>SUM(D25:I25)-SUM('HQ only ORG'!D25:I25)</f>
        <v>0</v>
      </c>
    </row>
    <row r="26" spans="2:18" x14ac:dyDescent="0.15">
      <c r="B26" s="40"/>
      <c r="C26" s="39">
        <f>'Data entry HQ only'!C26</f>
        <v>0</v>
      </c>
      <c r="D26" s="39">
        <f>'Data entry HQ only'!F26</f>
        <v>0</v>
      </c>
      <c r="E26" s="39">
        <f>'Data entry HQ only'!I26</f>
        <v>0</v>
      </c>
      <c r="F26" s="39">
        <f>'Data entry HQ only'!L26</f>
        <v>0</v>
      </c>
      <c r="G26" s="39">
        <f>'Data entry HQ only'!O26</f>
        <v>0</v>
      </c>
      <c r="H26" s="39">
        <f>'Data entry HQ only'!R26</f>
        <v>0</v>
      </c>
      <c r="I26" s="39">
        <f>'Data entry HQ only'!U26</f>
        <v>0</v>
      </c>
      <c r="J26" s="39">
        <f>'Data entry HQ only'!X26</f>
        <v>0</v>
      </c>
      <c r="K26" s="39">
        <f>'Data entry HQ only'!AA26</f>
        <v>0</v>
      </c>
      <c r="L26" s="39">
        <f>'Data entry HQ only'!AD26</f>
        <v>0</v>
      </c>
      <c r="M26" s="39">
        <f>'Data entry HQ only'!AG26</f>
        <v>0</v>
      </c>
      <c r="N26" s="39">
        <f>'Data entry HQ only'!AJ26</f>
        <v>0</v>
      </c>
      <c r="O26" s="39">
        <f>'Data entry HQ only'!AM26</f>
        <v>0</v>
      </c>
      <c r="Q26" s="224">
        <f>C26-'HQ only ORG'!C26</f>
        <v>0</v>
      </c>
      <c r="R26" s="224">
        <f>SUM(D26:I26)-SUM('HQ only ORG'!D26:I26)</f>
        <v>0</v>
      </c>
    </row>
    <row r="27" spans="2:18" ht="14" x14ac:dyDescent="0.15">
      <c r="B27" s="42" t="s">
        <v>21</v>
      </c>
      <c r="C27" s="39">
        <f>'Data entry HQ only'!C27</f>
        <v>15256234.3805</v>
      </c>
      <c r="D27" s="39">
        <f>'Data entry HQ only'!F27</f>
        <v>552614.44999999995</v>
      </c>
      <c r="E27" s="39">
        <f>'Data entry HQ only'!I27</f>
        <v>528587.06000000006</v>
      </c>
      <c r="F27" s="39">
        <f>'Data entry HQ only'!L27</f>
        <v>1070582.96</v>
      </c>
      <c r="G27" s="39">
        <f>'Data entry HQ only'!O27</f>
        <v>610468.18000000005</v>
      </c>
      <c r="H27" s="39">
        <f>'Data entry HQ only'!R27</f>
        <v>1537438.9</v>
      </c>
      <c r="I27" s="39">
        <f>'Data entry HQ only'!U27</f>
        <v>1012045.73</v>
      </c>
      <c r="J27" s="39">
        <f>'Data entry HQ only'!X27</f>
        <v>1924757.9398000001</v>
      </c>
      <c r="K27" s="39">
        <f>'Data entry HQ only'!AA27</f>
        <v>1942110.5708000001</v>
      </c>
      <c r="L27" s="39">
        <f>'Data entry HQ only'!AD27</f>
        <v>1900916.1665000001</v>
      </c>
      <c r="M27" s="39">
        <f>'Data entry HQ only'!AG27</f>
        <v>1561011.1294</v>
      </c>
      <c r="N27" s="39">
        <f>'Data entry HQ only'!AJ27</f>
        <v>1160767.0135999999</v>
      </c>
      <c r="O27" s="39">
        <f>'Data entry HQ only'!AM27</f>
        <v>1454934.2804</v>
      </c>
      <c r="Q27" s="224">
        <f>C27-'HQ only ORG'!C27</f>
        <v>-2487485.3581999987</v>
      </c>
      <c r="R27" s="224">
        <f>SUM(D27:I27)-SUM('HQ only ORG'!D27:I27)</f>
        <v>-2400468.7495999997</v>
      </c>
    </row>
    <row r="28" spans="2:18" ht="14" x14ac:dyDescent="0.15">
      <c r="B28" s="38" t="s">
        <v>35</v>
      </c>
      <c r="C28" s="39">
        <f>'Data entry HQ only'!C28</f>
        <v>0</v>
      </c>
      <c r="D28" s="39">
        <f>'Data entry HQ only'!F28</f>
        <v>0</v>
      </c>
      <c r="E28" s="39">
        <f>'Data entry HQ only'!I28</f>
        <v>0</v>
      </c>
      <c r="F28" s="39">
        <f>'Data entry HQ only'!L28</f>
        <v>0</v>
      </c>
      <c r="G28" s="39">
        <f>'Data entry HQ only'!O28</f>
        <v>0</v>
      </c>
      <c r="H28" s="39">
        <f>'Data entry HQ only'!R28</f>
        <v>0</v>
      </c>
      <c r="I28" s="39">
        <f>'Data entry HQ only'!U28</f>
        <v>0</v>
      </c>
      <c r="J28" s="39">
        <f>'Data entry HQ only'!X28</f>
        <v>0</v>
      </c>
      <c r="K28" s="39">
        <f>'Data entry HQ only'!AA28</f>
        <v>0</v>
      </c>
      <c r="L28" s="39">
        <f>'Data entry HQ only'!AD28</f>
        <v>0</v>
      </c>
      <c r="M28" s="39">
        <f>'Data entry HQ only'!AG28</f>
        <v>0</v>
      </c>
      <c r="N28" s="39">
        <f>'Data entry HQ only'!AJ28</f>
        <v>0</v>
      </c>
      <c r="O28" s="39">
        <f>'Data entry HQ only'!AM28</f>
        <v>0</v>
      </c>
      <c r="Q28" s="224">
        <f>C28-'HQ only ORG'!C28</f>
        <v>0</v>
      </c>
      <c r="R28" s="224">
        <f>SUM(D28:I28)-SUM('HQ only ORG'!D28:I28)</f>
        <v>0</v>
      </c>
    </row>
    <row r="29" spans="2:18" ht="14" x14ac:dyDescent="0.15">
      <c r="B29" s="38" t="s">
        <v>36</v>
      </c>
      <c r="C29" s="39">
        <f>'Data entry HQ only'!C29</f>
        <v>0</v>
      </c>
      <c r="D29" s="39">
        <f>'Data entry HQ only'!F29</f>
        <v>0</v>
      </c>
      <c r="E29" s="39">
        <f>'Data entry HQ only'!I29</f>
        <v>0</v>
      </c>
      <c r="F29" s="39">
        <f>'Data entry HQ only'!L29</f>
        <v>0</v>
      </c>
      <c r="G29" s="39">
        <f>'Data entry HQ only'!O29</f>
        <v>0</v>
      </c>
      <c r="H29" s="39">
        <f>'Data entry HQ only'!R29</f>
        <v>0</v>
      </c>
      <c r="I29" s="39">
        <f>'Data entry HQ only'!U29</f>
        <v>0</v>
      </c>
      <c r="J29" s="39">
        <f>'Data entry HQ only'!X29</f>
        <v>0</v>
      </c>
      <c r="K29" s="39">
        <f>'Data entry HQ only'!AA29</f>
        <v>0</v>
      </c>
      <c r="L29" s="39">
        <f>'Data entry HQ only'!AD29</f>
        <v>0</v>
      </c>
      <c r="M29" s="39">
        <f>'Data entry HQ only'!AG29</f>
        <v>0</v>
      </c>
      <c r="N29" s="39">
        <f>'Data entry HQ only'!AJ29</f>
        <v>0</v>
      </c>
      <c r="O29" s="39">
        <f>'Data entry HQ only'!AM29</f>
        <v>0</v>
      </c>
      <c r="Q29" s="224">
        <f>C29-'HQ only ORG'!C29</f>
        <v>0</v>
      </c>
      <c r="R29" s="224">
        <f>SUM(D29:I29)-SUM('HQ only ORG'!D29:I29)</f>
        <v>0</v>
      </c>
    </row>
    <row r="30" spans="2:18" ht="14" x14ac:dyDescent="0.15">
      <c r="B30" s="38" t="s">
        <v>37</v>
      </c>
      <c r="C30" s="39">
        <f>'Data entry HQ only'!C30</f>
        <v>0</v>
      </c>
      <c r="D30" s="39">
        <f>'Data entry HQ only'!F30</f>
        <v>0</v>
      </c>
      <c r="E30" s="39">
        <f>'Data entry HQ only'!I30</f>
        <v>0</v>
      </c>
      <c r="F30" s="39">
        <f>'Data entry HQ only'!L30</f>
        <v>0</v>
      </c>
      <c r="G30" s="39">
        <f>'Data entry HQ only'!O30</f>
        <v>0</v>
      </c>
      <c r="H30" s="39">
        <f>'Data entry HQ only'!R30</f>
        <v>0</v>
      </c>
      <c r="I30" s="39">
        <f>'Data entry HQ only'!U30</f>
        <v>0</v>
      </c>
      <c r="J30" s="39">
        <f>'Data entry HQ only'!X30</f>
        <v>0</v>
      </c>
      <c r="K30" s="39">
        <f>'Data entry HQ only'!AA30</f>
        <v>0</v>
      </c>
      <c r="L30" s="39">
        <f>'Data entry HQ only'!AD30</f>
        <v>0</v>
      </c>
      <c r="M30" s="39">
        <f>'Data entry HQ only'!AG30</f>
        <v>0</v>
      </c>
      <c r="N30" s="39">
        <f>'Data entry HQ only'!AJ30</f>
        <v>0</v>
      </c>
      <c r="O30" s="39">
        <f>'Data entry HQ only'!AM30</f>
        <v>0</v>
      </c>
      <c r="Q30" s="224">
        <f>C30-'HQ only ORG'!C30</f>
        <v>0</v>
      </c>
      <c r="R30" s="224">
        <f>SUM(D30:I30)-SUM('HQ only ORG'!D30:I30)</f>
        <v>0</v>
      </c>
    </row>
    <row r="31" spans="2:18" ht="14" x14ac:dyDescent="0.15">
      <c r="B31" s="38" t="s">
        <v>38</v>
      </c>
      <c r="C31" s="39">
        <f>'Data entry HQ only'!C31</f>
        <v>0</v>
      </c>
      <c r="D31" s="39">
        <f>'Data entry HQ only'!F31</f>
        <v>0</v>
      </c>
      <c r="E31" s="39">
        <f>'Data entry HQ only'!I31</f>
        <v>0</v>
      </c>
      <c r="F31" s="39">
        <f>'Data entry HQ only'!L31</f>
        <v>0</v>
      </c>
      <c r="G31" s="39">
        <f>'Data entry HQ only'!O31</f>
        <v>0</v>
      </c>
      <c r="H31" s="39">
        <f>'Data entry HQ only'!R31</f>
        <v>0</v>
      </c>
      <c r="I31" s="39">
        <f>'Data entry HQ only'!U31</f>
        <v>0</v>
      </c>
      <c r="J31" s="39">
        <f>'Data entry HQ only'!X31</f>
        <v>0</v>
      </c>
      <c r="K31" s="39">
        <f>'Data entry HQ only'!AA31</f>
        <v>0</v>
      </c>
      <c r="L31" s="39">
        <f>'Data entry HQ only'!AD31</f>
        <v>0</v>
      </c>
      <c r="M31" s="39">
        <f>'Data entry HQ only'!AG31</f>
        <v>0</v>
      </c>
      <c r="N31" s="39">
        <f>'Data entry HQ only'!AJ31</f>
        <v>0</v>
      </c>
      <c r="O31" s="39">
        <f>'Data entry HQ only'!AM31</f>
        <v>0</v>
      </c>
      <c r="Q31" s="224">
        <f>C31-'HQ only ORG'!C31</f>
        <v>0</v>
      </c>
      <c r="R31" s="224">
        <f>SUM(D31:I31)-SUM('HQ only ORG'!D31:I31)</f>
        <v>0</v>
      </c>
    </row>
    <row r="32" spans="2:18" x14ac:dyDescent="0.15">
      <c r="B32" s="40"/>
      <c r="C32" s="39">
        <f>'Data entry HQ only'!C32</f>
        <v>0</v>
      </c>
      <c r="D32" s="39">
        <f>'Data entry HQ only'!F32</f>
        <v>0</v>
      </c>
      <c r="E32" s="39">
        <f>'Data entry HQ only'!I32</f>
        <v>0</v>
      </c>
      <c r="F32" s="39">
        <f>'Data entry HQ only'!L32</f>
        <v>0</v>
      </c>
      <c r="G32" s="39">
        <f>'Data entry HQ only'!O32</f>
        <v>0</v>
      </c>
      <c r="H32" s="39">
        <f>'Data entry HQ only'!R32</f>
        <v>0</v>
      </c>
      <c r="I32" s="39">
        <f>'Data entry HQ only'!U32</f>
        <v>0</v>
      </c>
      <c r="J32" s="39">
        <f>'Data entry HQ only'!X32</f>
        <v>0</v>
      </c>
      <c r="K32" s="39">
        <f>'Data entry HQ only'!AA32</f>
        <v>0</v>
      </c>
      <c r="L32" s="39">
        <f>'Data entry HQ only'!AD32</f>
        <v>0</v>
      </c>
      <c r="M32" s="39">
        <f>'Data entry HQ only'!AG32</f>
        <v>0</v>
      </c>
      <c r="N32" s="39">
        <f>'Data entry HQ only'!AJ32</f>
        <v>0</v>
      </c>
      <c r="O32" s="39">
        <f>'Data entry HQ only'!AM32</f>
        <v>0</v>
      </c>
      <c r="Q32" s="224">
        <f>C32-'HQ only ORG'!C32</f>
        <v>0</v>
      </c>
      <c r="R32" s="224">
        <f>SUM(D32:I32)-SUM('HQ only ORG'!D32:I32)</f>
        <v>0</v>
      </c>
    </row>
    <row r="33" spans="2:18" ht="14" x14ac:dyDescent="0.15">
      <c r="B33" s="44" t="s">
        <v>39</v>
      </c>
      <c r="C33" s="39">
        <f>'Data entry HQ only'!C33</f>
        <v>0</v>
      </c>
      <c r="D33" s="39">
        <f>'Data entry HQ only'!F33</f>
        <v>0</v>
      </c>
      <c r="E33" s="39">
        <f>'Data entry HQ only'!I33</f>
        <v>0</v>
      </c>
      <c r="F33" s="39">
        <f>'Data entry HQ only'!L33</f>
        <v>0</v>
      </c>
      <c r="G33" s="39">
        <f>'Data entry HQ only'!O33</f>
        <v>0</v>
      </c>
      <c r="H33" s="39">
        <f>'Data entry HQ only'!R33</f>
        <v>0</v>
      </c>
      <c r="I33" s="39">
        <f>'Data entry HQ only'!U33</f>
        <v>0</v>
      </c>
      <c r="J33" s="39">
        <f>'Data entry HQ only'!X33</f>
        <v>0</v>
      </c>
      <c r="K33" s="39">
        <f>'Data entry HQ only'!AA33</f>
        <v>0</v>
      </c>
      <c r="L33" s="39">
        <f>'Data entry HQ only'!AD33</f>
        <v>0</v>
      </c>
      <c r="M33" s="39">
        <f>'Data entry HQ only'!AG33</f>
        <v>0</v>
      </c>
      <c r="N33" s="39">
        <f>'Data entry HQ only'!AJ33</f>
        <v>0</v>
      </c>
      <c r="O33" s="39">
        <f>'Data entry HQ only'!AM33</f>
        <v>0</v>
      </c>
      <c r="Q33" s="224">
        <f>C33-'HQ only ORG'!C33</f>
        <v>0</v>
      </c>
      <c r="R33" s="224">
        <f>SUM(D33:I33)-SUM('HQ only ORG'!D33:I33)</f>
        <v>0</v>
      </c>
    </row>
    <row r="34" spans="2:18" ht="14" x14ac:dyDescent="0.15">
      <c r="B34" s="42" t="s">
        <v>35</v>
      </c>
      <c r="C34" s="39">
        <f>'Data entry HQ only'!C34</f>
        <v>0</v>
      </c>
      <c r="D34" s="39">
        <f>'Data entry HQ only'!F34</f>
        <v>0</v>
      </c>
      <c r="E34" s="39">
        <f>'Data entry HQ only'!I34</f>
        <v>0</v>
      </c>
      <c r="F34" s="39">
        <f>'Data entry HQ only'!L34</f>
        <v>0</v>
      </c>
      <c r="G34" s="39">
        <f>'Data entry HQ only'!O34</f>
        <v>0</v>
      </c>
      <c r="H34" s="39">
        <f>'Data entry HQ only'!R34</f>
        <v>0</v>
      </c>
      <c r="I34" s="39">
        <f>'Data entry HQ only'!U34</f>
        <v>0</v>
      </c>
      <c r="J34" s="39">
        <f>'Data entry HQ only'!X34</f>
        <v>0</v>
      </c>
      <c r="K34" s="39">
        <f>'Data entry HQ only'!AA34</f>
        <v>0</v>
      </c>
      <c r="L34" s="39">
        <f>'Data entry HQ only'!AD34</f>
        <v>0</v>
      </c>
      <c r="M34" s="39">
        <f>'Data entry HQ only'!AG34</f>
        <v>0</v>
      </c>
      <c r="N34" s="39">
        <f>'Data entry HQ only'!AJ34</f>
        <v>0</v>
      </c>
      <c r="O34" s="39">
        <f>'Data entry HQ only'!AM34</f>
        <v>0</v>
      </c>
      <c r="Q34" s="224">
        <f>C34-'HQ only ORG'!C34</f>
        <v>0</v>
      </c>
      <c r="R34" s="224">
        <f>SUM(D34:I34)-SUM('HQ only ORG'!D34:I34)</f>
        <v>0</v>
      </c>
    </row>
    <row r="35" spans="2:18" ht="14" x14ac:dyDescent="0.15">
      <c r="B35" s="38" t="s">
        <v>22</v>
      </c>
      <c r="C35" s="39">
        <f>'Data entry HQ only'!C35</f>
        <v>0</v>
      </c>
      <c r="D35" s="39">
        <f>'Data entry HQ only'!F35</f>
        <v>0</v>
      </c>
      <c r="E35" s="39">
        <f>'Data entry HQ only'!I35</f>
        <v>0</v>
      </c>
      <c r="F35" s="39">
        <f>'Data entry HQ only'!L35</f>
        <v>0</v>
      </c>
      <c r="G35" s="39">
        <f>'Data entry HQ only'!O35</f>
        <v>0</v>
      </c>
      <c r="H35" s="39">
        <f>'Data entry HQ only'!R35</f>
        <v>0</v>
      </c>
      <c r="I35" s="39">
        <f>'Data entry HQ only'!U35</f>
        <v>0</v>
      </c>
      <c r="J35" s="39">
        <f>'Data entry HQ only'!X35</f>
        <v>0</v>
      </c>
      <c r="K35" s="39">
        <f>'Data entry HQ only'!AA35</f>
        <v>0</v>
      </c>
      <c r="L35" s="39">
        <f>'Data entry HQ only'!AD35</f>
        <v>0</v>
      </c>
      <c r="M35" s="39">
        <f>'Data entry HQ only'!AG35</f>
        <v>0</v>
      </c>
      <c r="N35" s="39">
        <f>'Data entry HQ only'!AJ35</f>
        <v>0</v>
      </c>
      <c r="O35" s="39">
        <f>'Data entry HQ only'!AM35</f>
        <v>0</v>
      </c>
      <c r="Q35" s="224">
        <f>C35-'HQ only ORG'!C35</f>
        <v>0</v>
      </c>
      <c r="R35" s="224">
        <f>SUM(D35:I35)-SUM('HQ only ORG'!D35:I35)</f>
        <v>0</v>
      </c>
    </row>
    <row r="36" spans="2:18" ht="14" x14ac:dyDescent="0.15">
      <c r="B36" s="38" t="s">
        <v>40</v>
      </c>
      <c r="C36" s="39">
        <f>'Data entry HQ only'!C36</f>
        <v>0</v>
      </c>
      <c r="D36" s="39">
        <f>'Data entry HQ only'!F36</f>
        <v>0</v>
      </c>
      <c r="E36" s="39">
        <f>'Data entry HQ only'!I36</f>
        <v>0</v>
      </c>
      <c r="F36" s="39">
        <f>'Data entry HQ only'!L36</f>
        <v>0</v>
      </c>
      <c r="G36" s="39">
        <f>'Data entry HQ only'!O36</f>
        <v>0</v>
      </c>
      <c r="H36" s="39">
        <f>'Data entry HQ only'!R36</f>
        <v>0</v>
      </c>
      <c r="I36" s="39">
        <f>'Data entry HQ only'!U36</f>
        <v>0</v>
      </c>
      <c r="J36" s="39">
        <f>'Data entry HQ only'!X36</f>
        <v>0</v>
      </c>
      <c r="K36" s="39">
        <f>'Data entry HQ only'!AA36</f>
        <v>0</v>
      </c>
      <c r="L36" s="39">
        <f>'Data entry HQ only'!AD36</f>
        <v>0</v>
      </c>
      <c r="M36" s="39">
        <f>'Data entry HQ only'!AG36</f>
        <v>0</v>
      </c>
      <c r="N36" s="39">
        <f>'Data entry HQ only'!AJ36</f>
        <v>0</v>
      </c>
      <c r="O36" s="39">
        <f>'Data entry HQ only'!AM36</f>
        <v>0</v>
      </c>
      <c r="Q36" s="224">
        <f>C36-'HQ only ORG'!C36</f>
        <v>0</v>
      </c>
      <c r="R36" s="224">
        <f>SUM(D36:I36)-SUM('HQ only ORG'!D36:I36)</f>
        <v>0</v>
      </c>
    </row>
    <row r="37" spans="2:18" ht="14" x14ac:dyDescent="0.15">
      <c r="B37" s="42" t="s">
        <v>41</v>
      </c>
      <c r="C37" s="39">
        <f>'Data entry HQ only'!C37</f>
        <v>0</v>
      </c>
      <c r="D37" s="39">
        <f>'Data entry HQ only'!F37</f>
        <v>0</v>
      </c>
      <c r="E37" s="39">
        <f>'Data entry HQ only'!I37</f>
        <v>0</v>
      </c>
      <c r="F37" s="39">
        <f>'Data entry HQ only'!L37</f>
        <v>0</v>
      </c>
      <c r="G37" s="39">
        <f>'Data entry HQ only'!O37</f>
        <v>0</v>
      </c>
      <c r="H37" s="39">
        <f>'Data entry HQ only'!R37</f>
        <v>0</v>
      </c>
      <c r="I37" s="39">
        <f>'Data entry HQ only'!U37</f>
        <v>0</v>
      </c>
      <c r="J37" s="39">
        <f>'Data entry HQ only'!X37</f>
        <v>0</v>
      </c>
      <c r="K37" s="39">
        <f>'Data entry HQ only'!AA37</f>
        <v>0</v>
      </c>
      <c r="L37" s="39">
        <f>'Data entry HQ only'!AD37</f>
        <v>0</v>
      </c>
      <c r="M37" s="39">
        <f>'Data entry HQ only'!AG37</f>
        <v>0</v>
      </c>
      <c r="N37" s="39">
        <f>'Data entry HQ only'!AJ37</f>
        <v>0</v>
      </c>
      <c r="O37" s="39">
        <f>'Data entry HQ only'!AM37</f>
        <v>0</v>
      </c>
      <c r="Q37" s="224">
        <f>C37-'HQ only ORG'!C37</f>
        <v>0</v>
      </c>
      <c r="R37" s="224">
        <f>SUM(D37:I37)-SUM('HQ only ORG'!D37:I37)</f>
        <v>0</v>
      </c>
    </row>
    <row r="38" spans="2:18" x14ac:dyDescent="0.15">
      <c r="B38" s="40"/>
      <c r="C38" s="39">
        <f>'Data entry HQ only'!C38</f>
        <v>0</v>
      </c>
      <c r="D38" s="39">
        <f>'Data entry HQ only'!F38</f>
        <v>0</v>
      </c>
      <c r="E38" s="39">
        <f>'Data entry HQ only'!I38</f>
        <v>0</v>
      </c>
      <c r="F38" s="39">
        <f>'Data entry HQ only'!L38</f>
        <v>0</v>
      </c>
      <c r="G38" s="39">
        <f>'Data entry HQ only'!O38</f>
        <v>0</v>
      </c>
      <c r="H38" s="39">
        <f>'Data entry HQ only'!R38</f>
        <v>0</v>
      </c>
      <c r="I38" s="39">
        <f>'Data entry HQ only'!U38</f>
        <v>0</v>
      </c>
      <c r="J38" s="39">
        <f>'Data entry HQ only'!X38</f>
        <v>0</v>
      </c>
      <c r="K38" s="39">
        <f>'Data entry HQ only'!AA38</f>
        <v>0</v>
      </c>
      <c r="L38" s="39">
        <f>'Data entry HQ only'!AD38</f>
        <v>0</v>
      </c>
      <c r="M38" s="39">
        <f>'Data entry HQ only'!AG38</f>
        <v>0</v>
      </c>
      <c r="N38" s="39">
        <f>'Data entry HQ only'!AJ38</f>
        <v>0</v>
      </c>
      <c r="O38" s="39">
        <f>'Data entry HQ only'!AM38</f>
        <v>0</v>
      </c>
      <c r="Q38" s="224">
        <f>C38-'HQ only ORG'!C38</f>
        <v>0</v>
      </c>
      <c r="R38" s="224">
        <f>SUM(D38:I38)-SUM('HQ only ORG'!D38:I38)</f>
        <v>0</v>
      </c>
    </row>
    <row r="39" spans="2:18" ht="14" x14ac:dyDescent="0.15">
      <c r="B39" s="44" t="s">
        <v>42</v>
      </c>
      <c r="C39" s="39">
        <f>'Data entry HQ only'!C39</f>
        <v>0</v>
      </c>
      <c r="D39" s="39">
        <f>'Data entry HQ only'!F39</f>
        <v>0</v>
      </c>
      <c r="E39" s="39">
        <f>'Data entry HQ only'!I39</f>
        <v>0</v>
      </c>
      <c r="F39" s="39">
        <f>'Data entry HQ only'!L39</f>
        <v>0</v>
      </c>
      <c r="G39" s="39">
        <f>'Data entry HQ only'!O39</f>
        <v>0</v>
      </c>
      <c r="H39" s="39">
        <f>'Data entry HQ only'!R39</f>
        <v>0</v>
      </c>
      <c r="I39" s="39">
        <f>'Data entry HQ only'!U39</f>
        <v>0</v>
      </c>
      <c r="J39" s="39">
        <f>'Data entry HQ only'!X39</f>
        <v>0</v>
      </c>
      <c r="K39" s="39">
        <f>'Data entry HQ only'!AA39</f>
        <v>0</v>
      </c>
      <c r="L39" s="39">
        <f>'Data entry HQ only'!AD39</f>
        <v>0</v>
      </c>
      <c r="M39" s="39">
        <f>'Data entry HQ only'!AG39</f>
        <v>0</v>
      </c>
      <c r="N39" s="39">
        <f>'Data entry HQ only'!AJ39</f>
        <v>0</v>
      </c>
      <c r="O39" s="39">
        <f>'Data entry HQ only'!AM39</f>
        <v>0</v>
      </c>
      <c r="Q39" s="224">
        <f>C39-'HQ only ORG'!C39</f>
        <v>0</v>
      </c>
      <c r="R39" s="224">
        <f>SUM(D39:I39)-SUM('HQ only ORG'!D39:I39)</f>
        <v>0</v>
      </c>
    </row>
    <row r="40" spans="2:18" ht="14" x14ac:dyDescent="0.15">
      <c r="B40" s="38" t="s">
        <v>43</v>
      </c>
      <c r="C40" s="39">
        <f>'Data entry HQ only'!C40</f>
        <v>0</v>
      </c>
      <c r="D40" s="39">
        <f>'Data entry HQ only'!F40</f>
        <v>0</v>
      </c>
      <c r="E40" s="39">
        <f>'Data entry HQ only'!I40</f>
        <v>0</v>
      </c>
      <c r="F40" s="39">
        <f>'Data entry HQ only'!L40</f>
        <v>0</v>
      </c>
      <c r="G40" s="39">
        <f>'Data entry HQ only'!O40</f>
        <v>0</v>
      </c>
      <c r="H40" s="39">
        <f>'Data entry HQ only'!R40</f>
        <v>0</v>
      </c>
      <c r="I40" s="39">
        <f>'Data entry HQ only'!U40</f>
        <v>0</v>
      </c>
      <c r="J40" s="39">
        <f>'Data entry HQ only'!X40</f>
        <v>0</v>
      </c>
      <c r="K40" s="39">
        <f>'Data entry HQ only'!AA40</f>
        <v>0</v>
      </c>
      <c r="L40" s="39">
        <f>'Data entry HQ only'!AD40</f>
        <v>0</v>
      </c>
      <c r="M40" s="39">
        <f>'Data entry HQ only'!AG40</f>
        <v>0</v>
      </c>
      <c r="N40" s="39">
        <f>'Data entry HQ only'!AJ40</f>
        <v>0</v>
      </c>
      <c r="O40" s="39">
        <f>'Data entry HQ only'!AM40</f>
        <v>0</v>
      </c>
      <c r="Q40" s="224">
        <f>C40-'HQ only ORG'!C40</f>
        <v>0</v>
      </c>
      <c r="R40" s="224">
        <f>SUM(D40:I40)-SUM('HQ only ORG'!D40:I40)</f>
        <v>0</v>
      </c>
    </row>
    <row r="41" spans="2:18" ht="14" x14ac:dyDescent="0.15">
      <c r="B41" s="38" t="s">
        <v>44</v>
      </c>
      <c r="C41" s="39">
        <f>'Data entry HQ only'!C41</f>
        <v>0</v>
      </c>
      <c r="D41" s="39">
        <f>'Data entry HQ only'!F41</f>
        <v>0</v>
      </c>
      <c r="E41" s="39">
        <f>'Data entry HQ only'!I41</f>
        <v>0</v>
      </c>
      <c r="F41" s="39">
        <f>'Data entry HQ only'!L41</f>
        <v>0</v>
      </c>
      <c r="G41" s="39">
        <f>'Data entry HQ only'!O41</f>
        <v>0</v>
      </c>
      <c r="H41" s="39">
        <f>'Data entry HQ only'!R41</f>
        <v>0</v>
      </c>
      <c r="I41" s="39">
        <f>'Data entry HQ only'!U41</f>
        <v>0</v>
      </c>
      <c r="J41" s="39">
        <f>'Data entry HQ only'!X41</f>
        <v>0</v>
      </c>
      <c r="K41" s="39">
        <f>'Data entry HQ only'!AA41</f>
        <v>0</v>
      </c>
      <c r="L41" s="39">
        <f>'Data entry HQ only'!AD41</f>
        <v>0</v>
      </c>
      <c r="M41" s="39">
        <f>'Data entry HQ only'!AG41</f>
        <v>0</v>
      </c>
      <c r="N41" s="39">
        <f>'Data entry HQ only'!AJ41</f>
        <v>0</v>
      </c>
      <c r="O41" s="39">
        <f>'Data entry HQ only'!AM41</f>
        <v>0</v>
      </c>
      <c r="Q41" s="224">
        <f>C41-'HQ only ORG'!C41</f>
        <v>0</v>
      </c>
      <c r="R41" s="224">
        <f>SUM(D41:I41)-SUM('HQ only ORG'!D41:I41)</f>
        <v>0</v>
      </c>
    </row>
    <row r="42" spans="2:18" ht="14" x14ac:dyDescent="0.15">
      <c r="B42" s="38" t="s">
        <v>45</v>
      </c>
      <c r="C42" s="39">
        <f>'Data entry HQ only'!C42</f>
        <v>0</v>
      </c>
      <c r="D42" s="39">
        <f>'Data entry HQ only'!F42</f>
        <v>0</v>
      </c>
      <c r="E42" s="39">
        <f>'Data entry HQ only'!I42</f>
        <v>0</v>
      </c>
      <c r="F42" s="39">
        <f>'Data entry HQ only'!L42</f>
        <v>0</v>
      </c>
      <c r="G42" s="39">
        <f>'Data entry HQ only'!O42</f>
        <v>0</v>
      </c>
      <c r="H42" s="39">
        <f>'Data entry HQ only'!R42</f>
        <v>0</v>
      </c>
      <c r="I42" s="39">
        <f>'Data entry HQ only'!U42</f>
        <v>0</v>
      </c>
      <c r="J42" s="39">
        <f>'Data entry HQ only'!X42</f>
        <v>0</v>
      </c>
      <c r="K42" s="39">
        <f>'Data entry HQ only'!AA42</f>
        <v>0</v>
      </c>
      <c r="L42" s="39">
        <f>'Data entry HQ only'!AD42</f>
        <v>0</v>
      </c>
      <c r="M42" s="39">
        <f>'Data entry HQ only'!AG42</f>
        <v>0</v>
      </c>
      <c r="N42" s="39">
        <f>'Data entry HQ only'!AJ42</f>
        <v>0</v>
      </c>
      <c r="O42" s="39">
        <f>'Data entry HQ only'!AM42</f>
        <v>0</v>
      </c>
      <c r="Q42" s="224">
        <f>C42-'HQ only ORG'!C42</f>
        <v>0</v>
      </c>
      <c r="R42" s="224">
        <f>SUM(D42:I42)-SUM('HQ only ORG'!D42:I42)</f>
        <v>0</v>
      </c>
    </row>
    <row r="43" spans="2:18" ht="14" x14ac:dyDescent="0.15">
      <c r="B43" s="42" t="s">
        <v>36</v>
      </c>
      <c r="C43" s="39">
        <f>'Data entry HQ only'!C43</f>
        <v>0</v>
      </c>
      <c r="D43" s="39">
        <f>'Data entry HQ only'!F43</f>
        <v>0</v>
      </c>
      <c r="E43" s="39">
        <f>'Data entry HQ only'!I43</f>
        <v>0</v>
      </c>
      <c r="F43" s="39">
        <f>'Data entry HQ only'!L43</f>
        <v>0</v>
      </c>
      <c r="G43" s="39">
        <f>'Data entry HQ only'!O43</f>
        <v>0</v>
      </c>
      <c r="H43" s="39">
        <f>'Data entry HQ only'!R43</f>
        <v>0</v>
      </c>
      <c r="I43" s="39">
        <f>'Data entry HQ only'!U43</f>
        <v>0</v>
      </c>
      <c r="J43" s="39">
        <f>'Data entry HQ only'!X43</f>
        <v>0</v>
      </c>
      <c r="K43" s="39">
        <f>'Data entry HQ only'!AA43</f>
        <v>0</v>
      </c>
      <c r="L43" s="39">
        <f>'Data entry HQ only'!AD43</f>
        <v>0</v>
      </c>
      <c r="M43" s="39">
        <f>'Data entry HQ only'!AG43</f>
        <v>0</v>
      </c>
      <c r="N43" s="39">
        <f>'Data entry HQ only'!AJ43</f>
        <v>0</v>
      </c>
      <c r="O43" s="39">
        <f>'Data entry HQ only'!AM43</f>
        <v>0</v>
      </c>
      <c r="Q43" s="224">
        <f>C43-'HQ only ORG'!C43</f>
        <v>0</v>
      </c>
      <c r="R43" s="224">
        <f>SUM(D43:I43)-SUM('HQ only ORG'!D43:I43)</f>
        <v>0</v>
      </c>
    </row>
    <row r="44" spans="2:18" ht="14" x14ac:dyDescent="0.15">
      <c r="B44" s="38" t="s">
        <v>46</v>
      </c>
      <c r="C44" s="39">
        <f>'Data entry HQ only'!C44</f>
        <v>0</v>
      </c>
      <c r="D44" s="39">
        <f>'Data entry HQ only'!F44</f>
        <v>0</v>
      </c>
      <c r="E44" s="39">
        <f>'Data entry HQ only'!I44</f>
        <v>0</v>
      </c>
      <c r="F44" s="39">
        <f>'Data entry HQ only'!L44</f>
        <v>0</v>
      </c>
      <c r="G44" s="39">
        <f>'Data entry HQ only'!O44</f>
        <v>0</v>
      </c>
      <c r="H44" s="39">
        <f>'Data entry HQ only'!R44</f>
        <v>0</v>
      </c>
      <c r="I44" s="39">
        <f>'Data entry HQ only'!U44</f>
        <v>0</v>
      </c>
      <c r="J44" s="39">
        <f>'Data entry HQ only'!X44</f>
        <v>0</v>
      </c>
      <c r="K44" s="39">
        <f>'Data entry HQ only'!AA44</f>
        <v>0</v>
      </c>
      <c r="L44" s="39">
        <f>'Data entry HQ only'!AD44</f>
        <v>0</v>
      </c>
      <c r="M44" s="39">
        <f>'Data entry HQ only'!AG44</f>
        <v>0</v>
      </c>
      <c r="N44" s="39">
        <f>'Data entry HQ only'!AJ44</f>
        <v>0</v>
      </c>
      <c r="O44" s="39">
        <f>'Data entry HQ only'!AM44</f>
        <v>0</v>
      </c>
      <c r="Q44" s="224">
        <f>C44-'HQ only ORG'!C44</f>
        <v>0</v>
      </c>
      <c r="R44" s="224">
        <f>SUM(D44:I44)-SUM('HQ only ORG'!D44:I44)</f>
        <v>0</v>
      </c>
    </row>
    <row r="45" spans="2:18" ht="14" x14ac:dyDescent="0.15">
      <c r="B45" s="38" t="s">
        <v>47</v>
      </c>
      <c r="C45" s="39">
        <f>'Data entry HQ only'!C45</f>
        <v>0</v>
      </c>
      <c r="D45" s="39">
        <f>'Data entry HQ only'!F45</f>
        <v>0</v>
      </c>
      <c r="E45" s="39">
        <f>'Data entry HQ only'!I45</f>
        <v>0</v>
      </c>
      <c r="F45" s="39">
        <f>'Data entry HQ only'!L45</f>
        <v>0</v>
      </c>
      <c r="G45" s="39">
        <f>'Data entry HQ only'!O45</f>
        <v>0</v>
      </c>
      <c r="H45" s="39">
        <f>'Data entry HQ only'!R45</f>
        <v>0</v>
      </c>
      <c r="I45" s="39">
        <f>'Data entry HQ only'!U45</f>
        <v>0</v>
      </c>
      <c r="J45" s="39">
        <f>'Data entry HQ only'!X45</f>
        <v>0</v>
      </c>
      <c r="K45" s="39">
        <f>'Data entry HQ only'!AA45</f>
        <v>0</v>
      </c>
      <c r="L45" s="39">
        <f>'Data entry HQ only'!AD45</f>
        <v>0</v>
      </c>
      <c r="M45" s="39">
        <f>'Data entry HQ only'!AG45</f>
        <v>0</v>
      </c>
      <c r="N45" s="39">
        <f>'Data entry HQ only'!AJ45</f>
        <v>0</v>
      </c>
      <c r="O45" s="39">
        <f>'Data entry HQ only'!AM45</f>
        <v>0</v>
      </c>
      <c r="Q45" s="224">
        <f>C45-'HQ only ORG'!C45</f>
        <v>0</v>
      </c>
      <c r="R45" s="224">
        <f>SUM(D45:I45)-SUM('HQ only ORG'!D45:I45)</f>
        <v>0</v>
      </c>
    </row>
    <row r="46" spans="2:18" ht="14" x14ac:dyDescent="0.15">
      <c r="B46" s="38" t="s">
        <v>48</v>
      </c>
      <c r="C46" s="39">
        <f>'Data entry HQ only'!C46</f>
        <v>0</v>
      </c>
      <c r="D46" s="39">
        <f>'Data entry HQ only'!F46</f>
        <v>0</v>
      </c>
      <c r="E46" s="39">
        <f>'Data entry HQ only'!I46</f>
        <v>0</v>
      </c>
      <c r="F46" s="39">
        <f>'Data entry HQ only'!L46</f>
        <v>0</v>
      </c>
      <c r="G46" s="39">
        <f>'Data entry HQ only'!O46</f>
        <v>0</v>
      </c>
      <c r="H46" s="39">
        <f>'Data entry HQ only'!R46</f>
        <v>0</v>
      </c>
      <c r="I46" s="39">
        <f>'Data entry HQ only'!U46</f>
        <v>0</v>
      </c>
      <c r="J46" s="39">
        <f>'Data entry HQ only'!X46</f>
        <v>0</v>
      </c>
      <c r="K46" s="39">
        <f>'Data entry HQ only'!AA46</f>
        <v>0</v>
      </c>
      <c r="L46" s="39">
        <f>'Data entry HQ only'!AD46</f>
        <v>0</v>
      </c>
      <c r="M46" s="39">
        <f>'Data entry HQ only'!AG46</f>
        <v>0</v>
      </c>
      <c r="N46" s="39">
        <f>'Data entry HQ only'!AJ46</f>
        <v>0</v>
      </c>
      <c r="O46" s="39">
        <f>'Data entry HQ only'!AM46</f>
        <v>0</v>
      </c>
      <c r="Q46" s="224">
        <f>C46-'HQ only ORG'!C46</f>
        <v>0</v>
      </c>
      <c r="R46" s="224">
        <f>SUM(D46:I46)-SUM('HQ only ORG'!D46:I46)</f>
        <v>0</v>
      </c>
    </row>
    <row r="47" spans="2:18" ht="14" x14ac:dyDescent="0.15">
      <c r="B47" s="42" t="s">
        <v>49</v>
      </c>
      <c r="C47" s="39">
        <f>'Data entry HQ only'!C47</f>
        <v>0</v>
      </c>
      <c r="D47" s="39">
        <f>'Data entry HQ only'!F47</f>
        <v>0</v>
      </c>
      <c r="E47" s="39">
        <f>'Data entry HQ only'!I47</f>
        <v>0</v>
      </c>
      <c r="F47" s="39">
        <f>'Data entry HQ only'!L47</f>
        <v>0</v>
      </c>
      <c r="G47" s="39">
        <f>'Data entry HQ only'!O47</f>
        <v>0</v>
      </c>
      <c r="H47" s="39">
        <f>'Data entry HQ only'!R47</f>
        <v>0</v>
      </c>
      <c r="I47" s="39">
        <f>'Data entry HQ only'!U47</f>
        <v>0</v>
      </c>
      <c r="J47" s="39">
        <f>'Data entry HQ only'!X47</f>
        <v>0</v>
      </c>
      <c r="K47" s="39">
        <f>'Data entry HQ only'!AA47</f>
        <v>0</v>
      </c>
      <c r="L47" s="39">
        <f>'Data entry HQ only'!AD47</f>
        <v>0</v>
      </c>
      <c r="M47" s="39">
        <f>'Data entry HQ only'!AG47</f>
        <v>0</v>
      </c>
      <c r="N47" s="39">
        <f>'Data entry HQ only'!AJ47</f>
        <v>0</v>
      </c>
      <c r="O47" s="39">
        <f>'Data entry HQ only'!AM47</f>
        <v>0</v>
      </c>
      <c r="Q47" s="224">
        <f>C47-'HQ only ORG'!C47</f>
        <v>0</v>
      </c>
      <c r="R47" s="224">
        <f>SUM(D47:I47)-SUM('HQ only ORG'!D47:I47)</f>
        <v>0</v>
      </c>
    </row>
    <row r="48" spans="2:18" ht="14" x14ac:dyDescent="0.15">
      <c r="B48" s="38" t="s">
        <v>22</v>
      </c>
      <c r="C48" s="39">
        <f>'Data entry HQ only'!C48</f>
        <v>0</v>
      </c>
      <c r="D48" s="39">
        <f>'Data entry HQ only'!F48</f>
        <v>0</v>
      </c>
      <c r="E48" s="39">
        <f>'Data entry HQ only'!I48</f>
        <v>0</v>
      </c>
      <c r="F48" s="39">
        <f>'Data entry HQ only'!L48</f>
        <v>0</v>
      </c>
      <c r="G48" s="39">
        <f>'Data entry HQ only'!O48</f>
        <v>0</v>
      </c>
      <c r="H48" s="39">
        <f>'Data entry HQ only'!R48</f>
        <v>0</v>
      </c>
      <c r="I48" s="39">
        <f>'Data entry HQ only'!U48</f>
        <v>0</v>
      </c>
      <c r="J48" s="39">
        <f>'Data entry HQ only'!X48</f>
        <v>0</v>
      </c>
      <c r="K48" s="39">
        <f>'Data entry HQ only'!AA48</f>
        <v>0</v>
      </c>
      <c r="L48" s="39">
        <f>'Data entry HQ only'!AD48</f>
        <v>0</v>
      </c>
      <c r="M48" s="39">
        <f>'Data entry HQ only'!AG48</f>
        <v>0</v>
      </c>
      <c r="N48" s="39">
        <f>'Data entry HQ only'!AJ48</f>
        <v>0</v>
      </c>
      <c r="O48" s="39">
        <f>'Data entry HQ only'!AM48</f>
        <v>0</v>
      </c>
      <c r="Q48" s="224">
        <f>C48-'HQ only ORG'!C48</f>
        <v>0</v>
      </c>
      <c r="R48" s="224">
        <f>SUM(D48:I48)-SUM('HQ only ORG'!D48:I48)</f>
        <v>0</v>
      </c>
    </row>
    <row r="49" spans="2:18" ht="14" x14ac:dyDescent="0.15">
      <c r="B49" s="38" t="s">
        <v>40</v>
      </c>
      <c r="C49" s="39">
        <f>'Data entry HQ only'!C49</f>
        <v>0</v>
      </c>
      <c r="D49" s="39">
        <f>'Data entry HQ only'!F49</f>
        <v>0</v>
      </c>
      <c r="E49" s="39">
        <f>'Data entry HQ only'!I49</f>
        <v>0</v>
      </c>
      <c r="F49" s="39">
        <f>'Data entry HQ only'!L49</f>
        <v>0</v>
      </c>
      <c r="G49" s="39">
        <f>'Data entry HQ only'!O49</f>
        <v>0</v>
      </c>
      <c r="H49" s="39">
        <f>'Data entry HQ only'!R49</f>
        <v>0</v>
      </c>
      <c r="I49" s="39">
        <f>'Data entry HQ only'!U49</f>
        <v>0</v>
      </c>
      <c r="J49" s="39">
        <f>'Data entry HQ only'!X49</f>
        <v>0</v>
      </c>
      <c r="K49" s="39">
        <f>'Data entry HQ only'!AA49</f>
        <v>0</v>
      </c>
      <c r="L49" s="39">
        <f>'Data entry HQ only'!AD49</f>
        <v>0</v>
      </c>
      <c r="M49" s="39">
        <f>'Data entry HQ only'!AG49</f>
        <v>0</v>
      </c>
      <c r="N49" s="39">
        <f>'Data entry HQ only'!AJ49</f>
        <v>0</v>
      </c>
      <c r="O49" s="39">
        <f>'Data entry HQ only'!AM49</f>
        <v>0</v>
      </c>
      <c r="Q49" s="224">
        <f>C49-'HQ only ORG'!C49</f>
        <v>0</v>
      </c>
      <c r="R49" s="224">
        <f>SUM(D49:I49)-SUM('HQ only ORG'!D49:I49)</f>
        <v>0</v>
      </c>
    </row>
    <row r="50" spans="2:18" ht="14" x14ac:dyDescent="0.15">
      <c r="B50" s="42" t="s">
        <v>41</v>
      </c>
      <c r="C50" s="39">
        <f>'Data entry HQ only'!C50</f>
        <v>0</v>
      </c>
      <c r="D50" s="39">
        <f>'Data entry HQ only'!F50</f>
        <v>0</v>
      </c>
      <c r="E50" s="39">
        <f>'Data entry HQ only'!I50</f>
        <v>0</v>
      </c>
      <c r="F50" s="39">
        <f>'Data entry HQ only'!L50</f>
        <v>0</v>
      </c>
      <c r="G50" s="39">
        <f>'Data entry HQ only'!O50</f>
        <v>0</v>
      </c>
      <c r="H50" s="39">
        <f>'Data entry HQ only'!R50</f>
        <v>0</v>
      </c>
      <c r="I50" s="39">
        <f>'Data entry HQ only'!U50</f>
        <v>0</v>
      </c>
      <c r="J50" s="39">
        <f>'Data entry HQ only'!X50</f>
        <v>0</v>
      </c>
      <c r="K50" s="39">
        <f>'Data entry HQ only'!AA50</f>
        <v>0</v>
      </c>
      <c r="L50" s="39">
        <f>'Data entry HQ only'!AD50</f>
        <v>0</v>
      </c>
      <c r="M50" s="39">
        <f>'Data entry HQ only'!AG50</f>
        <v>0</v>
      </c>
      <c r="N50" s="39">
        <f>'Data entry HQ only'!AJ50</f>
        <v>0</v>
      </c>
      <c r="O50" s="39">
        <f>'Data entry HQ only'!AM50</f>
        <v>0</v>
      </c>
      <c r="Q50" s="224">
        <f>C50-'HQ only ORG'!C50</f>
        <v>0</v>
      </c>
      <c r="R50" s="224">
        <f>SUM(D50:I50)-SUM('HQ only ORG'!D50:I50)</f>
        <v>0</v>
      </c>
    </row>
    <row r="51" spans="2:18" x14ac:dyDescent="0.15">
      <c r="B51" s="40"/>
      <c r="C51" s="39">
        <f>'Data entry HQ only'!C51</f>
        <v>0</v>
      </c>
      <c r="D51" s="39">
        <f>'Data entry HQ only'!F51</f>
        <v>0</v>
      </c>
      <c r="E51" s="39">
        <f>'Data entry HQ only'!I51</f>
        <v>0</v>
      </c>
      <c r="F51" s="39">
        <f>'Data entry HQ only'!L51</f>
        <v>0</v>
      </c>
      <c r="G51" s="39">
        <f>'Data entry HQ only'!O51</f>
        <v>0</v>
      </c>
      <c r="H51" s="39">
        <f>'Data entry HQ only'!R51</f>
        <v>0</v>
      </c>
      <c r="I51" s="39">
        <f>'Data entry HQ only'!U51</f>
        <v>0</v>
      </c>
      <c r="J51" s="39">
        <f>'Data entry HQ only'!X51</f>
        <v>0</v>
      </c>
      <c r="K51" s="39">
        <f>'Data entry HQ only'!AA51</f>
        <v>0</v>
      </c>
      <c r="L51" s="39">
        <f>'Data entry HQ only'!AD51</f>
        <v>0</v>
      </c>
      <c r="M51" s="39">
        <f>'Data entry HQ only'!AG51</f>
        <v>0</v>
      </c>
      <c r="N51" s="39">
        <f>'Data entry HQ only'!AJ51</f>
        <v>0</v>
      </c>
      <c r="O51" s="39">
        <f>'Data entry HQ only'!AM51</f>
        <v>0</v>
      </c>
      <c r="Q51" s="224">
        <f>C51-'HQ only ORG'!C51</f>
        <v>0</v>
      </c>
      <c r="R51" s="224">
        <f>SUM(D51:I51)-SUM('HQ only ORG'!D51:I51)</f>
        <v>0</v>
      </c>
    </row>
    <row r="52" spans="2:18" ht="14" x14ac:dyDescent="0.15">
      <c r="B52" s="44" t="s">
        <v>50</v>
      </c>
      <c r="C52" s="39">
        <f>'Data entry HQ only'!C52</f>
        <v>0</v>
      </c>
      <c r="D52" s="39">
        <f>'Data entry HQ only'!F52</f>
        <v>0</v>
      </c>
      <c r="E52" s="39">
        <f>'Data entry HQ only'!I52</f>
        <v>0</v>
      </c>
      <c r="F52" s="39">
        <f>'Data entry HQ only'!L52</f>
        <v>0</v>
      </c>
      <c r="G52" s="39">
        <f>'Data entry HQ only'!O52</f>
        <v>0</v>
      </c>
      <c r="H52" s="39">
        <f>'Data entry HQ only'!R52</f>
        <v>0</v>
      </c>
      <c r="I52" s="39">
        <f>'Data entry HQ only'!U52</f>
        <v>0</v>
      </c>
      <c r="J52" s="39">
        <f>'Data entry HQ only'!X52</f>
        <v>0</v>
      </c>
      <c r="K52" s="39">
        <f>'Data entry HQ only'!AA52</f>
        <v>0</v>
      </c>
      <c r="L52" s="39">
        <f>'Data entry HQ only'!AD52</f>
        <v>0</v>
      </c>
      <c r="M52" s="39">
        <f>'Data entry HQ only'!AG52</f>
        <v>0</v>
      </c>
      <c r="N52" s="39">
        <f>'Data entry HQ only'!AJ52</f>
        <v>0</v>
      </c>
      <c r="O52" s="39">
        <f>'Data entry HQ only'!AM52</f>
        <v>0</v>
      </c>
      <c r="Q52" s="224">
        <f>C52-'HQ only ORG'!C52</f>
        <v>0</v>
      </c>
      <c r="R52" s="224">
        <f>SUM(D52:I52)-SUM('HQ only ORG'!D52:I52)</f>
        <v>0</v>
      </c>
    </row>
    <row r="53" spans="2:18" ht="14" x14ac:dyDescent="0.15">
      <c r="B53" s="38" t="s">
        <v>37</v>
      </c>
      <c r="C53" s="39">
        <f>'Data entry HQ only'!C53</f>
        <v>0</v>
      </c>
      <c r="D53" s="39">
        <f>'Data entry HQ only'!F53</f>
        <v>0</v>
      </c>
      <c r="E53" s="39">
        <f>'Data entry HQ only'!I53</f>
        <v>0</v>
      </c>
      <c r="F53" s="39">
        <f>'Data entry HQ only'!L53</f>
        <v>0</v>
      </c>
      <c r="G53" s="39">
        <f>'Data entry HQ only'!O53</f>
        <v>0</v>
      </c>
      <c r="H53" s="39">
        <f>'Data entry HQ only'!R53</f>
        <v>0</v>
      </c>
      <c r="I53" s="39">
        <f>'Data entry HQ only'!U53</f>
        <v>0</v>
      </c>
      <c r="J53" s="39">
        <f>'Data entry HQ only'!X53</f>
        <v>0</v>
      </c>
      <c r="K53" s="39">
        <f>'Data entry HQ only'!AA53</f>
        <v>0</v>
      </c>
      <c r="L53" s="39">
        <f>'Data entry HQ only'!AD53</f>
        <v>0</v>
      </c>
      <c r="M53" s="39">
        <f>'Data entry HQ only'!AG53</f>
        <v>0</v>
      </c>
      <c r="N53" s="39">
        <f>'Data entry HQ only'!AJ53</f>
        <v>0</v>
      </c>
      <c r="O53" s="39">
        <f>'Data entry HQ only'!AM53</f>
        <v>0</v>
      </c>
      <c r="Q53" s="224">
        <f>C53-'HQ only ORG'!C53</f>
        <v>0</v>
      </c>
      <c r="R53" s="224">
        <f>SUM(D53:I53)-SUM('HQ only ORG'!D53:I53)</f>
        <v>0</v>
      </c>
    </row>
    <row r="54" spans="2:18" ht="14" x14ac:dyDescent="0.15">
      <c r="B54" s="38" t="s">
        <v>49</v>
      </c>
      <c r="C54" s="39">
        <f>'Data entry HQ only'!C54</f>
        <v>0</v>
      </c>
      <c r="D54" s="39">
        <f>'Data entry HQ only'!F54</f>
        <v>0</v>
      </c>
      <c r="E54" s="39">
        <f>'Data entry HQ only'!I54</f>
        <v>0</v>
      </c>
      <c r="F54" s="39">
        <f>'Data entry HQ only'!L54</f>
        <v>0</v>
      </c>
      <c r="G54" s="39">
        <f>'Data entry HQ only'!O54</f>
        <v>0</v>
      </c>
      <c r="H54" s="39">
        <f>'Data entry HQ only'!R54</f>
        <v>0</v>
      </c>
      <c r="I54" s="39">
        <f>'Data entry HQ only'!U54</f>
        <v>0</v>
      </c>
      <c r="J54" s="39">
        <f>'Data entry HQ only'!X54</f>
        <v>0</v>
      </c>
      <c r="K54" s="39">
        <f>'Data entry HQ only'!AA54</f>
        <v>0</v>
      </c>
      <c r="L54" s="39">
        <f>'Data entry HQ only'!AD54</f>
        <v>0</v>
      </c>
      <c r="M54" s="39">
        <f>'Data entry HQ only'!AG54</f>
        <v>0</v>
      </c>
      <c r="N54" s="39">
        <f>'Data entry HQ only'!AJ54</f>
        <v>0</v>
      </c>
      <c r="O54" s="39">
        <f>'Data entry HQ only'!AM54</f>
        <v>0</v>
      </c>
      <c r="Q54" s="224">
        <f>C54-'HQ only ORG'!C54</f>
        <v>0</v>
      </c>
      <c r="R54" s="224">
        <f>SUM(D54:I54)-SUM('HQ only ORG'!D54:I54)</f>
        <v>0</v>
      </c>
    </row>
    <row r="55" spans="2:18" ht="14" x14ac:dyDescent="0.15">
      <c r="B55" s="38" t="s">
        <v>22</v>
      </c>
      <c r="C55" s="39">
        <f>'Data entry HQ only'!C55</f>
        <v>0</v>
      </c>
      <c r="D55" s="39">
        <f>'Data entry HQ only'!F55</f>
        <v>0</v>
      </c>
      <c r="E55" s="39">
        <f>'Data entry HQ only'!I55</f>
        <v>0</v>
      </c>
      <c r="F55" s="39">
        <f>'Data entry HQ only'!L55</f>
        <v>0</v>
      </c>
      <c r="G55" s="39">
        <f>'Data entry HQ only'!O55</f>
        <v>0</v>
      </c>
      <c r="H55" s="39">
        <f>'Data entry HQ only'!R55</f>
        <v>0</v>
      </c>
      <c r="I55" s="39">
        <f>'Data entry HQ only'!U55</f>
        <v>0</v>
      </c>
      <c r="J55" s="39">
        <f>'Data entry HQ only'!X55</f>
        <v>0</v>
      </c>
      <c r="K55" s="39">
        <f>'Data entry HQ only'!AA55</f>
        <v>0</v>
      </c>
      <c r="L55" s="39">
        <f>'Data entry HQ only'!AD55</f>
        <v>0</v>
      </c>
      <c r="M55" s="39">
        <f>'Data entry HQ only'!AG55</f>
        <v>0</v>
      </c>
      <c r="N55" s="39">
        <f>'Data entry HQ only'!AJ55</f>
        <v>0</v>
      </c>
      <c r="O55" s="39">
        <f>'Data entry HQ only'!AM55</f>
        <v>0</v>
      </c>
      <c r="Q55" s="224">
        <f>C55-'HQ only ORG'!C55</f>
        <v>0</v>
      </c>
      <c r="R55" s="224">
        <f>SUM(D55:I55)-SUM('HQ only ORG'!D55:I55)</f>
        <v>0</v>
      </c>
    </row>
    <row r="56" spans="2:18" ht="14" x14ac:dyDescent="0.15">
      <c r="B56" s="38" t="s">
        <v>40</v>
      </c>
      <c r="C56" s="39">
        <f>'Data entry HQ only'!C56</f>
        <v>0</v>
      </c>
      <c r="D56" s="39">
        <f>'Data entry HQ only'!F56</f>
        <v>0</v>
      </c>
      <c r="E56" s="39">
        <f>'Data entry HQ only'!I56</f>
        <v>0</v>
      </c>
      <c r="F56" s="39">
        <f>'Data entry HQ only'!L56</f>
        <v>0</v>
      </c>
      <c r="G56" s="39">
        <f>'Data entry HQ only'!O56</f>
        <v>0</v>
      </c>
      <c r="H56" s="39">
        <f>'Data entry HQ only'!R56</f>
        <v>0</v>
      </c>
      <c r="I56" s="39">
        <f>'Data entry HQ only'!U56</f>
        <v>0</v>
      </c>
      <c r="J56" s="39">
        <f>'Data entry HQ only'!X56</f>
        <v>0</v>
      </c>
      <c r="K56" s="39">
        <f>'Data entry HQ only'!AA56</f>
        <v>0</v>
      </c>
      <c r="L56" s="39">
        <f>'Data entry HQ only'!AD56</f>
        <v>0</v>
      </c>
      <c r="M56" s="39">
        <f>'Data entry HQ only'!AG56</f>
        <v>0</v>
      </c>
      <c r="N56" s="39">
        <f>'Data entry HQ only'!AJ56</f>
        <v>0</v>
      </c>
      <c r="O56" s="39">
        <f>'Data entry HQ only'!AM56</f>
        <v>0</v>
      </c>
      <c r="Q56" s="224">
        <f>C56-'HQ only ORG'!C56</f>
        <v>0</v>
      </c>
      <c r="R56" s="224">
        <f>SUM(D56:I56)-SUM('HQ only ORG'!D56:I56)</f>
        <v>0</v>
      </c>
    </row>
    <row r="57" spans="2:18" ht="14" x14ac:dyDescent="0.15">
      <c r="B57" s="42" t="s">
        <v>41</v>
      </c>
      <c r="C57" s="39">
        <f>'Data entry HQ only'!C57</f>
        <v>0</v>
      </c>
      <c r="D57" s="39">
        <f>'Data entry HQ only'!F57</f>
        <v>0</v>
      </c>
      <c r="E57" s="39">
        <f>'Data entry HQ only'!I57</f>
        <v>0</v>
      </c>
      <c r="F57" s="39">
        <f>'Data entry HQ only'!L57</f>
        <v>0</v>
      </c>
      <c r="G57" s="39">
        <f>'Data entry HQ only'!O57</f>
        <v>0</v>
      </c>
      <c r="H57" s="39">
        <f>'Data entry HQ only'!R57</f>
        <v>0</v>
      </c>
      <c r="I57" s="39">
        <f>'Data entry HQ only'!U57</f>
        <v>0</v>
      </c>
      <c r="J57" s="39">
        <f>'Data entry HQ only'!X57</f>
        <v>0</v>
      </c>
      <c r="K57" s="39">
        <f>'Data entry HQ only'!AA57</f>
        <v>0</v>
      </c>
      <c r="L57" s="39">
        <f>'Data entry HQ only'!AD57</f>
        <v>0</v>
      </c>
      <c r="M57" s="39">
        <f>'Data entry HQ only'!AG57</f>
        <v>0</v>
      </c>
      <c r="N57" s="39">
        <f>'Data entry HQ only'!AJ57</f>
        <v>0</v>
      </c>
      <c r="O57" s="39">
        <f>'Data entry HQ only'!AM57</f>
        <v>0</v>
      </c>
      <c r="Q57" s="224">
        <f>C57-'HQ only ORG'!C57</f>
        <v>0</v>
      </c>
      <c r="R57" s="224">
        <f>SUM(D57:I57)-SUM('HQ only ORG'!D57:I57)</f>
        <v>0</v>
      </c>
    </row>
    <row r="58" spans="2:18" x14ac:dyDescent="0.15">
      <c r="B58" s="40"/>
      <c r="C58" s="39">
        <f>'Data entry HQ only'!C58</f>
        <v>0</v>
      </c>
      <c r="D58" s="39">
        <f>'Data entry HQ only'!F58</f>
        <v>0</v>
      </c>
      <c r="E58" s="39">
        <f>'Data entry HQ only'!I58</f>
        <v>0</v>
      </c>
      <c r="F58" s="39">
        <f>'Data entry HQ only'!L58</f>
        <v>0</v>
      </c>
      <c r="G58" s="39">
        <f>'Data entry HQ only'!O58</f>
        <v>0</v>
      </c>
      <c r="H58" s="39">
        <f>'Data entry HQ only'!R58</f>
        <v>0</v>
      </c>
      <c r="I58" s="39">
        <f>'Data entry HQ only'!U58</f>
        <v>0</v>
      </c>
      <c r="J58" s="39">
        <f>'Data entry HQ only'!X58</f>
        <v>0</v>
      </c>
      <c r="K58" s="39">
        <f>'Data entry HQ only'!AA58</f>
        <v>0</v>
      </c>
      <c r="L58" s="39">
        <f>'Data entry HQ only'!AD58</f>
        <v>0</v>
      </c>
      <c r="M58" s="39">
        <f>'Data entry HQ only'!AG58</f>
        <v>0</v>
      </c>
      <c r="N58" s="39">
        <f>'Data entry HQ only'!AJ58</f>
        <v>0</v>
      </c>
      <c r="O58" s="39">
        <f>'Data entry HQ only'!AM58</f>
        <v>0</v>
      </c>
      <c r="Q58" s="224">
        <f>C58-'HQ only ORG'!C58</f>
        <v>0</v>
      </c>
      <c r="R58" s="224">
        <f>SUM(D58:I58)-SUM('HQ only ORG'!D58:I58)</f>
        <v>0</v>
      </c>
    </row>
    <row r="59" spans="2:18" ht="14" x14ac:dyDescent="0.15">
      <c r="B59" s="44" t="s">
        <v>38</v>
      </c>
      <c r="C59" s="39">
        <f>'Data entry HQ only'!C59</f>
        <v>0</v>
      </c>
      <c r="D59" s="39">
        <f>'Data entry HQ only'!F59</f>
        <v>0</v>
      </c>
      <c r="E59" s="39">
        <f>'Data entry HQ only'!I59</f>
        <v>0</v>
      </c>
      <c r="F59" s="39">
        <f>'Data entry HQ only'!L59</f>
        <v>0</v>
      </c>
      <c r="G59" s="39">
        <f>'Data entry HQ only'!O59</f>
        <v>0</v>
      </c>
      <c r="H59" s="39">
        <f>'Data entry HQ only'!R59</f>
        <v>0</v>
      </c>
      <c r="I59" s="39">
        <f>'Data entry HQ only'!U59</f>
        <v>0</v>
      </c>
      <c r="J59" s="39">
        <f>'Data entry HQ only'!X59</f>
        <v>0</v>
      </c>
      <c r="K59" s="39">
        <f>'Data entry HQ only'!AA59</f>
        <v>0</v>
      </c>
      <c r="L59" s="39">
        <f>'Data entry HQ only'!AD59</f>
        <v>0</v>
      </c>
      <c r="M59" s="39">
        <f>'Data entry HQ only'!AG59</f>
        <v>0</v>
      </c>
      <c r="N59" s="39">
        <f>'Data entry HQ only'!AJ59</f>
        <v>0</v>
      </c>
      <c r="O59" s="39">
        <f>'Data entry HQ only'!AM59</f>
        <v>0</v>
      </c>
      <c r="Q59" s="224">
        <f>C59-'HQ only ORG'!C59</f>
        <v>0</v>
      </c>
      <c r="R59" s="224">
        <f>SUM(D59:I59)-SUM('HQ only ORG'!D59:I59)</f>
        <v>0</v>
      </c>
    </row>
    <row r="60" spans="2:18" ht="14" x14ac:dyDescent="0.15">
      <c r="B60" s="42" t="s">
        <v>38</v>
      </c>
      <c r="C60" s="39">
        <f>'Data entry HQ only'!C60</f>
        <v>0</v>
      </c>
      <c r="D60" s="39">
        <f>'Data entry HQ only'!F60</f>
        <v>0</v>
      </c>
      <c r="E60" s="39">
        <f>'Data entry HQ only'!I60</f>
        <v>0</v>
      </c>
      <c r="F60" s="39">
        <f>'Data entry HQ only'!L60</f>
        <v>0</v>
      </c>
      <c r="G60" s="39">
        <f>'Data entry HQ only'!O60</f>
        <v>0</v>
      </c>
      <c r="H60" s="39">
        <f>'Data entry HQ only'!R60</f>
        <v>0</v>
      </c>
      <c r="I60" s="39">
        <f>'Data entry HQ only'!U60</f>
        <v>0</v>
      </c>
      <c r="J60" s="39">
        <f>'Data entry HQ only'!X60</f>
        <v>0</v>
      </c>
      <c r="K60" s="39">
        <f>'Data entry HQ only'!AA60</f>
        <v>0</v>
      </c>
      <c r="L60" s="39">
        <f>'Data entry HQ only'!AD60</f>
        <v>0</v>
      </c>
      <c r="M60" s="39">
        <f>'Data entry HQ only'!AG60</f>
        <v>0</v>
      </c>
      <c r="N60" s="39">
        <f>'Data entry HQ only'!AJ60</f>
        <v>0</v>
      </c>
      <c r="O60" s="39">
        <f>'Data entry HQ only'!AM60</f>
        <v>0</v>
      </c>
      <c r="Q60" s="224">
        <f>C60-'HQ only ORG'!C60</f>
        <v>0</v>
      </c>
      <c r="R60" s="224">
        <f>SUM(D60:I60)-SUM('HQ only ORG'!D60:I60)</f>
        <v>0</v>
      </c>
    </row>
    <row r="61" spans="2:18" x14ac:dyDescent="0.15">
      <c r="B61" s="40"/>
      <c r="C61" s="39">
        <f>'Data entry HQ only'!C61</f>
        <v>0</v>
      </c>
      <c r="D61" s="39">
        <f>'Data entry HQ only'!F61</f>
        <v>0</v>
      </c>
      <c r="E61" s="39">
        <f>'Data entry HQ only'!I61</f>
        <v>0</v>
      </c>
      <c r="F61" s="39">
        <f>'Data entry HQ only'!L61</f>
        <v>0</v>
      </c>
      <c r="G61" s="39">
        <f>'Data entry HQ only'!O61</f>
        <v>0</v>
      </c>
      <c r="H61" s="39">
        <f>'Data entry HQ only'!R61</f>
        <v>0</v>
      </c>
      <c r="I61" s="39">
        <f>'Data entry HQ only'!U61</f>
        <v>0</v>
      </c>
      <c r="J61" s="39">
        <f>'Data entry HQ only'!X61</f>
        <v>0</v>
      </c>
      <c r="K61" s="39">
        <f>'Data entry HQ only'!AA61</f>
        <v>0</v>
      </c>
      <c r="L61" s="39">
        <f>'Data entry HQ only'!AD61</f>
        <v>0</v>
      </c>
      <c r="M61" s="39">
        <f>'Data entry HQ only'!AG61</f>
        <v>0</v>
      </c>
      <c r="N61" s="39">
        <f>'Data entry HQ only'!AJ61</f>
        <v>0</v>
      </c>
      <c r="O61" s="39">
        <f>'Data entry HQ only'!AM61</f>
        <v>0</v>
      </c>
      <c r="Q61" s="224">
        <f>C61-'HQ only ORG'!C61</f>
        <v>0</v>
      </c>
      <c r="R61" s="224">
        <f>SUM(D61:I61)-SUM('HQ only ORG'!D61:I61)</f>
        <v>0</v>
      </c>
    </row>
    <row r="62" spans="2:18" ht="14" x14ac:dyDescent="0.15">
      <c r="B62" s="44" t="s">
        <v>51</v>
      </c>
      <c r="C62" s="39">
        <f>'Data entry HQ only'!C62</f>
        <v>0</v>
      </c>
      <c r="D62" s="39">
        <f>'Data entry HQ only'!F62</f>
        <v>0</v>
      </c>
      <c r="E62" s="39">
        <f>'Data entry HQ only'!I62</f>
        <v>0</v>
      </c>
      <c r="F62" s="39">
        <f>'Data entry HQ only'!L62</f>
        <v>0</v>
      </c>
      <c r="G62" s="39">
        <f>'Data entry HQ only'!O62</f>
        <v>0</v>
      </c>
      <c r="H62" s="39">
        <f>'Data entry HQ only'!R62</f>
        <v>0</v>
      </c>
      <c r="I62" s="39">
        <f>'Data entry HQ only'!U62</f>
        <v>0</v>
      </c>
      <c r="J62" s="39">
        <f>'Data entry HQ only'!X62</f>
        <v>0</v>
      </c>
      <c r="K62" s="39">
        <f>'Data entry HQ only'!AA62</f>
        <v>0</v>
      </c>
      <c r="L62" s="39">
        <f>'Data entry HQ only'!AD62</f>
        <v>0</v>
      </c>
      <c r="M62" s="39">
        <f>'Data entry HQ only'!AG62</f>
        <v>0</v>
      </c>
      <c r="N62" s="39">
        <f>'Data entry HQ only'!AJ62</f>
        <v>0</v>
      </c>
      <c r="O62" s="39">
        <f>'Data entry HQ only'!AM62</f>
        <v>0</v>
      </c>
      <c r="Q62" s="224">
        <f>C62-'HQ only ORG'!C62</f>
        <v>0</v>
      </c>
      <c r="R62" s="224">
        <f>SUM(D62:I62)-SUM('HQ only ORG'!D62:I62)</f>
        <v>0</v>
      </c>
    </row>
    <row r="63" spans="2:18" ht="14" x14ac:dyDescent="0.15">
      <c r="B63" s="42" t="s">
        <v>52</v>
      </c>
      <c r="C63" s="39">
        <f>'Data entry HQ only'!C63</f>
        <v>7832.25</v>
      </c>
      <c r="D63" s="39">
        <f>'Data entry HQ only'!F63</f>
        <v>0</v>
      </c>
      <c r="E63" s="39">
        <f>'Data entry HQ only'!I63</f>
        <v>0</v>
      </c>
      <c r="F63" s="39">
        <f>'Data entry HQ only'!L63</f>
        <v>0</v>
      </c>
      <c r="G63" s="39">
        <f>'Data entry HQ only'!O63</f>
        <v>0</v>
      </c>
      <c r="H63" s="39">
        <f>'Data entry HQ only'!R63</f>
        <v>7832.25</v>
      </c>
      <c r="I63" s="39">
        <f>'Data entry HQ only'!U63</f>
        <v>0</v>
      </c>
      <c r="J63" s="39">
        <f>'Data entry HQ only'!X63</f>
        <v>0</v>
      </c>
      <c r="K63" s="39">
        <f>'Data entry HQ only'!AA63</f>
        <v>0</v>
      </c>
      <c r="L63" s="39">
        <f>'Data entry HQ only'!AD63</f>
        <v>0</v>
      </c>
      <c r="M63" s="39">
        <f>'Data entry HQ only'!AG63</f>
        <v>0</v>
      </c>
      <c r="N63" s="39">
        <f>'Data entry HQ only'!AJ63</f>
        <v>0</v>
      </c>
      <c r="O63" s="39">
        <f>'Data entry HQ only'!AM63</f>
        <v>0</v>
      </c>
      <c r="Q63" s="224">
        <f>C63-'HQ only ORG'!C63</f>
        <v>7832.25</v>
      </c>
      <c r="R63" s="224">
        <f>SUM(D63:I63)-SUM('HQ only ORG'!D63:I63)</f>
        <v>7832.25</v>
      </c>
    </row>
    <row r="64" spans="2:18" x14ac:dyDescent="0.15">
      <c r="B64" s="40"/>
      <c r="C64" s="39">
        <f>'Data entry HQ only'!C64</f>
        <v>0</v>
      </c>
      <c r="D64" s="39">
        <f>'Data entry HQ only'!F64</f>
        <v>0</v>
      </c>
      <c r="E64" s="39">
        <f>'Data entry HQ only'!I64</f>
        <v>0</v>
      </c>
      <c r="F64" s="39">
        <f>'Data entry HQ only'!L64</f>
        <v>0</v>
      </c>
      <c r="G64" s="39">
        <f>'Data entry HQ only'!O64</f>
        <v>0</v>
      </c>
      <c r="H64" s="39">
        <f>'Data entry HQ only'!R64</f>
        <v>0</v>
      </c>
      <c r="I64" s="39">
        <f>'Data entry HQ only'!U64</f>
        <v>0</v>
      </c>
      <c r="J64" s="39">
        <f>'Data entry HQ only'!X64</f>
        <v>0</v>
      </c>
      <c r="K64" s="39">
        <f>'Data entry HQ only'!AA64</f>
        <v>0</v>
      </c>
      <c r="L64" s="39">
        <f>'Data entry HQ only'!AD64</f>
        <v>0</v>
      </c>
      <c r="M64" s="39">
        <f>'Data entry HQ only'!AG64</f>
        <v>0</v>
      </c>
      <c r="N64" s="39">
        <f>'Data entry HQ only'!AJ64</f>
        <v>0</v>
      </c>
      <c r="O64" s="39">
        <f>'Data entry HQ only'!AM64</f>
        <v>0</v>
      </c>
      <c r="Q64" s="224">
        <f>C64-'HQ only ORG'!C64</f>
        <v>0</v>
      </c>
      <c r="R64" s="224">
        <f>SUM(D64:I64)-SUM('HQ only ORG'!D64:I64)</f>
        <v>0</v>
      </c>
    </row>
    <row r="65" spans="2:18" ht="14" x14ac:dyDescent="0.15">
      <c r="B65" s="44" t="s">
        <v>53</v>
      </c>
      <c r="C65" s="39">
        <f>'Data entry HQ only'!C65</f>
        <v>0</v>
      </c>
      <c r="D65" s="39">
        <f>'Data entry HQ only'!F65</f>
        <v>0</v>
      </c>
      <c r="E65" s="39">
        <f>'Data entry HQ only'!I65</f>
        <v>0</v>
      </c>
      <c r="F65" s="39">
        <f>'Data entry HQ only'!L65</f>
        <v>0</v>
      </c>
      <c r="G65" s="39">
        <f>'Data entry HQ only'!O65</f>
        <v>0</v>
      </c>
      <c r="H65" s="39">
        <f>'Data entry HQ only'!R65</f>
        <v>0</v>
      </c>
      <c r="I65" s="39">
        <f>'Data entry HQ only'!U65</f>
        <v>0</v>
      </c>
      <c r="J65" s="39">
        <f>'Data entry HQ only'!X65</f>
        <v>0</v>
      </c>
      <c r="K65" s="39">
        <f>'Data entry HQ only'!AA65</f>
        <v>0</v>
      </c>
      <c r="L65" s="39">
        <f>'Data entry HQ only'!AD65</f>
        <v>0</v>
      </c>
      <c r="M65" s="39">
        <f>'Data entry HQ only'!AG65</f>
        <v>0</v>
      </c>
      <c r="N65" s="39">
        <f>'Data entry HQ only'!AJ65</f>
        <v>0</v>
      </c>
      <c r="O65" s="39">
        <f>'Data entry HQ only'!AM65</f>
        <v>0</v>
      </c>
      <c r="Q65" s="224">
        <f>C65-'HQ only ORG'!C65</f>
        <v>0</v>
      </c>
      <c r="R65" s="224">
        <f>SUM(D65:I65)-SUM('HQ only ORG'!D65:I65)</f>
        <v>0</v>
      </c>
    </row>
    <row r="66" spans="2:18" ht="14" x14ac:dyDescent="0.15">
      <c r="B66" s="38" t="s">
        <v>22</v>
      </c>
      <c r="C66" s="39">
        <f>'Data entry HQ only'!C66</f>
        <v>3996062.0337999999</v>
      </c>
      <c r="D66" s="39">
        <f>'Data entry HQ only'!F66</f>
        <v>242582.04</v>
      </c>
      <c r="E66" s="39">
        <f>'Data entry HQ only'!I66</f>
        <v>285309.5</v>
      </c>
      <c r="F66" s="39">
        <f>'Data entry HQ only'!L66</f>
        <v>323027.63</v>
      </c>
      <c r="G66" s="39">
        <f>'Data entry HQ only'!O66</f>
        <v>298667.28999999998</v>
      </c>
      <c r="H66" s="39">
        <f>'Data entry HQ only'!R66</f>
        <v>384091.77</v>
      </c>
      <c r="I66" s="39">
        <f>'Data entry HQ only'!U66</f>
        <v>279854.84000000003</v>
      </c>
      <c r="J66" s="39">
        <f>'Data entry HQ only'!X66</f>
        <v>363754.8273</v>
      </c>
      <c r="K66" s="39">
        <f>'Data entry HQ only'!AA66</f>
        <v>363754.8273</v>
      </c>
      <c r="L66" s="39">
        <f>'Data entry HQ only'!AD66</f>
        <v>363754.8273</v>
      </c>
      <c r="M66" s="39">
        <f>'Data entry HQ only'!AG66</f>
        <v>363754.8273</v>
      </c>
      <c r="N66" s="39">
        <f>'Data entry HQ only'!AJ66</f>
        <v>363754.8273</v>
      </c>
      <c r="O66" s="39">
        <f>'Data entry HQ only'!AM66</f>
        <v>363754.8273</v>
      </c>
      <c r="Q66" s="224">
        <f>C66-'HQ only ORG'!C66</f>
        <v>-456342.72980000032</v>
      </c>
      <c r="R66" s="224">
        <f>SUM(D66:I66)-SUM('HQ only ORG'!D66:I66)</f>
        <v>-456342.72979999962</v>
      </c>
    </row>
    <row r="67" spans="2:18" ht="14" x14ac:dyDescent="0.15">
      <c r="B67" s="38" t="s">
        <v>40</v>
      </c>
      <c r="C67" s="39">
        <f>'Data entry HQ only'!C67</f>
        <v>4388163.3499999996</v>
      </c>
      <c r="D67" s="39">
        <f>'Data entry HQ only'!F67</f>
        <v>78569.440000000002</v>
      </c>
      <c r="E67" s="39">
        <f>'Data entry HQ only'!I67</f>
        <v>345850.77</v>
      </c>
      <c r="F67" s="39">
        <f>'Data entry HQ only'!L67</f>
        <v>1337848.7</v>
      </c>
      <c r="G67" s="39">
        <f>'Data entry HQ only'!O67</f>
        <v>193671.69</v>
      </c>
      <c r="H67" s="39">
        <f>'Data entry HQ only'!R67</f>
        <v>282454.78999999998</v>
      </c>
      <c r="I67" s="39">
        <f>'Data entry HQ only'!U67</f>
        <v>270654.96000000002</v>
      </c>
      <c r="J67" s="39">
        <f>'Data entry HQ only'!X67</f>
        <v>219155.5</v>
      </c>
      <c r="K67" s="39">
        <f>'Data entry HQ only'!AA67</f>
        <v>204743.5</v>
      </c>
      <c r="L67" s="39">
        <f>'Data entry HQ only'!AD67</f>
        <v>317668.5</v>
      </c>
      <c r="M67" s="39">
        <f>'Data entry HQ only'!AG67</f>
        <v>215583.5</v>
      </c>
      <c r="N67" s="39">
        <f>'Data entry HQ only'!AJ67</f>
        <v>252423.5</v>
      </c>
      <c r="O67" s="39">
        <f>'Data entry HQ only'!AM67</f>
        <v>669538.5</v>
      </c>
      <c r="Q67" s="224">
        <f>C67-'HQ only ORG'!C67</f>
        <v>796392.34999999963</v>
      </c>
      <c r="R67" s="224">
        <f>SUM(D67:I67)-SUM('HQ only ORG'!D67:I67)</f>
        <v>793992.34999999963</v>
      </c>
    </row>
    <row r="68" spans="2:18" ht="14" x14ac:dyDescent="0.15">
      <c r="B68" s="42" t="s">
        <v>41</v>
      </c>
      <c r="C68" s="39">
        <f>'Data entry HQ only'!C68</f>
        <v>-8384225.3838</v>
      </c>
      <c r="D68" s="39">
        <f>'Data entry HQ only'!F68</f>
        <v>-321151.48</v>
      </c>
      <c r="E68" s="39">
        <f>'Data entry HQ only'!I68</f>
        <v>-631160.27</v>
      </c>
      <c r="F68" s="39">
        <f>'Data entry HQ only'!L68</f>
        <v>-1660876.33</v>
      </c>
      <c r="G68" s="39">
        <f>'Data entry HQ only'!O68</f>
        <v>-492338.98</v>
      </c>
      <c r="H68" s="39">
        <f>'Data entry HQ only'!R68</f>
        <v>-666546.56000000006</v>
      </c>
      <c r="I68" s="39">
        <f>'Data entry HQ only'!U68</f>
        <v>-550509.80000000005</v>
      </c>
      <c r="J68" s="39">
        <f>'Data entry HQ only'!X68</f>
        <v>-582910.3273</v>
      </c>
      <c r="K68" s="39">
        <f>'Data entry HQ only'!AA68</f>
        <v>-568498.3273</v>
      </c>
      <c r="L68" s="39">
        <f>'Data entry HQ only'!AD68</f>
        <v>-681423.3273</v>
      </c>
      <c r="M68" s="39">
        <f>'Data entry HQ only'!AG68</f>
        <v>-579338.3273</v>
      </c>
      <c r="N68" s="39">
        <f>'Data entry HQ only'!AJ68</f>
        <v>-616178.3273</v>
      </c>
      <c r="O68" s="39">
        <f>'Data entry HQ only'!AM68</f>
        <v>-1033293.3273</v>
      </c>
      <c r="Q68" s="224">
        <f>C68-'HQ only ORG'!C68</f>
        <v>-340049.62019999977</v>
      </c>
      <c r="R68" s="224">
        <f>SUM(D68:I68)-SUM('HQ only ORG'!D68:I68)</f>
        <v>-337649.62020000024</v>
      </c>
    </row>
    <row r="69" spans="2:18" x14ac:dyDescent="0.15">
      <c r="B69" s="40"/>
      <c r="C69" s="39">
        <f>'Data entry HQ only'!C69</f>
        <v>0</v>
      </c>
      <c r="D69" s="39">
        <f>'Data entry HQ only'!F69</f>
        <v>0</v>
      </c>
      <c r="E69" s="39">
        <f>'Data entry HQ only'!I69</f>
        <v>0</v>
      </c>
      <c r="F69" s="39">
        <f>'Data entry HQ only'!L69</f>
        <v>0</v>
      </c>
      <c r="G69" s="39">
        <f>'Data entry HQ only'!O69</f>
        <v>0</v>
      </c>
      <c r="H69" s="39">
        <f>'Data entry HQ only'!R69</f>
        <v>0</v>
      </c>
      <c r="I69" s="39">
        <f>'Data entry HQ only'!U69</f>
        <v>0</v>
      </c>
      <c r="J69" s="39">
        <f>'Data entry HQ only'!X69</f>
        <v>0</v>
      </c>
      <c r="K69" s="39">
        <f>'Data entry HQ only'!AA69</f>
        <v>0</v>
      </c>
      <c r="L69" s="39">
        <f>'Data entry HQ only'!AD69</f>
        <v>0</v>
      </c>
      <c r="M69" s="39">
        <f>'Data entry HQ only'!AG69</f>
        <v>0</v>
      </c>
      <c r="N69" s="39">
        <f>'Data entry HQ only'!AJ69</f>
        <v>0</v>
      </c>
      <c r="O69" s="39">
        <f>'Data entry HQ only'!AM69</f>
        <v>0</v>
      </c>
      <c r="Q69" s="224">
        <f>C69-'HQ only ORG'!C69</f>
        <v>0</v>
      </c>
      <c r="R69" s="224">
        <f>SUM(D69:I69)-SUM('HQ only ORG'!D69:I69)</f>
        <v>0</v>
      </c>
    </row>
    <row r="70" spans="2:18" ht="14" x14ac:dyDescent="0.15">
      <c r="B70" s="44" t="s">
        <v>54</v>
      </c>
      <c r="C70" s="39">
        <f>'Data entry HQ only'!C70</f>
        <v>0</v>
      </c>
      <c r="D70" s="39">
        <f>'Data entry HQ only'!F70</f>
        <v>0</v>
      </c>
      <c r="E70" s="39">
        <f>'Data entry HQ only'!I70</f>
        <v>0</v>
      </c>
      <c r="F70" s="39">
        <f>'Data entry HQ only'!L70</f>
        <v>0</v>
      </c>
      <c r="G70" s="39">
        <f>'Data entry HQ only'!O70</f>
        <v>0</v>
      </c>
      <c r="H70" s="39">
        <f>'Data entry HQ only'!R70</f>
        <v>0</v>
      </c>
      <c r="I70" s="39">
        <f>'Data entry HQ only'!U70</f>
        <v>0</v>
      </c>
      <c r="J70" s="39">
        <f>'Data entry HQ only'!X70</f>
        <v>0</v>
      </c>
      <c r="K70" s="39">
        <f>'Data entry HQ only'!AA70</f>
        <v>0</v>
      </c>
      <c r="L70" s="39">
        <f>'Data entry HQ only'!AD70</f>
        <v>0</v>
      </c>
      <c r="M70" s="39">
        <f>'Data entry HQ only'!AG70</f>
        <v>0</v>
      </c>
      <c r="N70" s="39">
        <f>'Data entry HQ only'!AJ70</f>
        <v>0</v>
      </c>
      <c r="O70" s="39">
        <f>'Data entry HQ only'!AM70</f>
        <v>0</v>
      </c>
      <c r="Q70" s="224">
        <f>C70-'HQ only ORG'!C70</f>
        <v>0</v>
      </c>
      <c r="R70" s="224">
        <f>SUM(D70:I70)-SUM('HQ only ORG'!D70:I70)</f>
        <v>0</v>
      </c>
    </row>
    <row r="71" spans="2:18" ht="14" x14ac:dyDescent="0.15">
      <c r="B71" s="38" t="s">
        <v>55</v>
      </c>
      <c r="C71" s="39">
        <f>'Data entry HQ only'!C71</f>
        <v>0</v>
      </c>
      <c r="D71" s="39">
        <f>'Data entry HQ only'!F71</f>
        <v>0</v>
      </c>
      <c r="E71" s="39">
        <f>'Data entry HQ only'!I71</f>
        <v>0</v>
      </c>
      <c r="F71" s="39">
        <f>'Data entry HQ only'!L71</f>
        <v>0</v>
      </c>
      <c r="G71" s="39">
        <f>'Data entry HQ only'!O71</f>
        <v>0</v>
      </c>
      <c r="H71" s="39">
        <f>'Data entry HQ only'!R71</f>
        <v>0</v>
      </c>
      <c r="I71" s="39">
        <f>'Data entry HQ only'!U71</f>
        <v>0</v>
      </c>
      <c r="J71" s="39">
        <f>'Data entry HQ only'!X71</f>
        <v>0</v>
      </c>
      <c r="K71" s="39">
        <f>'Data entry HQ only'!AA71</f>
        <v>0</v>
      </c>
      <c r="L71" s="39">
        <f>'Data entry HQ only'!AD71</f>
        <v>0</v>
      </c>
      <c r="M71" s="39">
        <f>'Data entry HQ only'!AG71</f>
        <v>0</v>
      </c>
      <c r="N71" s="39">
        <f>'Data entry HQ only'!AJ71</f>
        <v>0</v>
      </c>
      <c r="O71" s="39">
        <f>'Data entry HQ only'!AM71</f>
        <v>0</v>
      </c>
      <c r="Q71" s="224">
        <f>C71-'HQ only ORG'!C71</f>
        <v>0</v>
      </c>
      <c r="R71" s="224">
        <f>SUM(D71:I71)-SUM('HQ only ORG'!D71:I71)</f>
        <v>0</v>
      </c>
    </row>
    <row r="72" spans="2:18" ht="14" x14ac:dyDescent="0.15">
      <c r="B72" s="38" t="s">
        <v>56</v>
      </c>
      <c r="C72" s="39">
        <f>'Data entry HQ only'!C72</f>
        <v>893035.29</v>
      </c>
      <c r="D72" s="39">
        <f>'Data entry HQ only'!F72</f>
        <v>72551.710000000006</v>
      </c>
      <c r="E72" s="39">
        <f>'Data entry HQ only'!I72</f>
        <v>59210.66</v>
      </c>
      <c r="F72" s="39">
        <f>'Data entry HQ only'!L72</f>
        <v>69964.53</v>
      </c>
      <c r="G72" s="39">
        <f>'Data entry HQ only'!O72</f>
        <v>101973.4</v>
      </c>
      <c r="H72" s="39">
        <f>'Data entry HQ only'!R72</f>
        <v>53471.42</v>
      </c>
      <c r="I72" s="39">
        <f>'Data entry HQ only'!U72</f>
        <v>155447.73000000001</v>
      </c>
      <c r="J72" s="39">
        <f>'Data entry HQ only'!X72</f>
        <v>66658.64</v>
      </c>
      <c r="K72" s="39">
        <f>'Data entry HQ only'!AA72</f>
        <v>62398.64</v>
      </c>
      <c r="L72" s="39">
        <f>'Data entry HQ only'!AD72</f>
        <v>61898.64</v>
      </c>
      <c r="M72" s="39">
        <f>'Data entry HQ only'!AG72</f>
        <v>64908.639999999999</v>
      </c>
      <c r="N72" s="39">
        <f>'Data entry HQ only'!AJ72</f>
        <v>64148.639999999999</v>
      </c>
      <c r="O72" s="39">
        <f>'Data entry HQ only'!AM72</f>
        <v>60402.64</v>
      </c>
      <c r="Q72" s="224">
        <f>C72-'HQ only ORG'!C72</f>
        <v>81147.609999999986</v>
      </c>
      <c r="R72" s="224">
        <f>SUM(D72:I72)-SUM('HQ only ORG'!D72:I72)</f>
        <v>81147.609999999928</v>
      </c>
    </row>
    <row r="73" spans="2:18" ht="14" x14ac:dyDescent="0.15">
      <c r="B73" s="38" t="s">
        <v>40</v>
      </c>
      <c r="C73" s="39">
        <f>'Data entry HQ only'!C73</f>
        <v>229503.06</v>
      </c>
      <c r="D73" s="39">
        <f>'Data entry HQ only'!F73</f>
        <v>3601.37</v>
      </c>
      <c r="E73" s="39">
        <f>'Data entry HQ only'!I73</f>
        <v>48386.239999999998</v>
      </c>
      <c r="F73" s="39">
        <f>'Data entry HQ only'!L73</f>
        <v>17536.48</v>
      </c>
      <c r="G73" s="39">
        <f>'Data entry HQ only'!O73</f>
        <v>26428.86</v>
      </c>
      <c r="H73" s="39">
        <f>'Data entry HQ only'!R73</f>
        <v>15293.03</v>
      </c>
      <c r="I73" s="39">
        <f>'Data entry HQ only'!U73</f>
        <v>44675.08</v>
      </c>
      <c r="J73" s="39">
        <f>'Data entry HQ only'!X73</f>
        <v>9597</v>
      </c>
      <c r="K73" s="39">
        <f>'Data entry HQ only'!AA73</f>
        <v>24597</v>
      </c>
      <c r="L73" s="39">
        <f>'Data entry HQ only'!AD73</f>
        <v>9597</v>
      </c>
      <c r="M73" s="39">
        <f>'Data entry HQ only'!AG73</f>
        <v>10597</v>
      </c>
      <c r="N73" s="39">
        <f>'Data entry HQ only'!AJ73</f>
        <v>9597</v>
      </c>
      <c r="O73" s="39">
        <f>'Data entry HQ only'!AM73</f>
        <v>9597</v>
      </c>
      <c r="Q73" s="224">
        <f>C73-'HQ only ORG'!C73</f>
        <v>-140650.94</v>
      </c>
      <c r="R73" s="224">
        <f>SUM(D73:I73)-SUM('HQ only ORG'!D73:I73)</f>
        <v>-140650.94</v>
      </c>
    </row>
    <row r="74" spans="2:18" ht="14" x14ac:dyDescent="0.15">
      <c r="B74" s="42" t="s">
        <v>41</v>
      </c>
      <c r="C74" s="39">
        <f>'Data entry HQ only'!C74</f>
        <v>-1377351.0648000001</v>
      </c>
      <c r="D74" s="39">
        <f>'Data entry HQ only'!F74</f>
        <v>-95305.35</v>
      </c>
      <c r="E74" s="39">
        <f>'Data entry HQ only'!I74</f>
        <v>-123396.02</v>
      </c>
      <c r="F74" s="39">
        <f>'Data entry HQ only'!L74</f>
        <v>-106291.44</v>
      </c>
      <c r="G74" s="39">
        <f>'Data entry HQ only'!O74</f>
        <v>-146077.53</v>
      </c>
      <c r="H74" s="39">
        <f>'Data entry HQ only'!R74</f>
        <v>-91182.84</v>
      </c>
      <c r="I74" s="39">
        <f>'Data entry HQ only'!U74</f>
        <v>-218942.73</v>
      </c>
      <c r="J74" s="39">
        <f>'Data entry HQ only'!X74</f>
        <v>-99948.525800000003</v>
      </c>
      <c r="K74" s="39">
        <f>'Data entry HQ only'!AA74</f>
        <v>-110688.5258</v>
      </c>
      <c r="L74" s="39">
        <f>'Data entry HQ only'!AD74</f>
        <v>-95188.525800000003</v>
      </c>
      <c r="M74" s="39">
        <f>'Data entry HQ only'!AG74</f>
        <v>-99198.525800000003</v>
      </c>
      <c r="N74" s="39">
        <f>'Data entry HQ only'!AJ74</f>
        <v>-97438.525800000003</v>
      </c>
      <c r="O74" s="39">
        <f>'Data entry HQ only'!AM74</f>
        <v>-93692.525800000003</v>
      </c>
      <c r="Q74" s="224">
        <f>C74-'HQ only ORG'!C74</f>
        <v>54972.905799999833</v>
      </c>
      <c r="R74" s="224">
        <f>SUM(D74:I74)-SUM('HQ only ORG'!D74:I74)</f>
        <v>54972.905800000066</v>
      </c>
    </row>
    <row r="75" spans="2:18" x14ac:dyDescent="0.15">
      <c r="B75" s="40"/>
      <c r="C75" s="39">
        <f>'Data entry HQ only'!C75</f>
        <v>0</v>
      </c>
      <c r="D75" s="39">
        <f>'Data entry HQ only'!F75</f>
        <v>0</v>
      </c>
      <c r="E75" s="39">
        <f>'Data entry HQ only'!I75</f>
        <v>0</v>
      </c>
      <c r="F75" s="39">
        <f>'Data entry HQ only'!L75</f>
        <v>0</v>
      </c>
      <c r="G75" s="39">
        <f>'Data entry HQ only'!O75</f>
        <v>0</v>
      </c>
      <c r="H75" s="39">
        <f>'Data entry HQ only'!R75</f>
        <v>0</v>
      </c>
      <c r="I75" s="39">
        <f>'Data entry HQ only'!U75</f>
        <v>0</v>
      </c>
      <c r="J75" s="39">
        <f>'Data entry HQ only'!X75</f>
        <v>0</v>
      </c>
      <c r="K75" s="39">
        <f>'Data entry HQ only'!AA75</f>
        <v>0</v>
      </c>
      <c r="L75" s="39">
        <f>'Data entry HQ only'!AD75</f>
        <v>0</v>
      </c>
      <c r="M75" s="39">
        <f>'Data entry HQ only'!AG75</f>
        <v>0</v>
      </c>
      <c r="N75" s="39">
        <f>'Data entry HQ only'!AJ75</f>
        <v>0</v>
      </c>
      <c r="O75" s="39">
        <f>'Data entry HQ only'!AM75</f>
        <v>0</v>
      </c>
      <c r="Q75" s="224">
        <f>C75-'HQ only ORG'!C75</f>
        <v>0</v>
      </c>
      <c r="R75" s="224">
        <f>SUM(D75:I75)-SUM('HQ only ORG'!D75:I75)</f>
        <v>0</v>
      </c>
    </row>
    <row r="76" spans="2:18" ht="14" x14ac:dyDescent="0.15">
      <c r="B76" s="44" t="s">
        <v>57</v>
      </c>
      <c r="C76" s="39">
        <f>'Data entry HQ only'!C76</f>
        <v>0</v>
      </c>
      <c r="D76" s="39">
        <f>'Data entry HQ only'!F76</f>
        <v>0</v>
      </c>
      <c r="E76" s="39">
        <f>'Data entry HQ only'!I76</f>
        <v>0</v>
      </c>
      <c r="F76" s="39">
        <f>'Data entry HQ only'!L76</f>
        <v>0</v>
      </c>
      <c r="G76" s="39">
        <f>'Data entry HQ only'!O76</f>
        <v>0</v>
      </c>
      <c r="H76" s="39">
        <f>'Data entry HQ only'!R76</f>
        <v>0</v>
      </c>
      <c r="I76" s="39">
        <f>'Data entry HQ only'!U76</f>
        <v>0</v>
      </c>
      <c r="J76" s="39">
        <f>'Data entry HQ only'!X76</f>
        <v>0</v>
      </c>
      <c r="K76" s="39">
        <f>'Data entry HQ only'!AA76</f>
        <v>0</v>
      </c>
      <c r="L76" s="39">
        <f>'Data entry HQ only'!AD76</f>
        <v>0</v>
      </c>
      <c r="M76" s="39">
        <f>'Data entry HQ only'!AG76</f>
        <v>0</v>
      </c>
      <c r="N76" s="39">
        <f>'Data entry HQ only'!AJ76</f>
        <v>0</v>
      </c>
      <c r="O76" s="39">
        <f>'Data entry HQ only'!AM76</f>
        <v>0</v>
      </c>
      <c r="Q76" s="224">
        <f>C76-'HQ only ORG'!C76</f>
        <v>0</v>
      </c>
      <c r="R76" s="224">
        <f>SUM(D76:I76)-SUM('HQ only ORG'!D76:I76)</f>
        <v>0</v>
      </c>
    </row>
    <row r="77" spans="2:18" ht="14" x14ac:dyDescent="0.15">
      <c r="B77" s="38" t="s">
        <v>22</v>
      </c>
      <c r="C77" s="39">
        <f>'Data entry HQ only'!C77</f>
        <v>4391194.0735999998</v>
      </c>
      <c r="D77" s="39">
        <f>'Data entry HQ only'!F77</f>
        <v>370438.04</v>
      </c>
      <c r="E77" s="39">
        <f>'Data entry HQ only'!I77</f>
        <v>684726.92</v>
      </c>
      <c r="F77" s="39">
        <f>'Data entry HQ only'!L77</f>
        <v>359971.34</v>
      </c>
      <c r="G77" s="39">
        <f>'Data entry HQ only'!O77</f>
        <v>272546.90999999997</v>
      </c>
      <c r="H77" s="39">
        <f>'Data entry HQ only'!R77</f>
        <v>290479.17</v>
      </c>
      <c r="I77" s="39">
        <f>'Data entry HQ only'!U77</f>
        <v>275459.24</v>
      </c>
      <c r="J77" s="39">
        <f>'Data entry HQ only'!X77</f>
        <v>371428.67570000002</v>
      </c>
      <c r="K77" s="39">
        <f>'Data entry HQ only'!AA77</f>
        <v>362248.484</v>
      </c>
      <c r="L77" s="39">
        <f>'Data entry HQ only'!AD77</f>
        <v>356941.51880000002</v>
      </c>
      <c r="M77" s="39">
        <f>'Data entry HQ only'!AG77</f>
        <v>349634.2928</v>
      </c>
      <c r="N77" s="39">
        <f>'Data entry HQ only'!AJ77</f>
        <v>355889.36479999998</v>
      </c>
      <c r="O77" s="39">
        <f>'Data entry HQ only'!AM77</f>
        <v>341430.11749999999</v>
      </c>
      <c r="Q77" s="224">
        <f>C77-'HQ only ORG'!C77</f>
        <v>-208559.50460000057</v>
      </c>
      <c r="R77" s="224">
        <f>SUM(D77:I77)-SUM('HQ only ORG'!D77:I77)</f>
        <v>-221542.48859999981</v>
      </c>
    </row>
    <row r="78" spans="2:18" ht="14" x14ac:dyDescent="0.15">
      <c r="B78" s="38" t="s">
        <v>40</v>
      </c>
      <c r="C78" s="39">
        <f>'Data entry HQ only'!C78</f>
        <v>1736931.45</v>
      </c>
      <c r="D78" s="39">
        <f>'Data entry HQ only'!F78</f>
        <v>44418.91</v>
      </c>
      <c r="E78" s="39">
        <f>'Data entry HQ only'!I78</f>
        <v>159049.42000000001</v>
      </c>
      <c r="F78" s="39">
        <f>'Data entry HQ only'!L78</f>
        <v>94552.6</v>
      </c>
      <c r="G78" s="39">
        <f>'Data entry HQ only'!O78</f>
        <v>92244.5</v>
      </c>
      <c r="H78" s="39">
        <f>'Data entry HQ only'!R78</f>
        <v>149855.57</v>
      </c>
      <c r="I78" s="39">
        <f>'Data entry HQ only'!U78</f>
        <v>40767.449999999997</v>
      </c>
      <c r="J78" s="39">
        <f>'Data entry HQ only'!X78</f>
        <v>176828</v>
      </c>
      <c r="K78" s="39">
        <f>'Data entry HQ only'!AA78</f>
        <v>281362</v>
      </c>
      <c r="L78" s="39">
        <f>'Data entry HQ only'!AD78</f>
        <v>187017</v>
      </c>
      <c r="M78" s="39">
        <f>'Data entry HQ only'!AG78</f>
        <v>170711</v>
      </c>
      <c r="N78" s="39">
        <f>'Data entry HQ only'!AJ78</f>
        <v>171591</v>
      </c>
      <c r="O78" s="39">
        <f>'Data entry HQ only'!AM78</f>
        <v>168534</v>
      </c>
      <c r="Q78" s="224">
        <f>C78-'HQ only ORG'!C78</f>
        <v>-531593.55000000005</v>
      </c>
      <c r="R78" s="224">
        <f>SUM(D78:I78)-SUM('HQ only ORG'!D78:I78)</f>
        <v>-609393.55000000005</v>
      </c>
    </row>
    <row r="79" spans="2:18" ht="14" x14ac:dyDescent="0.15">
      <c r="B79" s="42" t="s">
        <v>41</v>
      </c>
      <c r="C79" s="39">
        <f>'Data entry HQ only'!C79</f>
        <v>-6128125.5236</v>
      </c>
      <c r="D79" s="39">
        <f>'Data entry HQ only'!F79</f>
        <v>-414856.95</v>
      </c>
      <c r="E79" s="39">
        <f>'Data entry HQ only'!I79</f>
        <v>-843776.34</v>
      </c>
      <c r="F79" s="39">
        <f>'Data entry HQ only'!L79</f>
        <v>-454523.94</v>
      </c>
      <c r="G79" s="39">
        <f>'Data entry HQ only'!O79</f>
        <v>-364791.41</v>
      </c>
      <c r="H79" s="39">
        <f>'Data entry HQ only'!R79</f>
        <v>-440334.74</v>
      </c>
      <c r="I79" s="39">
        <f>'Data entry HQ only'!U79</f>
        <v>-316226.69</v>
      </c>
      <c r="J79" s="39">
        <f>'Data entry HQ only'!X79</f>
        <v>-548256.67570000002</v>
      </c>
      <c r="K79" s="39">
        <f>'Data entry HQ only'!AA79</f>
        <v>-643610.48400000005</v>
      </c>
      <c r="L79" s="39">
        <f>'Data entry HQ only'!AD79</f>
        <v>-543958.51879999996</v>
      </c>
      <c r="M79" s="39">
        <f>'Data entry HQ only'!AG79</f>
        <v>-520345.2928</v>
      </c>
      <c r="N79" s="39">
        <f>'Data entry HQ only'!AJ79</f>
        <v>-527480.36479999998</v>
      </c>
      <c r="O79" s="39">
        <f>'Data entry HQ only'!AM79</f>
        <v>-509964.11749999999</v>
      </c>
      <c r="Q79" s="224">
        <f>C79-'HQ only ORG'!C79</f>
        <v>740153.05460000038</v>
      </c>
      <c r="R79" s="224">
        <f>SUM(D79:I79)-SUM('HQ only ORG'!D79:I79)</f>
        <v>830936.03860000009</v>
      </c>
    </row>
    <row r="80" spans="2:18" x14ac:dyDescent="0.15">
      <c r="B80" s="40"/>
      <c r="C80" s="39">
        <f>'Data entry HQ only'!C80</f>
        <v>0</v>
      </c>
      <c r="D80" s="39">
        <f>'Data entry HQ only'!F80</f>
        <v>0</v>
      </c>
      <c r="E80" s="39">
        <f>'Data entry HQ only'!I80</f>
        <v>0</v>
      </c>
      <c r="F80" s="39">
        <f>'Data entry HQ only'!L80</f>
        <v>0</v>
      </c>
      <c r="G80" s="39">
        <f>'Data entry HQ only'!O80</f>
        <v>0</v>
      </c>
      <c r="H80" s="39">
        <f>'Data entry HQ only'!R80</f>
        <v>0</v>
      </c>
      <c r="I80" s="39">
        <f>'Data entry HQ only'!U80</f>
        <v>0</v>
      </c>
      <c r="J80" s="39">
        <f>'Data entry HQ only'!X80</f>
        <v>0</v>
      </c>
      <c r="K80" s="39">
        <f>'Data entry HQ only'!AA80</f>
        <v>0</v>
      </c>
      <c r="L80" s="39">
        <f>'Data entry HQ only'!AD80</f>
        <v>0</v>
      </c>
      <c r="M80" s="39">
        <f>'Data entry HQ only'!AG80</f>
        <v>0</v>
      </c>
      <c r="N80" s="39">
        <f>'Data entry HQ only'!AJ80</f>
        <v>0</v>
      </c>
      <c r="O80" s="39">
        <f>'Data entry HQ only'!AM80</f>
        <v>0</v>
      </c>
      <c r="Q80" s="224">
        <f>C80-'HQ only ORG'!C80</f>
        <v>0</v>
      </c>
      <c r="R80" s="224">
        <f>SUM(D80:I80)-SUM('HQ only ORG'!D80:I80)</f>
        <v>0</v>
      </c>
    </row>
    <row r="81" spans="2:21" ht="14" x14ac:dyDescent="0.15">
      <c r="B81" s="44" t="s">
        <v>58</v>
      </c>
      <c r="C81" s="39">
        <f>'Data entry HQ only'!C81</f>
        <v>0</v>
      </c>
      <c r="D81" s="39">
        <f>'Data entry HQ only'!F81</f>
        <v>0</v>
      </c>
      <c r="E81" s="39">
        <f>'Data entry HQ only'!I81</f>
        <v>0</v>
      </c>
      <c r="F81" s="39">
        <f>'Data entry HQ only'!L81</f>
        <v>0</v>
      </c>
      <c r="G81" s="39">
        <f>'Data entry HQ only'!O81</f>
        <v>0</v>
      </c>
      <c r="H81" s="39">
        <f>'Data entry HQ only'!R81</f>
        <v>0</v>
      </c>
      <c r="I81" s="39">
        <f>'Data entry HQ only'!U81</f>
        <v>0</v>
      </c>
      <c r="J81" s="39">
        <f>'Data entry HQ only'!X81</f>
        <v>0</v>
      </c>
      <c r="K81" s="39">
        <f>'Data entry HQ only'!AA81</f>
        <v>0</v>
      </c>
      <c r="L81" s="39">
        <f>'Data entry HQ only'!AD81</f>
        <v>0</v>
      </c>
      <c r="M81" s="39">
        <f>'Data entry HQ only'!AG81</f>
        <v>0</v>
      </c>
      <c r="N81" s="39">
        <f>'Data entry HQ only'!AJ81</f>
        <v>0</v>
      </c>
      <c r="O81" s="39">
        <f>'Data entry HQ only'!AM81</f>
        <v>0</v>
      </c>
      <c r="Q81" s="224">
        <f>C81-'HQ only ORG'!C81</f>
        <v>0</v>
      </c>
      <c r="R81" s="224">
        <f>SUM(D81:I81)-SUM('HQ only ORG'!D81:I81)</f>
        <v>0</v>
      </c>
    </row>
    <row r="82" spans="2:21" ht="14" x14ac:dyDescent="0.15">
      <c r="B82" s="38" t="s">
        <v>22</v>
      </c>
      <c r="C82" s="39">
        <f>'Data entry HQ only'!C82</f>
        <v>0</v>
      </c>
      <c r="D82" s="39">
        <f>'Data entry HQ only'!F82</f>
        <v>0</v>
      </c>
      <c r="E82" s="39">
        <f>'Data entry HQ only'!I82</f>
        <v>0</v>
      </c>
      <c r="F82" s="39">
        <f>'Data entry HQ only'!L82</f>
        <v>0</v>
      </c>
      <c r="G82" s="39">
        <f>'Data entry HQ only'!O82</f>
        <v>0</v>
      </c>
      <c r="H82" s="39">
        <f>'Data entry HQ only'!R82</f>
        <v>0</v>
      </c>
      <c r="I82" s="39">
        <f>'Data entry HQ only'!U82</f>
        <v>0</v>
      </c>
      <c r="J82" s="39">
        <f>'Data entry HQ only'!X82</f>
        <v>0</v>
      </c>
      <c r="K82" s="39">
        <f>'Data entry HQ only'!AA82</f>
        <v>0</v>
      </c>
      <c r="L82" s="39">
        <f>'Data entry HQ only'!AD82</f>
        <v>0</v>
      </c>
      <c r="M82" s="39">
        <f>'Data entry HQ only'!AG82</f>
        <v>0</v>
      </c>
      <c r="N82" s="39">
        <f>'Data entry HQ only'!AJ82</f>
        <v>0</v>
      </c>
      <c r="O82" s="39">
        <f>'Data entry HQ only'!AM82</f>
        <v>0</v>
      </c>
      <c r="Q82" s="224">
        <f>C82-'HQ only ORG'!C82</f>
        <v>0</v>
      </c>
      <c r="R82" s="224">
        <f>SUM(D82:I82)-SUM('HQ only ORG'!D82:I82)</f>
        <v>0</v>
      </c>
    </row>
    <row r="83" spans="2:21" ht="14" x14ac:dyDescent="0.15">
      <c r="B83" s="38" t="s">
        <v>40</v>
      </c>
      <c r="C83" s="39">
        <f>'Data entry HQ only'!C83</f>
        <v>5266.78</v>
      </c>
      <c r="D83" s="39">
        <f>'Data entry HQ only'!F83</f>
        <v>0</v>
      </c>
      <c r="E83" s="39">
        <f>'Data entry HQ only'!I83</f>
        <v>0</v>
      </c>
      <c r="F83" s="39">
        <f>'Data entry HQ only'!L83</f>
        <v>0</v>
      </c>
      <c r="G83" s="39">
        <f>'Data entry HQ only'!O83</f>
        <v>0</v>
      </c>
      <c r="H83" s="39">
        <f>'Data entry HQ only'!R83</f>
        <v>5213.16</v>
      </c>
      <c r="I83" s="39">
        <f>'Data entry HQ only'!U83</f>
        <v>53.62</v>
      </c>
      <c r="J83" s="39">
        <f>'Data entry HQ only'!X83</f>
        <v>0</v>
      </c>
      <c r="K83" s="39">
        <f>'Data entry HQ only'!AA83</f>
        <v>0</v>
      </c>
      <c r="L83" s="39">
        <f>'Data entry HQ only'!AD83</f>
        <v>0</v>
      </c>
      <c r="M83" s="39">
        <f>'Data entry HQ only'!AG83</f>
        <v>0</v>
      </c>
      <c r="N83" s="39">
        <f>'Data entry HQ only'!AJ83</f>
        <v>0</v>
      </c>
      <c r="O83" s="39">
        <f>'Data entry HQ only'!AM83</f>
        <v>0</v>
      </c>
      <c r="Q83" s="224">
        <f>C83-'HQ only ORG'!C83</f>
        <v>5266.78</v>
      </c>
      <c r="R83" s="224">
        <f>SUM(D83:I83)-SUM('HQ only ORG'!D83:I83)</f>
        <v>5266.78</v>
      </c>
    </row>
    <row r="84" spans="2:21" ht="14" x14ac:dyDescent="0.15">
      <c r="B84" s="42" t="s">
        <v>41</v>
      </c>
      <c r="C84" s="39">
        <f>'Data entry HQ only'!C84</f>
        <v>-5266.78</v>
      </c>
      <c r="D84" s="39">
        <f>'Data entry HQ only'!F84</f>
        <v>0</v>
      </c>
      <c r="E84" s="39">
        <f>'Data entry HQ only'!I84</f>
        <v>0</v>
      </c>
      <c r="F84" s="39">
        <f>'Data entry HQ only'!L84</f>
        <v>0</v>
      </c>
      <c r="G84" s="39">
        <f>'Data entry HQ only'!O84</f>
        <v>0</v>
      </c>
      <c r="H84" s="39">
        <f>'Data entry HQ only'!R84</f>
        <v>-5213.16</v>
      </c>
      <c r="I84" s="39">
        <f>'Data entry HQ only'!U84</f>
        <v>-53.62</v>
      </c>
      <c r="J84" s="39">
        <f>'Data entry HQ only'!X84</f>
        <v>0</v>
      </c>
      <c r="K84" s="39">
        <f>'Data entry HQ only'!AA84</f>
        <v>0</v>
      </c>
      <c r="L84" s="39">
        <f>'Data entry HQ only'!AD84</f>
        <v>0</v>
      </c>
      <c r="M84" s="39">
        <f>'Data entry HQ only'!AG84</f>
        <v>0</v>
      </c>
      <c r="N84" s="39">
        <f>'Data entry HQ only'!AJ84</f>
        <v>0</v>
      </c>
      <c r="O84" s="39">
        <f>'Data entry HQ only'!AM84</f>
        <v>0</v>
      </c>
      <c r="Q84" s="224">
        <f>C84-'HQ only ORG'!C84</f>
        <v>-5266.78</v>
      </c>
      <c r="R84" s="224">
        <f>SUM(D84:I84)-SUM('HQ only ORG'!D84:I84)</f>
        <v>-5266.78</v>
      </c>
    </row>
    <row r="85" spans="2:21" x14ac:dyDescent="0.15">
      <c r="B85" s="40"/>
      <c r="C85" s="39">
        <f>'Data entry HQ only'!C85</f>
        <v>0</v>
      </c>
      <c r="D85" s="39">
        <f>'Data entry HQ only'!F85</f>
        <v>0</v>
      </c>
      <c r="E85" s="39">
        <f>'Data entry HQ only'!I85</f>
        <v>0</v>
      </c>
      <c r="F85" s="39">
        <f>'Data entry HQ only'!L85</f>
        <v>0</v>
      </c>
      <c r="G85" s="39">
        <f>'Data entry HQ only'!O85</f>
        <v>0</v>
      </c>
      <c r="H85" s="39">
        <f>'Data entry HQ only'!R85</f>
        <v>0</v>
      </c>
      <c r="I85" s="39">
        <f>'Data entry HQ only'!U85</f>
        <v>0</v>
      </c>
      <c r="J85" s="39">
        <f>'Data entry HQ only'!X85</f>
        <v>0</v>
      </c>
      <c r="K85" s="39">
        <f>'Data entry HQ only'!AA85</f>
        <v>0</v>
      </c>
      <c r="L85" s="39">
        <f>'Data entry HQ only'!AD85</f>
        <v>0</v>
      </c>
      <c r="M85" s="39">
        <f>'Data entry HQ only'!AG85</f>
        <v>0</v>
      </c>
      <c r="N85" s="39">
        <f>'Data entry HQ only'!AJ85</f>
        <v>0</v>
      </c>
      <c r="O85" s="39">
        <f>'Data entry HQ only'!AM85</f>
        <v>0</v>
      </c>
      <c r="Q85" s="224">
        <f>C85-'HQ only ORG'!C85</f>
        <v>0</v>
      </c>
      <c r="R85" s="224">
        <f>SUM(D85:I85)-SUM('HQ only ORG'!D85:I85)</f>
        <v>0</v>
      </c>
    </row>
    <row r="86" spans="2:21" ht="14" x14ac:dyDescent="0.15">
      <c r="B86" s="44" t="s">
        <v>59</v>
      </c>
      <c r="C86" s="39">
        <f>'Data entry HQ only'!C86</f>
        <v>0</v>
      </c>
      <c r="D86" s="39">
        <f>'Data entry HQ only'!F86</f>
        <v>0</v>
      </c>
      <c r="E86" s="39">
        <f>'Data entry HQ only'!I86</f>
        <v>0</v>
      </c>
      <c r="F86" s="39">
        <f>'Data entry HQ only'!L86</f>
        <v>0</v>
      </c>
      <c r="G86" s="39">
        <f>'Data entry HQ only'!O86</f>
        <v>0</v>
      </c>
      <c r="H86" s="39">
        <f>'Data entry HQ only'!R86</f>
        <v>0</v>
      </c>
      <c r="I86" s="39">
        <f>'Data entry HQ only'!U86</f>
        <v>0</v>
      </c>
      <c r="J86" s="39">
        <f>'Data entry HQ only'!X86</f>
        <v>0</v>
      </c>
      <c r="K86" s="39">
        <f>'Data entry HQ only'!AA86</f>
        <v>0</v>
      </c>
      <c r="L86" s="39">
        <f>'Data entry HQ only'!AD86</f>
        <v>0</v>
      </c>
      <c r="M86" s="39">
        <f>'Data entry HQ only'!AG86</f>
        <v>0</v>
      </c>
      <c r="N86" s="39">
        <f>'Data entry HQ only'!AJ86</f>
        <v>0</v>
      </c>
      <c r="O86" s="39">
        <f>'Data entry HQ only'!AM86</f>
        <v>0</v>
      </c>
      <c r="Q86" s="224">
        <f>C86-'HQ only ORG'!C86</f>
        <v>0</v>
      </c>
      <c r="R86" s="224">
        <f>SUM(D86:I86)-SUM('HQ only ORG'!D86:I86)</f>
        <v>0</v>
      </c>
    </row>
    <row r="87" spans="2:21" ht="14" x14ac:dyDescent="0.15">
      <c r="B87" s="42" t="s">
        <v>41</v>
      </c>
      <c r="C87" s="39">
        <f>'Data entry HQ only'!C87</f>
        <v>0</v>
      </c>
      <c r="D87" s="39">
        <f>'Data entry HQ only'!F87</f>
        <v>0</v>
      </c>
      <c r="E87" s="39">
        <f>'Data entry HQ only'!I87</f>
        <v>0</v>
      </c>
      <c r="F87" s="39">
        <f>'Data entry HQ only'!L87</f>
        <v>0</v>
      </c>
      <c r="G87" s="39">
        <f>'Data entry HQ only'!O87</f>
        <v>0</v>
      </c>
      <c r="H87" s="39">
        <f>'Data entry HQ only'!R87</f>
        <v>0</v>
      </c>
      <c r="I87" s="39">
        <f>'Data entry HQ only'!U87</f>
        <v>0</v>
      </c>
      <c r="J87" s="39">
        <f>'Data entry HQ only'!X87</f>
        <v>0</v>
      </c>
      <c r="K87" s="39">
        <f>'Data entry HQ only'!AA87</f>
        <v>0</v>
      </c>
      <c r="L87" s="39">
        <f>'Data entry HQ only'!AD87</f>
        <v>0</v>
      </c>
      <c r="M87" s="39">
        <f>'Data entry HQ only'!AG87</f>
        <v>0</v>
      </c>
      <c r="N87" s="39">
        <f>'Data entry HQ only'!AJ87</f>
        <v>0</v>
      </c>
      <c r="O87" s="39">
        <f>'Data entry HQ only'!AM87</f>
        <v>0</v>
      </c>
      <c r="Q87" s="224">
        <f>C87-'HQ only ORG'!C87</f>
        <v>0</v>
      </c>
      <c r="R87" s="224">
        <f>SUM(D87:I87)-SUM('HQ only ORG'!D87:I87)</f>
        <v>0</v>
      </c>
    </row>
    <row r="88" spans="2:21" x14ac:dyDescent="0.15">
      <c r="B88" s="40"/>
      <c r="C88" s="39">
        <f>'Data entry HQ only'!C88</f>
        <v>0</v>
      </c>
      <c r="D88" s="39">
        <f>'Data entry HQ only'!F88</f>
        <v>0</v>
      </c>
      <c r="E88" s="39">
        <f>'Data entry HQ only'!I88</f>
        <v>0</v>
      </c>
      <c r="F88" s="39">
        <f>'Data entry HQ only'!L88</f>
        <v>0</v>
      </c>
      <c r="G88" s="39">
        <f>'Data entry HQ only'!O88</f>
        <v>0</v>
      </c>
      <c r="H88" s="39">
        <f>'Data entry HQ only'!R88</f>
        <v>0</v>
      </c>
      <c r="I88" s="39">
        <f>'Data entry HQ only'!U88</f>
        <v>0</v>
      </c>
      <c r="J88" s="39">
        <f>'Data entry HQ only'!X88</f>
        <v>0</v>
      </c>
      <c r="K88" s="39">
        <f>'Data entry HQ only'!AA88</f>
        <v>0</v>
      </c>
      <c r="L88" s="39">
        <f>'Data entry HQ only'!AD88</f>
        <v>0</v>
      </c>
      <c r="M88" s="39">
        <f>'Data entry HQ only'!AG88</f>
        <v>0</v>
      </c>
      <c r="N88" s="39">
        <f>'Data entry HQ only'!AJ88</f>
        <v>0</v>
      </c>
      <c r="O88" s="39">
        <f>'Data entry HQ only'!AM88</f>
        <v>0</v>
      </c>
      <c r="Q88" s="224">
        <f>C88-'HQ only ORG'!C88</f>
        <v>0</v>
      </c>
      <c r="R88" s="224">
        <f>SUM(D88:I88)-SUM('HQ only ORG'!D88:I88)</f>
        <v>0</v>
      </c>
    </row>
    <row r="89" spans="2:21" ht="14" x14ac:dyDescent="0.15">
      <c r="B89" s="42" t="s">
        <v>23</v>
      </c>
      <c r="C89" s="39">
        <f>'Data entry HQ only'!C89</f>
        <v>-2660258.6655999999</v>
      </c>
      <c r="D89" s="39">
        <f>'Data entry HQ only'!F89</f>
        <v>-440968.64</v>
      </c>
      <c r="E89" s="39">
        <f>'Data entry HQ only'!I89</f>
        <v>-1206024.22</v>
      </c>
      <c r="F89" s="39">
        <f>'Data entry HQ only'!L89</f>
        <v>-1369346.91</v>
      </c>
      <c r="G89" s="39">
        <f>'Data entry HQ only'!O89</f>
        <v>-503120.77</v>
      </c>
      <c r="H89" s="39">
        <f>'Data entry HQ only'!R89</f>
        <v>208360.81</v>
      </c>
      <c r="I89" s="39">
        <f>'Data entry HQ only'!U89</f>
        <v>-219127.12</v>
      </c>
      <c r="J89" s="39">
        <f>'Data entry HQ only'!X89</f>
        <v>511747.35379999998</v>
      </c>
      <c r="K89" s="39">
        <f>'Data entry HQ only'!AA89</f>
        <v>442965.1765</v>
      </c>
      <c r="L89" s="39">
        <f>'Data entry HQ only'!AD89</f>
        <v>382822.23700000002</v>
      </c>
      <c r="M89" s="39">
        <f>'Data entry HQ only'!AG89</f>
        <v>175366.86180000001</v>
      </c>
      <c r="N89" s="39">
        <f>'Data entry HQ only'!AJ89</f>
        <v>-291353.76189999998</v>
      </c>
      <c r="O89" s="39">
        <f>'Data entry HQ only'!AM89</f>
        <v>-351579.68280000001</v>
      </c>
      <c r="Q89" s="224">
        <f>C89-'HQ only ORG'!C89</f>
        <v>-1703208.4029999999</v>
      </c>
      <c r="R89" s="224">
        <f>SUM(D89:I89)-SUM('HQ only ORG'!D89:I89)</f>
        <v>-1562058.8102999998</v>
      </c>
    </row>
    <row r="90" spans="2:21" x14ac:dyDescent="0.15">
      <c r="B90" s="40"/>
      <c r="C90" s="39">
        <f>'Data entry HQ only'!C90</f>
        <v>0</v>
      </c>
      <c r="D90" s="39">
        <f>'Data entry HQ only'!F90</f>
        <v>0</v>
      </c>
      <c r="E90" s="39">
        <f>'Data entry HQ only'!I90</f>
        <v>0</v>
      </c>
      <c r="F90" s="39">
        <f>'Data entry HQ only'!L90</f>
        <v>0</v>
      </c>
      <c r="G90" s="39">
        <f>'Data entry HQ only'!O90</f>
        <v>0</v>
      </c>
      <c r="H90" s="39">
        <f>'Data entry HQ only'!R90</f>
        <v>0</v>
      </c>
      <c r="I90" s="39">
        <f>'Data entry HQ only'!U90</f>
        <v>0</v>
      </c>
      <c r="J90" s="39">
        <f>'Data entry HQ only'!X90</f>
        <v>0</v>
      </c>
      <c r="K90" s="39">
        <f>'Data entry HQ only'!AA90</f>
        <v>0</v>
      </c>
      <c r="L90" s="39">
        <f>'Data entry HQ only'!AD90</f>
        <v>0</v>
      </c>
      <c r="M90" s="39">
        <f>'Data entry HQ only'!AG90</f>
        <v>0</v>
      </c>
      <c r="N90" s="39">
        <f>'Data entry HQ only'!AJ90</f>
        <v>0</v>
      </c>
      <c r="O90" s="39">
        <f>'Data entry HQ only'!AM90</f>
        <v>0</v>
      </c>
      <c r="Q90" s="224">
        <f>C90-'HQ only ORG'!C90</f>
        <v>0</v>
      </c>
      <c r="R90" s="224">
        <f>SUM(D90:I90)-SUM('HQ only ORG'!D90:I90)</f>
        <v>0</v>
      </c>
    </row>
    <row r="91" spans="2:21" ht="14" x14ac:dyDescent="0.15">
      <c r="B91" s="42" t="s">
        <v>60</v>
      </c>
      <c r="C91" s="39">
        <f>'Data entry HQ only'!C91</f>
        <v>5405386.4800000004</v>
      </c>
      <c r="D91" s="39">
        <f>'Data entry HQ only'!F91</f>
        <v>0</v>
      </c>
      <c r="E91" s="39">
        <f>'Data entry HQ only'!I91</f>
        <v>1038962.82</v>
      </c>
      <c r="F91" s="39">
        <f>'Data entry HQ only'!L91</f>
        <v>466516.89</v>
      </c>
      <c r="G91" s="39">
        <f>'Data entry HQ only'!O91</f>
        <v>603509.93000000005</v>
      </c>
      <c r="H91" s="39">
        <f>'Data entry HQ only'!R91</f>
        <v>318313.34000000003</v>
      </c>
      <c r="I91" s="39">
        <f>'Data entry HQ only'!U91</f>
        <v>-212962.5</v>
      </c>
      <c r="J91" s="39">
        <f>'Data entry HQ only'!X91</f>
        <v>531841</v>
      </c>
      <c r="K91" s="39">
        <f>'Data entry HQ only'!AA91</f>
        <v>531841</v>
      </c>
      <c r="L91" s="39">
        <f>'Data entry HQ only'!AD91</f>
        <v>531841</v>
      </c>
      <c r="M91" s="39">
        <f>'Data entry HQ only'!AG91</f>
        <v>531841</v>
      </c>
      <c r="N91" s="39">
        <f>'Data entry HQ only'!AJ91</f>
        <v>531841</v>
      </c>
      <c r="O91" s="39">
        <f>'Data entry HQ only'!AM91</f>
        <v>531841</v>
      </c>
      <c r="Q91" s="224">
        <f>C91-'HQ only ORG'!C91</f>
        <v>-976705.51999999955</v>
      </c>
      <c r="R91" s="224">
        <f>SUM(D91:I91)-SUM('HQ only ORG'!D91:I91)</f>
        <v>-976705.52</v>
      </c>
    </row>
    <row r="92" spans="2:21" ht="14" x14ac:dyDescent="0.15">
      <c r="B92" s="38" t="s">
        <v>61</v>
      </c>
      <c r="C92" s="39">
        <f>'Data entry HQ only'!C92</f>
        <v>4539013.99</v>
      </c>
      <c r="D92" s="39">
        <f>'Data entry HQ only'!F92</f>
        <v>0</v>
      </c>
      <c r="E92" s="39">
        <f>'Data entry HQ only'!I92</f>
        <v>909673.82</v>
      </c>
      <c r="F92" s="39">
        <f>'Data entry HQ only'!L92</f>
        <v>382215.89</v>
      </c>
      <c r="G92" s="39">
        <f>'Data entry HQ only'!O92</f>
        <v>527457.93000000005</v>
      </c>
      <c r="H92" s="39">
        <f>'Data entry HQ only'!R92</f>
        <v>236973.85</v>
      </c>
      <c r="I92" s="39">
        <f>'Data entry HQ only'!U92</f>
        <v>-301307.5</v>
      </c>
      <c r="J92" s="39">
        <f>'Data entry HQ only'!X92</f>
        <v>464000</v>
      </c>
      <c r="K92" s="39">
        <f>'Data entry HQ only'!AA92</f>
        <v>464000</v>
      </c>
      <c r="L92" s="39">
        <f>'Data entry HQ only'!AD92</f>
        <v>464000</v>
      </c>
      <c r="M92" s="39">
        <f>'Data entry HQ only'!AG92</f>
        <v>464000</v>
      </c>
      <c r="N92" s="39">
        <f>'Data entry HQ only'!AJ92</f>
        <v>464000</v>
      </c>
      <c r="O92" s="39">
        <f>'Data entry HQ only'!AM92</f>
        <v>464000</v>
      </c>
      <c r="Q92" s="224">
        <f>C92-'HQ only ORG'!C92</f>
        <v>-1028986.0099999998</v>
      </c>
      <c r="R92" s="224">
        <f>SUM(D92:I92)-SUM('HQ only ORG'!D92:I92)</f>
        <v>-1028986.0099999998</v>
      </c>
      <c r="U92" s="33">
        <f>0.65*10*365*5</f>
        <v>11862.5</v>
      </c>
    </row>
    <row r="93" spans="2:21" ht="14" x14ac:dyDescent="0.15">
      <c r="B93" s="38" t="s">
        <v>62</v>
      </c>
      <c r="C93" s="39">
        <f>'Data entry HQ only'!C93</f>
        <v>41.49</v>
      </c>
      <c r="D93" s="39">
        <f>'Data entry HQ only'!F93</f>
        <v>0</v>
      </c>
      <c r="E93" s="39">
        <f>'Data entry HQ only'!I93</f>
        <v>0</v>
      </c>
      <c r="F93" s="39">
        <f>'Data entry HQ only'!L93</f>
        <v>0</v>
      </c>
      <c r="G93" s="39">
        <f>'Data entry HQ only'!O93</f>
        <v>0</v>
      </c>
      <c r="H93" s="39">
        <f>'Data entry HQ only'!R93</f>
        <v>41.49</v>
      </c>
      <c r="I93" s="39">
        <f>'Data entry HQ only'!U93</f>
        <v>0</v>
      </c>
      <c r="J93" s="39">
        <f>'Data entry HQ only'!X93</f>
        <v>0</v>
      </c>
      <c r="K93" s="39">
        <f>'Data entry HQ only'!AA93</f>
        <v>0</v>
      </c>
      <c r="L93" s="39">
        <f>'Data entry HQ only'!AD93</f>
        <v>0</v>
      </c>
      <c r="M93" s="39">
        <f>'Data entry HQ only'!AG93</f>
        <v>0</v>
      </c>
      <c r="N93" s="39">
        <f>'Data entry HQ only'!AJ93</f>
        <v>0</v>
      </c>
      <c r="O93" s="39">
        <f>'Data entry HQ only'!AM93</f>
        <v>0</v>
      </c>
      <c r="Q93" s="224">
        <f>C93-'HQ only ORG'!C93</f>
        <v>41.49</v>
      </c>
      <c r="R93" s="224">
        <f>SUM(D93:I93)-SUM('HQ only ORG'!D93:I93)</f>
        <v>41.49</v>
      </c>
    </row>
    <row r="94" spans="2:21" ht="14" x14ac:dyDescent="0.15">
      <c r="B94" s="38" t="s">
        <v>63</v>
      </c>
      <c r="C94" s="39">
        <f>'Data entry HQ only'!C94</f>
        <v>866331</v>
      </c>
      <c r="D94" s="39">
        <f>'Data entry HQ only'!F94</f>
        <v>0</v>
      </c>
      <c r="E94" s="39">
        <f>'Data entry HQ only'!I94</f>
        <v>129289</v>
      </c>
      <c r="F94" s="39">
        <f>'Data entry HQ only'!L94</f>
        <v>84301</v>
      </c>
      <c r="G94" s="39">
        <f>'Data entry HQ only'!O94</f>
        <v>76052</v>
      </c>
      <c r="H94" s="39">
        <f>'Data entry HQ only'!R94</f>
        <v>81298</v>
      </c>
      <c r="I94" s="39">
        <f>'Data entry HQ only'!U94</f>
        <v>88345</v>
      </c>
      <c r="J94" s="39">
        <f>'Data entry HQ only'!X94</f>
        <v>67841</v>
      </c>
      <c r="K94" s="39">
        <f>'Data entry HQ only'!AA94</f>
        <v>67841</v>
      </c>
      <c r="L94" s="39">
        <f>'Data entry HQ only'!AD94</f>
        <v>67841</v>
      </c>
      <c r="M94" s="39">
        <f>'Data entry HQ only'!AG94</f>
        <v>67841</v>
      </c>
      <c r="N94" s="39">
        <f>'Data entry HQ only'!AJ94</f>
        <v>67841</v>
      </c>
      <c r="O94" s="39">
        <f>'Data entry HQ only'!AM94</f>
        <v>67841</v>
      </c>
      <c r="Q94" s="224">
        <f>C94-'HQ only ORG'!C94</f>
        <v>52239</v>
      </c>
      <c r="R94" s="224">
        <f>SUM(D94:I94)-SUM('HQ only ORG'!D94:I94)</f>
        <v>52239</v>
      </c>
    </row>
    <row r="95" spans="2:21" ht="14" x14ac:dyDescent="0.15">
      <c r="B95" s="38" t="s">
        <v>64</v>
      </c>
      <c r="C95" s="39">
        <f>'Data entry HQ only'!C95</f>
        <v>0</v>
      </c>
      <c r="D95" s="39">
        <f>'Data entry HQ only'!F95</f>
        <v>0</v>
      </c>
      <c r="E95" s="39">
        <f>'Data entry HQ only'!I95</f>
        <v>0</v>
      </c>
      <c r="F95" s="39">
        <f>'Data entry HQ only'!L95</f>
        <v>0</v>
      </c>
      <c r="G95" s="39">
        <f>'Data entry HQ only'!O95</f>
        <v>0</v>
      </c>
      <c r="H95" s="39">
        <f>'Data entry HQ only'!R95</f>
        <v>0</v>
      </c>
      <c r="I95" s="39">
        <f>'Data entry HQ only'!U95</f>
        <v>0</v>
      </c>
      <c r="J95" s="39">
        <f>'Data entry HQ only'!X95</f>
        <v>0</v>
      </c>
      <c r="K95" s="39">
        <f>'Data entry HQ only'!AA95</f>
        <v>0</v>
      </c>
      <c r="L95" s="39">
        <f>'Data entry HQ only'!AD95</f>
        <v>0</v>
      </c>
      <c r="M95" s="39">
        <f>'Data entry HQ only'!AG95</f>
        <v>0</v>
      </c>
      <c r="N95" s="39">
        <f>'Data entry HQ only'!AJ95</f>
        <v>0</v>
      </c>
      <c r="O95" s="39">
        <f>'Data entry HQ only'!AM95</f>
        <v>0</v>
      </c>
      <c r="Q95" s="224">
        <f>C95-'HQ only ORG'!C95</f>
        <v>0</v>
      </c>
      <c r="R95" s="224">
        <f>SUM(D95:I95)-SUM('HQ only ORG'!D95:I95)</f>
        <v>0</v>
      </c>
    </row>
    <row r="96" spans="2:21" x14ac:dyDescent="0.15">
      <c r="B96" s="40"/>
      <c r="C96" s="39">
        <f>'Data entry HQ only'!C96</f>
        <v>0</v>
      </c>
      <c r="D96" s="39">
        <f>'Data entry HQ only'!F96</f>
        <v>0</v>
      </c>
      <c r="E96" s="39">
        <f>'Data entry HQ only'!I96</f>
        <v>0</v>
      </c>
      <c r="F96" s="39">
        <f>'Data entry HQ only'!L96</f>
        <v>0</v>
      </c>
      <c r="G96" s="39">
        <f>'Data entry HQ only'!O96</f>
        <v>0</v>
      </c>
      <c r="H96" s="39">
        <f>'Data entry HQ only'!R96</f>
        <v>0</v>
      </c>
      <c r="I96" s="39">
        <f>'Data entry HQ only'!U96</f>
        <v>0</v>
      </c>
      <c r="J96" s="39">
        <f>'Data entry HQ only'!X96</f>
        <v>0</v>
      </c>
      <c r="K96" s="39">
        <f>'Data entry HQ only'!AA96</f>
        <v>0</v>
      </c>
      <c r="L96" s="39">
        <f>'Data entry HQ only'!AD96</f>
        <v>0</v>
      </c>
      <c r="M96" s="39">
        <f>'Data entry HQ only'!AG96</f>
        <v>0</v>
      </c>
      <c r="N96" s="39">
        <f>'Data entry HQ only'!AJ96</f>
        <v>0</v>
      </c>
      <c r="O96" s="39">
        <f>'Data entry HQ only'!AM96</f>
        <v>0</v>
      </c>
      <c r="Q96" s="224">
        <f>C96-'HQ only ORG'!C96</f>
        <v>0</v>
      </c>
      <c r="R96" s="224">
        <f>SUM(D96:I96)-SUM('HQ only ORG'!D96:I96)</f>
        <v>0</v>
      </c>
    </row>
    <row r="97" spans="2:18" ht="14" x14ac:dyDescent="0.15">
      <c r="B97" s="42" t="s">
        <v>65</v>
      </c>
      <c r="C97" s="39">
        <f>'Data entry HQ only'!C97</f>
        <v>5742920.9500000002</v>
      </c>
      <c r="D97" s="39">
        <f>'Data entry HQ only'!F97</f>
        <v>0</v>
      </c>
      <c r="E97" s="39">
        <f>'Data entry HQ only'!I97</f>
        <v>939468.94</v>
      </c>
      <c r="F97" s="39">
        <f>'Data entry HQ only'!L97</f>
        <v>469734.47</v>
      </c>
      <c r="G97" s="39">
        <f>'Data entry HQ only'!O97</f>
        <v>469734.47</v>
      </c>
      <c r="H97" s="39">
        <f>'Data entry HQ only'!R97</f>
        <v>469734.47</v>
      </c>
      <c r="I97" s="39">
        <f>'Data entry HQ only'!U97</f>
        <v>202248.6</v>
      </c>
      <c r="J97" s="39">
        <f>'Data entry HQ only'!X97</f>
        <v>532000</v>
      </c>
      <c r="K97" s="39">
        <f>'Data entry HQ only'!AA97</f>
        <v>532000</v>
      </c>
      <c r="L97" s="39">
        <f>'Data entry HQ only'!AD97</f>
        <v>532000</v>
      </c>
      <c r="M97" s="39">
        <f>'Data entry HQ only'!AG97</f>
        <v>532000</v>
      </c>
      <c r="N97" s="39">
        <f>'Data entry HQ only'!AJ97</f>
        <v>532000</v>
      </c>
      <c r="O97" s="39">
        <f>'Data entry HQ only'!AM97</f>
        <v>532000</v>
      </c>
      <c r="Q97" s="224">
        <f>C97-'HQ only ORG'!C97</f>
        <v>-641079.04999999981</v>
      </c>
      <c r="R97" s="224">
        <f>SUM(D97:I97)-SUM('HQ only ORG'!D97:I97)</f>
        <v>-641079.05000000028</v>
      </c>
    </row>
    <row r="98" spans="2:18" ht="14" x14ac:dyDescent="0.15">
      <c r="B98" s="38" t="s">
        <v>66</v>
      </c>
      <c r="C98" s="39">
        <f>'Data entry HQ only'!C98</f>
        <v>5245535.59</v>
      </c>
      <c r="D98" s="39">
        <f>'Data entry HQ only'!F98</f>
        <v>0</v>
      </c>
      <c r="E98" s="39">
        <f>'Data entry HQ only'!I98</f>
        <v>909673.82</v>
      </c>
      <c r="F98" s="39">
        <f>'Data entry HQ only'!L98</f>
        <v>454836.91</v>
      </c>
      <c r="G98" s="39">
        <f>'Data entry HQ only'!O98</f>
        <v>454836.91</v>
      </c>
      <c r="H98" s="39">
        <f>'Data entry HQ only'!R98</f>
        <v>454836.91</v>
      </c>
      <c r="I98" s="39">
        <f>'Data entry HQ only'!U98</f>
        <v>187351.04000000001</v>
      </c>
      <c r="J98" s="39">
        <f>'Data entry HQ only'!X98</f>
        <v>464000</v>
      </c>
      <c r="K98" s="39">
        <f>'Data entry HQ only'!AA98</f>
        <v>464000</v>
      </c>
      <c r="L98" s="39">
        <f>'Data entry HQ only'!AD98</f>
        <v>464000</v>
      </c>
      <c r="M98" s="39">
        <f>'Data entry HQ only'!AG98</f>
        <v>464000</v>
      </c>
      <c r="N98" s="39">
        <f>'Data entry HQ only'!AJ98</f>
        <v>464000</v>
      </c>
      <c r="O98" s="39">
        <f>'Data entry HQ only'!AM98</f>
        <v>464000</v>
      </c>
      <c r="Q98" s="224">
        <f>C98-'HQ only ORG'!C98</f>
        <v>-322464.41000000015</v>
      </c>
      <c r="R98" s="224">
        <f>SUM(D98:I98)-SUM('HQ only ORG'!D98:I98)</f>
        <v>-322464.41000000015</v>
      </c>
    </row>
    <row r="99" spans="2:18" ht="14" x14ac:dyDescent="0.15">
      <c r="B99" s="38" t="s">
        <v>67</v>
      </c>
      <c r="C99" s="39">
        <f>'Data entry HQ only'!C99</f>
        <v>497385.36</v>
      </c>
      <c r="D99" s="39">
        <f>'Data entry HQ only'!F99</f>
        <v>0</v>
      </c>
      <c r="E99" s="39">
        <f>'Data entry HQ only'!I99</f>
        <v>29795.119999999999</v>
      </c>
      <c r="F99" s="39">
        <f>'Data entry HQ only'!L99</f>
        <v>14897.56</v>
      </c>
      <c r="G99" s="39">
        <f>'Data entry HQ only'!O99</f>
        <v>14897.56</v>
      </c>
      <c r="H99" s="39">
        <f>'Data entry HQ only'!R99</f>
        <v>14897.56</v>
      </c>
      <c r="I99" s="39">
        <f>'Data entry HQ only'!U99</f>
        <v>14897.56</v>
      </c>
      <c r="J99" s="39">
        <f>'Data entry HQ only'!X99</f>
        <v>68000</v>
      </c>
      <c r="K99" s="39">
        <f>'Data entry HQ only'!AA99</f>
        <v>68000</v>
      </c>
      <c r="L99" s="39">
        <f>'Data entry HQ only'!AD99</f>
        <v>68000</v>
      </c>
      <c r="M99" s="39">
        <f>'Data entry HQ only'!AG99</f>
        <v>68000</v>
      </c>
      <c r="N99" s="39">
        <f>'Data entry HQ only'!AJ99</f>
        <v>68000</v>
      </c>
      <c r="O99" s="39">
        <f>'Data entry HQ only'!AM99</f>
        <v>68000</v>
      </c>
      <c r="Q99" s="224">
        <f>C99-'HQ only ORG'!C99</f>
        <v>-318614.64</v>
      </c>
      <c r="R99" s="224">
        <f>SUM(D99:I99)-SUM('HQ only ORG'!D99:I99)</f>
        <v>-318614.64</v>
      </c>
    </row>
    <row r="100" spans="2:18" x14ac:dyDescent="0.15">
      <c r="B100" s="40"/>
      <c r="C100" s="39">
        <f>'Data entry HQ only'!C100</f>
        <v>0</v>
      </c>
      <c r="D100" s="39">
        <f>'Data entry HQ only'!F100</f>
        <v>0</v>
      </c>
      <c r="E100" s="39">
        <f>'Data entry HQ only'!I100</f>
        <v>0</v>
      </c>
      <c r="F100" s="39">
        <f>'Data entry HQ only'!L100</f>
        <v>0</v>
      </c>
      <c r="G100" s="39">
        <f>'Data entry HQ only'!O100</f>
        <v>0</v>
      </c>
      <c r="H100" s="39">
        <f>'Data entry HQ only'!R100</f>
        <v>0</v>
      </c>
      <c r="I100" s="39">
        <f>'Data entry HQ only'!U100</f>
        <v>0</v>
      </c>
      <c r="J100" s="39">
        <f>'Data entry HQ only'!X100</f>
        <v>0</v>
      </c>
      <c r="K100" s="39">
        <f>'Data entry HQ only'!AA100</f>
        <v>0</v>
      </c>
      <c r="L100" s="39">
        <f>'Data entry HQ only'!AD100</f>
        <v>0</v>
      </c>
      <c r="M100" s="39">
        <f>'Data entry HQ only'!AG100</f>
        <v>0</v>
      </c>
      <c r="N100" s="39">
        <f>'Data entry HQ only'!AJ100</f>
        <v>0</v>
      </c>
      <c r="O100" s="39">
        <f>'Data entry HQ only'!AM100</f>
        <v>0</v>
      </c>
      <c r="Q100" s="224">
        <f>C100-'HQ only ORG'!C100</f>
        <v>0</v>
      </c>
      <c r="R100" s="224">
        <f>SUM(D100:I100)-SUM('HQ only ORG'!D100:I100)</f>
        <v>0</v>
      </c>
    </row>
    <row r="101" spans="2:18" ht="28" x14ac:dyDescent="0.15">
      <c r="B101" s="42" t="s">
        <v>68</v>
      </c>
      <c r="C101" s="39">
        <f>'Data entry HQ only'!C101</f>
        <v>-337534.47</v>
      </c>
      <c r="D101" s="39">
        <f>'Data entry HQ only'!F101</f>
        <v>0</v>
      </c>
      <c r="E101" s="39">
        <f>'Data entry HQ only'!I101</f>
        <v>99493.88</v>
      </c>
      <c r="F101" s="39">
        <f>'Data entry HQ only'!L101</f>
        <v>-3217.58</v>
      </c>
      <c r="G101" s="39">
        <f>'Data entry HQ only'!O101</f>
        <v>133775.46</v>
      </c>
      <c r="H101" s="39">
        <f>'Data entry HQ only'!R101</f>
        <v>-151421.13</v>
      </c>
      <c r="I101" s="39">
        <f>'Data entry HQ only'!U101</f>
        <v>-415211.1</v>
      </c>
      <c r="J101" s="39">
        <f>'Data entry HQ only'!X101</f>
        <v>-159</v>
      </c>
      <c r="K101" s="39">
        <f>'Data entry HQ only'!AA101</f>
        <v>-159</v>
      </c>
      <c r="L101" s="39">
        <f>'Data entry HQ only'!AD101</f>
        <v>-159</v>
      </c>
      <c r="M101" s="39">
        <f>'Data entry HQ only'!AG101</f>
        <v>-159</v>
      </c>
      <c r="N101" s="39">
        <f>'Data entry HQ only'!AJ101</f>
        <v>-159</v>
      </c>
      <c r="O101" s="39">
        <f>'Data entry HQ only'!AM101</f>
        <v>-159</v>
      </c>
      <c r="Q101" s="224">
        <f>C101-'HQ only ORG'!C101</f>
        <v>-335626.47</v>
      </c>
      <c r="R101" s="224">
        <f>SUM(D101:I101)-SUM('HQ only ORG'!D101:I101)</f>
        <v>-335626.47</v>
      </c>
    </row>
    <row r="102" spans="2:18" x14ac:dyDescent="0.15">
      <c r="B102" s="40"/>
      <c r="C102" s="39">
        <f>'Data entry HQ only'!C102</f>
        <v>0</v>
      </c>
      <c r="D102" s="39">
        <f>'Data entry HQ only'!F102</f>
        <v>0</v>
      </c>
      <c r="E102" s="39">
        <f>'Data entry HQ only'!I102</f>
        <v>0</v>
      </c>
      <c r="F102" s="39">
        <f>'Data entry HQ only'!L102</f>
        <v>0</v>
      </c>
      <c r="G102" s="39">
        <f>'Data entry HQ only'!O102</f>
        <v>0</v>
      </c>
      <c r="H102" s="39">
        <f>'Data entry HQ only'!R102</f>
        <v>0</v>
      </c>
      <c r="I102" s="39">
        <f>'Data entry HQ only'!U102</f>
        <v>0</v>
      </c>
      <c r="J102" s="39">
        <f>'Data entry HQ only'!X102</f>
        <v>0</v>
      </c>
      <c r="K102" s="39">
        <f>'Data entry HQ only'!AA102</f>
        <v>0</v>
      </c>
      <c r="L102" s="39">
        <f>'Data entry HQ only'!AD102</f>
        <v>0</v>
      </c>
      <c r="M102" s="39">
        <f>'Data entry HQ only'!AG102</f>
        <v>0</v>
      </c>
      <c r="N102" s="39">
        <f>'Data entry HQ only'!AJ102</f>
        <v>0</v>
      </c>
      <c r="O102" s="39">
        <f>'Data entry HQ only'!AM102</f>
        <v>0</v>
      </c>
      <c r="Q102" s="224">
        <f>C102-'HQ only ORG'!C102</f>
        <v>0</v>
      </c>
      <c r="R102" s="224">
        <f>SUM(D102:I102)-SUM('HQ only ORG'!D102:I102)</f>
        <v>0</v>
      </c>
    </row>
    <row r="103" spans="2:18" ht="14" x14ac:dyDescent="0.15">
      <c r="B103" s="42" t="s">
        <v>69</v>
      </c>
      <c r="C103" s="39">
        <f>'Data entry HQ only'!C103</f>
        <v>-2997793.1356000002</v>
      </c>
      <c r="D103" s="39">
        <f>'Data entry HQ only'!F103</f>
        <v>-440968.64</v>
      </c>
      <c r="E103" s="39">
        <f>'Data entry HQ only'!I103</f>
        <v>-1106530.3400000001</v>
      </c>
      <c r="F103" s="39">
        <f>'Data entry HQ only'!L103</f>
        <v>-1372564.49</v>
      </c>
      <c r="G103" s="39">
        <f>'Data entry HQ only'!O103</f>
        <v>-369345.31</v>
      </c>
      <c r="H103" s="39">
        <f>'Data entry HQ only'!R103</f>
        <v>56939.68</v>
      </c>
      <c r="I103" s="39">
        <f>'Data entry HQ only'!U103</f>
        <v>-634338.22</v>
      </c>
      <c r="J103" s="39">
        <f>'Data entry HQ only'!X103</f>
        <v>511588.35379999998</v>
      </c>
      <c r="K103" s="39">
        <f>'Data entry HQ only'!AA103</f>
        <v>442806.1765</v>
      </c>
      <c r="L103" s="39">
        <f>'Data entry HQ only'!AD103</f>
        <v>382663.23700000002</v>
      </c>
      <c r="M103" s="39">
        <f>'Data entry HQ only'!AG103</f>
        <v>175207.86180000001</v>
      </c>
      <c r="N103" s="39">
        <f>'Data entry HQ only'!AJ103</f>
        <v>-291512.76189999998</v>
      </c>
      <c r="O103" s="39">
        <f>'Data entry HQ only'!AM103</f>
        <v>-351738.68280000001</v>
      </c>
      <c r="Q103" s="224">
        <f>C103-'HQ only ORG'!C103</f>
        <v>-2038834.8730000001</v>
      </c>
      <c r="R103" s="224">
        <f>SUM(D103:I103)-SUM('HQ only ORG'!D103:I103)</f>
        <v>-1897685.2802999995</v>
      </c>
    </row>
    <row r="104" spans="2:18" x14ac:dyDescent="0.15">
      <c r="B104" s="40"/>
      <c r="C104" s="39">
        <f>'Data entry HQ only'!C104</f>
        <v>0</v>
      </c>
      <c r="D104" s="39">
        <f>'Data entry HQ only'!F104</f>
        <v>0</v>
      </c>
      <c r="E104" s="39">
        <f>'Data entry HQ only'!I104</f>
        <v>0</v>
      </c>
      <c r="F104" s="39">
        <f>'Data entry HQ only'!L104</f>
        <v>0</v>
      </c>
      <c r="G104" s="39">
        <f>'Data entry HQ only'!O104</f>
        <v>0</v>
      </c>
      <c r="H104" s="39">
        <f>'Data entry HQ only'!R104</f>
        <v>0</v>
      </c>
      <c r="I104" s="39">
        <f>'Data entry HQ only'!U104</f>
        <v>0</v>
      </c>
      <c r="J104" s="39">
        <f>'Data entry HQ only'!X104</f>
        <v>0</v>
      </c>
      <c r="K104" s="39">
        <f>'Data entry HQ only'!AA104</f>
        <v>0</v>
      </c>
      <c r="L104" s="39">
        <f>'Data entry HQ only'!AD104</f>
        <v>0</v>
      </c>
      <c r="M104" s="39">
        <f>'Data entry HQ only'!AG104</f>
        <v>0</v>
      </c>
      <c r="N104" s="39">
        <f>'Data entry HQ only'!AJ104</f>
        <v>0</v>
      </c>
      <c r="O104" s="39">
        <f>'Data entry HQ only'!AM104</f>
        <v>0</v>
      </c>
      <c r="Q104" s="224">
        <f>C104-'HQ only ORG'!C104</f>
        <v>0</v>
      </c>
      <c r="R104" s="224">
        <f>SUM(D104:I104)-SUM('HQ only ORG'!D104:I104)</f>
        <v>0</v>
      </c>
    </row>
    <row r="105" spans="2:18" ht="14" x14ac:dyDescent="0.15">
      <c r="B105" s="42" t="s">
        <v>70</v>
      </c>
      <c r="C105" s="39">
        <f>'Data entry HQ only'!C105</f>
        <v>213418.96</v>
      </c>
      <c r="D105" s="39">
        <f>'Data entry HQ only'!F105</f>
        <v>11906.74</v>
      </c>
      <c r="E105" s="39">
        <f>'Data entry HQ only'!I105</f>
        <v>4601.59</v>
      </c>
      <c r="F105" s="39">
        <f>'Data entry HQ only'!L105</f>
        <v>148.55000000000001</v>
      </c>
      <c r="G105" s="39">
        <f>'Data entry HQ only'!O105</f>
        <v>0</v>
      </c>
      <c r="H105" s="39">
        <f>'Data entry HQ only'!R105</f>
        <v>334.08</v>
      </c>
      <c r="I105" s="39">
        <f>'Data entry HQ only'!U105</f>
        <v>0</v>
      </c>
      <c r="J105" s="39">
        <f>'Data entry HQ only'!X105</f>
        <v>32738</v>
      </c>
      <c r="K105" s="39">
        <f>'Data entry HQ only'!AA105</f>
        <v>32738</v>
      </c>
      <c r="L105" s="39">
        <f>'Data entry HQ only'!AD105</f>
        <v>32738</v>
      </c>
      <c r="M105" s="39">
        <f>'Data entry HQ only'!AG105</f>
        <v>32738</v>
      </c>
      <c r="N105" s="39">
        <f>'Data entry HQ only'!AJ105</f>
        <v>32738</v>
      </c>
      <c r="O105" s="39">
        <f>'Data entry HQ only'!AM105</f>
        <v>32738</v>
      </c>
      <c r="Q105" s="224">
        <f>C105-'HQ only ORG'!C105</f>
        <v>-179437.04</v>
      </c>
      <c r="R105" s="224">
        <f>SUM(D105:I105)-SUM('HQ only ORG'!D105:I105)</f>
        <v>-179437.04</v>
      </c>
    </row>
    <row r="106" spans="2:18" ht="14" x14ac:dyDescent="0.15">
      <c r="B106" s="38" t="s">
        <v>71</v>
      </c>
      <c r="C106" s="39">
        <f>'Data entry HQ only'!C106</f>
        <v>0</v>
      </c>
      <c r="D106" s="39">
        <f>'Data entry HQ only'!F106</f>
        <v>0</v>
      </c>
      <c r="E106" s="39">
        <f>'Data entry HQ only'!I106</f>
        <v>0</v>
      </c>
      <c r="F106" s="39">
        <f>'Data entry HQ only'!L106</f>
        <v>0</v>
      </c>
      <c r="G106" s="39">
        <f>'Data entry HQ only'!O106</f>
        <v>0</v>
      </c>
      <c r="H106" s="39">
        <f>'Data entry HQ only'!R106</f>
        <v>0</v>
      </c>
      <c r="I106" s="39">
        <f>'Data entry HQ only'!U106</f>
        <v>0</v>
      </c>
      <c r="J106" s="39">
        <f>'Data entry HQ only'!X106</f>
        <v>0</v>
      </c>
      <c r="K106" s="39">
        <f>'Data entry HQ only'!AA106</f>
        <v>0</v>
      </c>
      <c r="L106" s="39">
        <f>'Data entry HQ only'!AD106</f>
        <v>0</v>
      </c>
      <c r="M106" s="39">
        <f>'Data entry HQ only'!AG106</f>
        <v>0</v>
      </c>
      <c r="N106" s="39">
        <f>'Data entry HQ only'!AJ106</f>
        <v>0</v>
      </c>
      <c r="O106" s="39">
        <f>'Data entry HQ only'!AM106</f>
        <v>0</v>
      </c>
      <c r="Q106" s="224">
        <f>C106-'HQ only ORG'!C106</f>
        <v>0</v>
      </c>
      <c r="R106" s="224">
        <f>SUM(D106:I106)-SUM('HQ only ORG'!D106:I106)</f>
        <v>0</v>
      </c>
    </row>
    <row r="107" spans="2:18" ht="14" x14ac:dyDescent="0.15">
      <c r="B107" s="38" t="s">
        <v>72</v>
      </c>
      <c r="C107" s="39">
        <f>'Data entry HQ only'!C107</f>
        <v>53384.22</v>
      </c>
      <c r="D107" s="39">
        <f>'Data entry HQ only'!F107</f>
        <v>0</v>
      </c>
      <c r="E107" s="39">
        <f>'Data entry HQ only'!I107</f>
        <v>4601.59</v>
      </c>
      <c r="F107" s="39">
        <f>'Data entry HQ only'!L107</f>
        <v>148.55000000000001</v>
      </c>
      <c r="G107" s="39">
        <f>'Data entry HQ only'!O107</f>
        <v>0</v>
      </c>
      <c r="H107" s="39">
        <f>'Data entry HQ only'!R107</f>
        <v>334.08</v>
      </c>
      <c r="I107" s="39">
        <f>'Data entry HQ only'!U107</f>
        <v>0</v>
      </c>
      <c r="J107" s="39">
        <f>'Data entry HQ only'!X107</f>
        <v>8050</v>
      </c>
      <c r="K107" s="39">
        <f>'Data entry HQ only'!AA107</f>
        <v>8050</v>
      </c>
      <c r="L107" s="39">
        <f>'Data entry HQ only'!AD107</f>
        <v>8050</v>
      </c>
      <c r="M107" s="39">
        <f>'Data entry HQ only'!AG107</f>
        <v>8050</v>
      </c>
      <c r="N107" s="39">
        <f>'Data entry HQ only'!AJ107</f>
        <v>8050</v>
      </c>
      <c r="O107" s="39">
        <f>'Data entry HQ only'!AM107</f>
        <v>8050</v>
      </c>
      <c r="Q107" s="224">
        <f>C107-'HQ only ORG'!C107</f>
        <v>-43215.78</v>
      </c>
      <c r="R107" s="224">
        <f>SUM(D107:I107)-SUM('HQ only ORG'!D107:I107)</f>
        <v>-43215.78</v>
      </c>
    </row>
    <row r="108" spans="2:18" ht="14" x14ac:dyDescent="0.15">
      <c r="B108" s="38" t="s">
        <v>73</v>
      </c>
      <c r="C108" s="39">
        <f>'Data entry HQ only'!C108</f>
        <v>27000</v>
      </c>
      <c r="D108" s="39">
        <f>'Data entry HQ only'!F108</f>
        <v>0</v>
      </c>
      <c r="E108" s="39">
        <f>'Data entry HQ only'!I108</f>
        <v>0</v>
      </c>
      <c r="F108" s="39">
        <f>'Data entry HQ only'!L108</f>
        <v>0</v>
      </c>
      <c r="G108" s="39">
        <f>'Data entry HQ only'!O108</f>
        <v>0</v>
      </c>
      <c r="H108" s="39">
        <f>'Data entry HQ only'!R108</f>
        <v>0</v>
      </c>
      <c r="I108" s="39">
        <f>'Data entry HQ only'!U108</f>
        <v>0</v>
      </c>
      <c r="J108" s="39">
        <f>'Data entry HQ only'!X108</f>
        <v>4500</v>
      </c>
      <c r="K108" s="39">
        <f>'Data entry HQ only'!AA108</f>
        <v>4500</v>
      </c>
      <c r="L108" s="39">
        <f>'Data entry HQ only'!AD108</f>
        <v>4500</v>
      </c>
      <c r="M108" s="39">
        <f>'Data entry HQ only'!AG108</f>
        <v>4500</v>
      </c>
      <c r="N108" s="39">
        <f>'Data entry HQ only'!AJ108</f>
        <v>4500</v>
      </c>
      <c r="O108" s="39">
        <f>'Data entry HQ only'!AM108</f>
        <v>4500</v>
      </c>
      <c r="Q108" s="224">
        <f>C108-'HQ only ORG'!C108</f>
        <v>-27000</v>
      </c>
      <c r="R108" s="224">
        <f>SUM(D108:I108)-SUM('HQ only ORG'!D108:I108)</f>
        <v>-27000</v>
      </c>
    </row>
    <row r="109" spans="2:18" ht="14" x14ac:dyDescent="0.15">
      <c r="B109" s="38" t="s">
        <v>74</v>
      </c>
      <c r="C109" s="39">
        <f>'Data entry HQ only'!C109</f>
        <v>0</v>
      </c>
      <c r="D109" s="39">
        <f>'Data entry HQ only'!F109</f>
        <v>0</v>
      </c>
      <c r="E109" s="39">
        <f>'Data entry HQ only'!I109</f>
        <v>0</v>
      </c>
      <c r="F109" s="39">
        <f>'Data entry HQ only'!L109</f>
        <v>0</v>
      </c>
      <c r="G109" s="39">
        <f>'Data entry HQ only'!O109</f>
        <v>0</v>
      </c>
      <c r="H109" s="39">
        <f>'Data entry HQ only'!R109</f>
        <v>0</v>
      </c>
      <c r="I109" s="39">
        <f>'Data entry HQ only'!U109</f>
        <v>0</v>
      </c>
      <c r="J109" s="39">
        <f>'Data entry HQ only'!X109</f>
        <v>0</v>
      </c>
      <c r="K109" s="39">
        <f>'Data entry HQ only'!AA109</f>
        <v>0</v>
      </c>
      <c r="L109" s="39">
        <f>'Data entry HQ only'!AD109</f>
        <v>0</v>
      </c>
      <c r="M109" s="39">
        <f>'Data entry HQ only'!AG109</f>
        <v>0</v>
      </c>
      <c r="N109" s="39">
        <f>'Data entry HQ only'!AJ109</f>
        <v>0</v>
      </c>
      <c r="O109" s="39">
        <f>'Data entry HQ only'!AM109</f>
        <v>0</v>
      </c>
      <c r="Q109" s="224">
        <f>C109-'HQ only ORG'!C109</f>
        <v>0</v>
      </c>
      <c r="R109" s="224">
        <f>SUM(D109:I109)-SUM('HQ only ORG'!D109:I109)</f>
        <v>0</v>
      </c>
    </row>
    <row r="110" spans="2:18" ht="14" x14ac:dyDescent="0.15">
      <c r="B110" s="38" t="s">
        <v>75</v>
      </c>
      <c r="C110" s="39">
        <f>'Data entry HQ only'!C110</f>
        <v>0</v>
      </c>
      <c r="D110" s="39">
        <f>'Data entry HQ only'!F110</f>
        <v>0</v>
      </c>
      <c r="E110" s="39">
        <f>'Data entry HQ only'!I110</f>
        <v>0</v>
      </c>
      <c r="F110" s="39">
        <f>'Data entry HQ only'!L110</f>
        <v>0</v>
      </c>
      <c r="G110" s="39">
        <f>'Data entry HQ only'!O110</f>
        <v>0</v>
      </c>
      <c r="H110" s="39">
        <f>'Data entry HQ only'!R110</f>
        <v>0</v>
      </c>
      <c r="I110" s="39">
        <f>'Data entry HQ only'!U110</f>
        <v>0</v>
      </c>
      <c r="J110" s="39">
        <f>'Data entry HQ only'!X110</f>
        <v>0</v>
      </c>
      <c r="K110" s="39">
        <f>'Data entry HQ only'!AA110</f>
        <v>0</v>
      </c>
      <c r="L110" s="39">
        <f>'Data entry HQ only'!AD110</f>
        <v>0</v>
      </c>
      <c r="M110" s="39">
        <f>'Data entry HQ only'!AG110</f>
        <v>0</v>
      </c>
      <c r="N110" s="39">
        <f>'Data entry HQ only'!AJ110</f>
        <v>0</v>
      </c>
      <c r="O110" s="39">
        <f>'Data entry HQ only'!AM110</f>
        <v>0</v>
      </c>
      <c r="Q110" s="224">
        <f>C110-'HQ only ORG'!C110</f>
        <v>0</v>
      </c>
      <c r="R110" s="224">
        <f>SUM(D110:I110)-SUM('HQ only ORG'!D110:I110)</f>
        <v>0</v>
      </c>
    </row>
    <row r="111" spans="2:18" ht="14" x14ac:dyDescent="0.15">
      <c r="B111" s="38" t="s">
        <v>76</v>
      </c>
      <c r="C111" s="39">
        <f>'Data entry HQ only'!C111</f>
        <v>133034.74</v>
      </c>
      <c r="D111" s="39">
        <f>'Data entry HQ only'!F111</f>
        <v>11906.74</v>
      </c>
      <c r="E111" s="39">
        <f>'Data entry HQ only'!I111</f>
        <v>0</v>
      </c>
      <c r="F111" s="39">
        <f>'Data entry HQ only'!L111</f>
        <v>0</v>
      </c>
      <c r="G111" s="39">
        <f>'Data entry HQ only'!O111</f>
        <v>0</v>
      </c>
      <c r="H111" s="39">
        <f>'Data entry HQ only'!R111</f>
        <v>0</v>
      </c>
      <c r="I111" s="39">
        <f>'Data entry HQ only'!U111</f>
        <v>0</v>
      </c>
      <c r="J111" s="39">
        <f>'Data entry HQ only'!X111</f>
        <v>20188</v>
      </c>
      <c r="K111" s="39">
        <f>'Data entry HQ only'!AA111</f>
        <v>20188</v>
      </c>
      <c r="L111" s="39">
        <f>'Data entry HQ only'!AD111</f>
        <v>20188</v>
      </c>
      <c r="M111" s="39">
        <f>'Data entry HQ only'!AG111</f>
        <v>20188</v>
      </c>
      <c r="N111" s="39">
        <f>'Data entry HQ only'!AJ111</f>
        <v>20188</v>
      </c>
      <c r="O111" s="39">
        <f>'Data entry HQ only'!AM111</f>
        <v>20188</v>
      </c>
      <c r="Q111" s="224">
        <f>C111-'HQ only ORG'!C111</f>
        <v>-109221.26000000001</v>
      </c>
      <c r="R111" s="224">
        <f>SUM(D111:I111)-SUM('HQ only ORG'!D111:I111)</f>
        <v>-109221.26</v>
      </c>
    </row>
    <row r="112" spans="2:18" ht="14" x14ac:dyDescent="0.15">
      <c r="B112" s="38" t="s">
        <v>77</v>
      </c>
      <c r="C112" s="39">
        <f>'Data entry HQ only'!C112</f>
        <v>0</v>
      </c>
      <c r="D112" s="39">
        <f>'Data entry HQ only'!F112</f>
        <v>0</v>
      </c>
      <c r="E112" s="39">
        <f>'Data entry HQ only'!I112</f>
        <v>0</v>
      </c>
      <c r="F112" s="39">
        <f>'Data entry HQ only'!L112</f>
        <v>0</v>
      </c>
      <c r="G112" s="39">
        <f>'Data entry HQ only'!O112</f>
        <v>0</v>
      </c>
      <c r="H112" s="39">
        <f>'Data entry HQ only'!R112</f>
        <v>0</v>
      </c>
      <c r="I112" s="39">
        <f>'Data entry HQ only'!U112</f>
        <v>0</v>
      </c>
      <c r="J112" s="39">
        <f>'Data entry HQ only'!X112</f>
        <v>0</v>
      </c>
      <c r="K112" s="39">
        <f>'Data entry HQ only'!AA112</f>
        <v>0</v>
      </c>
      <c r="L112" s="39">
        <f>'Data entry HQ only'!AD112</f>
        <v>0</v>
      </c>
      <c r="M112" s="39">
        <f>'Data entry HQ only'!AG112</f>
        <v>0</v>
      </c>
      <c r="N112" s="39">
        <f>'Data entry HQ only'!AJ112</f>
        <v>0</v>
      </c>
      <c r="O112" s="39">
        <f>'Data entry HQ only'!AM112</f>
        <v>0</v>
      </c>
      <c r="Q112" s="224">
        <f>C112-'HQ only ORG'!C112</f>
        <v>0</v>
      </c>
      <c r="R112" s="224">
        <f>SUM(D112:I112)-SUM('HQ only ORG'!D112:I112)</f>
        <v>0</v>
      </c>
    </row>
    <row r="113" spans="2:18" ht="14" x14ac:dyDescent="0.15">
      <c r="B113" s="38" t="s">
        <v>78</v>
      </c>
      <c r="C113" s="39">
        <f>'Data entry HQ only'!C113</f>
        <v>0</v>
      </c>
      <c r="D113" s="39">
        <f>'Data entry HQ only'!F113</f>
        <v>0</v>
      </c>
      <c r="E113" s="39">
        <f>'Data entry HQ only'!I113</f>
        <v>0</v>
      </c>
      <c r="F113" s="39">
        <f>'Data entry HQ only'!L113</f>
        <v>0</v>
      </c>
      <c r="G113" s="39">
        <f>'Data entry HQ only'!O113</f>
        <v>0</v>
      </c>
      <c r="H113" s="39">
        <f>'Data entry HQ only'!R113</f>
        <v>0</v>
      </c>
      <c r="I113" s="39">
        <f>'Data entry HQ only'!U113</f>
        <v>0</v>
      </c>
      <c r="J113" s="39">
        <f>'Data entry HQ only'!X113</f>
        <v>0</v>
      </c>
      <c r="K113" s="39">
        <f>'Data entry HQ only'!AA113</f>
        <v>0</v>
      </c>
      <c r="L113" s="39">
        <f>'Data entry HQ only'!AD113</f>
        <v>0</v>
      </c>
      <c r="M113" s="39">
        <f>'Data entry HQ only'!AG113</f>
        <v>0</v>
      </c>
      <c r="N113" s="39">
        <f>'Data entry HQ only'!AJ113</f>
        <v>0</v>
      </c>
      <c r="O113" s="39">
        <f>'Data entry HQ only'!AM113</f>
        <v>0</v>
      </c>
      <c r="Q113" s="224">
        <f>C113-'HQ only ORG'!C113</f>
        <v>0</v>
      </c>
      <c r="R113" s="224">
        <f>SUM(D113:I113)-SUM('HQ only ORG'!D113:I113)</f>
        <v>0</v>
      </c>
    </row>
    <row r="114" spans="2:18" ht="14" x14ac:dyDescent="0.15">
      <c r="B114" s="38" t="s">
        <v>79</v>
      </c>
      <c r="C114" s="39">
        <f>'Data entry HQ only'!C114</f>
        <v>0</v>
      </c>
      <c r="D114" s="39">
        <f>'Data entry HQ only'!F114</f>
        <v>0</v>
      </c>
      <c r="E114" s="39">
        <f>'Data entry HQ only'!I114</f>
        <v>0</v>
      </c>
      <c r="F114" s="39">
        <f>'Data entry HQ only'!L114</f>
        <v>0</v>
      </c>
      <c r="G114" s="39">
        <f>'Data entry HQ only'!O114</f>
        <v>0</v>
      </c>
      <c r="H114" s="39">
        <f>'Data entry HQ only'!R114</f>
        <v>0</v>
      </c>
      <c r="I114" s="39">
        <f>'Data entry HQ only'!U114</f>
        <v>0</v>
      </c>
      <c r="J114" s="39">
        <f>'Data entry HQ only'!X114</f>
        <v>0</v>
      </c>
      <c r="K114" s="39">
        <f>'Data entry HQ only'!AA114</f>
        <v>0</v>
      </c>
      <c r="L114" s="39">
        <f>'Data entry HQ only'!AD114</f>
        <v>0</v>
      </c>
      <c r="M114" s="39">
        <f>'Data entry HQ only'!AG114</f>
        <v>0</v>
      </c>
      <c r="N114" s="39">
        <f>'Data entry HQ only'!AJ114</f>
        <v>0</v>
      </c>
      <c r="O114" s="39">
        <f>'Data entry HQ only'!AM114</f>
        <v>0</v>
      </c>
      <c r="Q114" s="224">
        <f>C114-'HQ only ORG'!C114</f>
        <v>0</v>
      </c>
      <c r="R114" s="224">
        <f>SUM(D114:I114)-SUM('HQ only ORG'!D114:I114)</f>
        <v>0</v>
      </c>
    </row>
    <row r="115" spans="2:18" ht="14" x14ac:dyDescent="0.15">
      <c r="B115" s="38" t="s">
        <v>80</v>
      </c>
      <c r="C115" s="39">
        <f>'Data entry HQ only'!C115</f>
        <v>0</v>
      </c>
      <c r="D115" s="39">
        <f>'Data entry HQ only'!F115</f>
        <v>0</v>
      </c>
      <c r="E115" s="39">
        <f>'Data entry HQ only'!I115</f>
        <v>0</v>
      </c>
      <c r="F115" s="39">
        <f>'Data entry HQ only'!L115</f>
        <v>0</v>
      </c>
      <c r="G115" s="39">
        <f>'Data entry HQ only'!O115</f>
        <v>0</v>
      </c>
      <c r="H115" s="39">
        <f>'Data entry HQ only'!R115</f>
        <v>0</v>
      </c>
      <c r="I115" s="39">
        <f>'Data entry HQ only'!U115</f>
        <v>0</v>
      </c>
      <c r="J115" s="39">
        <f>'Data entry HQ only'!X115</f>
        <v>0</v>
      </c>
      <c r="K115" s="39">
        <f>'Data entry HQ only'!AA115</f>
        <v>0</v>
      </c>
      <c r="L115" s="39">
        <f>'Data entry HQ only'!AD115</f>
        <v>0</v>
      </c>
      <c r="M115" s="39">
        <f>'Data entry HQ only'!AG115</f>
        <v>0</v>
      </c>
      <c r="N115" s="39">
        <f>'Data entry HQ only'!AJ115</f>
        <v>0</v>
      </c>
      <c r="O115" s="39">
        <f>'Data entry HQ only'!AM115</f>
        <v>0</v>
      </c>
      <c r="Q115" s="224">
        <f>C115-'HQ only ORG'!C115</f>
        <v>0</v>
      </c>
      <c r="R115" s="224">
        <f>SUM(D115:I115)-SUM('HQ only ORG'!D115:I115)</f>
        <v>0</v>
      </c>
    </row>
    <row r="116" spans="2:18" x14ac:dyDescent="0.15">
      <c r="B116" s="40"/>
      <c r="C116" s="39">
        <f>'Data entry HQ only'!C116</f>
        <v>0</v>
      </c>
      <c r="D116" s="39">
        <f>'Data entry HQ only'!F116</f>
        <v>0</v>
      </c>
      <c r="E116" s="39">
        <f>'Data entry HQ only'!I116</f>
        <v>0</v>
      </c>
      <c r="F116" s="39">
        <f>'Data entry HQ only'!L116</f>
        <v>0</v>
      </c>
      <c r="G116" s="39">
        <f>'Data entry HQ only'!O116</f>
        <v>0</v>
      </c>
      <c r="H116" s="39">
        <f>'Data entry HQ only'!R116</f>
        <v>0</v>
      </c>
      <c r="I116" s="39">
        <f>'Data entry HQ only'!U116</f>
        <v>0</v>
      </c>
      <c r="J116" s="39">
        <f>'Data entry HQ only'!X116</f>
        <v>0</v>
      </c>
      <c r="K116" s="39">
        <f>'Data entry HQ only'!AA116</f>
        <v>0</v>
      </c>
      <c r="L116" s="39">
        <f>'Data entry HQ only'!AD116</f>
        <v>0</v>
      </c>
      <c r="M116" s="39">
        <f>'Data entry HQ only'!AG116</f>
        <v>0</v>
      </c>
      <c r="N116" s="39">
        <f>'Data entry HQ only'!AJ116</f>
        <v>0</v>
      </c>
      <c r="O116" s="39">
        <f>'Data entry HQ only'!AM116</f>
        <v>0</v>
      </c>
      <c r="Q116" s="224">
        <f>C116-'HQ only ORG'!C116</f>
        <v>0</v>
      </c>
      <c r="R116" s="224">
        <f>SUM(D116:I116)-SUM('HQ only ORG'!D116:I116)</f>
        <v>0</v>
      </c>
    </row>
    <row r="117" spans="2:18" ht="14" x14ac:dyDescent="0.15">
      <c r="B117" s="42" t="s">
        <v>81</v>
      </c>
      <c r="C117" s="39">
        <f>'Data entry HQ only'!C117</f>
        <v>0</v>
      </c>
      <c r="D117" s="39">
        <f>'Data entry HQ only'!F117</f>
        <v>0</v>
      </c>
      <c r="E117" s="39">
        <f>'Data entry HQ only'!I117</f>
        <v>0</v>
      </c>
      <c r="F117" s="39">
        <f>'Data entry HQ only'!L117</f>
        <v>0</v>
      </c>
      <c r="G117" s="39">
        <f>'Data entry HQ only'!O117</f>
        <v>0</v>
      </c>
      <c r="H117" s="39">
        <f>'Data entry HQ only'!R117</f>
        <v>0</v>
      </c>
      <c r="I117" s="39">
        <f>'Data entry HQ only'!U117</f>
        <v>0</v>
      </c>
      <c r="J117" s="39">
        <f>'Data entry HQ only'!X117</f>
        <v>0</v>
      </c>
      <c r="K117" s="39">
        <f>'Data entry HQ only'!AA117</f>
        <v>0</v>
      </c>
      <c r="L117" s="39">
        <f>'Data entry HQ only'!AD117</f>
        <v>0</v>
      </c>
      <c r="M117" s="39">
        <f>'Data entry HQ only'!AG117</f>
        <v>0</v>
      </c>
      <c r="N117" s="39">
        <f>'Data entry HQ only'!AJ117</f>
        <v>0</v>
      </c>
      <c r="O117" s="39">
        <f>'Data entry HQ only'!AM117</f>
        <v>0</v>
      </c>
      <c r="Q117" s="224">
        <f>C117-'HQ only ORG'!C117</f>
        <v>0</v>
      </c>
      <c r="R117" s="224">
        <f>SUM(D117:I117)-SUM('HQ only ORG'!D117:I117)</f>
        <v>0</v>
      </c>
    </row>
    <row r="118" spans="2:18" ht="14" x14ac:dyDescent="0.15">
      <c r="B118" s="38" t="s">
        <v>82</v>
      </c>
      <c r="C118" s="39">
        <f>'Data entry HQ only'!C118</f>
        <v>0</v>
      </c>
      <c r="D118" s="39">
        <f>'Data entry HQ only'!F118</f>
        <v>0</v>
      </c>
      <c r="E118" s="39">
        <f>'Data entry HQ only'!I118</f>
        <v>0</v>
      </c>
      <c r="F118" s="39">
        <f>'Data entry HQ only'!L118</f>
        <v>0</v>
      </c>
      <c r="G118" s="39">
        <f>'Data entry HQ only'!O118</f>
        <v>0</v>
      </c>
      <c r="H118" s="39">
        <f>'Data entry HQ only'!R118</f>
        <v>0</v>
      </c>
      <c r="I118" s="39">
        <f>'Data entry HQ only'!U118</f>
        <v>0</v>
      </c>
      <c r="J118" s="39">
        <f>'Data entry HQ only'!X118</f>
        <v>0</v>
      </c>
      <c r="K118" s="39">
        <f>'Data entry HQ only'!AA118</f>
        <v>0</v>
      </c>
      <c r="L118" s="39">
        <f>'Data entry HQ only'!AD118</f>
        <v>0</v>
      </c>
      <c r="M118" s="39">
        <f>'Data entry HQ only'!AG118</f>
        <v>0</v>
      </c>
      <c r="N118" s="39">
        <f>'Data entry HQ only'!AJ118</f>
        <v>0</v>
      </c>
      <c r="O118" s="39">
        <f>'Data entry HQ only'!AM118</f>
        <v>0</v>
      </c>
      <c r="Q118" s="224">
        <f>C118-'HQ only ORG'!C118</f>
        <v>0</v>
      </c>
      <c r="R118" s="224">
        <f>SUM(D118:I118)-SUM('HQ only ORG'!D118:I118)</f>
        <v>0</v>
      </c>
    </row>
    <row r="119" spans="2:18" ht="14" x14ac:dyDescent="0.15">
      <c r="B119" s="38" t="s">
        <v>83</v>
      </c>
      <c r="C119" s="39">
        <f>'Data entry HQ only'!C119</f>
        <v>0</v>
      </c>
      <c r="D119" s="39">
        <f>'Data entry HQ only'!F119</f>
        <v>0</v>
      </c>
      <c r="E119" s="39">
        <f>'Data entry HQ only'!I119</f>
        <v>0</v>
      </c>
      <c r="F119" s="39">
        <f>'Data entry HQ only'!L119</f>
        <v>0</v>
      </c>
      <c r="G119" s="39">
        <f>'Data entry HQ only'!O119</f>
        <v>0</v>
      </c>
      <c r="H119" s="39">
        <f>'Data entry HQ only'!R119</f>
        <v>0</v>
      </c>
      <c r="I119" s="39">
        <f>'Data entry HQ only'!U119</f>
        <v>0</v>
      </c>
      <c r="J119" s="39">
        <f>'Data entry HQ only'!X119</f>
        <v>0</v>
      </c>
      <c r="K119" s="39">
        <f>'Data entry HQ only'!AA119</f>
        <v>0</v>
      </c>
      <c r="L119" s="39">
        <f>'Data entry HQ only'!AD119</f>
        <v>0</v>
      </c>
      <c r="M119" s="39">
        <f>'Data entry HQ only'!AG119</f>
        <v>0</v>
      </c>
      <c r="N119" s="39">
        <f>'Data entry HQ only'!AJ119</f>
        <v>0</v>
      </c>
      <c r="O119" s="39">
        <f>'Data entry HQ only'!AM119</f>
        <v>0</v>
      </c>
      <c r="Q119" s="224">
        <f>C119-'HQ only ORG'!C119</f>
        <v>0</v>
      </c>
      <c r="R119" s="224">
        <f>SUM(D119:I119)-SUM('HQ only ORG'!D119:I119)</f>
        <v>0</v>
      </c>
    </row>
    <row r="120" spans="2:18" x14ac:dyDescent="0.15">
      <c r="B120" s="40"/>
      <c r="C120" s="39">
        <f>'Data entry HQ only'!C120</f>
        <v>0</v>
      </c>
      <c r="D120" s="39">
        <f>'Data entry HQ only'!F120</f>
        <v>0</v>
      </c>
      <c r="E120" s="39">
        <f>'Data entry HQ only'!I120</f>
        <v>0</v>
      </c>
      <c r="F120" s="39">
        <f>'Data entry HQ only'!L120</f>
        <v>0</v>
      </c>
      <c r="G120" s="39">
        <f>'Data entry HQ only'!O120</f>
        <v>0</v>
      </c>
      <c r="H120" s="39">
        <f>'Data entry HQ only'!R120</f>
        <v>0</v>
      </c>
      <c r="I120" s="39">
        <f>'Data entry HQ only'!U120</f>
        <v>0</v>
      </c>
      <c r="J120" s="39">
        <f>'Data entry HQ only'!X120</f>
        <v>0</v>
      </c>
      <c r="K120" s="39">
        <f>'Data entry HQ only'!AA120</f>
        <v>0</v>
      </c>
      <c r="L120" s="39">
        <f>'Data entry HQ only'!AD120</f>
        <v>0</v>
      </c>
      <c r="M120" s="39">
        <f>'Data entry HQ only'!AG120</f>
        <v>0</v>
      </c>
      <c r="N120" s="39">
        <f>'Data entry HQ only'!AJ120</f>
        <v>0</v>
      </c>
      <c r="O120" s="39">
        <f>'Data entry HQ only'!AM120</f>
        <v>0</v>
      </c>
      <c r="Q120" s="224">
        <f>C120-'HQ only ORG'!C120</f>
        <v>0</v>
      </c>
      <c r="R120" s="224">
        <f>SUM(D120:I120)-SUM('HQ only ORG'!D120:I120)</f>
        <v>0</v>
      </c>
    </row>
    <row r="121" spans="2:18" ht="14" x14ac:dyDescent="0.15">
      <c r="B121" s="42" t="s">
        <v>84</v>
      </c>
      <c r="C121" s="39">
        <f>'Data entry HQ only'!C121</f>
        <v>-3211212.0956000001</v>
      </c>
      <c r="D121" s="39">
        <f>'Data entry HQ only'!F121</f>
        <v>-452875.38</v>
      </c>
      <c r="E121" s="39">
        <f>'Data entry HQ only'!I121</f>
        <v>-1111131.93</v>
      </c>
      <c r="F121" s="39">
        <f>'Data entry HQ only'!L121</f>
        <v>-1372713.04</v>
      </c>
      <c r="G121" s="39">
        <f>'Data entry HQ only'!O121</f>
        <v>-369345.31</v>
      </c>
      <c r="H121" s="39">
        <f>'Data entry HQ only'!R121</f>
        <v>56605.599999999999</v>
      </c>
      <c r="I121" s="39">
        <f>'Data entry HQ only'!U121</f>
        <v>-634338.22</v>
      </c>
      <c r="J121" s="39">
        <f>'Data entry HQ only'!X121</f>
        <v>478850.35379999998</v>
      </c>
      <c r="K121" s="39">
        <f>'Data entry HQ only'!AA121</f>
        <v>410068.1765</v>
      </c>
      <c r="L121" s="39">
        <f>'Data entry HQ only'!AD121</f>
        <v>349925.23700000002</v>
      </c>
      <c r="M121" s="39">
        <f>'Data entry HQ only'!AG121</f>
        <v>142469.86180000001</v>
      </c>
      <c r="N121" s="39">
        <f>'Data entry HQ only'!AJ121</f>
        <v>-324250.76189999998</v>
      </c>
      <c r="O121" s="39">
        <f>'Data entry HQ only'!AM121</f>
        <v>-384476.68280000001</v>
      </c>
      <c r="Q121" s="224">
        <f>C121-'HQ only ORG'!C121</f>
        <v>-1859397.8330000001</v>
      </c>
      <c r="R121" s="224">
        <f>SUM(D121:I121)-SUM('HQ only ORG'!D121:I121)</f>
        <v>-1718248.2403000006</v>
      </c>
    </row>
    <row r="122" spans="2:18" ht="14" x14ac:dyDescent="0.15">
      <c r="B122" s="38" t="s">
        <v>85</v>
      </c>
      <c r="C122" s="39">
        <f>'Data entry HQ only'!C122</f>
        <v>0</v>
      </c>
      <c r="D122" s="39">
        <f>'Data entry HQ only'!F122</f>
        <v>0</v>
      </c>
      <c r="E122" s="39">
        <f>'Data entry HQ only'!I122</f>
        <v>0</v>
      </c>
      <c r="F122" s="39">
        <f>'Data entry HQ only'!L122</f>
        <v>0</v>
      </c>
      <c r="G122" s="39">
        <f>'Data entry HQ only'!O122</f>
        <v>0</v>
      </c>
      <c r="H122" s="39">
        <f>'Data entry HQ only'!R122</f>
        <v>0</v>
      </c>
      <c r="I122" s="39">
        <f>'Data entry HQ only'!U122</f>
        <v>0</v>
      </c>
      <c r="J122" s="39">
        <f>'Data entry HQ only'!X122</f>
        <v>0</v>
      </c>
      <c r="K122" s="39">
        <f>'Data entry HQ only'!AA122</f>
        <v>0</v>
      </c>
      <c r="L122" s="39">
        <f>'Data entry HQ only'!AD122</f>
        <v>0</v>
      </c>
      <c r="M122" s="39">
        <f>'Data entry HQ only'!AG122</f>
        <v>0</v>
      </c>
      <c r="N122" s="39">
        <f>'Data entry HQ only'!AJ122</f>
        <v>0</v>
      </c>
      <c r="O122" s="39">
        <f>'Data entry HQ only'!AM122</f>
        <v>0</v>
      </c>
      <c r="Q122" s="224">
        <f>C122-'HQ only ORG'!C122</f>
        <v>0</v>
      </c>
      <c r="R122" s="224">
        <f>SUM(D122:I122)-SUM('HQ only ORG'!D122:I122)</f>
        <v>0</v>
      </c>
    </row>
    <row r="123" spans="2:18" x14ac:dyDescent="0.15">
      <c r="B123" s="40"/>
      <c r="C123" s="39">
        <f>'Data entry HQ only'!C123</f>
        <v>0</v>
      </c>
      <c r="D123" s="39">
        <f>'Data entry HQ only'!F123</f>
        <v>0</v>
      </c>
      <c r="E123" s="39">
        <f>'Data entry HQ only'!I123</f>
        <v>0</v>
      </c>
      <c r="F123" s="39">
        <f>'Data entry HQ only'!L123</f>
        <v>0</v>
      </c>
      <c r="G123" s="39">
        <f>'Data entry HQ only'!O123</f>
        <v>0</v>
      </c>
      <c r="H123" s="39">
        <f>'Data entry HQ only'!R123</f>
        <v>0</v>
      </c>
      <c r="I123" s="39">
        <f>'Data entry HQ only'!U123</f>
        <v>0</v>
      </c>
      <c r="J123" s="39">
        <f>'Data entry HQ only'!X123</f>
        <v>0</v>
      </c>
      <c r="K123" s="39">
        <f>'Data entry HQ only'!AA123</f>
        <v>0</v>
      </c>
      <c r="L123" s="39">
        <f>'Data entry HQ only'!AD123</f>
        <v>0</v>
      </c>
      <c r="M123" s="39">
        <f>'Data entry HQ only'!AG123</f>
        <v>0</v>
      </c>
      <c r="N123" s="39">
        <f>'Data entry HQ only'!AJ123</f>
        <v>0</v>
      </c>
      <c r="O123" s="39">
        <f>'Data entry HQ only'!AM123</f>
        <v>0</v>
      </c>
      <c r="Q123" s="224">
        <f>C123-'HQ only ORG'!C123</f>
        <v>0</v>
      </c>
      <c r="R123" s="224">
        <f>SUM(D123:I123)-SUM('HQ only ORG'!D123:I123)</f>
        <v>0</v>
      </c>
    </row>
    <row r="124" spans="2:18" ht="14" x14ac:dyDescent="0.15">
      <c r="B124" s="42" t="s">
        <v>86</v>
      </c>
      <c r="C124" s="39">
        <f>'Data entry HQ only'!C124</f>
        <v>-3211212.0956000001</v>
      </c>
      <c r="D124" s="39">
        <f>'Data entry HQ only'!F124</f>
        <v>-452875.38</v>
      </c>
      <c r="E124" s="39">
        <f>'Data entry HQ only'!I124</f>
        <v>-1111131.93</v>
      </c>
      <c r="F124" s="39">
        <f>'Data entry HQ only'!L124</f>
        <v>-1372713.04</v>
      </c>
      <c r="G124" s="39">
        <f>'Data entry HQ only'!O124</f>
        <v>-369345.31</v>
      </c>
      <c r="H124" s="39">
        <f>'Data entry HQ only'!R124</f>
        <v>56605.599999999999</v>
      </c>
      <c r="I124" s="39">
        <f>'Data entry HQ only'!U124</f>
        <v>-634338.22</v>
      </c>
      <c r="J124" s="39">
        <f>'Data entry HQ only'!X124</f>
        <v>478850.35379999998</v>
      </c>
      <c r="K124" s="39">
        <f>'Data entry HQ only'!AA124</f>
        <v>410068.1765</v>
      </c>
      <c r="L124" s="39">
        <f>'Data entry HQ only'!AD124</f>
        <v>349925.23700000002</v>
      </c>
      <c r="M124" s="39">
        <f>'Data entry HQ only'!AG124</f>
        <v>142469.86180000001</v>
      </c>
      <c r="N124" s="39">
        <f>'Data entry HQ only'!AJ124</f>
        <v>-324250.76189999998</v>
      </c>
      <c r="O124" s="39">
        <f>'Data entry HQ only'!AM124</f>
        <v>-384476.68280000001</v>
      </c>
      <c r="Q124" s="224">
        <f>C124-'HQ only ORG'!C124</f>
        <v>-1859397.8330000001</v>
      </c>
      <c r="R124" s="224">
        <f>SUM(D124:I124)-SUM('HQ only ORG'!D124:I124)</f>
        <v>-1718248.2403000006</v>
      </c>
    </row>
    <row r="125" spans="2:18" ht="14" x14ac:dyDescent="0.15">
      <c r="B125" s="38" t="s">
        <v>87</v>
      </c>
      <c r="C125" s="39">
        <f>'Data entry HQ only'!C125</f>
        <v>0</v>
      </c>
      <c r="D125" s="39">
        <f>'Data entry HQ only'!F125</f>
        <v>0</v>
      </c>
      <c r="E125" s="39">
        <f>'Data entry HQ only'!I125</f>
        <v>0</v>
      </c>
      <c r="F125" s="39">
        <f>'Data entry HQ only'!L125</f>
        <v>0</v>
      </c>
      <c r="G125" s="39">
        <f>'Data entry HQ only'!O125</f>
        <v>0</v>
      </c>
      <c r="H125" s="39">
        <f>'Data entry HQ only'!R125</f>
        <v>0</v>
      </c>
      <c r="I125" s="39">
        <f>'Data entry HQ only'!U125</f>
        <v>0</v>
      </c>
      <c r="J125" s="39">
        <f>'Data entry HQ only'!X125</f>
        <v>0</v>
      </c>
      <c r="K125" s="39">
        <f>'Data entry HQ only'!AA125</f>
        <v>0</v>
      </c>
      <c r="L125" s="39">
        <f>'Data entry HQ only'!AD125</f>
        <v>0</v>
      </c>
      <c r="M125" s="39">
        <f>'Data entry HQ only'!AG125</f>
        <v>0</v>
      </c>
      <c r="N125" s="39">
        <f>'Data entry HQ only'!AJ125</f>
        <v>0</v>
      </c>
      <c r="O125" s="39">
        <f>'Data entry HQ only'!AM125</f>
        <v>0</v>
      </c>
      <c r="Q125" s="224">
        <f>C125-'HQ only ORG'!C125</f>
        <v>0</v>
      </c>
      <c r="R125" s="224">
        <f>SUM(D125:I125)-SUM('HQ only ORG'!D125:I125)</f>
        <v>0</v>
      </c>
    </row>
    <row r="126" spans="2:18" x14ac:dyDescent="0.15">
      <c r="B126" s="40"/>
      <c r="C126" s="39">
        <f>'Data entry HQ only'!C126</f>
        <v>0</v>
      </c>
      <c r="D126" s="39">
        <f>'Data entry HQ only'!F126</f>
        <v>0</v>
      </c>
      <c r="E126" s="39">
        <f>'Data entry HQ only'!I126</f>
        <v>0</v>
      </c>
      <c r="F126" s="39">
        <f>'Data entry HQ only'!L126</f>
        <v>0</v>
      </c>
      <c r="G126" s="39">
        <f>'Data entry HQ only'!O126</f>
        <v>0</v>
      </c>
      <c r="H126" s="39">
        <f>'Data entry HQ only'!R126</f>
        <v>0</v>
      </c>
      <c r="I126" s="39">
        <f>'Data entry HQ only'!U126</f>
        <v>0</v>
      </c>
      <c r="J126" s="39">
        <f>'Data entry HQ only'!X126</f>
        <v>0</v>
      </c>
      <c r="K126" s="39">
        <f>'Data entry HQ only'!AA126</f>
        <v>0</v>
      </c>
      <c r="L126" s="39">
        <f>'Data entry HQ only'!AD126</f>
        <v>0</v>
      </c>
      <c r="M126" s="39">
        <f>'Data entry HQ only'!AG126</f>
        <v>0</v>
      </c>
      <c r="N126" s="39">
        <f>'Data entry HQ only'!AJ126</f>
        <v>0</v>
      </c>
      <c r="O126" s="39">
        <f>'Data entry HQ only'!AM126</f>
        <v>0</v>
      </c>
      <c r="Q126" s="224">
        <f>C126-'HQ only ORG'!C126</f>
        <v>0</v>
      </c>
      <c r="R126" s="224">
        <f>SUM(D126:I126)-SUM('HQ only ORG'!D126:I126)</f>
        <v>0</v>
      </c>
    </row>
    <row r="127" spans="2:18" ht="14" x14ac:dyDescent="0.15">
      <c r="B127" s="42" t="s">
        <v>88</v>
      </c>
      <c r="C127" s="39">
        <f>'Data entry HQ only'!C127</f>
        <v>-3211212.0956000001</v>
      </c>
      <c r="D127" s="39">
        <f>'Data entry HQ only'!F127</f>
        <v>-452875.38</v>
      </c>
      <c r="E127" s="39">
        <f>'Data entry HQ only'!I127</f>
        <v>-1111131.93</v>
      </c>
      <c r="F127" s="39">
        <f>'Data entry HQ only'!L127</f>
        <v>-1372713.04</v>
      </c>
      <c r="G127" s="39">
        <f>'Data entry HQ only'!O127</f>
        <v>-369345.31</v>
      </c>
      <c r="H127" s="39">
        <f>'Data entry HQ only'!R127</f>
        <v>56605.599999999999</v>
      </c>
      <c r="I127" s="39">
        <f>'Data entry HQ only'!U127</f>
        <v>-634338.22</v>
      </c>
      <c r="J127" s="39">
        <f>'Data entry HQ only'!X127</f>
        <v>478850.35379999998</v>
      </c>
      <c r="K127" s="39">
        <f>'Data entry HQ only'!AA127</f>
        <v>410068.1765</v>
      </c>
      <c r="L127" s="39">
        <f>'Data entry HQ only'!AD127</f>
        <v>349925.23700000002</v>
      </c>
      <c r="M127" s="39">
        <f>'Data entry HQ only'!AG127</f>
        <v>142469.86180000001</v>
      </c>
      <c r="N127" s="39">
        <f>'Data entry HQ only'!AJ127</f>
        <v>-324250.76189999998</v>
      </c>
      <c r="O127" s="39">
        <f>'Data entry HQ only'!AM127</f>
        <v>-384476.68280000001</v>
      </c>
      <c r="Q127" s="224">
        <f>C127-'HQ only ORG'!C127</f>
        <v>-1859397.8330000001</v>
      </c>
      <c r="R127" s="224">
        <f>SUM(D127:I127)-SUM('HQ only ORG'!D127:I127)</f>
        <v>-1718248.2403000006</v>
      </c>
    </row>
    <row r="128" spans="2:18" x14ac:dyDescent="0.15">
      <c r="B128" s="40"/>
      <c r="C128" s="39">
        <f>'Data entry HQ only'!C128</f>
        <v>0</v>
      </c>
      <c r="D128" s="39">
        <f>'Data entry HQ only'!F128</f>
        <v>0</v>
      </c>
      <c r="E128" s="39">
        <f>'Data entry HQ only'!I128</f>
        <v>0</v>
      </c>
      <c r="F128" s="39">
        <f>'Data entry HQ only'!L128</f>
        <v>0</v>
      </c>
      <c r="G128" s="39">
        <f>'Data entry HQ only'!O128</f>
        <v>0</v>
      </c>
      <c r="H128" s="39">
        <f>'Data entry HQ only'!R128</f>
        <v>0</v>
      </c>
      <c r="I128" s="39">
        <f>'Data entry HQ only'!U128</f>
        <v>0</v>
      </c>
      <c r="J128" s="39">
        <f>'Data entry HQ only'!X128</f>
        <v>0</v>
      </c>
      <c r="K128" s="39">
        <f>'Data entry HQ only'!AA128</f>
        <v>0</v>
      </c>
      <c r="L128" s="39">
        <f>'Data entry HQ only'!AD128</f>
        <v>0</v>
      </c>
      <c r="M128" s="39">
        <f>'Data entry HQ only'!AG128</f>
        <v>0</v>
      </c>
      <c r="N128" s="39">
        <f>'Data entry HQ only'!AJ128</f>
        <v>0</v>
      </c>
      <c r="O128" s="39">
        <f>'Data entry HQ only'!AM128</f>
        <v>0</v>
      </c>
      <c r="Q128" s="224">
        <f>C128-'HQ only ORG'!C128</f>
        <v>0</v>
      </c>
      <c r="R128" s="224">
        <f>SUM(D128:I128)-SUM('HQ only ORG'!D128:I128)</f>
        <v>0</v>
      </c>
    </row>
    <row r="129" spans="2:18" ht="14" x14ac:dyDescent="0.15">
      <c r="B129" s="42" t="s">
        <v>89</v>
      </c>
      <c r="C129" s="39">
        <f>'Data entry HQ only'!C129</f>
        <v>0</v>
      </c>
      <c r="D129" s="39">
        <f>'Data entry HQ only'!F129</f>
        <v>0</v>
      </c>
      <c r="E129" s="39">
        <f>'Data entry HQ only'!I129</f>
        <v>0</v>
      </c>
      <c r="F129" s="39">
        <f>'Data entry HQ only'!L129</f>
        <v>0</v>
      </c>
      <c r="G129" s="39">
        <f>'Data entry HQ only'!O129</f>
        <v>0</v>
      </c>
      <c r="H129" s="39">
        <f>'Data entry HQ only'!R129</f>
        <v>0</v>
      </c>
      <c r="I129" s="39">
        <f>'Data entry HQ only'!U129</f>
        <v>0</v>
      </c>
      <c r="J129" s="39">
        <f>'Data entry HQ only'!X129</f>
        <v>0</v>
      </c>
      <c r="K129" s="39">
        <f>'Data entry HQ only'!AA129</f>
        <v>0</v>
      </c>
      <c r="L129" s="39">
        <f>'Data entry HQ only'!AD129</f>
        <v>0</v>
      </c>
      <c r="M129" s="39">
        <f>'Data entry HQ only'!AG129</f>
        <v>0</v>
      </c>
      <c r="N129" s="39">
        <f>'Data entry HQ only'!AJ129</f>
        <v>0</v>
      </c>
      <c r="O129" s="39">
        <f>'Data entry HQ only'!AM129</f>
        <v>0</v>
      </c>
      <c r="Q129" s="224">
        <f>C129-'HQ only ORG'!C129</f>
        <v>0</v>
      </c>
      <c r="R129" s="224">
        <f>SUM(D129:I129)-SUM('HQ only ORG'!D129:I129)</f>
        <v>0</v>
      </c>
    </row>
    <row r="130" spans="2:18" ht="14" x14ac:dyDescent="0.15">
      <c r="B130" s="38" t="s">
        <v>90</v>
      </c>
      <c r="C130" s="39">
        <f>'Data entry HQ only'!C130</f>
        <v>0</v>
      </c>
      <c r="D130" s="39">
        <f>'Data entry HQ only'!F130</f>
        <v>0</v>
      </c>
      <c r="E130" s="39">
        <f>'Data entry HQ only'!I130</f>
        <v>0</v>
      </c>
      <c r="F130" s="39">
        <f>'Data entry HQ only'!L130</f>
        <v>0</v>
      </c>
      <c r="G130" s="39">
        <f>'Data entry HQ only'!O130</f>
        <v>0</v>
      </c>
      <c r="H130" s="39">
        <f>'Data entry HQ only'!R130</f>
        <v>0</v>
      </c>
      <c r="I130" s="39">
        <f>'Data entry HQ only'!U130</f>
        <v>0</v>
      </c>
      <c r="J130" s="39">
        <f>'Data entry HQ only'!X130</f>
        <v>0</v>
      </c>
      <c r="K130" s="39">
        <f>'Data entry HQ only'!AA130</f>
        <v>0</v>
      </c>
      <c r="L130" s="39">
        <f>'Data entry HQ only'!AD130</f>
        <v>0</v>
      </c>
      <c r="M130" s="39">
        <f>'Data entry HQ only'!AG130</f>
        <v>0</v>
      </c>
      <c r="N130" s="39">
        <f>'Data entry HQ only'!AJ130</f>
        <v>0</v>
      </c>
      <c r="O130" s="39">
        <f>'Data entry HQ only'!AM130</f>
        <v>0</v>
      </c>
      <c r="Q130" s="224">
        <f>C130-'HQ only ORG'!C130</f>
        <v>0</v>
      </c>
      <c r="R130" s="224">
        <f>SUM(D130:I130)-SUM('HQ only ORG'!D130:I130)</f>
        <v>0</v>
      </c>
    </row>
    <row r="131" spans="2:18" ht="14" x14ac:dyDescent="0.15">
      <c r="B131" s="38" t="s">
        <v>91</v>
      </c>
      <c r="C131" s="39">
        <f>'Data entry HQ only'!C131</f>
        <v>0</v>
      </c>
      <c r="D131" s="39">
        <f>'Data entry HQ only'!F131</f>
        <v>0</v>
      </c>
      <c r="E131" s="39">
        <f>'Data entry HQ only'!I131</f>
        <v>0</v>
      </c>
      <c r="F131" s="39">
        <f>'Data entry HQ only'!L131</f>
        <v>0</v>
      </c>
      <c r="G131" s="39">
        <f>'Data entry HQ only'!O131</f>
        <v>0</v>
      </c>
      <c r="H131" s="39">
        <f>'Data entry HQ only'!R131</f>
        <v>0</v>
      </c>
      <c r="I131" s="39">
        <f>'Data entry HQ only'!U131</f>
        <v>0</v>
      </c>
      <c r="J131" s="39">
        <f>'Data entry HQ only'!X131</f>
        <v>0</v>
      </c>
      <c r="K131" s="39">
        <f>'Data entry HQ only'!AA131</f>
        <v>0</v>
      </c>
      <c r="L131" s="39">
        <f>'Data entry HQ only'!AD131</f>
        <v>0</v>
      </c>
      <c r="M131" s="39">
        <f>'Data entry HQ only'!AG131</f>
        <v>0</v>
      </c>
      <c r="N131" s="39">
        <f>'Data entry HQ only'!AJ131</f>
        <v>0</v>
      </c>
      <c r="O131" s="39">
        <f>'Data entry HQ only'!AM131</f>
        <v>0</v>
      </c>
      <c r="Q131" s="224">
        <f>C131-'HQ only ORG'!C131</f>
        <v>0</v>
      </c>
      <c r="R131" s="224">
        <f>SUM(D131:I131)-SUM('HQ only ORG'!D131:I131)</f>
        <v>0</v>
      </c>
    </row>
    <row r="132" spans="2:18" ht="14" x14ac:dyDescent="0.15">
      <c r="B132" s="38" t="s">
        <v>92</v>
      </c>
      <c r="C132" s="39">
        <f>'Data entry HQ only'!C132</f>
        <v>0</v>
      </c>
      <c r="D132" s="39">
        <f>'Data entry HQ only'!F132</f>
        <v>0</v>
      </c>
      <c r="E132" s="39">
        <f>'Data entry HQ only'!I132</f>
        <v>0</v>
      </c>
      <c r="F132" s="39">
        <f>'Data entry HQ only'!L132</f>
        <v>0</v>
      </c>
      <c r="G132" s="39">
        <f>'Data entry HQ only'!O132</f>
        <v>0</v>
      </c>
      <c r="H132" s="39">
        <f>'Data entry HQ only'!R132</f>
        <v>0</v>
      </c>
      <c r="I132" s="39">
        <f>'Data entry HQ only'!U132</f>
        <v>0</v>
      </c>
      <c r="J132" s="39">
        <f>'Data entry HQ only'!X132</f>
        <v>0</v>
      </c>
      <c r="K132" s="39">
        <f>'Data entry HQ only'!AA132</f>
        <v>0</v>
      </c>
      <c r="L132" s="39">
        <f>'Data entry HQ only'!AD132</f>
        <v>0</v>
      </c>
      <c r="M132" s="39">
        <f>'Data entry HQ only'!AG132</f>
        <v>0</v>
      </c>
      <c r="N132" s="39">
        <f>'Data entry HQ only'!AJ132</f>
        <v>0</v>
      </c>
      <c r="O132" s="39">
        <f>'Data entry HQ only'!AM132</f>
        <v>0</v>
      </c>
      <c r="Q132" s="224">
        <f>C132-'HQ only ORG'!C132</f>
        <v>0</v>
      </c>
      <c r="R132" s="224">
        <f>SUM(D132:I132)-SUM('HQ only ORG'!D132:I132)</f>
        <v>0</v>
      </c>
    </row>
    <row r="133" spans="2:18" x14ac:dyDescent="0.15">
      <c r="B133" s="40"/>
      <c r="C133" s="39">
        <f>'Data entry HQ only'!C133</f>
        <v>0</v>
      </c>
      <c r="D133" s="39">
        <f>'Data entry HQ only'!F133</f>
        <v>0</v>
      </c>
      <c r="E133" s="39">
        <f>'Data entry HQ only'!I133</f>
        <v>0</v>
      </c>
      <c r="F133" s="39">
        <f>'Data entry HQ only'!L133</f>
        <v>0</v>
      </c>
      <c r="G133" s="39">
        <f>'Data entry HQ only'!O133</f>
        <v>0</v>
      </c>
      <c r="H133" s="39">
        <f>'Data entry HQ only'!R133</f>
        <v>0</v>
      </c>
      <c r="I133" s="39">
        <f>'Data entry HQ only'!U133</f>
        <v>0</v>
      </c>
      <c r="J133" s="39">
        <f>'Data entry HQ only'!X133</f>
        <v>0</v>
      </c>
      <c r="K133" s="39">
        <f>'Data entry HQ only'!AA133</f>
        <v>0</v>
      </c>
      <c r="L133" s="39">
        <f>'Data entry HQ only'!AD133</f>
        <v>0</v>
      </c>
      <c r="M133" s="39">
        <f>'Data entry HQ only'!AG133</f>
        <v>0</v>
      </c>
      <c r="N133" s="39">
        <f>'Data entry HQ only'!AJ133</f>
        <v>0</v>
      </c>
      <c r="O133" s="39">
        <f>'Data entry HQ only'!AM133</f>
        <v>0</v>
      </c>
      <c r="Q133" s="224">
        <f>C133-'HQ only ORG'!C133</f>
        <v>0</v>
      </c>
      <c r="R133" s="224">
        <f>SUM(D133:I133)-SUM('HQ only ORG'!D133:I133)</f>
        <v>0</v>
      </c>
    </row>
    <row r="134" spans="2:18" ht="14" x14ac:dyDescent="0.15">
      <c r="B134" s="42" t="s">
        <v>93</v>
      </c>
      <c r="C134" s="39">
        <f>'Data entry HQ only'!C134</f>
        <v>-3211212.0956000001</v>
      </c>
      <c r="D134" s="39">
        <f>'Data entry HQ only'!F134</f>
        <v>-452875.38</v>
      </c>
      <c r="E134" s="39">
        <f>'Data entry HQ only'!I134</f>
        <v>-1111131.93</v>
      </c>
      <c r="F134" s="39">
        <f>'Data entry HQ only'!L134</f>
        <v>-1372713.04</v>
      </c>
      <c r="G134" s="39">
        <f>'Data entry HQ only'!O134</f>
        <v>-369345.31</v>
      </c>
      <c r="H134" s="39">
        <f>'Data entry HQ only'!R134</f>
        <v>56605.599999999999</v>
      </c>
      <c r="I134" s="39">
        <f>'Data entry HQ only'!U134</f>
        <v>-634338.22</v>
      </c>
      <c r="J134" s="39">
        <f>'Data entry HQ only'!X134</f>
        <v>478850.35379999998</v>
      </c>
      <c r="K134" s="39">
        <f>'Data entry HQ only'!AA134</f>
        <v>410068.1765</v>
      </c>
      <c r="L134" s="39">
        <f>'Data entry HQ only'!AD134</f>
        <v>349925.23700000002</v>
      </c>
      <c r="M134" s="39">
        <f>'Data entry HQ only'!AG134</f>
        <v>142469.86180000001</v>
      </c>
      <c r="N134" s="39">
        <f>'Data entry HQ only'!AJ134</f>
        <v>-324250.76189999998</v>
      </c>
      <c r="O134" s="39">
        <f>'Data entry HQ only'!AM134</f>
        <v>-384476.68280000001</v>
      </c>
      <c r="Q134" s="224">
        <f>C134-'HQ only ORG'!C134</f>
        <v>-1859397.8330000001</v>
      </c>
      <c r="R134" s="224">
        <f>SUM(D134:I134)-SUM('HQ only ORG'!D134:I134)</f>
        <v>-1718248.2403000006</v>
      </c>
    </row>
    <row r="135" spans="2:18" x14ac:dyDescent="0.15">
      <c r="B135" s="40"/>
      <c r="C135" s="39">
        <f>'Data entry HQ only'!C135</f>
        <v>0</v>
      </c>
      <c r="D135" s="39">
        <f>'Data entry HQ only'!F135</f>
        <v>0</v>
      </c>
      <c r="E135" s="39">
        <f>'Data entry HQ only'!I135</f>
        <v>0</v>
      </c>
      <c r="F135" s="39">
        <f>'Data entry HQ only'!L135</f>
        <v>0</v>
      </c>
      <c r="G135" s="39">
        <f>'Data entry HQ only'!O135</f>
        <v>0</v>
      </c>
      <c r="H135" s="39">
        <f>'Data entry HQ only'!R135</f>
        <v>0</v>
      </c>
      <c r="I135" s="39">
        <f>'Data entry HQ only'!U135</f>
        <v>0</v>
      </c>
      <c r="J135" s="39">
        <f>'Data entry HQ only'!X135</f>
        <v>0</v>
      </c>
      <c r="K135" s="39">
        <f>'Data entry HQ only'!AA135</f>
        <v>0</v>
      </c>
      <c r="L135" s="39">
        <f>'Data entry HQ only'!AD135</f>
        <v>0</v>
      </c>
      <c r="M135" s="39">
        <f>'Data entry HQ only'!AG135</f>
        <v>0</v>
      </c>
      <c r="N135" s="39">
        <f>'Data entry HQ only'!AJ135</f>
        <v>0</v>
      </c>
      <c r="O135" s="39">
        <f>'Data entry HQ only'!AM135</f>
        <v>0</v>
      </c>
      <c r="Q135" s="224">
        <f>C135-'HQ only ORG'!C135</f>
        <v>0</v>
      </c>
      <c r="R135" s="224">
        <f>SUM(D135:I135)-SUM('HQ only ORG'!D135:I135)</f>
        <v>0</v>
      </c>
    </row>
    <row r="136" spans="2:18" ht="14" x14ac:dyDescent="0.15">
      <c r="B136" s="42" t="s">
        <v>94</v>
      </c>
      <c r="C136" s="39">
        <f>'Data entry HQ only'!C136</f>
        <v>275943.05</v>
      </c>
      <c r="D136" s="39">
        <f>'Data entry HQ only'!F136</f>
        <v>27808.720000000001</v>
      </c>
      <c r="E136" s="39">
        <f>'Data entry HQ only'!I136</f>
        <v>27808.720000000001</v>
      </c>
      <c r="F136" s="39">
        <f>'Data entry HQ only'!L136</f>
        <v>0</v>
      </c>
      <c r="G136" s="39">
        <f>'Data entry HQ only'!O136</f>
        <v>37769.61</v>
      </c>
      <c r="H136" s="39">
        <f>'Data entry HQ only'!R136</f>
        <v>0</v>
      </c>
      <c r="I136" s="39">
        <f>'Data entry HQ only'!U136</f>
        <v>0</v>
      </c>
      <c r="J136" s="39">
        <f>'Data entry HQ only'!X136</f>
        <v>30426</v>
      </c>
      <c r="K136" s="39">
        <f>'Data entry HQ only'!AA136</f>
        <v>30426</v>
      </c>
      <c r="L136" s="39">
        <f>'Data entry HQ only'!AD136</f>
        <v>30426</v>
      </c>
      <c r="M136" s="39">
        <f>'Data entry HQ only'!AG136</f>
        <v>30426</v>
      </c>
      <c r="N136" s="39">
        <f>'Data entry HQ only'!AJ136</f>
        <v>30426</v>
      </c>
      <c r="O136" s="39">
        <f>'Data entry HQ only'!AM136</f>
        <v>30426</v>
      </c>
      <c r="Q136" s="224">
        <f>C136-'HQ only ORG'!C136</f>
        <v>-89168.950000000012</v>
      </c>
      <c r="R136" s="224">
        <f>SUM(D136:I136)-SUM('HQ only ORG'!D136:I136)</f>
        <v>-89168.95</v>
      </c>
    </row>
    <row r="137" spans="2:18" ht="14" x14ac:dyDescent="0.15">
      <c r="B137" s="38" t="s">
        <v>95</v>
      </c>
      <c r="C137" s="39">
        <f>'Data entry HQ only'!C137</f>
        <v>275943.05</v>
      </c>
      <c r="D137" s="39">
        <f>'Data entry HQ only'!F137</f>
        <v>27808.720000000001</v>
      </c>
      <c r="E137" s="39">
        <f>'Data entry HQ only'!I137</f>
        <v>27808.720000000001</v>
      </c>
      <c r="F137" s="39">
        <f>'Data entry HQ only'!L137</f>
        <v>0</v>
      </c>
      <c r="G137" s="39">
        <f>'Data entry HQ only'!O137</f>
        <v>37769.61</v>
      </c>
      <c r="H137" s="39">
        <f>'Data entry HQ only'!R137</f>
        <v>0</v>
      </c>
      <c r="I137" s="39">
        <f>'Data entry HQ only'!U137</f>
        <v>0</v>
      </c>
      <c r="J137" s="39">
        <f>'Data entry HQ only'!X137</f>
        <v>30426</v>
      </c>
      <c r="K137" s="39">
        <f>'Data entry HQ only'!AA137</f>
        <v>30426</v>
      </c>
      <c r="L137" s="39">
        <f>'Data entry HQ only'!AD137</f>
        <v>30426</v>
      </c>
      <c r="M137" s="39">
        <f>'Data entry HQ only'!AG137</f>
        <v>30426</v>
      </c>
      <c r="N137" s="39">
        <f>'Data entry HQ only'!AJ137</f>
        <v>30426</v>
      </c>
      <c r="O137" s="39">
        <f>'Data entry HQ only'!AM137</f>
        <v>30426</v>
      </c>
      <c r="Q137" s="224">
        <f>C137-'HQ only ORG'!C137</f>
        <v>-89168.950000000012</v>
      </c>
      <c r="R137" s="224">
        <f>SUM(D137:I137)-SUM('HQ only ORG'!D137:I137)</f>
        <v>-89168.95</v>
      </c>
    </row>
    <row r="138" spans="2:18" ht="14" x14ac:dyDescent="0.15">
      <c r="B138" s="38" t="s">
        <v>96</v>
      </c>
      <c r="C138" s="39">
        <f>'Data entry HQ only'!C138</f>
        <v>0</v>
      </c>
      <c r="D138" s="39">
        <f>'Data entry HQ only'!F138</f>
        <v>0</v>
      </c>
      <c r="E138" s="39">
        <f>'Data entry HQ only'!I138</f>
        <v>0</v>
      </c>
      <c r="F138" s="39">
        <f>'Data entry HQ only'!L138</f>
        <v>0</v>
      </c>
      <c r="G138" s="39">
        <f>'Data entry HQ only'!O138</f>
        <v>0</v>
      </c>
      <c r="H138" s="39">
        <f>'Data entry HQ only'!R138</f>
        <v>0</v>
      </c>
      <c r="I138" s="39">
        <f>'Data entry HQ only'!U138</f>
        <v>0</v>
      </c>
      <c r="J138" s="39">
        <f>'Data entry HQ only'!X138</f>
        <v>0</v>
      </c>
      <c r="K138" s="39">
        <f>'Data entry HQ only'!AA138</f>
        <v>0</v>
      </c>
      <c r="L138" s="39">
        <f>'Data entry HQ only'!AD138</f>
        <v>0</v>
      </c>
      <c r="M138" s="39">
        <f>'Data entry HQ only'!AG138</f>
        <v>0</v>
      </c>
      <c r="N138" s="39">
        <f>'Data entry HQ only'!AJ138</f>
        <v>0</v>
      </c>
      <c r="O138" s="39">
        <f>'Data entry HQ only'!AM138</f>
        <v>0</v>
      </c>
      <c r="Q138" s="224">
        <f>C138-'HQ only ORG'!C138</f>
        <v>0</v>
      </c>
      <c r="R138" s="224">
        <f>SUM(D138:I138)-SUM('HQ only ORG'!D138:I138)</f>
        <v>0</v>
      </c>
    </row>
    <row r="139" spans="2:18" ht="14" x14ac:dyDescent="0.15">
      <c r="B139" s="38" t="s">
        <v>97</v>
      </c>
      <c r="C139" s="39">
        <f>'Data entry HQ only'!C139</f>
        <v>0</v>
      </c>
      <c r="D139" s="39">
        <f>'Data entry HQ only'!F139</f>
        <v>0</v>
      </c>
      <c r="E139" s="39">
        <f>'Data entry HQ only'!I139</f>
        <v>0</v>
      </c>
      <c r="F139" s="39">
        <f>'Data entry HQ only'!L139</f>
        <v>0</v>
      </c>
      <c r="G139" s="39">
        <f>'Data entry HQ only'!O139</f>
        <v>0</v>
      </c>
      <c r="H139" s="39">
        <f>'Data entry HQ only'!R139</f>
        <v>0</v>
      </c>
      <c r="I139" s="39">
        <f>'Data entry HQ only'!U139</f>
        <v>0</v>
      </c>
      <c r="J139" s="39">
        <f>'Data entry HQ only'!X139</f>
        <v>0</v>
      </c>
      <c r="K139" s="39">
        <f>'Data entry HQ only'!AA139</f>
        <v>0</v>
      </c>
      <c r="L139" s="39">
        <f>'Data entry HQ only'!AD139</f>
        <v>0</v>
      </c>
      <c r="M139" s="39">
        <f>'Data entry HQ only'!AG139</f>
        <v>0</v>
      </c>
      <c r="N139" s="39">
        <f>'Data entry HQ only'!AJ139</f>
        <v>0</v>
      </c>
      <c r="O139" s="39">
        <f>'Data entry HQ only'!AM139</f>
        <v>0</v>
      </c>
      <c r="Q139" s="224">
        <f>C139-'HQ only ORG'!C139</f>
        <v>0</v>
      </c>
      <c r="R139" s="224">
        <f>SUM(D139:I139)-SUM('HQ only ORG'!D139:I139)</f>
        <v>0</v>
      </c>
    </row>
    <row r="140" spans="2:18" x14ac:dyDescent="0.15">
      <c r="B140" s="40"/>
      <c r="C140" s="39">
        <f>'Data entry HQ only'!C140</f>
        <v>0</v>
      </c>
      <c r="D140" s="39">
        <f>'Data entry HQ only'!F140</f>
        <v>0</v>
      </c>
      <c r="E140" s="39">
        <f>'Data entry HQ only'!I140</f>
        <v>0</v>
      </c>
      <c r="F140" s="39">
        <f>'Data entry HQ only'!L140</f>
        <v>0</v>
      </c>
      <c r="G140" s="39">
        <f>'Data entry HQ only'!O140</f>
        <v>0</v>
      </c>
      <c r="H140" s="39">
        <f>'Data entry HQ only'!R140</f>
        <v>0</v>
      </c>
      <c r="I140" s="39">
        <f>'Data entry HQ only'!U140</f>
        <v>0</v>
      </c>
      <c r="J140" s="39">
        <f>'Data entry HQ only'!X140</f>
        <v>0</v>
      </c>
      <c r="K140" s="39">
        <f>'Data entry HQ only'!AA140</f>
        <v>0</v>
      </c>
      <c r="L140" s="39">
        <f>'Data entry HQ only'!AD140</f>
        <v>0</v>
      </c>
      <c r="M140" s="39">
        <f>'Data entry HQ only'!AG140</f>
        <v>0</v>
      </c>
      <c r="N140" s="39">
        <f>'Data entry HQ only'!AJ140</f>
        <v>0</v>
      </c>
      <c r="O140" s="39">
        <f>'Data entry HQ only'!AM140</f>
        <v>0</v>
      </c>
      <c r="Q140" s="224">
        <f>C140-'HQ only ORG'!C140</f>
        <v>0</v>
      </c>
      <c r="R140" s="224">
        <f>SUM(D140:I140)-SUM('HQ only ORG'!D140:I140)</f>
        <v>0</v>
      </c>
    </row>
    <row r="141" spans="2:18" ht="28" x14ac:dyDescent="0.15">
      <c r="B141" s="42" t="s">
        <v>98</v>
      </c>
      <c r="C141" s="39">
        <f>'Data entry HQ only'!C141</f>
        <v>-3487155.1455999999</v>
      </c>
      <c r="D141" s="39">
        <f>'Data entry HQ only'!F141</f>
        <v>-480684.1</v>
      </c>
      <c r="E141" s="39">
        <f>'Data entry HQ only'!I141</f>
        <v>-1138940.6499999999</v>
      </c>
      <c r="F141" s="39">
        <f>'Data entry HQ only'!L141</f>
        <v>-1372713.04</v>
      </c>
      <c r="G141" s="39">
        <f>'Data entry HQ only'!O141</f>
        <v>-407114.92</v>
      </c>
      <c r="H141" s="39">
        <f>'Data entry HQ only'!R141</f>
        <v>56605.599999999999</v>
      </c>
      <c r="I141" s="39">
        <f>'Data entry HQ only'!U141</f>
        <v>-634338.22</v>
      </c>
      <c r="J141" s="39">
        <f>'Data entry HQ only'!X141</f>
        <v>448424.35379999998</v>
      </c>
      <c r="K141" s="39">
        <f>'Data entry HQ only'!AA141</f>
        <v>379642.1765</v>
      </c>
      <c r="L141" s="39">
        <f>'Data entry HQ only'!AD141</f>
        <v>319499.23700000002</v>
      </c>
      <c r="M141" s="39">
        <f>'Data entry HQ only'!AG141</f>
        <v>112043.8618</v>
      </c>
      <c r="N141" s="39">
        <f>'Data entry HQ only'!AJ141</f>
        <v>-354676.76189999998</v>
      </c>
      <c r="O141" s="39">
        <f>'Data entry HQ only'!AM141</f>
        <v>-414902.68280000001</v>
      </c>
      <c r="Q141" s="224">
        <f>C141-'HQ only ORG'!C141</f>
        <v>-1770228.8829999999</v>
      </c>
      <c r="R141" s="224">
        <f>SUM(D141:I141)-SUM('HQ only ORG'!D141:I141)</f>
        <v>-1629079.2903000005</v>
      </c>
    </row>
    <row r="142" spans="2:18" ht="14" x14ac:dyDescent="0.15">
      <c r="B142" s="38" t="s">
        <v>99</v>
      </c>
      <c r="C142" s="39">
        <f>'Data entry HQ only'!C142</f>
        <v>90609</v>
      </c>
      <c r="D142" s="39">
        <f>'Data entry HQ only'!F142</f>
        <v>0</v>
      </c>
      <c r="E142" s="39">
        <f>'Data entry HQ only'!I142</f>
        <v>14399</v>
      </c>
      <c r="F142" s="39">
        <f>'Data entry HQ only'!L142</f>
        <v>8337</v>
      </c>
      <c r="G142" s="39">
        <f>'Data entry HQ only'!O142</f>
        <v>7326</v>
      </c>
      <c r="H142" s="39">
        <f>'Data entry HQ only'!R142</f>
        <v>7831</v>
      </c>
      <c r="I142" s="39">
        <f>'Data entry HQ only'!U142</f>
        <v>7326</v>
      </c>
      <c r="J142" s="39">
        <f>'Data entry HQ only'!X142</f>
        <v>7565</v>
      </c>
      <c r="K142" s="39">
        <f>'Data entry HQ only'!AA142</f>
        <v>7565</v>
      </c>
      <c r="L142" s="39">
        <f>'Data entry HQ only'!AD142</f>
        <v>7565</v>
      </c>
      <c r="M142" s="39">
        <f>'Data entry HQ only'!AG142</f>
        <v>7565</v>
      </c>
      <c r="N142" s="39">
        <f>'Data entry HQ only'!AJ142</f>
        <v>7565</v>
      </c>
      <c r="O142" s="39">
        <f>'Data entry HQ only'!AM142</f>
        <v>7565</v>
      </c>
      <c r="Q142" s="224">
        <f>C142-'HQ only ORG'!C142</f>
        <v>-171</v>
      </c>
      <c r="R142" s="224">
        <f>SUM(D142:I142)-SUM('HQ only ORG'!D142:I142)</f>
        <v>-171</v>
      </c>
    </row>
    <row r="143" spans="2:18" x14ac:dyDescent="0.15">
      <c r="B143" s="40"/>
      <c r="C143" s="39">
        <f>'Data entry HQ only'!C143</f>
        <v>0</v>
      </c>
      <c r="D143" s="39">
        <f>'Data entry HQ only'!F143</f>
        <v>0</v>
      </c>
      <c r="E143" s="39">
        <f>'Data entry HQ only'!I143</f>
        <v>0</v>
      </c>
      <c r="F143" s="39">
        <f>'Data entry HQ only'!L143</f>
        <v>0</v>
      </c>
      <c r="G143" s="39">
        <f>'Data entry HQ only'!O143</f>
        <v>0</v>
      </c>
      <c r="H143" s="39">
        <f>'Data entry HQ only'!R143</f>
        <v>0</v>
      </c>
      <c r="I143" s="39">
        <f>'Data entry HQ only'!U143</f>
        <v>0</v>
      </c>
      <c r="J143" s="39">
        <f>'Data entry HQ only'!X143</f>
        <v>0</v>
      </c>
      <c r="K143" s="39">
        <f>'Data entry HQ only'!AA143</f>
        <v>0</v>
      </c>
      <c r="L143" s="39">
        <f>'Data entry HQ only'!AD143</f>
        <v>0</v>
      </c>
      <c r="M143" s="39">
        <f>'Data entry HQ only'!AG143</f>
        <v>0</v>
      </c>
      <c r="N143" s="39">
        <f>'Data entry HQ only'!AJ143</f>
        <v>0</v>
      </c>
      <c r="O143" s="39">
        <f>'Data entry HQ only'!AM143</f>
        <v>0</v>
      </c>
      <c r="Q143" s="224">
        <f>C143-'HQ only ORG'!C143</f>
        <v>0</v>
      </c>
      <c r="R143" s="224">
        <f>SUM(D143:I143)-SUM('HQ only ORG'!D143:I143)</f>
        <v>0</v>
      </c>
    </row>
    <row r="144" spans="2:18" ht="14" x14ac:dyDescent="0.15">
      <c r="B144" s="42" t="s">
        <v>100</v>
      </c>
      <c r="C144" s="39">
        <f>'Data entry HQ only'!C144</f>
        <v>-3577764.1455999999</v>
      </c>
      <c r="D144" s="39">
        <f>'Data entry HQ only'!F144</f>
        <v>-480684.1</v>
      </c>
      <c r="E144" s="39">
        <f>'Data entry HQ only'!I144</f>
        <v>-1153339.6499999999</v>
      </c>
      <c r="F144" s="39">
        <f>'Data entry HQ only'!L144</f>
        <v>-1381050.04</v>
      </c>
      <c r="G144" s="39">
        <f>'Data entry HQ only'!O144</f>
        <v>-414440.92</v>
      </c>
      <c r="H144" s="39">
        <f>'Data entry HQ only'!R144</f>
        <v>48774.6</v>
      </c>
      <c r="I144" s="39">
        <f>'Data entry HQ only'!U144</f>
        <v>-641664.22</v>
      </c>
      <c r="J144" s="39">
        <f>'Data entry HQ only'!X144</f>
        <v>440859.35379999998</v>
      </c>
      <c r="K144" s="39">
        <f>'Data entry HQ only'!AA144</f>
        <v>372077.1765</v>
      </c>
      <c r="L144" s="39">
        <f>'Data entry HQ only'!AD144</f>
        <v>311934.23700000002</v>
      </c>
      <c r="M144" s="39">
        <f>'Data entry HQ only'!AG144</f>
        <v>104478.8618</v>
      </c>
      <c r="N144" s="39">
        <f>'Data entry HQ only'!AJ144</f>
        <v>-362241.76189999998</v>
      </c>
      <c r="O144" s="39">
        <f>'Data entry HQ only'!AM144</f>
        <v>-422467.68280000001</v>
      </c>
      <c r="Q144" s="224">
        <f>C144-'HQ only ORG'!C144</f>
        <v>-1770057.8829999999</v>
      </c>
      <c r="R144" s="224">
        <f>SUM(D144:I144)-SUM('HQ only ORG'!D144:I144)</f>
        <v>-1628908.2903000005</v>
      </c>
    </row>
    <row r="145" spans="2:18" ht="14" x14ac:dyDescent="0.15">
      <c r="B145" s="38" t="s">
        <v>101</v>
      </c>
      <c r="C145" s="39">
        <f>'Data entry HQ only'!C145</f>
        <v>0</v>
      </c>
      <c r="D145" s="39">
        <f>'Data entry HQ only'!F145</f>
        <v>0</v>
      </c>
      <c r="E145" s="39">
        <f>'Data entry HQ only'!I145</f>
        <v>0</v>
      </c>
      <c r="F145" s="39">
        <f>'Data entry HQ only'!L145</f>
        <v>0</v>
      </c>
      <c r="G145" s="39">
        <f>'Data entry HQ only'!O145</f>
        <v>0</v>
      </c>
      <c r="H145" s="39">
        <f>'Data entry HQ only'!R145</f>
        <v>0</v>
      </c>
      <c r="I145" s="39">
        <f>'Data entry HQ only'!U145</f>
        <v>0</v>
      </c>
      <c r="J145" s="39">
        <f>'Data entry HQ only'!X145</f>
        <v>0</v>
      </c>
      <c r="K145" s="39">
        <f>'Data entry HQ only'!AA145</f>
        <v>0</v>
      </c>
      <c r="L145" s="39">
        <f>'Data entry HQ only'!AD145</f>
        <v>0</v>
      </c>
      <c r="M145" s="39">
        <f>'Data entry HQ only'!AG145</f>
        <v>0</v>
      </c>
      <c r="N145" s="39">
        <f>'Data entry HQ only'!AJ145</f>
        <v>0</v>
      </c>
      <c r="O145" s="39">
        <f>'Data entry HQ only'!AM145</f>
        <v>0</v>
      </c>
      <c r="Q145" s="224">
        <f>C145-'HQ only ORG'!C145</f>
        <v>0</v>
      </c>
      <c r="R145" s="224">
        <f>SUM(D145:I145)-SUM('HQ only ORG'!D145:I145)</f>
        <v>0</v>
      </c>
    </row>
    <row r="146" spans="2:18" x14ac:dyDescent="0.15">
      <c r="B146" s="40"/>
      <c r="C146" s="39">
        <f>'Data entry HQ only'!C146</f>
        <v>0</v>
      </c>
      <c r="D146" s="39">
        <f>'Data entry HQ only'!F146</f>
        <v>0</v>
      </c>
      <c r="E146" s="39">
        <f>'Data entry HQ only'!I146</f>
        <v>0</v>
      </c>
      <c r="F146" s="39">
        <f>'Data entry HQ only'!L146</f>
        <v>0</v>
      </c>
      <c r="G146" s="39">
        <f>'Data entry HQ only'!O146</f>
        <v>0</v>
      </c>
      <c r="H146" s="39">
        <f>'Data entry HQ only'!R146</f>
        <v>0</v>
      </c>
      <c r="I146" s="39">
        <f>'Data entry HQ only'!U146</f>
        <v>0</v>
      </c>
      <c r="J146" s="39">
        <f>'Data entry HQ only'!X146</f>
        <v>0</v>
      </c>
      <c r="K146" s="39">
        <f>'Data entry HQ only'!AA146</f>
        <v>0</v>
      </c>
      <c r="L146" s="39">
        <f>'Data entry HQ only'!AD146</f>
        <v>0</v>
      </c>
      <c r="M146" s="39">
        <f>'Data entry HQ only'!AG146</f>
        <v>0</v>
      </c>
      <c r="N146" s="39">
        <f>'Data entry HQ only'!AJ146</f>
        <v>0</v>
      </c>
      <c r="O146" s="39">
        <f>'Data entry HQ only'!AM146</f>
        <v>0</v>
      </c>
      <c r="Q146" s="224">
        <f>C146-'HQ only ORG'!C146</f>
        <v>0</v>
      </c>
      <c r="R146" s="224">
        <f>SUM(D146:I146)-SUM('HQ only ORG'!D146:I146)</f>
        <v>0</v>
      </c>
    </row>
    <row r="147" spans="2:18" ht="28" x14ac:dyDescent="0.15">
      <c r="B147" s="42" t="s">
        <v>102</v>
      </c>
      <c r="C147" s="39">
        <f>'Data entry HQ only'!C147</f>
        <v>-3577764.1455999999</v>
      </c>
      <c r="D147" s="39">
        <f>'Data entry HQ only'!F147</f>
        <v>-480684.1</v>
      </c>
      <c r="E147" s="39">
        <f>'Data entry HQ only'!I147</f>
        <v>-1153339.6499999999</v>
      </c>
      <c r="F147" s="39">
        <f>'Data entry HQ only'!L147</f>
        <v>-1381050.04</v>
      </c>
      <c r="G147" s="39">
        <f>'Data entry HQ only'!O147</f>
        <v>-414440.92</v>
      </c>
      <c r="H147" s="39">
        <f>'Data entry HQ only'!R147</f>
        <v>48774.6</v>
      </c>
      <c r="I147" s="39">
        <f>'Data entry HQ only'!U147</f>
        <v>-641664.22</v>
      </c>
      <c r="J147" s="39">
        <f>'Data entry HQ only'!X147</f>
        <v>440859.35379999998</v>
      </c>
      <c r="K147" s="39">
        <f>'Data entry HQ only'!AA147</f>
        <v>372077.1765</v>
      </c>
      <c r="L147" s="39">
        <f>'Data entry HQ only'!AD147</f>
        <v>311934.23700000002</v>
      </c>
      <c r="M147" s="39">
        <f>'Data entry HQ only'!AG147</f>
        <v>104478.8618</v>
      </c>
      <c r="N147" s="39">
        <f>'Data entry HQ only'!AJ147</f>
        <v>-362241.76189999998</v>
      </c>
      <c r="O147" s="39">
        <f>'Data entry HQ only'!AM147</f>
        <v>-422467.68280000001</v>
      </c>
      <c r="Q147" s="224">
        <f>C147-'HQ only ORG'!C147</f>
        <v>-1770057.8829999999</v>
      </c>
      <c r="R147" s="224">
        <f>SUM(D147:I147)-SUM('HQ only ORG'!D147:I147)</f>
        <v>-1628908.2903000005</v>
      </c>
    </row>
    <row r="148" spans="2:18" ht="14" x14ac:dyDescent="0.15">
      <c r="B148" s="38" t="s">
        <v>103</v>
      </c>
      <c r="C148" s="39">
        <f>'Data entry HQ only'!C148</f>
        <v>0</v>
      </c>
      <c r="D148" s="39">
        <f>'Data entry HQ only'!F148</f>
        <v>0</v>
      </c>
      <c r="E148" s="39">
        <f>'Data entry HQ only'!I148</f>
        <v>0</v>
      </c>
      <c r="F148" s="39">
        <f>'Data entry HQ only'!L148</f>
        <v>0</v>
      </c>
      <c r="G148" s="39">
        <f>'Data entry HQ only'!O148</f>
        <v>0</v>
      </c>
      <c r="H148" s="39">
        <f>'Data entry HQ only'!R148</f>
        <v>0</v>
      </c>
      <c r="I148" s="39">
        <f>'Data entry HQ only'!U148</f>
        <v>0</v>
      </c>
      <c r="J148" s="39">
        <f>'Data entry HQ only'!X148</f>
        <v>0</v>
      </c>
      <c r="K148" s="39">
        <f>'Data entry HQ only'!AA148</f>
        <v>0</v>
      </c>
      <c r="L148" s="39">
        <f>'Data entry HQ only'!AD148</f>
        <v>0</v>
      </c>
      <c r="M148" s="39">
        <f>'Data entry HQ only'!AG148</f>
        <v>0</v>
      </c>
      <c r="N148" s="39">
        <f>'Data entry HQ only'!AJ148</f>
        <v>0</v>
      </c>
      <c r="O148" s="39">
        <f>'Data entry HQ only'!AM148</f>
        <v>0</v>
      </c>
      <c r="Q148" s="224">
        <f>C148-'HQ only ORG'!C148</f>
        <v>0</v>
      </c>
      <c r="R148" s="224">
        <f>SUM(D148:I148)-SUM('HQ only ORG'!D148:I148)</f>
        <v>0</v>
      </c>
    </row>
    <row r="149" spans="2:18" x14ac:dyDescent="0.15">
      <c r="B149" s="40"/>
      <c r="C149" s="39">
        <f>'Data entry HQ only'!C149</f>
        <v>0</v>
      </c>
      <c r="D149" s="39">
        <f>'Data entry HQ only'!F149</f>
        <v>0</v>
      </c>
      <c r="E149" s="39">
        <f>'Data entry HQ only'!I149</f>
        <v>0</v>
      </c>
      <c r="F149" s="39">
        <f>'Data entry HQ only'!L149</f>
        <v>0</v>
      </c>
      <c r="G149" s="39">
        <f>'Data entry HQ only'!O149</f>
        <v>0</v>
      </c>
      <c r="H149" s="39">
        <f>'Data entry HQ only'!R149</f>
        <v>0</v>
      </c>
      <c r="I149" s="39">
        <f>'Data entry HQ only'!U149</f>
        <v>0</v>
      </c>
      <c r="J149" s="39">
        <f>'Data entry HQ only'!X149</f>
        <v>0</v>
      </c>
      <c r="K149" s="39">
        <f>'Data entry HQ only'!AA149</f>
        <v>0</v>
      </c>
      <c r="L149" s="39">
        <f>'Data entry HQ only'!AD149</f>
        <v>0</v>
      </c>
      <c r="M149" s="39">
        <f>'Data entry HQ only'!AG149</f>
        <v>0</v>
      </c>
      <c r="N149" s="39">
        <f>'Data entry HQ only'!AJ149</f>
        <v>0</v>
      </c>
      <c r="O149" s="39">
        <f>'Data entry HQ only'!AM149</f>
        <v>0</v>
      </c>
      <c r="Q149" s="224">
        <f>C149-'HQ only ORG'!C149</f>
        <v>0</v>
      </c>
      <c r="R149" s="224">
        <f>SUM(D149:I149)-SUM('HQ only ORG'!D149:I149)</f>
        <v>0</v>
      </c>
    </row>
    <row r="150" spans="2:18" ht="14" x14ac:dyDescent="0.15">
      <c r="B150" s="42" t="s">
        <v>104</v>
      </c>
      <c r="C150" s="39">
        <f>'Data entry HQ only'!C150</f>
        <v>-3577764.1455999999</v>
      </c>
      <c r="D150" s="39">
        <f>'Data entry HQ only'!F150</f>
        <v>-480684.1</v>
      </c>
      <c r="E150" s="39">
        <f>'Data entry HQ only'!I150</f>
        <v>-1153339.6499999999</v>
      </c>
      <c r="F150" s="39">
        <f>'Data entry HQ only'!L150</f>
        <v>-1381050.04</v>
      </c>
      <c r="G150" s="39">
        <f>'Data entry HQ only'!O150</f>
        <v>-414440.92</v>
      </c>
      <c r="H150" s="39">
        <f>'Data entry HQ only'!R150</f>
        <v>48774.6</v>
      </c>
      <c r="I150" s="39">
        <f>'Data entry HQ only'!U150</f>
        <v>-641664.22</v>
      </c>
      <c r="J150" s="39">
        <f>'Data entry HQ only'!X150</f>
        <v>440859.35379999998</v>
      </c>
      <c r="K150" s="39">
        <f>'Data entry HQ only'!AA150</f>
        <v>372077.1765</v>
      </c>
      <c r="L150" s="39">
        <f>'Data entry HQ only'!AD150</f>
        <v>311934.23700000002</v>
      </c>
      <c r="M150" s="39">
        <f>'Data entry HQ only'!AG150</f>
        <v>104478.8618</v>
      </c>
      <c r="N150" s="39">
        <f>'Data entry HQ only'!AJ150</f>
        <v>-362241.76189999998</v>
      </c>
      <c r="O150" s="39">
        <f>'Data entry HQ only'!AM150</f>
        <v>-422467.68280000001</v>
      </c>
      <c r="Q150" s="224">
        <f>C150-'HQ only ORG'!C150</f>
        <v>-1770057.8829999999</v>
      </c>
      <c r="R150" s="224">
        <f>SUM(D150:I150)-SUM('HQ only ORG'!D150:I150)</f>
        <v>-1628908.2903000005</v>
      </c>
    </row>
    <row r="151" spans="2:18" x14ac:dyDescent="0.15">
      <c r="B151" s="40"/>
      <c r="C151" s="39">
        <f>'Data entry HQ only'!C151</f>
        <v>0</v>
      </c>
      <c r="D151" s="39">
        <f>'Data entry HQ only'!F151</f>
        <v>0</v>
      </c>
      <c r="E151" s="39">
        <f>'Data entry HQ only'!I151</f>
        <v>0</v>
      </c>
      <c r="F151" s="39">
        <f>'Data entry HQ only'!L151</f>
        <v>0</v>
      </c>
      <c r="G151" s="39">
        <f>'Data entry HQ only'!O151</f>
        <v>0</v>
      </c>
      <c r="H151" s="39">
        <f>'Data entry HQ only'!R151</f>
        <v>0</v>
      </c>
      <c r="I151" s="39">
        <f>'Data entry HQ only'!U151</f>
        <v>0</v>
      </c>
      <c r="J151" s="39">
        <f>'Data entry HQ only'!X151</f>
        <v>0</v>
      </c>
      <c r="K151" s="39">
        <f>'Data entry HQ only'!AA151</f>
        <v>0</v>
      </c>
      <c r="L151" s="39">
        <f>'Data entry HQ only'!AD151</f>
        <v>0</v>
      </c>
      <c r="M151" s="39">
        <f>'Data entry HQ only'!AG151</f>
        <v>0</v>
      </c>
      <c r="N151" s="39">
        <f>'Data entry HQ only'!AJ151</f>
        <v>0</v>
      </c>
      <c r="O151" s="39">
        <f>'Data entry HQ only'!AM151</f>
        <v>0</v>
      </c>
      <c r="Q151" s="224">
        <f>C151-'HQ only ORG'!C151</f>
        <v>0</v>
      </c>
      <c r="R151" s="224">
        <f>SUM(D151:I151)-SUM('HQ only ORG'!D151:I151)</f>
        <v>0</v>
      </c>
    </row>
    <row r="152" spans="2:18" ht="14" x14ac:dyDescent="0.15">
      <c r="B152" s="44" t="s">
        <v>105</v>
      </c>
      <c r="C152" s="39">
        <f>'Data entry HQ only'!C152</f>
        <v>0</v>
      </c>
      <c r="D152" s="39">
        <f>'Data entry HQ only'!F152</f>
        <v>0</v>
      </c>
      <c r="E152" s="39">
        <f>'Data entry HQ only'!I152</f>
        <v>0</v>
      </c>
      <c r="F152" s="39">
        <f>'Data entry HQ only'!L152</f>
        <v>0</v>
      </c>
      <c r="G152" s="39">
        <f>'Data entry HQ only'!O152</f>
        <v>0</v>
      </c>
      <c r="H152" s="39">
        <f>'Data entry HQ only'!R152</f>
        <v>0</v>
      </c>
      <c r="I152" s="39">
        <f>'Data entry HQ only'!U152</f>
        <v>0</v>
      </c>
      <c r="J152" s="39">
        <f>'Data entry HQ only'!X152</f>
        <v>0</v>
      </c>
      <c r="K152" s="39">
        <f>'Data entry HQ only'!AA152</f>
        <v>0</v>
      </c>
      <c r="L152" s="39">
        <f>'Data entry HQ only'!AD152</f>
        <v>0</v>
      </c>
      <c r="M152" s="39">
        <f>'Data entry HQ only'!AG152</f>
        <v>0</v>
      </c>
      <c r="N152" s="39">
        <f>'Data entry HQ only'!AJ152</f>
        <v>0</v>
      </c>
      <c r="O152" s="39">
        <f>'Data entry HQ only'!AM152</f>
        <v>0</v>
      </c>
      <c r="Q152" s="224">
        <f>C152-'HQ only ORG'!C152</f>
        <v>0</v>
      </c>
      <c r="R152" s="224">
        <f>SUM(D152:I152)-SUM('HQ only ORG'!D152:I152)</f>
        <v>0</v>
      </c>
    </row>
    <row r="153" spans="2:18" ht="14" x14ac:dyDescent="0.15">
      <c r="B153" s="38" t="s">
        <v>106</v>
      </c>
      <c r="C153" s="39">
        <f>'Data entry HQ only'!C153</f>
        <v>-4193451.4056000002</v>
      </c>
      <c r="D153" s="39">
        <f>'Data entry HQ only'!F153</f>
        <v>-468777.36</v>
      </c>
      <c r="E153" s="39">
        <f>'Data entry HQ only'!I153</f>
        <v>-1268229.6499999999</v>
      </c>
      <c r="F153" s="39">
        <f>'Data entry HQ only'!L153</f>
        <v>-1457014.04</v>
      </c>
      <c r="G153" s="39">
        <f>'Data entry HQ only'!O153</f>
        <v>-483166.92</v>
      </c>
      <c r="H153" s="39">
        <f>'Data entry HQ only'!R153</f>
        <v>-24692.400000000001</v>
      </c>
      <c r="I153" s="39">
        <f>'Data entry HQ only'!U153</f>
        <v>-722683.22</v>
      </c>
      <c r="J153" s="39">
        <f>'Data entry HQ only'!X153</f>
        <v>405271.35379999998</v>
      </c>
      <c r="K153" s="39">
        <f>'Data entry HQ only'!AA153</f>
        <v>336489.1765</v>
      </c>
      <c r="L153" s="39">
        <f>'Data entry HQ only'!AD153</f>
        <v>276346.23700000002</v>
      </c>
      <c r="M153" s="39">
        <f>'Data entry HQ only'!AG153</f>
        <v>68890.861799999999</v>
      </c>
      <c r="N153" s="39">
        <f>'Data entry HQ only'!AJ153</f>
        <v>-397829.76189999998</v>
      </c>
      <c r="O153" s="39">
        <f>'Data entry HQ only'!AM153</f>
        <v>-458055.68280000001</v>
      </c>
      <c r="Q153" s="224">
        <f>C153-'HQ only ORG'!C153</f>
        <v>-1958689.1430000002</v>
      </c>
      <c r="R153" s="224">
        <f>SUM(D153:I153)-SUM('HQ only ORG'!D153:I153)</f>
        <v>-1817539.5503000002</v>
      </c>
    </row>
    <row r="154" spans="2:18" ht="14" x14ac:dyDescent="0.15">
      <c r="B154" s="38" t="s">
        <v>107</v>
      </c>
      <c r="C154" s="39">
        <f>'Data entry HQ only'!C154</f>
        <v>-4220451.4056000002</v>
      </c>
      <c r="D154" s="39">
        <f>'Data entry HQ only'!F154</f>
        <v>-468777.36</v>
      </c>
      <c r="E154" s="39">
        <f>'Data entry HQ only'!I154</f>
        <v>-1268229.6499999999</v>
      </c>
      <c r="F154" s="39">
        <f>'Data entry HQ only'!L154</f>
        <v>-1457014.04</v>
      </c>
      <c r="G154" s="39">
        <f>'Data entry HQ only'!O154</f>
        <v>-483166.92</v>
      </c>
      <c r="H154" s="39">
        <f>'Data entry HQ only'!R154</f>
        <v>-24692.400000000001</v>
      </c>
      <c r="I154" s="39">
        <f>'Data entry HQ only'!U154</f>
        <v>-722683.22</v>
      </c>
      <c r="J154" s="39">
        <f>'Data entry HQ only'!X154</f>
        <v>400771.35379999998</v>
      </c>
      <c r="K154" s="39">
        <f>'Data entry HQ only'!AA154</f>
        <v>331989.1765</v>
      </c>
      <c r="L154" s="39">
        <f>'Data entry HQ only'!AD154</f>
        <v>271846.23700000002</v>
      </c>
      <c r="M154" s="39">
        <f>'Data entry HQ only'!AG154</f>
        <v>64390.861799999999</v>
      </c>
      <c r="N154" s="39">
        <f>'Data entry HQ only'!AJ154</f>
        <v>-402329.76189999998</v>
      </c>
      <c r="O154" s="39">
        <f>'Data entry HQ only'!AM154</f>
        <v>-462555.68280000001</v>
      </c>
      <c r="Q154" s="224">
        <f>C154-'HQ only ORG'!C154</f>
        <v>-1931689.1430000002</v>
      </c>
      <c r="R154" s="224">
        <f>SUM(D154:I154)-SUM('HQ only ORG'!D154:I154)</f>
        <v>-1790539.5503000002</v>
      </c>
    </row>
    <row r="155" spans="2:18" ht="14" x14ac:dyDescent="0.15">
      <c r="B155" s="42" t="s">
        <v>108</v>
      </c>
      <c r="C155" s="39">
        <f>'Data entry HQ only'!C155</f>
        <v>0</v>
      </c>
      <c r="D155" s="39">
        <f>'Data entry HQ only'!F155</f>
        <v>0</v>
      </c>
      <c r="E155" s="39">
        <f>'Data entry HQ only'!I155</f>
        <v>0</v>
      </c>
      <c r="F155" s="39">
        <f>'Data entry HQ only'!L155</f>
        <v>0</v>
      </c>
      <c r="G155" s="39">
        <f>'Data entry HQ only'!O155</f>
        <v>0</v>
      </c>
      <c r="H155" s="39">
        <f>'Data entry HQ only'!R155</f>
        <v>0</v>
      </c>
      <c r="I155" s="39">
        <f>'Data entry HQ only'!U155</f>
        <v>0</v>
      </c>
      <c r="J155" s="39">
        <f>'Data entry HQ only'!X155</f>
        <v>0</v>
      </c>
      <c r="K155" s="39">
        <f>'Data entry HQ only'!AA155</f>
        <v>0</v>
      </c>
      <c r="L155" s="39">
        <f>'Data entry HQ only'!AD155</f>
        <v>0</v>
      </c>
      <c r="M155" s="39">
        <f>'Data entry HQ only'!AG155</f>
        <v>0</v>
      </c>
      <c r="N155" s="39">
        <f>'Data entry HQ only'!AJ155</f>
        <v>0</v>
      </c>
      <c r="O155" s="39">
        <f>'Data entry HQ only'!AM155</f>
        <v>0</v>
      </c>
      <c r="Q155" s="224">
        <f>C155-'HQ only ORG'!C155</f>
        <v>0</v>
      </c>
      <c r="R155" s="224">
        <f>SUM(D155:I155)-SUM('HQ only ORG'!D155:I155)</f>
        <v>0</v>
      </c>
    </row>
    <row r="156" spans="2:18" ht="14" x14ac:dyDescent="0.15">
      <c r="B156" s="38" t="s">
        <v>109</v>
      </c>
      <c r="C156" s="39">
        <f>'Data entry HQ only'!C156</f>
        <v>0</v>
      </c>
      <c r="D156" s="39">
        <f>'Data entry HQ only'!F156</f>
        <v>0</v>
      </c>
      <c r="E156" s="39">
        <f>'Data entry HQ only'!I156</f>
        <v>0</v>
      </c>
      <c r="F156" s="39">
        <f>'Data entry HQ only'!L156</f>
        <v>0</v>
      </c>
      <c r="G156" s="39">
        <f>'Data entry HQ only'!O156</f>
        <v>0</v>
      </c>
      <c r="H156" s="39">
        <f>'Data entry HQ only'!R156</f>
        <v>0</v>
      </c>
      <c r="I156" s="39">
        <f>'Data entry HQ only'!U156</f>
        <v>0</v>
      </c>
      <c r="J156" s="39">
        <f>'Data entry HQ only'!X156</f>
        <v>0</v>
      </c>
      <c r="K156" s="39">
        <f>'Data entry HQ only'!AA156</f>
        <v>0</v>
      </c>
      <c r="L156" s="39">
        <f>'Data entry HQ only'!AD156</f>
        <v>0</v>
      </c>
      <c r="M156" s="39">
        <f>'Data entry HQ only'!AG156</f>
        <v>0</v>
      </c>
      <c r="N156" s="39">
        <f>'Data entry HQ only'!AJ156</f>
        <v>0</v>
      </c>
      <c r="O156" s="39">
        <f>'Data entry HQ only'!AM156</f>
        <v>0</v>
      </c>
      <c r="Q156" s="224">
        <f>C156-'HQ only ORG'!C156</f>
        <v>0</v>
      </c>
      <c r="R156" s="224">
        <f>SUM(D156:I156)-SUM('HQ only ORG'!D156:I156)</f>
        <v>0</v>
      </c>
    </row>
    <row r="157" spans="2:18" ht="14" x14ac:dyDescent="0.15">
      <c r="B157" s="38" t="s">
        <v>110</v>
      </c>
      <c r="C157" s="39">
        <f>'Data entry HQ only'!C157</f>
        <v>0</v>
      </c>
      <c r="D157" s="39">
        <f>'Data entry HQ only'!F157</f>
        <v>0</v>
      </c>
      <c r="E157" s="39">
        <f>'Data entry HQ only'!I157</f>
        <v>0</v>
      </c>
      <c r="F157" s="39">
        <f>'Data entry HQ only'!L157</f>
        <v>0</v>
      </c>
      <c r="G157" s="39">
        <f>'Data entry HQ only'!O157</f>
        <v>0</v>
      </c>
      <c r="H157" s="39">
        <f>'Data entry HQ only'!R157</f>
        <v>0</v>
      </c>
      <c r="I157" s="39">
        <f>'Data entry HQ only'!U157</f>
        <v>0</v>
      </c>
      <c r="J157" s="39">
        <f>'Data entry HQ only'!X157</f>
        <v>0</v>
      </c>
      <c r="K157" s="39">
        <f>'Data entry HQ only'!AA157</f>
        <v>0</v>
      </c>
      <c r="L157" s="39">
        <f>'Data entry HQ only'!AD157</f>
        <v>0</v>
      </c>
      <c r="M157" s="39">
        <f>'Data entry HQ only'!AG157</f>
        <v>0</v>
      </c>
      <c r="N157" s="39">
        <f>'Data entry HQ only'!AJ157</f>
        <v>0</v>
      </c>
      <c r="O157" s="39">
        <f>'Data entry HQ only'!AM157</f>
        <v>0</v>
      </c>
      <c r="Q157" s="224">
        <f>C157-'HQ only ORG'!C157</f>
        <v>0</v>
      </c>
      <c r="R157" s="224">
        <f>SUM(D157:I157)-SUM('HQ only ORG'!D157:I157)</f>
        <v>0</v>
      </c>
    </row>
    <row r="158" spans="2:18" ht="14" x14ac:dyDescent="0.15">
      <c r="B158" s="38" t="s">
        <v>111</v>
      </c>
      <c r="C158" s="39">
        <f>'Data entry HQ only'!C158</f>
        <v>0</v>
      </c>
      <c r="D158" s="39">
        <f>'Data entry HQ only'!F158</f>
        <v>0</v>
      </c>
      <c r="E158" s="39">
        <f>'Data entry HQ only'!I158</f>
        <v>0</v>
      </c>
      <c r="F158" s="39">
        <f>'Data entry HQ only'!L158</f>
        <v>0</v>
      </c>
      <c r="G158" s="39">
        <f>'Data entry HQ only'!O158</f>
        <v>0</v>
      </c>
      <c r="H158" s="39">
        <f>'Data entry HQ only'!R158</f>
        <v>0</v>
      </c>
      <c r="I158" s="39">
        <f>'Data entry HQ only'!U158</f>
        <v>0</v>
      </c>
      <c r="J158" s="39">
        <f>'Data entry HQ only'!X158</f>
        <v>0</v>
      </c>
      <c r="K158" s="39">
        <f>'Data entry HQ only'!AA158</f>
        <v>0</v>
      </c>
      <c r="L158" s="39">
        <f>'Data entry HQ only'!AD158</f>
        <v>0</v>
      </c>
      <c r="M158" s="39">
        <f>'Data entry HQ only'!AG158</f>
        <v>0</v>
      </c>
      <c r="N158" s="39">
        <f>'Data entry HQ only'!AJ158</f>
        <v>0</v>
      </c>
      <c r="O158" s="39">
        <f>'Data entry HQ only'!AM158</f>
        <v>0</v>
      </c>
      <c r="Q158" s="224">
        <f>C158-'HQ only ORG'!C158</f>
        <v>0</v>
      </c>
      <c r="R158" s="224">
        <f>SUM(D158:I158)-SUM('HQ only ORG'!D158:I158)</f>
        <v>0</v>
      </c>
    </row>
    <row r="159" spans="2:18" ht="14" x14ac:dyDescent="0.15">
      <c r="B159" s="38" t="s">
        <v>112</v>
      </c>
      <c r="C159" s="39">
        <f>'Data entry HQ only'!C159</f>
        <v>0</v>
      </c>
      <c r="D159" s="39">
        <f>'Data entry HQ only'!F159</f>
        <v>0</v>
      </c>
      <c r="E159" s="39">
        <f>'Data entry HQ only'!I159</f>
        <v>0</v>
      </c>
      <c r="F159" s="39">
        <f>'Data entry HQ only'!L159</f>
        <v>0</v>
      </c>
      <c r="G159" s="39">
        <f>'Data entry HQ only'!O159</f>
        <v>0</v>
      </c>
      <c r="H159" s="39">
        <f>'Data entry HQ only'!R159</f>
        <v>0</v>
      </c>
      <c r="I159" s="39">
        <f>'Data entry HQ only'!U159</f>
        <v>0</v>
      </c>
      <c r="J159" s="39">
        <f>'Data entry HQ only'!X159</f>
        <v>0</v>
      </c>
      <c r="K159" s="39">
        <f>'Data entry HQ only'!AA159</f>
        <v>0</v>
      </c>
      <c r="L159" s="39">
        <f>'Data entry HQ only'!AD159</f>
        <v>0</v>
      </c>
      <c r="M159" s="39">
        <f>'Data entry HQ only'!AG159</f>
        <v>0</v>
      </c>
      <c r="N159" s="39">
        <f>'Data entry HQ only'!AJ159</f>
        <v>0</v>
      </c>
      <c r="O159" s="39">
        <f>'Data entry HQ only'!AM159</f>
        <v>0</v>
      </c>
      <c r="Q159" s="224">
        <f>C159-'HQ only ORG'!C159</f>
        <v>0</v>
      </c>
      <c r="R159" s="224">
        <f>SUM(D159:I159)-SUM('HQ only ORG'!D159:I159)</f>
        <v>0</v>
      </c>
    </row>
    <row r="160" spans="2:18" ht="14" x14ac:dyDescent="0.15">
      <c r="B160" s="38" t="s">
        <v>113</v>
      </c>
      <c r="C160" s="39">
        <f>'Data entry HQ only'!C160</f>
        <v>0</v>
      </c>
      <c r="D160" s="39">
        <f>'Data entry HQ only'!F160</f>
        <v>0</v>
      </c>
      <c r="E160" s="39">
        <f>'Data entry HQ only'!I160</f>
        <v>0</v>
      </c>
      <c r="F160" s="39">
        <f>'Data entry HQ only'!L160</f>
        <v>0</v>
      </c>
      <c r="G160" s="39">
        <f>'Data entry HQ only'!O160</f>
        <v>0</v>
      </c>
      <c r="H160" s="39">
        <f>'Data entry HQ only'!R160</f>
        <v>0</v>
      </c>
      <c r="I160" s="39">
        <f>'Data entry HQ only'!U160</f>
        <v>0</v>
      </c>
      <c r="J160" s="39">
        <f>'Data entry HQ only'!X160</f>
        <v>0</v>
      </c>
      <c r="K160" s="39">
        <f>'Data entry HQ only'!AA160</f>
        <v>0</v>
      </c>
      <c r="L160" s="39">
        <f>'Data entry HQ only'!AD160</f>
        <v>0</v>
      </c>
      <c r="M160" s="39">
        <f>'Data entry HQ only'!AG160</f>
        <v>0</v>
      </c>
      <c r="N160" s="39">
        <f>'Data entry HQ only'!AJ160</f>
        <v>0</v>
      </c>
      <c r="O160" s="39">
        <f>'Data entry HQ only'!AM160</f>
        <v>0</v>
      </c>
      <c r="Q160" s="224">
        <f>C160-'HQ only ORG'!C160</f>
        <v>0</v>
      </c>
      <c r="R160" s="224">
        <f>SUM(D160:I160)-SUM('HQ only ORG'!D160:I160)</f>
        <v>0</v>
      </c>
    </row>
    <row r="161" spans="2:18" ht="14" x14ac:dyDescent="0.15">
      <c r="B161" s="38" t="s">
        <v>114</v>
      </c>
      <c r="C161" s="39">
        <f>'Data entry HQ only'!C161</f>
        <v>0</v>
      </c>
      <c r="D161" s="39">
        <f>'Data entry HQ only'!F161</f>
        <v>0</v>
      </c>
      <c r="E161" s="39">
        <f>'Data entry HQ only'!I161</f>
        <v>0</v>
      </c>
      <c r="F161" s="39">
        <f>'Data entry HQ only'!L161</f>
        <v>0</v>
      </c>
      <c r="G161" s="39">
        <f>'Data entry HQ only'!O161</f>
        <v>0</v>
      </c>
      <c r="H161" s="39">
        <f>'Data entry HQ only'!R161</f>
        <v>0</v>
      </c>
      <c r="I161" s="39">
        <f>'Data entry HQ only'!U161</f>
        <v>0</v>
      </c>
      <c r="J161" s="39">
        <f>'Data entry HQ only'!X161</f>
        <v>0</v>
      </c>
      <c r="K161" s="39">
        <f>'Data entry HQ only'!AA161</f>
        <v>0</v>
      </c>
      <c r="L161" s="39">
        <f>'Data entry HQ only'!AD161</f>
        <v>0</v>
      </c>
      <c r="M161" s="39">
        <f>'Data entry HQ only'!AG161</f>
        <v>0</v>
      </c>
      <c r="N161" s="39">
        <f>'Data entry HQ only'!AJ161</f>
        <v>0</v>
      </c>
      <c r="O161" s="39">
        <f>'Data entry HQ only'!AM161</f>
        <v>0</v>
      </c>
      <c r="Q161" s="224">
        <f>C161-'HQ only ORG'!C161</f>
        <v>0</v>
      </c>
      <c r="R161" s="224">
        <f>SUM(D161:I161)-SUM('HQ only ORG'!D161:I161)</f>
        <v>0</v>
      </c>
    </row>
    <row r="162" spans="2:18" ht="14" x14ac:dyDescent="0.15">
      <c r="B162" s="42" t="s">
        <v>115</v>
      </c>
      <c r="C162" s="39">
        <f>'Data entry HQ only'!C162</f>
        <v>8415.81</v>
      </c>
      <c r="D162" s="39">
        <f>'Data entry HQ only'!F162</f>
        <v>0</v>
      </c>
      <c r="E162" s="39">
        <f>'Data entry HQ only'!I162</f>
        <v>6270.89</v>
      </c>
      <c r="F162" s="39">
        <f>'Data entry HQ only'!L162</f>
        <v>0</v>
      </c>
      <c r="G162" s="39">
        <f>'Data entry HQ only'!O162</f>
        <v>2174.6799999999998</v>
      </c>
      <c r="H162" s="39">
        <f>'Data entry HQ only'!R162</f>
        <v>282.64</v>
      </c>
      <c r="I162" s="39">
        <f>'Data entry HQ only'!U162</f>
        <v>-312.39999999999998</v>
      </c>
      <c r="J162" s="39">
        <f>'Data entry HQ only'!X162</f>
        <v>0</v>
      </c>
      <c r="K162" s="39">
        <f>'Data entry HQ only'!AA162</f>
        <v>0</v>
      </c>
      <c r="L162" s="39">
        <f>'Data entry HQ only'!AD162</f>
        <v>0</v>
      </c>
      <c r="M162" s="39">
        <f>'Data entry HQ only'!AG162</f>
        <v>0</v>
      </c>
      <c r="N162" s="39">
        <f>'Data entry HQ only'!AJ162</f>
        <v>0</v>
      </c>
      <c r="O162" s="39">
        <f>'Data entry HQ only'!AM162</f>
        <v>0</v>
      </c>
      <c r="Q162" s="224">
        <f>C162-'HQ only ORG'!C162</f>
        <v>8415.81</v>
      </c>
      <c r="R162" s="224">
        <f>SUM(D162:I162)-SUM('HQ only ORG'!D162:I162)</f>
        <v>8415.81</v>
      </c>
    </row>
    <row r="163" spans="2:18" ht="14" x14ac:dyDescent="0.15">
      <c r="B163" s="38" t="s">
        <v>116</v>
      </c>
      <c r="C163" s="39">
        <f>'Data entry HQ only'!C163</f>
        <v>0</v>
      </c>
      <c r="D163" s="39">
        <f>'Data entry HQ only'!F163</f>
        <v>0</v>
      </c>
      <c r="E163" s="39">
        <f>'Data entry HQ only'!I163</f>
        <v>0</v>
      </c>
      <c r="F163" s="39">
        <f>'Data entry HQ only'!L163</f>
        <v>0</v>
      </c>
      <c r="G163" s="39">
        <f>'Data entry HQ only'!O163</f>
        <v>0</v>
      </c>
      <c r="H163" s="39">
        <f>'Data entry HQ only'!R163</f>
        <v>0</v>
      </c>
      <c r="I163" s="39">
        <f>'Data entry HQ only'!U163</f>
        <v>0</v>
      </c>
      <c r="J163" s="39">
        <f>'Data entry HQ only'!X163</f>
        <v>0</v>
      </c>
      <c r="K163" s="39">
        <f>'Data entry HQ only'!AA163</f>
        <v>0</v>
      </c>
      <c r="L163" s="39">
        <f>'Data entry HQ only'!AD163</f>
        <v>0</v>
      </c>
      <c r="M163" s="39">
        <f>'Data entry HQ only'!AG163</f>
        <v>0</v>
      </c>
      <c r="N163" s="39">
        <f>'Data entry HQ only'!AJ163</f>
        <v>0</v>
      </c>
      <c r="O163" s="39">
        <f>'Data entry HQ only'!AM163</f>
        <v>0</v>
      </c>
      <c r="Q163" s="224">
        <f>C163-'HQ only ORG'!C163</f>
        <v>0</v>
      </c>
      <c r="R163" s="224">
        <f>SUM(D163:I163)-SUM('HQ only ORG'!D163:I163)</f>
        <v>0</v>
      </c>
    </row>
    <row r="164" spans="2:18" ht="14" x14ac:dyDescent="0.15">
      <c r="B164" s="38" t="s">
        <v>117</v>
      </c>
      <c r="C164" s="39">
        <f>'Data entry HQ only'!C164</f>
        <v>6220.26</v>
      </c>
      <c r="D164" s="39">
        <f>'Data entry HQ only'!F164</f>
        <v>0</v>
      </c>
      <c r="E164" s="39">
        <f>'Data entry HQ only'!I164</f>
        <v>5607.91</v>
      </c>
      <c r="F164" s="39">
        <f>'Data entry HQ only'!L164</f>
        <v>0</v>
      </c>
      <c r="G164" s="39">
        <f>'Data entry HQ only'!O164</f>
        <v>0</v>
      </c>
      <c r="H164" s="39">
        <f>'Data entry HQ only'!R164</f>
        <v>924.75</v>
      </c>
      <c r="I164" s="39">
        <f>'Data entry HQ only'!U164</f>
        <v>-312.39999999999998</v>
      </c>
      <c r="J164" s="39">
        <f>'Data entry HQ only'!X164</f>
        <v>0</v>
      </c>
      <c r="K164" s="39">
        <f>'Data entry HQ only'!AA164</f>
        <v>0</v>
      </c>
      <c r="L164" s="39">
        <f>'Data entry HQ only'!AD164</f>
        <v>0</v>
      </c>
      <c r="M164" s="39">
        <f>'Data entry HQ only'!AG164</f>
        <v>0</v>
      </c>
      <c r="N164" s="39">
        <f>'Data entry HQ only'!AJ164</f>
        <v>0</v>
      </c>
      <c r="O164" s="39">
        <f>'Data entry HQ only'!AM164</f>
        <v>0</v>
      </c>
      <c r="Q164" s="224">
        <f>C164-'HQ only ORG'!C164</f>
        <v>6220.26</v>
      </c>
      <c r="R164" s="224">
        <f>SUM(D164:I164)-SUM('HQ only ORG'!D164:I164)</f>
        <v>6220.26</v>
      </c>
    </row>
    <row r="165" spans="2:18" ht="14" x14ac:dyDescent="0.15">
      <c r="B165" s="38" t="s">
        <v>118</v>
      </c>
      <c r="C165" s="39">
        <f>'Data entry HQ only'!C165</f>
        <v>2195.5500000000002</v>
      </c>
      <c r="D165" s="39">
        <f>'Data entry HQ only'!F165</f>
        <v>0</v>
      </c>
      <c r="E165" s="39">
        <f>'Data entry HQ only'!I165</f>
        <v>662.98</v>
      </c>
      <c r="F165" s="39">
        <f>'Data entry HQ only'!L165</f>
        <v>0</v>
      </c>
      <c r="G165" s="39">
        <f>'Data entry HQ only'!O165</f>
        <v>2174.6799999999998</v>
      </c>
      <c r="H165" s="39">
        <f>'Data entry HQ only'!R165</f>
        <v>-642.11</v>
      </c>
      <c r="I165" s="39">
        <f>'Data entry HQ only'!U165</f>
        <v>0</v>
      </c>
      <c r="J165" s="39">
        <f>'Data entry HQ only'!X165</f>
        <v>0</v>
      </c>
      <c r="K165" s="39">
        <f>'Data entry HQ only'!AA165</f>
        <v>0</v>
      </c>
      <c r="L165" s="39">
        <f>'Data entry HQ only'!AD165</f>
        <v>0</v>
      </c>
      <c r="M165" s="39">
        <f>'Data entry HQ only'!AG165</f>
        <v>0</v>
      </c>
      <c r="N165" s="39">
        <f>'Data entry HQ only'!AJ165</f>
        <v>0</v>
      </c>
      <c r="O165" s="39">
        <f>'Data entry HQ only'!AM165</f>
        <v>0</v>
      </c>
      <c r="Q165" s="224">
        <f>C165-'HQ only ORG'!C165</f>
        <v>2195.5500000000002</v>
      </c>
      <c r="R165" s="224">
        <f>SUM(D165:I165)-SUM('HQ only ORG'!D165:I165)</f>
        <v>2195.5499999999997</v>
      </c>
    </row>
    <row r="166" spans="2:18" ht="14" x14ac:dyDescent="0.15">
      <c r="B166" s="38" t="s">
        <v>119</v>
      </c>
      <c r="C166" s="39">
        <f>'Data entry HQ only'!C166</f>
        <v>0</v>
      </c>
      <c r="D166" s="39">
        <f>'Data entry HQ only'!F166</f>
        <v>0</v>
      </c>
      <c r="E166" s="39">
        <f>'Data entry HQ only'!I166</f>
        <v>0</v>
      </c>
      <c r="F166" s="39">
        <f>'Data entry HQ only'!L166</f>
        <v>0</v>
      </c>
      <c r="G166" s="39">
        <f>'Data entry HQ only'!O166</f>
        <v>0</v>
      </c>
      <c r="H166" s="39">
        <f>'Data entry HQ only'!R166</f>
        <v>0</v>
      </c>
      <c r="I166" s="39">
        <f>'Data entry HQ only'!U166</f>
        <v>0</v>
      </c>
      <c r="J166" s="39">
        <f>'Data entry HQ only'!X166</f>
        <v>0</v>
      </c>
      <c r="K166" s="39">
        <f>'Data entry HQ only'!AA166</f>
        <v>0</v>
      </c>
      <c r="L166" s="39">
        <f>'Data entry HQ only'!AD166</f>
        <v>0</v>
      </c>
      <c r="M166" s="39">
        <f>'Data entry HQ only'!AG166</f>
        <v>0</v>
      </c>
      <c r="N166" s="39">
        <f>'Data entry HQ only'!AJ166</f>
        <v>0</v>
      </c>
      <c r="O166" s="39">
        <f>'Data entry HQ only'!AM166</f>
        <v>0</v>
      </c>
      <c r="Q166" s="224">
        <f>C166-'HQ only ORG'!C166</f>
        <v>0</v>
      </c>
      <c r="R166" s="224">
        <f>SUM(D166:I166)-SUM('HQ only ORG'!D166:I166)</f>
        <v>0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5A33-A1C3-4EF9-BDEF-F1CB8862BCFD}">
  <sheetPr>
    <pageSetUpPr fitToPage="1"/>
  </sheetPr>
  <dimension ref="B2:R169"/>
  <sheetViews>
    <sheetView zoomScale="70" zoomScaleNormal="70" workbookViewId="0">
      <pane xSplit="2" ySplit="10" topLeftCell="C11" activePane="bottomRight" state="frozen"/>
      <selection pane="topRight"/>
      <selection pane="bottomLeft"/>
      <selection pane="bottomRight" activeCell="I13" sqref="I13"/>
    </sheetView>
  </sheetViews>
  <sheetFormatPr baseColWidth="10" defaultColWidth="8.83203125" defaultRowHeight="13" x14ac:dyDescent="0.15"/>
  <cols>
    <col min="1" max="1" width="0.6640625" style="33" customWidth="1"/>
    <col min="2" max="2" width="34.6640625" style="33" customWidth="1"/>
    <col min="3" max="3" width="15.6640625" style="33" bestFit="1" customWidth="1"/>
    <col min="4" max="15" width="14.5" style="33" customWidth="1"/>
    <col min="16" max="16" width="0.6640625" style="33" customWidth="1"/>
    <col min="17" max="17" width="14.33203125" style="33" bestFit="1" customWidth="1"/>
    <col min="18" max="18" width="14.6640625" style="33" bestFit="1" customWidth="1"/>
    <col min="19" max="16384" width="8.83203125" style="33"/>
  </cols>
  <sheetData>
    <row r="2" spans="2:18" ht="35" customHeight="1" x14ac:dyDescent="0.3">
      <c r="B2" s="34" t="s">
        <v>0</v>
      </c>
    </row>
    <row r="3" spans="2:18" ht="14" x14ac:dyDescent="0.15">
      <c r="B3" s="35" t="s">
        <v>126</v>
      </c>
      <c r="C3" s="36"/>
    </row>
    <row r="4" spans="2:18" ht="14" x14ac:dyDescent="0.15">
      <c r="B4" s="35" t="s">
        <v>2</v>
      </c>
      <c r="C4" s="36"/>
    </row>
    <row r="5" spans="2:18" ht="14" x14ac:dyDescent="0.15">
      <c r="B5" s="35" t="s">
        <v>3</v>
      </c>
      <c r="C5" s="36">
        <f>C28/C27</f>
        <v>0.69102184417305701</v>
      </c>
    </row>
    <row r="6" spans="2:18" ht="14" x14ac:dyDescent="0.15">
      <c r="B6" s="35" t="s">
        <v>4</v>
      </c>
      <c r="C6" s="36"/>
    </row>
    <row r="7" spans="2:18" ht="14" x14ac:dyDescent="0.15">
      <c r="B7" s="35" t="s">
        <v>5</v>
      </c>
      <c r="C7" s="36"/>
    </row>
    <row r="8" spans="2:18" ht="14" x14ac:dyDescent="0.15">
      <c r="B8" s="35" t="s">
        <v>6</v>
      </c>
      <c r="C8" s="36"/>
    </row>
    <row r="10" spans="2:18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  <c r="Q10" s="33" t="s">
        <v>373</v>
      </c>
      <c r="R10" s="33" t="s">
        <v>374</v>
      </c>
    </row>
    <row r="11" spans="2:18" ht="14" x14ac:dyDescent="0.15">
      <c r="B11" s="38" t="s">
        <v>21</v>
      </c>
      <c r="C11" s="39">
        <f>'Data entry hotel only'!C11</f>
        <v>93365066.829699993</v>
      </c>
      <c r="D11" s="39">
        <f>'Data entry hotel only'!F11</f>
        <v>5324462.53</v>
      </c>
      <c r="E11" s="39">
        <f>'Data entry hotel only'!I11</f>
        <v>6311402.4699999997</v>
      </c>
      <c r="F11" s="39">
        <f>'Data entry hotel only'!L11</f>
        <v>8569487.6699999999</v>
      </c>
      <c r="G11" s="39">
        <f>'Data entry hotel only'!O11</f>
        <v>6313744.0499999998</v>
      </c>
      <c r="H11" s="39">
        <f>'Data entry hotel only'!R11</f>
        <v>8687115.6600000001</v>
      </c>
      <c r="I11" s="39">
        <f>'Data entry hotel only'!U11</f>
        <v>7353274.8399999999</v>
      </c>
      <c r="J11" s="39">
        <f>'Data entry hotel only'!X11</f>
        <v>6427992.7048000004</v>
      </c>
      <c r="K11" s="39">
        <f>'Data entry hotel only'!AA11</f>
        <v>7105821.2424999997</v>
      </c>
      <c r="L11" s="39">
        <f>'Data entry hotel only'!AD11</f>
        <v>10549865.398399999</v>
      </c>
      <c r="M11" s="39">
        <f>'Data entry hotel only'!AG11</f>
        <v>10432178.8453</v>
      </c>
      <c r="N11" s="39">
        <f>'Data entry hotel only'!AJ11</f>
        <v>9491176.3024000004</v>
      </c>
      <c r="O11" s="39">
        <f>'Data entry hotel only'!AM11</f>
        <v>6798545.1162999999</v>
      </c>
      <c r="Q11" s="223">
        <f>'Hotels Only'!C11-'Hotels ORG'!C11</f>
        <v>-10879689.5167</v>
      </c>
      <c r="R11" s="224">
        <f>SUM(D11:I11)-SUM('Hotels ORG'!D11:I11)</f>
        <v>-7230020.2507000044</v>
      </c>
    </row>
    <row r="12" spans="2:18" ht="14" x14ac:dyDescent="0.15">
      <c r="B12" s="38" t="s">
        <v>22</v>
      </c>
      <c r="C12" s="39">
        <f>'Data entry hotel only'!C12</f>
        <v>34779702.941100001</v>
      </c>
      <c r="D12" s="39">
        <f>'Data entry hotel only'!F12</f>
        <v>2616690.87</v>
      </c>
      <c r="E12" s="39">
        <f>'Data entry hotel only'!I12</f>
        <v>2868718.3</v>
      </c>
      <c r="F12" s="39">
        <f>'Data entry hotel only'!L12</f>
        <v>2923326.94</v>
      </c>
      <c r="G12" s="39">
        <f>'Data entry hotel only'!O12</f>
        <v>2774658.97</v>
      </c>
      <c r="H12" s="39">
        <f>'Data entry hotel only'!R12</f>
        <v>2994095.05</v>
      </c>
      <c r="I12" s="39">
        <f>'Data entry hotel only'!U12</f>
        <v>2987181.98</v>
      </c>
      <c r="J12" s="39">
        <f>'Data entry hotel only'!X12</f>
        <v>2739108.9752000002</v>
      </c>
      <c r="K12" s="39">
        <f>'Data entry hotel only'!AA12</f>
        <v>2810959.4515</v>
      </c>
      <c r="L12" s="39">
        <f>'Data entry hotel only'!AD12</f>
        <v>3088133.0153999999</v>
      </c>
      <c r="M12" s="39">
        <f>'Data entry hotel only'!AG12</f>
        <v>3015853.8706999999</v>
      </c>
      <c r="N12" s="39">
        <f>'Data entry hotel only'!AJ12</f>
        <v>3172464.5776999998</v>
      </c>
      <c r="O12" s="39">
        <f>'Data entry hotel only'!AM12</f>
        <v>2788510.9405999999</v>
      </c>
      <c r="Q12" s="223">
        <f>'Hotels Only'!C12-'Hotels ORG'!C12</f>
        <v>-1092058.8088999987</v>
      </c>
      <c r="R12" s="224">
        <f>SUM(D12:I12)-SUM('Hotels ORG'!D12:I12)</f>
        <v>-640932.47850000113</v>
      </c>
    </row>
    <row r="13" spans="2:18" ht="14" x14ac:dyDescent="0.15">
      <c r="B13" s="38" t="s">
        <v>23</v>
      </c>
      <c r="C13" s="39">
        <f>'Data entry hotel only'!C13</f>
        <v>23766690.804400001</v>
      </c>
      <c r="D13" s="39">
        <f>'Data entry hotel only'!F13</f>
        <v>220835.82</v>
      </c>
      <c r="E13" s="39">
        <f>'Data entry hotel only'!I13</f>
        <v>761926.06</v>
      </c>
      <c r="F13" s="39">
        <f>'Data entry hotel only'!L13</f>
        <v>2656773.04</v>
      </c>
      <c r="G13" s="39">
        <f>'Data entry hotel only'!O13</f>
        <v>894056.98</v>
      </c>
      <c r="H13" s="39">
        <f>'Data entry hotel only'!R13</f>
        <v>2742367.6</v>
      </c>
      <c r="I13" s="39">
        <f>'Data entry hotel only'!U13</f>
        <v>1735525.65</v>
      </c>
      <c r="J13" s="39">
        <f>'Data entry hotel only'!X13</f>
        <v>978096.26859999995</v>
      </c>
      <c r="K13" s="39">
        <f>'Data entry hotel only'!AA13</f>
        <v>1538941.5876</v>
      </c>
      <c r="L13" s="39">
        <f>'Data entry hotel only'!AD13</f>
        <v>3849174.8672000002</v>
      </c>
      <c r="M13" s="39">
        <f>'Data entry hotel only'!AG13</f>
        <v>3933579.7411000002</v>
      </c>
      <c r="N13" s="39">
        <f>'Data entry hotel only'!AJ13</f>
        <v>3048474.3684999999</v>
      </c>
      <c r="O13" s="39">
        <f>'Data entry hotel only'!AM13</f>
        <v>1406938.8214</v>
      </c>
      <c r="Q13" s="223">
        <f>'Hotels Only'!C13-'Hotels ORG'!C13</f>
        <v>-7266188.3781999983</v>
      </c>
      <c r="R13" s="224">
        <f>SUM(D13:I13)-SUM('Hotels ORG'!D13:I13)</f>
        <v>-4674186.0088</v>
      </c>
    </row>
    <row r="14" spans="2:18" ht="14" x14ac:dyDescent="0.15">
      <c r="B14" s="38" t="s">
        <v>24</v>
      </c>
      <c r="C14" s="39">
        <f>'Data entry hotel only'!C14</f>
        <v>824777</v>
      </c>
      <c r="D14" s="39">
        <f>'Data entry hotel only'!F14</f>
        <v>69827</v>
      </c>
      <c r="E14" s="39">
        <f>'Data entry hotel only'!I14</f>
        <v>63336</v>
      </c>
      <c r="F14" s="39">
        <f>'Data entry hotel only'!L14</f>
        <v>70122</v>
      </c>
      <c r="G14" s="39">
        <f>'Data entry hotel only'!O14</f>
        <v>67860</v>
      </c>
      <c r="H14" s="39">
        <f>'Data entry hotel only'!R14</f>
        <v>70122</v>
      </c>
      <c r="I14" s="39">
        <f>'Data entry hotel only'!U14</f>
        <v>67670</v>
      </c>
      <c r="J14" s="39">
        <f>'Data entry hotel only'!X14</f>
        <v>70060</v>
      </c>
      <c r="K14" s="39">
        <f>'Data entry hotel only'!AA14</f>
        <v>70060</v>
      </c>
      <c r="L14" s="39">
        <f>'Data entry hotel only'!AD14</f>
        <v>67800</v>
      </c>
      <c r="M14" s="39">
        <f>'Data entry hotel only'!AG14</f>
        <v>70060</v>
      </c>
      <c r="N14" s="39">
        <f>'Data entry hotel only'!AJ14</f>
        <v>67800</v>
      </c>
      <c r="O14" s="39">
        <f>'Data entry hotel only'!AM14</f>
        <v>70060</v>
      </c>
      <c r="Q14" s="223">
        <f>'Hotels Only'!C14-'Hotels ORG'!C14</f>
        <v>-123</v>
      </c>
      <c r="R14" s="224">
        <f>SUM(D14:I14)-SUM('Hotels ORG'!D14:I14)</f>
        <v>-123</v>
      </c>
    </row>
    <row r="15" spans="2:18" ht="14" x14ac:dyDescent="0.15">
      <c r="B15" s="38" t="s">
        <v>25</v>
      </c>
      <c r="C15" s="39">
        <f>'Data entry hotel only'!C15</f>
        <v>500178</v>
      </c>
      <c r="D15" s="39">
        <f>'Data entry hotel only'!F15</f>
        <v>32112</v>
      </c>
      <c r="E15" s="39">
        <f>'Data entry hotel only'!I15</f>
        <v>39498</v>
      </c>
      <c r="F15" s="39">
        <f>'Data entry hotel only'!L15</f>
        <v>42839</v>
      </c>
      <c r="G15" s="39">
        <f>'Data entry hotel only'!O15</f>
        <v>36561</v>
      </c>
      <c r="H15" s="39">
        <f>'Data entry hotel only'!R15</f>
        <v>46413</v>
      </c>
      <c r="I15" s="39">
        <f>'Data entry hotel only'!U15</f>
        <v>42053</v>
      </c>
      <c r="J15" s="39">
        <f>'Data entry hotel only'!X15</f>
        <v>38554</v>
      </c>
      <c r="K15" s="39">
        <f>'Data entry hotel only'!AA15</f>
        <v>39995</v>
      </c>
      <c r="L15" s="39">
        <f>'Data entry hotel only'!AD15</f>
        <v>50790</v>
      </c>
      <c r="M15" s="39">
        <f>'Data entry hotel only'!AG15</f>
        <v>46463</v>
      </c>
      <c r="N15" s="39">
        <f>'Data entry hotel only'!AJ15</f>
        <v>47676</v>
      </c>
      <c r="O15" s="39">
        <f>'Data entry hotel only'!AM15</f>
        <v>37224</v>
      </c>
      <c r="Q15" s="223">
        <f>'Hotels Only'!C15-'Hotels ORG'!C15</f>
        <v>-39882</v>
      </c>
      <c r="R15" s="224">
        <f>SUM(D15:I15)-SUM('Hotels ORG'!D15:I15)</f>
        <v>-21499</v>
      </c>
    </row>
    <row r="16" spans="2:18" ht="14" x14ac:dyDescent="0.15">
      <c r="B16" s="38" t="s">
        <v>26</v>
      </c>
      <c r="C16" s="39">
        <f>'Data entry hotel only'!C16</f>
        <v>60.950050740987997</v>
      </c>
      <c r="D16" s="39">
        <f>'Data entry hotel only'!F16</f>
        <v>46.311598665273003</v>
      </c>
      <c r="E16" s="39">
        <f>'Data entry hotel only'!I16</f>
        <v>62.755778704054997</v>
      </c>
      <c r="F16" s="39">
        <f>'Data entry hotel only'!L16</f>
        <v>61.525626764781002</v>
      </c>
      <c r="G16" s="39">
        <f>'Data entry hotel only'!O16</f>
        <v>54.435602711465002</v>
      </c>
      <c r="H16" s="39">
        <f>'Data entry hotel only'!R16</f>
        <v>66.626736259661996</v>
      </c>
      <c r="I16" s="39">
        <f>'Data entry hotel only'!U16</f>
        <v>62.735333234815997</v>
      </c>
      <c r="J16" s="39">
        <f>'Data entry hotel only'!X16</f>
        <v>55.202683414215997</v>
      </c>
      <c r="K16" s="39">
        <f>'Data entry hotel only'!AA16</f>
        <v>57.238081644304998</v>
      </c>
      <c r="L16" s="39">
        <f>'Data entry hotel only'!AD16</f>
        <v>75.084070796459997</v>
      </c>
      <c r="M16" s="39">
        <f>'Data entry hotel only'!AG16</f>
        <v>66.485869254923998</v>
      </c>
      <c r="N16" s="39">
        <f>'Data entry hotel only'!AJ16</f>
        <v>70.479351032447994</v>
      </c>
      <c r="O16" s="39">
        <f>'Data entry hotel only'!AM16</f>
        <v>53.258635455323997</v>
      </c>
      <c r="Q16" s="223">
        <f>'Hotels Only'!C16-'Hotels ORG'!C16</f>
        <v>-4.8632599633400062</v>
      </c>
      <c r="R16" s="224">
        <f>SUM(D16:I16)-SUM('Hotels ORG'!D16:I16)</f>
        <v>-30.788714114388995</v>
      </c>
    </row>
    <row r="17" spans="2:18" ht="14" x14ac:dyDescent="0.15">
      <c r="B17" s="38" t="s">
        <v>27</v>
      </c>
      <c r="C17" s="39">
        <f>'Data entry hotel only'!C17</f>
        <v>128.98868135344</v>
      </c>
      <c r="D17" s="39">
        <f>'Data entry hotel only'!F17</f>
        <v>107.43508283508</v>
      </c>
      <c r="E17" s="39">
        <f>'Data entry hotel only'!I17</f>
        <v>104.22678616639</v>
      </c>
      <c r="F17" s="39">
        <f>'Data entry hotel only'!L17</f>
        <v>136.64449683698999</v>
      </c>
      <c r="G17" s="39">
        <f>'Data entry hotel only'!O17</f>
        <v>121.31010475642999</v>
      </c>
      <c r="H17" s="39">
        <f>'Data entry hotel only'!R17</f>
        <v>133.33805097710001</v>
      </c>
      <c r="I17" s="39">
        <f>'Data entry hotel only'!U17</f>
        <v>130.38279789788999</v>
      </c>
      <c r="J17" s="39">
        <f>'Data entry hotel only'!X17</f>
        <v>115.46039545831999</v>
      </c>
      <c r="K17" s="39">
        <f>'Data entry hotel only'!AA17</f>
        <v>125.79889655457001</v>
      </c>
      <c r="L17" s="39">
        <f>'Data entry hotel only'!AD17</f>
        <v>140.69449732820999</v>
      </c>
      <c r="M17" s="39">
        <f>'Data entry hotel only'!AG17</f>
        <v>160.53152302046999</v>
      </c>
      <c r="N17" s="39">
        <f>'Data entry hotel only'!AJ17</f>
        <v>133.58938664527</v>
      </c>
      <c r="O17" s="39">
        <f>'Data entry hotel only'!AM17</f>
        <v>121.79272396035</v>
      </c>
      <c r="Q17" s="223">
        <f>'Hotels Only'!C17-'Hotels ORG'!C17</f>
        <v>-3.7283031768000114</v>
      </c>
      <c r="R17" s="224">
        <f>SUM(D17:I17)-SUM('Hotels ORG'!D17:I17)</f>
        <v>-39.673988814510039</v>
      </c>
    </row>
    <row r="18" spans="2:18" ht="14" x14ac:dyDescent="0.15">
      <c r="B18" s="38" t="s">
        <v>28</v>
      </c>
      <c r="C18" s="39">
        <f>'Data entry hotel only'!C18</f>
        <v>77.173226110814994</v>
      </c>
      <c r="D18" s="39">
        <f>'Data entry hotel only'!F18</f>
        <v>48.591846134016997</v>
      </c>
      <c r="E18" s="39">
        <f>'Data entry hotel only'!I18</f>
        <v>64.013126499937002</v>
      </c>
      <c r="F18" s="39">
        <f>'Data entry hotel only'!L18</f>
        <v>82.366131171386996</v>
      </c>
      <c r="G18" s="39">
        <f>'Data entry hotel only'!O18</f>
        <v>64.312067639256995</v>
      </c>
      <c r="H18" s="39">
        <f>'Data entry hotel only'!R18</f>
        <v>87.277687601609003</v>
      </c>
      <c r="I18" s="39">
        <f>'Data entry hotel only'!U18</f>
        <v>80.158066203635002</v>
      </c>
      <c r="J18" s="39">
        <f>'Data entry hotel only'!X18</f>
        <v>62.547389187839002</v>
      </c>
      <c r="K18" s="39">
        <f>'Data entry hotel only'!AA18</f>
        <v>70.720623290036997</v>
      </c>
      <c r="L18" s="39">
        <f>'Data entry hotel only'!AD18</f>
        <v>104.0565415826</v>
      </c>
      <c r="M18" s="39">
        <f>'Data entry hotel only'!AG18</f>
        <v>105.22318233086</v>
      </c>
      <c r="N18" s="39">
        <f>'Data entry hotel only'!AJ18</f>
        <v>92.708224154866997</v>
      </c>
      <c r="O18" s="39">
        <f>'Data entry hotel only'!AM18</f>
        <v>63.798492102483998</v>
      </c>
      <c r="Q18" s="223">
        <f>'Hotels Only'!C18-'Hotels ORG'!C18</f>
        <v>-8.4541646824930012</v>
      </c>
      <c r="R18" s="224">
        <f>SUM(D18:I18)-SUM('Hotels ORG'!D18:I18)</f>
        <v>-62.001811684673044</v>
      </c>
    </row>
    <row r="19" spans="2:18" ht="14" x14ac:dyDescent="0.15">
      <c r="B19" s="38" t="s">
        <v>29</v>
      </c>
      <c r="C19" s="39">
        <f>'Data entry hotel only'!C19</f>
        <v>113.20037638015999</v>
      </c>
      <c r="D19" s="39">
        <f>'Data entry hotel only'!F19</f>
        <v>76.252202299969994</v>
      </c>
      <c r="E19" s="39">
        <f>'Data entry hotel only'!I19</f>
        <v>99.649527440949996</v>
      </c>
      <c r="F19" s="39">
        <f>'Data entry hotel only'!L19</f>
        <v>122.20826088817</v>
      </c>
      <c r="G19" s="39">
        <f>'Data entry hotel only'!O19</f>
        <v>93.040731653403995</v>
      </c>
      <c r="H19" s="39">
        <f>'Data entry hotel only'!R19</f>
        <v>123.88573714384</v>
      </c>
      <c r="I19" s="39">
        <f>'Data entry hotel only'!U19</f>
        <v>108.66373341214999</v>
      </c>
      <c r="J19" s="39">
        <f>'Data entry hotel only'!X19</f>
        <v>91.749824504710006</v>
      </c>
      <c r="K19" s="39">
        <f>'Data entry hotel only'!AA19</f>
        <v>101.42479649585999</v>
      </c>
      <c r="L19" s="39">
        <f>'Data entry hotel only'!AD19</f>
        <v>155.60273448967999</v>
      </c>
      <c r="M19" s="39">
        <f>'Data entry hotel only'!AG19</f>
        <v>148.90349479445999</v>
      </c>
      <c r="N19" s="39">
        <f>'Data entry hotel only'!AJ19</f>
        <v>139.98785106784999</v>
      </c>
      <c r="O19" s="39">
        <f>'Data entry hotel only'!AM19</f>
        <v>97.038896892663004</v>
      </c>
      <c r="Q19" s="223">
        <f>'Hotels Only'!C19-'Hotels ORG'!C19</f>
        <v>-13.172221930420008</v>
      </c>
      <c r="R19" s="224">
        <f>SUM(D19:I19)-SUM('Hotels ORG'!D19:I19)</f>
        <v>-106.20477619758799</v>
      </c>
    </row>
    <row r="20" spans="2:18" ht="14" x14ac:dyDescent="0.15">
      <c r="B20" s="38" t="s">
        <v>30</v>
      </c>
      <c r="C20" s="39">
        <f>'Data entry hotel only'!C20</f>
        <v>703694.62239999999</v>
      </c>
      <c r="D20" s="39">
        <f>'Data entry hotel only'!F20</f>
        <v>41920</v>
      </c>
      <c r="E20" s="39">
        <f>'Data entry hotel only'!I20</f>
        <v>52047</v>
      </c>
      <c r="F20" s="39">
        <f>'Data entry hotel only'!L20</f>
        <v>55473</v>
      </c>
      <c r="G20" s="39">
        <f>'Data entry hotel only'!O20</f>
        <v>51928</v>
      </c>
      <c r="H20" s="39">
        <f>'Data entry hotel only'!R20</f>
        <v>63671</v>
      </c>
      <c r="I20" s="39">
        <f>'Data entry hotel only'!U20</f>
        <v>59006</v>
      </c>
      <c r="J20" s="39">
        <f>'Data entry hotel only'!X20</f>
        <v>56747.132299999997</v>
      </c>
      <c r="K20" s="39">
        <f>'Data entry hotel only'!AA20</f>
        <v>63873.067199999998</v>
      </c>
      <c r="L20" s="39">
        <f>'Data entry hotel only'!AD20</f>
        <v>73456.2598</v>
      </c>
      <c r="M20" s="39">
        <f>'Data entry hotel only'!AG20</f>
        <v>69038.665200000003</v>
      </c>
      <c r="N20" s="39">
        <f>'Data entry hotel only'!AJ20</f>
        <v>62087.767800000001</v>
      </c>
      <c r="O20" s="39">
        <f>'Data entry hotel only'!AM20</f>
        <v>54446.730100000001</v>
      </c>
      <c r="Q20" s="223">
        <f>'Hotels Only'!C20-'Hotels ORG'!C20</f>
        <v>-40942.302299999981</v>
      </c>
      <c r="R20" s="224">
        <f>SUM(D20:I20)-SUM('Hotels ORG'!D20:I20)</f>
        <v>-26821.175700000022</v>
      </c>
    </row>
    <row r="21" spans="2:18" ht="14" x14ac:dyDescent="0.15">
      <c r="B21" s="38" t="s">
        <v>31</v>
      </c>
      <c r="C21" s="39">
        <f>'Data entry hotel only'!C21</f>
        <v>1.399824592701</v>
      </c>
      <c r="D21" s="39">
        <f>'Data entry hotel only'!F21</f>
        <v>1.2963077493970001</v>
      </c>
      <c r="E21" s="39">
        <f>'Data entry hotel only'!I21</f>
        <v>1.3094573175333999</v>
      </c>
      <c r="F21" s="39">
        <f>'Data entry hotel only'!L21</f>
        <v>1.2857937556498</v>
      </c>
      <c r="G21" s="39">
        <f>'Data entry hotel only'!O21</f>
        <v>1.405739036275</v>
      </c>
      <c r="H21" s="39">
        <f>'Data entry hotel only'!R21</f>
        <v>1.3628210616437999</v>
      </c>
      <c r="I21" s="39">
        <f>'Data entry hotel only'!U21</f>
        <v>1.3899135514569001</v>
      </c>
      <c r="J21" s="39">
        <f>'Data entry hotel only'!X21</f>
        <v>1.4672820245636999</v>
      </c>
      <c r="K21" s="39">
        <f>'Data entry hotel only'!AA21</f>
        <v>1.5928048477593999</v>
      </c>
      <c r="L21" s="39">
        <f>'Data entry hotel only'!AD21</f>
        <v>1.4429500815212</v>
      </c>
      <c r="M21" s="39">
        <f>'Data entry hotel only'!AG21</f>
        <v>1.4821525375697999</v>
      </c>
      <c r="N21" s="39">
        <f>'Data entry hotel only'!AJ21</f>
        <v>1.2993150109867</v>
      </c>
      <c r="O21" s="39">
        <f>'Data entry hotel only'!AM21</f>
        <v>1.4591892932757999</v>
      </c>
      <c r="Q21" s="223">
        <f>'Hotels Only'!C21-'Hotels ORG'!C21</f>
        <v>2.8218119429999966E-2</v>
      </c>
      <c r="R21" s="224">
        <f>SUM(D21:I21)-SUM('Hotels ORG'!D21:I21)</f>
        <v>5.2883471039399055E-2</v>
      </c>
    </row>
    <row r="22" spans="2:18" ht="14" x14ac:dyDescent="0.15">
      <c r="B22" s="38" t="s">
        <v>32</v>
      </c>
      <c r="C22" s="39">
        <f>'Data entry hotel only'!C22</f>
        <v>458108.49410000001</v>
      </c>
      <c r="D22" s="39">
        <f>'Data entry hotel only'!F22</f>
        <v>0</v>
      </c>
      <c r="E22" s="39">
        <f>'Data entry hotel only'!I22</f>
        <v>0</v>
      </c>
      <c r="F22" s="39">
        <f>'Data entry hotel only'!L22</f>
        <v>0</v>
      </c>
      <c r="G22" s="39">
        <f>'Data entry hotel only'!O22</f>
        <v>0</v>
      </c>
      <c r="H22" s="39">
        <f>'Data entry hotel only'!R22</f>
        <v>0</v>
      </c>
      <c r="I22" s="39">
        <f>'Data entry hotel only'!U22</f>
        <v>0</v>
      </c>
      <c r="J22" s="39">
        <f>'Data entry hotel only'!X22</f>
        <v>63786.389600000002</v>
      </c>
      <c r="K22" s="39">
        <f>'Data entry hotel only'!AA22</f>
        <v>73320.082699999999</v>
      </c>
      <c r="L22" s="39">
        <f>'Data entry hotel only'!AD22</f>
        <v>89230.291100000002</v>
      </c>
      <c r="M22" s="39">
        <f>'Data entry hotel only'!AG22</f>
        <v>86488.837700000004</v>
      </c>
      <c r="N22" s="39">
        <f>'Data entry hotel only'!AJ22</f>
        <v>80403.214099999997</v>
      </c>
      <c r="O22" s="39">
        <f>'Data entry hotel only'!AM22</f>
        <v>64879.678899999999</v>
      </c>
      <c r="Q22" s="223">
        <f>'Hotels Only'!C22-'Hotels ORG'!C22</f>
        <v>-429289.33629999997</v>
      </c>
      <c r="R22" s="224">
        <f>SUM(D22:I22)-SUM('Hotels ORG'!D22:I22)</f>
        <v>-418917.63950000005</v>
      </c>
    </row>
    <row r="23" spans="2:18" ht="14" x14ac:dyDescent="0.15">
      <c r="B23" s="38" t="s">
        <v>33</v>
      </c>
      <c r="C23" s="39">
        <f>'Data entry hotel only'!C23</f>
        <v>548.89170000000001</v>
      </c>
      <c r="D23" s="39">
        <f>'Data entry hotel only'!F23</f>
        <v>595.76</v>
      </c>
      <c r="E23" s="39">
        <f>'Data entry hotel only'!I23</f>
        <v>583.63</v>
      </c>
      <c r="F23" s="39">
        <f>'Data entry hotel only'!L23</f>
        <v>571.70000000000005</v>
      </c>
      <c r="G23" s="39">
        <f>'Data entry hotel only'!O23</f>
        <v>563.1</v>
      </c>
      <c r="H23" s="39">
        <f>'Data entry hotel only'!R23</f>
        <v>560.92999999999995</v>
      </c>
      <c r="I23" s="39">
        <f>'Data entry hotel only'!U23</f>
        <v>567.21</v>
      </c>
      <c r="J23" s="39">
        <f>'Data entry hotel only'!X23</f>
        <v>508.67840000000001</v>
      </c>
      <c r="K23" s="39">
        <f>'Data entry hotel only'!AA23</f>
        <v>520.33839999999998</v>
      </c>
      <c r="L23" s="39">
        <f>'Data entry hotel only'!AD23</f>
        <v>526.33839999999998</v>
      </c>
      <c r="M23" s="39">
        <f>'Data entry hotel only'!AG23</f>
        <v>529.33839999999998</v>
      </c>
      <c r="N23" s="39">
        <f>'Data entry hotel only'!AJ23</f>
        <v>529.33839999999998</v>
      </c>
      <c r="O23" s="39">
        <f>'Data entry hotel only'!AM23</f>
        <v>530.33839999999998</v>
      </c>
      <c r="Q23" s="223">
        <f>'Hotels Only'!C23-'Hotels ORG'!C23</f>
        <v>22.237300000000005</v>
      </c>
      <c r="R23" s="224">
        <f>SUM(D23:I23)-SUM('Hotels ORG'!D23:I23)</f>
        <v>278.00959999999941</v>
      </c>
    </row>
    <row r="24" spans="2:18" x14ac:dyDescent="0.15">
      <c r="D24" s="33">
        <f>'Data entry hotel only'!F24</f>
        <v>0</v>
      </c>
      <c r="E24" s="33">
        <f>'Data entry hotel only'!I24</f>
        <v>0</v>
      </c>
      <c r="F24" s="33">
        <f>'Data entry hotel only'!L24</f>
        <v>0</v>
      </c>
      <c r="G24" s="33">
        <f>'Data entry hotel only'!O24</f>
        <v>0</v>
      </c>
      <c r="H24" s="33">
        <f>'Data entry hotel only'!R24</f>
        <v>0</v>
      </c>
      <c r="I24" s="33">
        <f>'Data entry hotel only'!U24</f>
        <v>0</v>
      </c>
      <c r="J24" s="33">
        <f>'Data entry hotel only'!X24</f>
        <v>0</v>
      </c>
      <c r="K24" s="33">
        <f>'Data entry hotel only'!AA24</f>
        <v>0</v>
      </c>
      <c r="L24" s="33">
        <f>'Data entry hotel only'!AD24</f>
        <v>0</v>
      </c>
      <c r="M24" s="33">
        <f>'Data entry hotel only'!AG24</f>
        <v>0</v>
      </c>
      <c r="N24" s="33">
        <f>'Data entry hotel only'!AJ24</f>
        <v>0</v>
      </c>
      <c r="O24" s="33">
        <f>'Data entry hotel only'!AM24</f>
        <v>0</v>
      </c>
      <c r="Q24" s="223">
        <f>'Hotels Only'!C24-'Hotels ORG'!C24</f>
        <v>0</v>
      </c>
      <c r="R24" s="224">
        <f>SUM(D24:I24)-SUM('Hotels ORG'!D24:I24)</f>
        <v>0</v>
      </c>
    </row>
    <row r="25" spans="2:18" ht="14" x14ac:dyDescent="0.15">
      <c r="B25" s="38" t="s">
        <v>34</v>
      </c>
      <c r="C25" s="40"/>
      <c r="D25" s="40">
        <f>'Data entry hotel only'!F25</f>
        <v>0</v>
      </c>
      <c r="E25" s="40">
        <f>'Data entry hotel only'!I25</f>
        <v>0</v>
      </c>
      <c r="F25" s="40">
        <f>'Data entry hotel only'!L25</f>
        <v>0</v>
      </c>
      <c r="G25" s="40">
        <f>'Data entry hotel only'!O25</f>
        <v>0</v>
      </c>
      <c r="H25" s="40">
        <f>'Data entry hotel only'!R25</f>
        <v>0</v>
      </c>
      <c r="I25" s="40">
        <f>'Data entry hotel only'!U25</f>
        <v>0</v>
      </c>
      <c r="J25" s="40">
        <f>'Data entry hotel only'!X25</f>
        <v>0</v>
      </c>
      <c r="K25" s="40">
        <f>'Data entry hotel only'!AA25</f>
        <v>0</v>
      </c>
      <c r="L25" s="40">
        <f>'Data entry hotel only'!AD25</f>
        <v>0</v>
      </c>
      <c r="M25" s="40">
        <f>'Data entry hotel only'!AG25</f>
        <v>0</v>
      </c>
      <c r="N25" s="40">
        <f>'Data entry hotel only'!AJ25</f>
        <v>0</v>
      </c>
      <c r="O25" s="40">
        <f>'Data entry hotel only'!AM25</f>
        <v>0</v>
      </c>
      <c r="Q25" s="223">
        <f>'Hotels Only'!C25-'Hotels ORG'!C25</f>
        <v>0</v>
      </c>
      <c r="R25" s="224">
        <f>SUM(D25:I25)-SUM('Hotels ORG'!D25:I25)</f>
        <v>0</v>
      </c>
    </row>
    <row r="26" spans="2:18" x14ac:dyDescent="0.15">
      <c r="B26" s="40"/>
      <c r="C26" s="40"/>
      <c r="D26" s="40">
        <f>'Data entry hotel only'!F26</f>
        <v>0</v>
      </c>
      <c r="E26" s="40">
        <f>'Data entry hotel only'!I26</f>
        <v>0</v>
      </c>
      <c r="F26" s="40">
        <f>'Data entry hotel only'!L26</f>
        <v>0</v>
      </c>
      <c r="G26" s="40">
        <f>'Data entry hotel only'!O26</f>
        <v>0</v>
      </c>
      <c r="H26" s="40">
        <f>'Data entry hotel only'!R26</f>
        <v>0</v>
      </c>
      <c r="I26" s="40">
        <f>'Data entry hotel only'!U26</f>
        <v>0</v>
      </c>
      <c r="J26" s="40">
        <f>'Data entry hotel only'!X26</f>
        <v>0</v>
      </c>
      <c r="K26" s="40">
        <f>'Data entry hotel only'!AA26</f>
        <v>0</v>
      </c>
      <c r="L26" s="40">
        <f>'Data entry hotel only'!AD26</f>
        <v>0</v>
      </c>
      <c r="M26" s="40">
        <f>'Data entry hotel only'!AG26</f>
        <v>0</v>
      </c>
      <c r="N26" s="40">
        <f>'Data entry hotel only'!AJ26</f>
        <v>0</v>
      </c>
      <c r="O26" s="40">
        <f>'Data entry hotel only'!AM26</f>
        <v>0</v>
      </c>
      <c r="Q26" s="223">
        <f>'Hotels Only'!C26-'Hotels ORG'!C26</f>
        <v>0</v>
      </c>
      <c r="R26" s="224">
        <f>SUM(D26:I26)-SUM('Hotels ORG'!D26:I26)</f>
        <v>0</v>
      </c>
    </row>
    <row r="27" spans="2:18" ht="14" x14ac:dyDescent="0.15">
      <c r="B27" s="42" t="s">
        <v>21</v>
      </c>
      <c r="C27" s="43">
        <f>'Data entry hotel only'!C27</f>
        <v>93365066.829699993</v>
      </c>
      <c r="D27" s="43">
        <f>'Data entry hotel only'!F27</f>
        <v>5324462.53</v>
      </c>
      <c r="E27" s="43">
        <f>'Data entry hotel only'!I27</f>
        <v>6311402.4699999997</v>
      </c>
      <c r="F27" s="43">
        <f>'Data entry hotel only'!L27</f>
        <v>8569487.6699999999</v>
      </c>
      <c r="G27" s="43">
        <f>'Data entry hotel only'!O27</f>
        <v>6313744.0499999998</v>
      </c>
      <c r="H27" s="43">
        <f>'Data entry hotel only'!R27</f>
        <v>8687115.6600000001</v>
      </c>
      <c r="I27" s="43">
        <f>'Data entry hotel only'!U27</f>
        <v>7353274.8399999999</v>
      </c>
      <c r="J27" s="43">
        <f>'Data entry hotel only'!X27</f>
        <v>6427992.7048000004</v>
      </c>
      <c r="K27" s="43">
        <f>'Data entry hotel only'!AA27</f>
        <v>7105821.2424999997</v>
      </c>
      <c r="L27" s="43">
        <f>'Data entry hotel only'!AD27</f>
        <v>10549865.398399999</v>
      </c>
      <c r="M27" s="43">
        <f>'Data entry hotel only'!AG27</f>
        <v>10432178.8453</v>
      </c>
      <c r="N27" s="43">
        <f>'Data entry hotel only'!AJ27</f>
        <v>9491176.3024000004</v>
      </c>
      <c r="O27" s="43">
        <f>'Data entry hotel only'!AM27</f>
        <v>6798545.1162999999</v>
      </c>
      <c r="Q27" s="223">
        <f>'Hotels Only'!C27-'Hotels ORG'!C27</f>
        <v>-10879689.5167</v>
      </c>
      <c r="R27" s="224">
        <f>SUM(D27:I27)-SUM('Hotels ORG'!D27:I27)</f>
        <v>-7230020.2507000044</v>
      </c>
    </row>
    <row r="28" spans="2:18" ht="14" x14ac:dyDescent="0.15">
      <c r="B28" s="38" t="s">
        <v>35</v>
      </c>
      <c r="C28" s="40">
        <f>'Data entry hotel only'!C28</f>
        <v>64517300.662</v>
      </c>
      <c r="D28" s="40">
        <f>'Data entry hotel only'!F28</f>
        <v>3449955.38</v>
      </c>
      <c r="E28" s="40">
        <f>'Data entry hotel only'!I28</f>
        <v>4116749.6</v>
      </c>
      <c r="F28" s="40">
        <f>'Data entry hotel only'!L28</f>
        <v>5853713.5999999996</v>
      </c>
      <c r="G28" s="40">
        <f>'Data entry hotel only'!O28</f>
        <v>4435218.74</v>
      </c>
      <c r="H28" s="40">
        <f>'Data entry hotel only'!R28</f>
        <v>6188618.96</v>
      </c>
      <c r="I28" s="40">
        <f>'Data entry hotel only'!U28</f>
        <v>5482987.7999999998</v>
      </c>
      <c r="J28" s="40">
        <f>'Data entry hotel only'!X28</f>
        <v>4451460.0865000002</v>
      </c>
      <c r="K28" s="40">
        <f>'Data entry hotel only'!AA28</f>
        <v>5031326.8677000003</v>
      </c>
      <c r="L28" s="40">
        <f>'Data entry hotel only'!AD28</f>
        <v>7145873.5192999998</v>
      </c>
      <c r="M28" s="40">
        <f>'Data entry hotel only'!AG28</f>
        <v>7458776.1540999999</v>
      </c>
      <c r="N28" s="40">
        <f>'Data entry hotel only'!AJ28</f>
        <v>6369007.5976999998</v>
      </c>
      <c r="O28" s="40">
        <f>'Data entry hotel only'!AM28</f>
        <v>4533612.3567000004</v>
      </c>
      <c r="Q28" s="223">
        <f>'Hotels Only'!C28-'Hotels ORG'!C28</f>
        <v>-7157834.0033999979</v>
      </c>
      <c r="R28" s="224">
        <f>SUM(D28:I28)-SUM('Hotels ORG'!D28:I28)</f>
        <v>-4360262.0100000016</v>
      </c>
    </row>
    <row r="29" spans="2:18" ht="14" x14ac:dyDescent="0.15">
      <c r="B29" s="38" t="s">
        <v>36</v>
      </c>
      <c r="C29" s="40">
        <f>'Data entry hotel only'!C29</f>
        <v>24026075.908799998</v>
      </c>
      <c r="D29" s="40">
        <f>'Data entry hotel only'!F29</f>
        <v>1546693.83</v>
      </c>
      <c r="E29" s="40">
        <f>'Data entry hotel only'!I29</f>
        <v>1754002.11</v>
      </c>
      <c r="F29" s="40">
        <f>'Data entry hotel only'!L29</f>
        <v>2276208.7799999998</v>
      </c>
      <c r="G29" s="40">
        <f>'Data entry hotel only'!O29</f>
        <v>1497807.42</v>
      </c>
      <c r="H29" s="40">
        <f>'Data entry hotel only'!R29</f>
        <v>2052331.82</v>
      </c>
      <c r="I29" s="40">
        <f>'Data entry hotel only'!U29</f>
        <v>1755841.76</v>
      </c>
      <c r="J29" s="40">
        <f>'Data entry hotel only'!X29</f>
        <v>1563065.3092</v>
      </c>
      <c r="K29" s="40">
        <f>'Data entry hotel only'!AA29</f>
        <v>1654962.7966</v>
      </c>
      <c r="L29" s="40">
        <f>'Data entry hotel only'!AD29</f>
        <v>2879229.9703000002</v>
      </c>
      <c r="M29" s="40">
        <f>'Data entry hotel only'!AG29</f>
        <v>2473366.6115999999</v>
      </c>
      <c r="N29" s="40">
        <f>'Data entry hotel only'!AJ29</f>
        <v>2666440.1875</v>
      </c>
      <c r="O29" s="40">
        <f>'Data entry hotel only'!AM29</f>
        <v>1906125.3136</v>
      </c>
      <c r="Q29" s="223">
        <f>'Hotels Only'!C29-'Hotels ORG'!C29</f>
        <v>-3084828.1994000003</v>
      </c>
      <c r="R29" s="224">
        <f>SUM(D29:I29)-SUM('Hotels ORG'!D29:I29)</f>
        <v>-2367235.175499998</v>
      </c>
    </row>
    <row r="30" spans="2:18" ht="14" x14ac:dyDescent="0.15">
      <c r="B30" s="38" t="s">
        <v>37</v>
      </c>
      <c r="C30" s="40">
        <f>'Data entry hotel only'!C30</f>
        <v>3701520.1025999999</v>
      </c>
      <c r="D30" s="40">
        <f>'Data entry hotel only'!F30</f>
        <v>263081.53999999998</v>
      </c>
      <c r="E30" s="40">
        <f>'Data entry hotel only'!I30</f>
        <v>310635.21999999997</v>
      </c>
      <c r="F30" s="40">
        <f>'Data entry hotel only'!L30</f>
        <v>303136.23</v>
      </c>
      <c r="G30" s="40">
        <f>'Data entry hotel only'!O30</f>
        <v>316090.71999999997</v>
      </c>
      <c r="H30" s="40">
        <f>'Data entry hotel only'!R30</f>
        <v>357555.59</v>
      </c>
      <c r="I30" s="40">
        <f>'Data entry hotel only'!U30</f>
        <v>65533.57</v>
      </c>
      <c r="J30" s="40">
        <f>'Data entry hotel only'!X30</f>
        <v>345619.98119999998</v>
      </c>
      <c r="K30" s="40">
        <f>'Data entry hotel only'!AA30</f>
        <v>345372.14260000002</v>
      </c>
      <c r="L30" s="40">
        <f>'Data entry hotel only'!AD30</f>
        <v>396617.44819999998</v>
      </c>
      <c r="M30" s="40">
        <f>'Data entry hotel only'!AG30</f>
        <v>367281.6948</v>
      </c>
      <c r="N30" s="40">
        <f>'Data entry hotel only'!AJ30</f>
        <v>340551.75760000001</v>
      </c>
      <c r="O30" s="40">
        <f>'Data entry hotel only'!AM30</f>
        <v>290044.20819999999</v>
      </c>
      <c r="Q30" s="223">
        <f>'Hotels Only'!C30-'Hotels ORG'!C30</f>
        <v>-582302.68280000053</v>
      </c>
      <c r="R30" s="224">
        <f>SUM(D30:I30)-SUM('Hotels ORG'!D30:I30)</f>
        <v>-478656.13209999981</v>
      </c>
    </row>
    <row r="31" spans="2:18" ht="14" x14ac:dyDescent="0.15">
      <c r="B31" s="38" t="s">
        <v>38</v>
      </c>
      <c r="C31" s="40">
        <f>'Data entry hotel only'!C31</f>
        <v>1120170.156</v>
      </c>
      <c r="D31" s="40">
        <f>'Data entry hotel only'!F31</f>
        <v>64731.78</v>
      </c>
      <c r="E31" s="40">
        <f>'Data entry hotel only'!I31</f>
        <v>130015.54</v>
      </c>
      <c r="F31" s="40">
        <f>'Data entry hotel only'!L31</f>
        <v>136429.06</v>
      </c>
      <c r="G31" s="40">
        <f>'Data entry hotel only'!O31</f>
        <v>64627.17</v>
      </c>
      <c r="H31" s="40">
        <f>'Data entry hotel only'!R31</f>
        <v>88609.29</v>
      </c>
      <c r="I31" s="40">
        <f>'Data entry hotel only'!U31</f>
        <v>48911.71</v>
      </c>
      <c r="J31" s="40">
        <f>'Data entry hotel only'!X31</f>
        <v>67847.327699999994</v>
      </c>
      <c r="K31" s="40">
        <f>'Data entry hotel only'!AA31</f>
        <v>74159.435700000002</v>
      </c>
      <c r="L31" s="40">
        <f>'Data entry hotel only'!AD31</f>
        <v>128144.4604</v>
      </c>
      <c r="M31" s="40">
        <f>'Data entry hotel only'!AG31</f>
        <v>132754.3848</v>
      </c>
      <c r="N31" s="40">
        <f>'Data entry hotel only'!AJ31</f>
        <v>115176.7596</v>
      </c>
      <c r="O31" s="40">
        <f>'Data entry hotel only'!AM31</f>
        <v>68763.237800000003</v>
      </c>
      <c r="Q31" s="223">
        <f>'Hotels Only'!C31-'Hotels ORG'!C31</f>
        <v>-54724.631199999945</v>
      </c>
      <c r="R31" s="224">
        <f>SUM(D31:I31)-SUM('Hotels ORG'!D31:I31)</f>
        <v>-23866.93310000014</v>
      </c>
    </row>
    <row r="32" spans="2:18" x14ac:dyDescent="0.15">
      <c r="B32" s="40"/>
      <c r="C32" s="40"/>
      <c r="D32" s="40">
        <f>'Data entry hotel only'!F32</f>
        <v>0</v>
      </c>
      <c r="E32" s="40">
        <f>'Data entry hotel only'!I32</f>
        <v>0</v>
      </c>
      <c r="F32" s="40">
        <f>'Data entry hotel only'!L32</f>
        <v>0</v>
      </c>
      <c r="G32" s="40">
        <f>'Data entry hotel only'!O32</f>
        <v>0</v>
      </c>
      <c r="H32" s="40">
        <f>'Data entry hotel only'!R32</f>
        <v>0</v>
      </c>
      <c r="I32" s="40">
        <f>'Data entry hotel only'!U32</f>
        <v>0</v>
      </c>
      <c r="J32" s="40">
        <f>'Data entry hotel only'!X32</f>
        <v>0</v>
      </c>
      <c r="K32" s="40">
        <f>'Data entry hotel only'!AA32</f>
        <v>0</v>
      </c>
      <c r="L32" s="40">
        <f>'Data entry hotel only'!AD32</f>
        <v>0</v>
      </c>
      <c r="M32" s="40">
        <f>'Data entry hotel only'!AG32</f>
        <v>0</v>
      </c>
      <c r="N32" s="40">
        <f>'Data entry hotel only'!AJ32</f>
        <v>0</v>
      </c>
      <c r="O32" s="40">
        <f>'Data entry hotel only'!AM32</f>
        <v>0</v>
      </c>
      <c r="Q32" s="223">
        <f>'Hotels Only'!C32-'Hotels ORG'!C32</f>
        <v>0</v>
      </c>
      <c r="R32" s="224">
        <f>SUM(D32:I32)-SUM('Hotels ORG'!D32:I32)</f>
        <v>0</v>
      </c>
    </row>
    <row r="33" spans="2:18" ht="14" x14ac:dyDescent="0.15">
      <c r="B33" s="44" t="s">
        <v>39</v>
      </c>
      <c r="C33" s="45"/>
      <c r="D33" s="45">
        <f>'Data entry hotel only'!F33</f>
        <v>0</v>
      </c>
      <c r="E33" s="45">
        <f>'Data entry hotel only'!I33</f>
        <v>0</v>
      </c>
      <c r="F33" s="45">
        <f>'Data entry hotel only'!L33</f>
        <v>0</v>
      </c>
      <c r="G33" s="45">
        <f>'Data entry hotel only'!O33</f>
        <v>0</v>
      </c>
      <c r="H33" s="45">
        <f>'Data entry hotel only'!R33</f>
        <v>0</v>
      </c>
      <c r="I33" s="45">
        <f>'Data entry hotel only'!U33</f>
        <v>0</v>
      </c>
      <c r="J33" s="45">
        <f>'Data entry hotel only'!X33</f>
        <v>0</v>
      </c>
      <c r="K33" s="45">
        <f>'Data entry hotel only'!AA33</f>
        <v>0</v>
      </c>
      <c r="L33" s="45">
        <f>'Data entry hotel only'!AD33</f>
        <v>0</v>
      </c>
      <c r="M33" s="45">
        <f>'Data entry hotel only'!AG33</f>
        <v>0</v>
      </c>
      <c r="N33" s="45">
        <f>'Data entry hotel only'!AJ33</f>
        <v>0</v>
      </c>
      <c r="O33" s="45">
        <f>'Data entry hotel only'!AM33</f>
        <v>0</v>
      </c>
      <c r="Q33" s="223">
        <f>'Hotels Only'!C33-'Hotels ORG'!C33</f>
        <v>0</v>
      </c>
      <c r="R33" s="224">
        <f>SUM(D33:I33)-SUM('Hotels ORG'!D33:I33)</f>
        <v>0</v>
      </c>
    </row>
    <row r="34" spans="2:18" ht="14" x14ac:dyDescent="0.15">
      <c r="B34" s="42" t="s">
        <v>35</v>
      </c>
      <c r="C34" s="43">
        <f>'Data entry hotel only'!C34</f>
        <v>64517300.662</v>
      </c>
      <c r="D34" s="43">
        <f>'Data entry hotel only'!F34</f>
        <v>3449955.38</v>
      </c>
      <c r="E34" s="43">
        <f>'Data entry hotel only'!I34</f>
        <v>4116749.6</v>
      </c>
      <c r="F34" s="43">
        <f>'Data entry hotel only'!L34</f>
        <v>5853713.5999999996</v>
      </c>
      <c r="G34" s="43">
        <f>'Data entry hotel only'!O34</f>
        <v>4435218.74</v>
      </c>
      <c r="H34" s="43">
        <f>'Data entry hotel only'!R34</f>
        <v>6188618.96</v>
      </c>
      <c r="I34" s="43">
        <f>'Data entry hotel only'!U34</f>
        <v>5482987.7999999998</v>
      </c>
      <c r="J34" s="43">
        <f>'Data entry hotel only'!X34</f>
        <v>4451460.0865000002</v>
      </c>
      <c r="K34" s="43">
        <f>'Data entry hotel only'!AA34</f>
        <v>5031326.8677000003</v>
      </c>
      <c r="L34" s="43">
        <f>'Data entry hotel only'!AD34</f>
        <v>7145873.5192999998</v>
      </c>
      <c r="M34" s="43">
        <f>'Data entry hotel only'!AG34</f>
        <v>7458776.1540999999</v>
      </c>
      <c r="N34" s="43">
        <f>'Data entry hotel only'!AJ34</f>
        <v>6369007.5976999998</v>
      </c>
      <c r="O34" s="43">
        <f>'Data entry hotel only'!AM34</f>
        <v>4533612.3567000004</v>
      </c>
      <c r="Q34" s="223">
        <f>'Hotels Only'!C34-'Hotels ORG'!C34</f>
        <v>-7157834.0033999979</v>
      </c>
      <c r="R34" s="224">
        <f>SUM(D34:I34)-SUM('Hotels ORG'!D34:I34)</f>
        <v>-4360262.0100000016</v>
      </c>
    </row>
    <row r="35" spans="2:18" ht="14" x14ac:dyDescent="0.15">
      <c r="B35" s="38" t="s">
        <v>22</v>
      </c>
      <c r="C35" s="40">
        <f>'Data entry hotel only'!C35</f>
        <v>14323669.988</v>
      </c>
      <c r="D35" s="40">
        <f>'Data entry hotel only'!F35</f>
        <v>1089377.46</v>
      </c>
      <c r="E35" s="40">
        <f>'Data entry hotel only'!I35</f>
        <v>1124226.54</v>
      </c>
      <c r="F35" s="40">
        <f>'Data entry hotel only'!L35</f>
        <v>1214694.8</v>
      </c>
      <c r="G35" s="40">
        <f>'Data entry hotel only'!O35</f>
        <v>1131554.74</v>
      </c>
      <c r="H35" s="40">
        <f>'Data entry hotel only'!R35</f>
        <v>1248859.71</v>
      </c>
      <c r="I35" s="40">
        <f>'Data entry hotel only'!U35</f>
        <v>1242012.27</v>
      </c>
      <c r="J35" s="40">
        <f>'Data entry hotel only'!X35</f>
        <v>1151457.2501000001</v>
      </c>
      <c r="K35" s="40">
        <f>'Data entry hotel only'!AA35</f>
        <v>1155188.5537</v>
      </c>
      <c r="L35" s="40">
        <f>'Data entry hotel only'!AD35</f>
        <v>1299033.4224</v>
      </c>
      <c r="M35" s="40">
        <f>'Data entry hotel only'!AG35</f>
        <v>1228759.662</v>
      </c>
      <c r="N35" s="40">
        <f>'Data entry hotel only'!AJ35</f>
        <v>1287744.4184000001</v>
      </c>
      <c r="O35" s="40">
        <f>'Data entry hotel only'!AM35</f>
        <v>1150761.1614000001</v>
      </c>
      <c r="Q35" s="223">
        <f>'Hotels Only'!C35-'Hotels ORG'!C35</f>
        <v>-603712.47120000049</v>
      </c>
      <c r="R35" s="224">
        <f>SUM(D35:I35)-SUM('Hotels ORG'!D35:I35)</f>
        <v>-321297.85390000045</v>
      </c>
    </row>
    <row r="36" spans="2:18" ht="14" x14ac:dyDescent="0.15">
      <c r="B36" s="38" t="s">
        <v>40</v>
      </c>
      <c r="C36" s="40">
        <f>'Data entry hotel only'!C36</f>
        <v>10594077.32</v>
      </c>
      <c r="D36" s="40">
        <f>'Data entry hotel only'!F36</f>
        <v>663614.29</v>
      </c>
      <c r="E36" s="40">
        <f>'Data entry hotel only'!I36</f>
        <v>816665.75</v>
      </c>
      <c r="F36" s="40">
        <f>'Data entry hotel only'!L36</f>
        <v>919030.25</v>
      </c>
      <c r="G36" s="40">
        <f>'Data entry hotel only'!O36</f>
        <v>779776.4</v>
      </c>
      <c r="H36" s="40">
        <f>'Data entry hotel only'!R36</f>
        <v>956658.27</v>
      </c>
      <c r="I36" s="40">
        <f>'Data entry hotel only'!U36</f>
        <v>870302.88</v>
      </c>
      <c r="J36" s="40">
        <f>'Data entry hotel only'!X36</f>
        <v>793959.98320000002</v>
      </c>
      <c r="K36" s="40">
        <f>'Data entry hotel only'!AA36</f>
        <v>862548.38410000002</v>
      </c>
      <c r="L36" s="40">
        <f>'Data entry hotel only'!AD36</f>
        <v>1105104.4102</v>
      </c>
      <c r="M36" s="40">
        <f>'Data entry hotel only'!AG36</f>
        <v>1115832.3483</v>
      </c>
      <c r="N36" s="40">
        <f>'Data entry hotel only'!AJ36</f>
        <v>975842.27450000006</v>
      </c>
      <c r="O36" s="40">
        <f>'Data entry hotel only'!AM36</f>
        <v>734742.0797</v>
      </c>
      <c r="Q36" s="223">
        <f>'Hotels Only'!C36-'Hotels ORG'!C36</f>
        <v>-722422.38189999945</v>
      </c>
      <c r="R36" s="224">
        <f>SUM(D36:I36)-SUM('Hotels ORG'!D36:I36)</f>
        <v>-408085.32170000114</v>
      </c>
    </row>
    <row r="37" spans="2:18" ht="14" x14ac:dyDescent="0.15">
      <c r="B37" s="42" t="s">
        <v>41</v>
      </c>
      <c r="C37" s="43">
        <f>'Data entry hotel only'!C37</f>
        <v>39599553.354099996</v>
      </c>
      <c r="D37" s="43">
        <f>'Data entry hotel only'!F37</f>
        <v>1696963.63</v>
      </c>
      <c r="E37" s="43">
        <f>'Data entry hotel only'!I37</f>
        <v>2175857.31</v>
      </c>
      <c r="F37" s="43">
        <f>'Data entry hotel only'!L37</f>
        <v>3719988.55</v>
      </c>
      <c r="G37" s="43">
        <f>'Data entry hotel only'!O37</f>
        <v>2523887.6</v>
      </c>
      <c r="H37" s="43">
        <f>'Data entry hotel only'!R37</f>
        <v>3983100.98</v>
      </c>
      <c r="I37" s="43">
        <f>'Data entry hotel only'!U37</f>
        <v>3370672.65</v>
      </c>
      <c r="J37" s="43">
        <f>'Data entry hotel only'!X37</f>
        <v>2506042.8533000001</v>
      </c>
      <c r="K37" s="43">
        <f>'Data entry hotel only'!AA37</f>
        <v>3013589.9298</v>
      </c>
      <c r="L37" s="43">
        <f>'Data entry hotel only'!AD37</f>
        <v>4741735.6867000004</v>
      </c>
      <c r="M37" s="43">
        <f>'Data entry hotel only'!AG37</f>
        <v>5114184.1437999997</v>
      </c>
      <c r="N37" s="43">
        <f>'Data entry hotel only'!AJ37</f>
        <v>4105420.9049</v>
      </c>
      <c r="O37" s="43">
        <f>'Data entry hotel only'!AM37</f>
        <v>2648109.1156000001</v>
      </c>
      <c r="Q37" s="223">
        <f>'Hotels Only'!C37-'Hotels ORG'!C37</f>
        <v>-5831699.150500007</v>
      </c>
      <c r="R37" s="224">
        <f>SUM(D37:I37)-SUM('Hotels ORG'!D37:I37)</f>
        <v>-3630878.8346000016</v>
      </c>
    </row>
    <row r="38" spans="2:18" x14ac:dyDescent="0.15">
      <c r="B38" s="40"/>
      <c r="C38" s="40"/>
      <c r="D38" s="40">
        <f>'Data entry hotel only'!F38</f>
        <v>0</v>
      </c>
      <c r="E38" s="40">
        <f>'Data entry hotel only'!I38</f>
        <v>0</v>
      </c>
      <c r="F38" s="40">
        <f>'Data entry hotel only'!L38</f>
        <v>0</v>
      </c>
      <c r="G38" s="40">
        <f>'Data entry hotel only'!O38</f>
        <v>0</v>
      </c>
      <c r="H38" s="40">
        <f>'Data entry hotel only'!R38</f>
        <v>0</v>
      </c>
      <c r="I38" s="40">
        <f>'Data entry hotel only'!U38</f>
        <v>0</v>
      </c>
      <c r="J38" s="40">
        <f>'Data entry hotel only'!X38</f>
        <v>0</v>
      </c>
      <c r="K38" s="40">
        <f>'Data entry hotel only'!AA38</f>
        <v>0</v>
      </c>
      <c r="L38" s="40">
        <f>'Data entry hotel only'!AD38</f>
        <v>0</v>
      </c>
      <c r="M38" s="40">
        <f>'Data entry hotel only'!AG38</f>
        <v>0</v>
      </c>
      <c r="N38" s="40">
        <f>'Data entry hotel only'!AJ38</f>
        <v>0</v>
      </c>
      <c r="O38" s="40">
        <f>'Data entry hotel only'!AM38</f>
        <v>0</v>
      </c>
      <c r="Q38" s="223">
        <f>'Hotels Only'!C38-'Hotels ORG'!C38</f>
        <v>0</v>
      </c>
      <c r="R38" s="224">
        <f>SUM(D38:I38)-SUM('Hotels ORG'!D38:I38)</f>
        <v>0</v>
      </c>
    </row>
    <row r="39" spans="2:18" ht="14" x14ac:dyDescent="0.15">
      <c r="B39" s="44" t="s">
        <v>42</v>
      </c>
      <c r="C39" s="45"/>
      <c r="D39" s="45">
        <f>'Data entry hotel only'!F39</f>
        <v>0</v>
      </c>
      <c r="E39" s="45">
        <f>'Data entry hotel only'!I39</f>
        <v>0</v>
      </c>
      <c r="F39" s="45">
        <f>'Data entry hotel only'!L39</f>
        <v>0</v>
      </c>
      <c r="G39" s="45">
        <f>'Data entry hotel only'!O39</f>
        <v>0</v>
      </c>
      <c r="H39" s="45">
        <f>'Data entry hotel only'!R39</f>
        <v>0</v>
      </c>
      <c r="I39" s="45">
        <f>'Data entry hotel only'!U39</f>
        <v>0</v>
      </c>
      <c r="J39" s="45">
        <f>'Data entry hotel only'!X39</f>
        <v>0</v>
      </c>
      <c r="K39" s="45">
        <f>'Data entry hotel only'!AA39</f>
        <v>0</v>
      </c>
      <c r="L39" s="45">
        <f>'Data entry hotel only'!AD39</f>
        <v>0</v>
      </c>
      <c r="M39" s="45">
        <f>'Data entry hotel only'!AG39</f>
        <v>0</v>
      </c>
      <c r="N39" s="45">
        <f>'Data entry hotel only'!AJ39</f>
        <v>0</v>
      </c>
      <c r="O39" s="45">
        <f>'Data entry hotel only'!AM39</f>
        <v>0</v>
      </c>
      <c r="Q39" s="223">
        <f>'Hotels Only'!C39-'Hotels ORG'!C39</f>
        <v>0</v>
      </c>
      <c r="R39" s="224">
        <f>SUM(D39:I39)-SUM('Hotels ORG'!D39:I39)</f>
        <v>0</v>
      </c>
    </row>
    <row r="40" spans="2:18" ht="14" x14ac:dyDescent="0.15">
      <c r="B40" s="38" t="s">
        <v>43</v>
      </c>
      <c r="C40" s="40">
        <f>'Data entry hotel only'!C40</f>
        <v>14532983.2335</v>
      </c>
      <c r="D40" s="40">
        <f>'Data entry hotel only'!F40</f>
        <v>900459.03</v>
      </c>
      <c r="E40" s="40">
        <f>'Data entry hotel only'!I40</f>
        <v>993559.98</v>
      </c>
      <c r="F40" s="40">
        <f>'Data entry hotel only'!L40</f>
        <v>1336715.2</v>
      </c>
      <c r="G40" s="40">
        <f>'Data entry hotel only'!O40</f>
        <v>921048.16</v>
      </c>
      <c r="H40" s="40">
        <f>'Data entry hotel only'!R40</f>
        <v>1224473.42</v>
      </c>
      <c r="I40" s="40">
        <f>'Data entry hotel only'!U40</f>
        <v>1043884.6</v>
      </c>
      <c r="J40" s="40">
        <f>'Data entry hotel only'!X40</f>
        <v>984894.29449999996</v>
      </c>
      <c r="K40" s="40">
        <f>'Data entry hotel only'!AA40</f>
        <v>1058491.1115999999</v>
      </c>
      <c r="L40" s="40">
        <f>'Data entry hotel only'!AD40</f>
        <v>1779486.7441</v>
      </c>
      <c r="M40" s="40">
        <f>'Data entry hotel only'!AG40</f>
        <v>1528421.0526000001</v>
      </c>
      <c r="N40" s="40">
        <f>'Data entry hotel only'!AJ40</f>
        <v>1596908.9813999999</v>
      </c>
      <c r="O40" s="40">
        <f>'Data entry hotel only'!AM40</f>
        <v>1164640.6592999999</v>
      </c>
      <c r="Q40" s="223">
        <f>'Hotels Only'!C40-'Hotels ORG'!C40</f>
        <v>-2101054.5725999996</v>
      </c>
      <c r="R40" s="224">
        <f>SUM(D40:I40)-SUM('Hotels ORG'!D40:I40)</f>
        <v>-1633165.3995000003</v>
      </c>
    </row>
    <row r="41" spans="2:18" ht="14" x14ac:dyDescent="0.15">
      <c r="B41" s="38" t="s">
        <v>44</v>
      </c>
      <c r="C41" s="40">
        <f>'Data entry hotel only'!C41</f>
        <v>6891930.5657000002</v>
      </c>
      <c r="D41" s="40">
        <f>'Data entry hotel only'!F41</f>
        <v>493168.45</v>
      </c>
      <c r="E41" s="40">
        <f>'Data entry hotel only'!I41</f>
        <v>556848.28</v>
      </c>
      <c r="F41" s="40">
        <f>'Data entry hotel only'!L41</f>
        <v>690705.31</v>
      </c>
      <c r="G41" s="40">
        <f>'Data entry hotel only'!O41</f>
        <v>442292.98</v>
      </c>
      <c r="H41" s="40">
        <f>'Data entry hotel only'!R41</f>
        <v>603753.64</v>
      </c>
      <c r="I41" s="40">
        <f>'Data entry hotel only'!U41</f>
        <v>499691.76</v>
      </c>
      <c r="J41" s="40">
        <f>'Data entry hotel only'!X41</f>
        <v>449581.81479999999</v>
      </c>
      <c r="K41" s="40">
        <f>'Data entry hotel only'!AA41</f>
        <v>496285.53519999998</v>
      </c>
      <c r="L41" s="40">
        <f>'Data entry hotel only'!AD41</f>
        <v>743654.15619999997</v>
      </c>
      <c r="M41" s="40">
        <f>'Data entry hotel only'!AG41</f>
        <v>659586.06909999996</v>
      </c>
      <c r="N41" s="40">
        <f>'Data entry hotel only'!AJ41</f>
        <v>724677.42599999998</v>
      </c>
      <c r="O41" s="40">
        <f>'Data entry hotel only'!AM41</f>
        <v>531685.14439999999</v>
      </c>
      <c r="Q41" s="223">
        <f>'Hotels Only'!C41-'Hotels ORG'!C41</f>
        <v>-594794.5120000001</v>
      </c>
      <c r="R41" s="224">
        <f>SUM(D41:I41)-SUM('Hotels ORG'!D41:I41)</f>
        <v>-418483.25630000047</v>
      </c>
    </row>
    <row r="42" spans="2:18" ht="14" x14ac:dyDescent="0.15">
      <c r="B42" s="38" t="s">
        <v>45</v>
      </c>
      <c r="C42" s="40">
        <f>'Data entry hotel only'!C42</f>
        <v>2601162.11</v>
      </c>
      <c r="D42" s="40">
        <f>'Data entry hotel only'!F42</f>
        <v>153066.35</v>
      </c>
      <c r="E42" s="40">
        <f>'Data entry hotel only'!I42</f>
        <v>203593.85</v>
      </c>
      <c r="F42" s="40">
        <f>'Data entry hotel only'!L42</f>
        <v>248788.27</v>
      </c>
      <c r="G42" s="40">
        <f>'Data entry hotel only'!O42</f>
        <v>134466.28</v>
      </c>
      <c r="H42" s="40">
        <f>'Data entry hotel only'!R42</f>
        <v>224104.76</v>
      </c>
      <c r="I42" s="40">
        <f>'Data entry hotel only'!U42</f>
        <v>212265.4</v>
      </c>
      <c r="J42" s="40">
        <f>'Data entry hotel only'!X42</f>
        <v>128589.2</v>
      </c>
      <c r="K42" s="40">
        <f>'Data entry hotel only'!AA42</f>
        <v>100186.15</v>
      </c>
      <c r="L42" s="40">
        <f>'Data entry hotel only'!AD42</f>
        <v>356089.07</v>
      </c>
      <c r="M42" s="40">
        <f>'Data entry hotel only'!AG42</f>
        <v>285359.49</v>
      </c>
      <c r="N42" s="40">
        <f>'Data entry hotel only'!AJ42</f>
        <v>344853.78</v>
      </c>
      <c r="O42" s="40">
        <f>'Data entry hotel only'!AM42</f>
        <v>209799.51</v>
      </c>
      <c r="Q42" s="223">
        <f>'Hotels Only'!C42-'Hotels ORG'!C42</f>
        <v>-388979.11500000022</v>
      </c>
      <c r="R42" s="224">
        <f>SUM(D42:I42)-SUM('Hotels ORG'!D42:I42)</f>
        <v>-315586.52</v>
      </c>
    </row>
    <row r="43" spans="2:18" ht="14" x14ac:dyDescent="0.15">
      <c r="B43" s="42" t="s">
        <v>36</v>
      </c>
      <c r="C43" s="43">
        <f>'Data entry hotel only'!C43</f>
        <v>24026075.908799998</v>
      </c>
      <c r="D43" s="43">
        <f>'Data entry hotel only'!F43</f>
        <v>1546693.83</v>
      </c>
      <c r="E43" s="43">
        <f>'Data entry hotel only'!I43</f>
        <v>1754002.11</v>
      </c>
      <c r="F43" s="43">
        <f>'Data entry hotel only'!L43</f>
        <v>2276208.7799999998</v>
      </c>
      <c r="G43" s="43">
        <f>'Data entry hotel only'!O43</f>
        <v>1497807.42</v>
      </c>
      <c r="H43" s="43">
        <f>'Data entry hotel only'!R43</f>
        <v>2052331.82</v>
      </c>
      <c r="I43" s="43">
        <f>'Data entry hotel only'!U43</f>
        <v>1755841.76</v>
      </c>
      <c r="J43" s="43">
        <f>'Data entry hotel only'!X43</f>
        <v>1563065.3092</v>
      </c>
      <c r="K43" s="43">
        <f>'Data entry hotel only'!AA43</f>
        <v>1654962.7966</v>
      </c>
      <c r="L43" s="43">
        <f>'Data entry hotel only'!AD43</f>
        <v>2879229.9703000002</v>
      </c>
      <c r="M43" s="43">
        <f>'Data entry hotel only'!AG43</f>
        <v>2473366.6115999999</v>
      </c>
      <c r="N43" s="43">
        <f>'Data entry hotel only'!AJ43</f>
        <v>2666440.1875</v>
      </c>
      <c r="O43" s="43">
        <f>'Data entry hotel only'!AM43</f>
        <v>1906125.3136</v>
      </c>
      <c r="Q43" s="223">
        <f>'Hotels Only'!C43-'Hotels ORG'!C43</f>
        <v>-3084828.1994000003</v>
      </c>
      <c r="R43" s="224">
        <f>SUM(D43:I43)-SUM('Hotels ORG'!D43:I43)</f>
        <v>-2367235.175499998</v>
      </c>
    </row>
    <row r="44" spans="2:18" ht="14" x14ac:dyDescent="0.15">
      <c r="B44" s="38" t="s">
        <v>46</v>
      </c>
      <c r="C44" s="40">
        <f>'Data entry hotel only'!C44</f>
        <v>4790996.2368999999</v>
      </c>
      <c r="D44" s="40">
        <f>'Data entry hotel only'!F44</f>
        <v>319379.69</v>
      </c>
      <c r="E44" s="40">
        <f>'Data entry hotel only'!I44</f>
        <v>398065.24</v>
      </c>
      <c r="F44" s="40">
        <f>'Data entry hotel only'!L44</f>
        <v>442233.77</v>
      </c>
      <c r="G44" s="40">
        <f>'Data entry hotel only'!O44</f>
        <v>331436.61</v>
      </c>
      <c r="H44" s="40">
        <f>'Data entry hotel only'!R44</f>
        <v>420905.49</v>
      </c>
      <c r="I44" s="40">
        <f>'Data entry hotel only'!U44</f>
        <v>389112.16</v>
      </c>
      <c r="J44" s="40">
        <f>'Data entry hotel only'!X44</f>
        <v>310475.25280000002</v>
      </c>
      <c r="K44" s="40">
        <f>'Data entry hotel only'!AA44</f>
        <v>336092.12959999999</v>
      </c>
      <c r="L44" s="40">
        <f>'Data entry hotel only'!AD44</f>
        <v>540766.98970000003</v>
      </c>
      <c r="M44" s="40">
        <f>'Data entry hotel only'!AG44</f>
        <v>466472.42950000003</v>
      </c>
      <c r="N44" s="40">
        <f>'Data entry hotel only'!AJ44</f>
        <v>483996.31150000001</v>
      </c>
      <c r="O44" s="40">
        <f>'Data entry hotel only'!AM44</f>
        <v>352060.16379999998</v>
      </c>
      <c r="Q44" s="223">
        <f>'Hotels Only'!C44-'Hotels ORG'!C44</f>
        <v>-294933.26730000041</v>
      </c>
      <c r="R44" s="224">
        <f>SUM(D44:I44)-SUM('Hotels ORG'!D44:I44)</f>
        <v>-152382.21779999975</v>
      </c>
    </row>
    <row r="45" spans="2:18" ht="14" x14ac:dyDescent="0.15">
      <c r="B45" s="38" t="s">
        <v>47</v>
      </c>
      <c r="C45" s="40">
        <f>'Data entry hotel only'!C45</f>
        <v>1339594.2860000001</v>
      </c>
      <c r="D45" s="40">
        <f>'Data entry hotel only'!F45</f>
        <v>103937.91</v>
      </c>
      <c r="E45" s="40">
        <f>'Data entry hotel only'!I45</f>
        <v>100743.06</v>
      </c>
      <c r="F45" s="40">
        <f>'Data entry hotel only'!L45</f>
        <v>141001.25</v>
      </c>
      <c r="G45" s="40">
        <f>'Data entry hotel only'!O45</f>
        <v>97707.36</v>
      </c>
      <c r="H45" s="40">
        <f>'Data entry hotel only'!R45</f>
        <v>131413.69</v>
      </c>
      <c r="I45" s="40">
        <f>'Data entry hotel only'!U45</f>
        <v>116594.35</v>
      </c>
      <c r="J45" s="40">
        <f>'Data entry hotel only'!X45</f>
        <v>82109.130300000004</v>
      </c>
      <c r="K45" s="40">
        <f>'Data entry hotel only'!AA45</f>
        <v>91249.336299999995</v>
      </c>
      <c r="L45" s="40">
        <f>'Data entry hotel only'!AD45</f>
        <v>132642.43119999999</v>
      </c>
      <c r="M45" s="40">
        <f>'Data entry hotel only'!AG45</f>
        <v>117633.25079999999</v>
      </c>
      <c r="N45" s="40">
        <f>'Data entry hotel only'!AJ45</f>
        <v>128625.69319999999</v>
      </c>
      <c r="O45" s="40">
        <f>'Data entry hotel only'!AM45</f>
        <v>95936.824200000003</v>
      </c>
      <c r="Q45" s="223">
        <f>'Hotels Only'!C45-'Hotels ORG'!C45</f>
        <v>972.03830000013113</v>
      </c>
      <c r="R45" s="224">
        <f>SUM(D45:I45)-SUM('Hotels ORG'!D45:I45)</f>
        <v>29419.025699999998</v>
      </c>
    </row>
    <row r="46" spans="2:18" ht="14" x14ac:dyDescent="0.15">
      <c r="B46" s="38" t="s">
        <v>48</v>
      </c>
      <c r="C46" s="40">
        <f>'Data entry hotel only'!C46</f>
        <v>180851.8866</v>
      </c>
      <c r="D46" s="40">
        <f>'Data entry hotel only'!F46</f>
        <v>17000.93</v>
      </c>
      <c r="E46" s="40">
        <f>'Data entry hotel only'!I46</f>
        <v>12524.56</v>
      </c>
      <c r="F46" s="40">
        <f>'Data entry hotel only'!L46</f>
        <v>13569.68</v>
      </c>
      <c r="G46" s="40">
        <f>'Data entry hotel only'!O46</f>
        <v>6542.23</v>
      </c>
      <c r="H46" s="40">
        <f>'Data entry hotel only'!R46</f>
        <v>19900.88</v>
      </c>
      <c r="I46" s="40">
        <f>'Data entry hotel only'!U46</f>
        <v>11830.84</v>
      </c>
      <c r="J46" s="40">
        <f>'Data entry hotel only'!X46</f>
        <v>11895.0731</v>
      </c>
      <c r="K46" s="40">
        <f>'Data entry hotel only'!AA46</f>
        <v>9462.6934999999994</v>
      </c>
      <c r="L46" s="40">
        <f>'Data entry hotel only'!AD46</f>
        <v>25840</v>
      </c>
      <c r="M46" s="40">
        <f>'Data entry hotel only'!AG46</f>
        <v>17010</v>
      </c>
      <c r="N46" s="40">
        <f>'Data entry hotel only'!AJ46</f>
        <v>21720</v>
      </c>
      <c r="O46" s="40">
        <f>'Data entry hotel only'!AM46</f>
        <v>13555</v>
      </c>
      <c r="Q46" s="223">
        <f>'Hotels Only'!C46-'Hotels ORG'!C46</f>
        <v>-28318.113400000002</v>
      </c>
      <c r="R46" s="224">
        <f>SUM(D46:I46)-SUM('Hotels ORG'!D46:I46)</f>
        <v>-27342.880000000005</v>
      </c>
    </row>
    <row r="47" spans="2:18" ht="14" x14ac:dyDescent="0.15">
      <c r="B47" s="42" t="s">
        <v>49</v>
      </c>
      <c r="C47" s="43">
        <f>'Data entry hotel only'!C47</f>
        <v>6311442.4091999996</v>
      </c>
      <c r="D47" s="43">
        <f>'Data entry hotel only'!F47</f>
        <v>440318.53</v>
      </c>
      <c r="E47" s="43">
        <f>'Data entry hotel only'!I47</f>
        <v>511332.86</v>
      </c>
      <c r="F47" s="43">
        <f>'Data entry hotel only'!L47</f>
        <v>596804.69999999995</v>
      </c>
      <c r="G47" s="43">
        <f>'Data entry hotel only'!O47</f>
        <v>435686.2</v>
      </c>
      <c r="H47" s="43">
        <f>'Data entry hotel only'!R47</f>
        <v>572220.06000000006</v>
      </c>
      <c r="I47" s="43">
        <f>'Data entry hotel only'!U47</f>
        <v>517537.35</v>
      </c>
      <c r="J47" s="43">
        <f>'Data entry hotel only'!X47</f>
        <v>404479.45600000001</v>
      </c>
      <c r="K47" s="43">
        <f>'Data entry hotel only'!AA47</f>
        <v>436804.15950000001</v>
      </c>
      <c r="L47" s="43">
        <f>'Data entry hotel only'!AD47</f>
        <v>699249.42070000002</v>
      </c>
      <c r="M47" s="43">
        <f>'Data entry hotel only'!AG47</f>
        <v>601115.68030000001</v>
      </c>
      <c r="N47" s="43">
        <f>'Data entry hotel only'!AJ47</f>
        <v>634342.00470000005</v>
      </c>
      <c r="O47" s="43">
        <f>'Data entry hotel only'!AM47</f>
        <v>461551.98800000001</v>
      </c>
      <c r="Q47" s="223">
        <f>'Hotels Only'!C47-'Hotels ORG'!C47</f>
        <v>-322279.34280000068</v>
      </c>
      <c r="R47" s="224">
        <f>SUM(D47:I47)-SUM('Hotels ORG'!D47:I47)</f>
        <v>-150306.07220000029</v>
      </c>
    </row>
    <row r="48" spans="2:18" ht="14" x14ac:dyDescent="0.15">
      <c r="B48" s="38" t="s">
        <v>22</v>
      </c>
      <c r="C48" s="40">
        <f>'Data entry hotel only'!C48</f>
        <v>13134664.7974</v>
      </c>
      <c r="D48" s="40">
        <f>'Data entry hotel only'!F48</f>
        <v>1020658.59</v>
      </c>
      <c r="E48" s="40">
        <f>'Data entry hotel only'!I48</f>
        <v>1105891.56</v>
      </c>
      <c r="F48" s="40">
        <f>'Data entry hotel only'!L48</f>
        <v>1090327.3700000001</v>
      </c>
      <c r="G48" s="40">
        <f>'Data entry hotel only'!O48</f>
        <v>1073735.55</v>
      </c>
      <c r="H48" s="40">
        <f>'Data entry hotel only'!R48</f>
        <v>1133144</v>
      </c>
      <c r="I48" s="40">
        <f>'Data entry hotel only'!U48</f>
        <v>1144538.79</v>
      </c>
      <c r="J48" s="40">
        <f>'Data entry hotel only'!X48</f>
        <v>1000157.5167</v>
      </c>
      <c r="K48" s="40">
        <f>'Data entry hotel only'!AA48</f>
        <v>1059439.2087999999</v>
      </c>
      <c r="L48" s="40">
        <f>'Data entry hotel only'!AD48</f>
        <v>1146677.5262</v>
      </c>
      <c r="M48" s="40">
        <f>'Data entry hotel only'!AG48</f>
        <v>1122588.3049000001</v>
      </c>
      <c r="N48" s="40">
        <f>'Data entry hotel only'!AJ48</f>
        <v>1213643.5415000001</v>
      </c>
      <c r="O48" s="40">
        <f>'Data entry hotel only'!AM48</f>
        <v>1023862.8393</v>
      </c>
      <c r="Q48" s="223">
        <f>'Hotels Only'!C48-'Hotels ORG'!C48</f>
        <v>-152257.59669999965</v>
      </c>
      <c r="R48" s="224">
        <f>SUM(D48:I48)-SUM('Hotels ORG'!D48:I48)</f>
        <v>-77798.598100000061</v>
      </c>
    </row>
    <row r="49" spans="2:18" ht="14" x14ac:dyDescent="0.15">
      <c r="B49" s="38" t="s">
        <v>40</v>
      </c>
      <c r="C49" s="40">
        <f>'Data entry hotel only'!C49</f>
        <v>1061049.1446</v>
      </c>
      <c r="D49" s="40">
        <f>'Data entry hotel only'!F49</f>
        <v>81976.23</v>
      </c>
      <c r="E49" s="40">
        <f>'Data entry hotel only'!I49</f>
        <v>76907.649999999994</v>
      </c>
      <c r="F49" s="40">
        <f>'Data entry hotel only'!L49</f>
        <v>95010.75</v>
      </c>
      <c r="G49" s="40">
        <f>'Data entry hotel only'!O49</f>
        <v>78602.12</v>
      </c>
      <c r="H49" s="40">
        <f>'Data entry hotel only'!R49</f>
        <v>62215.97</v>
      </c>
      <c r="I49" s="40">
        <f>'Data entry hotel only'!U49</f>
        <v>79080.23</v>
      </c>
      <c r="J49" s="40">
        <f>'Data entry hotel only'!X49</f>
        <v>80797.460800000001</v>
      </c>
      <c r="K49" s="40">
        <f>'Data entry hotel only'!AA49</f>
        <v>88929.251799999998</v>
      </c>
      <c r="L49" s="40">
        <f>'Data entry hotel only'!AD49</f>
        <v>120092.3165</v>
      </c>
      <c r="M49" s="40">
        <f>'Data entry hotel only'!AG49</f>
        <v>101223.82889999999</v>
      </c>
      <c r="N49" s="40">
        <f>'Data entry hotel only'!AJ49</f>
        <v>107348.0028</v>
      </c>
      <c r="O49" s="40">
        <f>'Data entry hotel only'!AM49</f>
        <v>88865.333799999993</v>
      </c>
      <c r="Q49" s="223">
        <f>'Hotels Only'!C49-'Hotels ORG'!C49</f>
        <v>-131876.17310000001</v>
      </c>
      <c r="R49" s="224">
        <f>SUM(D49:I49)-SUM('Hotels ORG'!D49:I49)</f>
        <v>-139867.99550000008</v>
      </c>
    </row>
    <row r="50" spans="2:18" ht="14" x14ac:dyDescent="0.15">
      <c r="B50" s="42" t="s">
        <v>41</v>
      </c>
      <c r="C50" s="43">
        <f>'Data entry hotel only'!C50</f>
        <v>3518919.5575999999</v>
      </c>
      <c r="D50" s="43">
        <f>'Data entry hotel only'!F50</f>
        <v>3740.48</v>
      </c>
      <c r="E50" s="43">
        <f>'Data entry hotel only'!I50</f>
        <v>59870.04</v>
      </c>
      <c r="F50" s="43">
        <f>'Data entry hotel only'!L50</f>
        <v>494065.96</v>
      </c>
      <c r="G50" s="43">
        <f>'Data entry hotel only'!O50</f>
        <v>-90216.45</v>
      </c>
      <c r="H50" s="43">
        <f>'Data entry hotel only'!R50</f>
        <v>284751.78999999998</v>
      </c>
      <c r="I50" s="43">
        <f>'Data entry hotel only'!U50</f>
        <v>14685.39</v>
      </c>
      <c r="J50" s="43">
        <f>'Data entry hotel only'!X50</f>
        <v>77630.875499999995</v>
      </c>
      <c r="K50" s="43">
        <f>'Data entry hotel only'!AA50</f>
        <v>69790.176600000006</v>
      </c>
      <c r="L50" s="43">
        <f>'Data entry hotel only'!AD50</f>
        <v>913210.70680000004</v>
      </c>
      <c r="M50" s="43">
        <f>'Data entry hotel only'!AG50</f>
        <v>648438.79760000005</v>
      </c>
      <c r="N50" s="43">
        <f>'Data entry hotel only'!AJ50</f>
        <v>711106.63859999995</v>
      </c>
      <c r="O50" s="43">
        <f>'Data entry hotel only'!AM50</f>
        <v>331845.15250000003</v>
      </c>
      <c r="Q50" s="223">
        <f>'Hotels Only'!C50-'Hotels ORG'!C50</f>
        <v>-2478415.0882999999</v>
      </c>
      <c r="R50" s="224">
        <f>SUM(D50:I50)-SUM('Hotels ORG'!D50:I50)</f>
        <v>-1999262.5101000001</v>
      </c>
    </row>
    <row r="51" spans="2:18" x14ac:dyDescent="0.15">
      <c r="B51" s="40"/>
      <c r="C51" s="40">
        <f>'Data entry hotel only'!C51</f>
        <v>0</v>
      </c>
      <c r="D51" s="40">
        <f>'Data entry hotel only'!F51</f>
        <v>0</v>
      </c>
      <c r="E51" s="40">
        <f>'Data entry hotel only'!I51</f>
        <v>0</v>
      </c>
      <c r="F51" s="40">
        <f>'Data entry hotel only'!L51</f>
        <v>0</v>
      </c>
      <c r="G51" s="40">
        <f>'Data entry hotel only'!O51</f>
        <v>0</v>
      </c>
      <c r="H51" s="40">
        <f>'Data entry hotel only'!R51</f>
        <v>0</v>
      </c>
      <c r="I51" s="40">
        <f>'Data entry hotel only'!U51</f>
        <v>0</v>
      </c>
      <c r="J51" s="40">
        <f>'Data entry hotel only'!X51</f>
        <v>0</v>
      </c>
      <c r="K51" s="40">
        <f>'Data entry hotel only'!AA51</f>
        <v>0</v>
      </c>
      <c r="L51" s="40">
        <f>'Data entry hotel only'!AD51</f>
        <v>0</v>
      </c>
      <c r="M51" s="40">
        <f>'Data entry hotel only'!AG51</f>
        <v>0</v>
      </c>
      <c r="N51" s="40">
        <f>'Data entry hotel only'!AJ51</f>
        <v>0</v>
      </c>
      <c r="O51" s="40">
        <f>'Data entry hotel only'!AM51</f>
        <v>0</v>
      </c>
      <c r="Q51" s="223">
        <f>'Hotels Only'!C51-'Hotels ORG'!C51</f>
        <v>0</v>
      </c>
      <c r="R51" s="224">
        <f>SUM(D51:I51)-SUM('Hotels ORG'!D51:I51)</f>
        <v>0</v>
      </c>
    </row>
    <row r="52" spans="2:18" ht="14" x14ac:dyDescent="0.15">
      <c r="B52" s="44" t="s">
        <v>50</v>
      </c>
      <c r="C52" s="45">
        <f>'Data entry hotel only'!C52</f>
        <v>0</v>
      </c>
      <c r="D52" s="45">
        <f>'Data entry hotel only'!F52</f>
        <v>0</v>
      </c>
      <c r="E52" s="45">
        <f>'Data entry hotel only'!I52</f>
        <v>0</v>
      </c>
      <c r="F52" s="45">
        <f>'Data entry hotel only'!L52</f>
        <v>0</v>
      </c>
      <c r="G52" s="45">
        <f>'Data entry hotel only'!O52</f>
        <v>0</v>
      </c>
      <c r="H52" s="45">
        <f>'Data entry hotel only'!R52</f>
        <v>0</v>
      </c>
      <c r="I52" s="45">
        <f>'Data entry hotel only'!U52</f>
        <v>0</v>
      </c>
      <c r="J52" s="45">
        <f>'Data entry hotel only'!X52</f>
        <v>0</v>
      </c>
      <c r="K52" s="45">
        <f>'Data entry hotel only'!AA52</f>
        <v>0</v>
      </c>
      <c r="L52" s="45">
        <f>'Data entry hotel only'!AD52</f>
        <v>0</v>
      </c>
      <c r="M52" s="45">
        <f>'Data entry hotel only'!AG52</f>
        <v>0</v>
      </c>
      <c r="N52" s="45">
        <f>'Data entry hotel only'!AJ52</f>
        <v>0</v>
      </c>
      <c r="O52" s="45">
        <f>'Data entry hotel only'!AM52</f>
        <v>0</v>
      </c>
      <c r="Q52" s="223">
        <f>'Hotels Only'!C52-'Hotels ORG'!C52</f>
        <v>0</v>
      </c>
      <c r="R52" s="224">
        <f>SUM(D52:I52)-SUM('Hotels ORG'!D52:I52)</f>
        <v>0</v>
      </c>
    </row>
    <row r="53" spans="2:18" ht="14" x14ac:dyDescent="0.15">
      <c r="B53" s="38" t="s">
        <v>37</v>
      </c>
      <c r="C53" s="40">
        <f>'Data entry hotel only'!C53</f>
        <v>3701520.1025999999</v>
      </c>
      <c r="D53" s="40">
        <f>'Data entry hotel only'!F53</f>
        <v>263081.53999999998</v>
      </c>
      <c r="E53" s="40">
        <f>'Data entry hotel only'!I53</f>
        <v>310635.21999999997</v>
      </c>
      <c r="F53" s="40">
        <f>'Data entry hotel only'!L53</f>
        <v>303136.23</v>
      </c>
      <c r="G53" s="40">
        <f>'Data entry hotel only'!O53</f>
        <v>316090.71999999997</v>
      </c>
      <c r="H53" s="40">
        <f>'Data entry hotel only'!R53</f>
        <v>357555.59</v>
      </c>
      <c r="I53" s="40">
        <f>'Data entry hotel only'!U53</f>
        <v>65533.57</v>
      </c>
      <c r="J53" s="40">
        <f>'Data entry hotel only'!X53</f>
        <v>345619.98119999998</v>
      </c>
      <c r="K53" s="40">
        <f>'Data entry hotel only'!AA53</f>
        <v>345372.14260000002</v>
      </c>
      <c r="L53" s="40">
        <f>'Data entry hotel only'!AD53</f>
        <v>396617.44819999998</v>
      </c>
      <c r="M53" s="40">
        <f>'Data entry hotel only'!AG53</f>
        <v>367281.6948</v>
      </c>
      <c r="N53" s="40">
        <f>'Data entry hotel only'!AJ53</f>
        <v>340551.75760000001</v>
      </c>
      <c r="O53" s="40">
        <f>'Data entry hotel only'!AM53</f>
        <v>290044.20819999999</v>
      </c>
      <c r="Q53" s="223">
        <f>'Hotels Only'!C53-'Hotels ORG'!C53</f>
        <v>-582302.68280000053</v>
      </c>
      <c r="R53" s="224">
        <f>SUM(D53:I53)-SUM('Hotels ORG'!D53:I53)</f>
        <v>-478656.13209999981</v>
      </c>
    </row>
    <row r="54" spans="2:18" ht="14" x14ac:dyDescent="0.15">
      <c r="B54" s="38" t="s">
        <v>49</v>
      </c>
      <c r="C54" s="40">
        <f>'Data entry hotel only'!C54</f>
        <v>417310.77380000002</v>
      </c>
      <c r="D54" s="40">
        <f>'Data entry hotel only'!F54</f>
        <v>15078.73</v>
      </c>
      <c r="E54" s="40">
        <f>'Data entry hotel only'!I54</f>
        <v>50228.54</v>
      </c>
      <c r="F54" s="40">
        <f>'Data entry hotel only'!L54</f>
        <v>59767.42</v>
      </c>
      <c r="G54" s="40">
        <f>'Data entry hotel only'!O54</f>
        <v>24390.84</v>
      </c>
      <c r="H54" s="40">
        <f>'Data entry hotel only'!R54</f>
        <v>26184.42</v>
      </c>
      <c r="I54" s="40">
        <f>'Data entry hotel only'!U54</f>
        <v>25244.240000000002</v>
      </c>
      <c r="J54" s="40">
        <f>'Data entry hotel only'!X54</f>
        <v>39218.542699999998</v>
      </c>
      <c r="K54" s="40">
        <f>'Data entry hotel only'!AA54</f>
        <v>36358.672599999998</v>
      </c>
      <c r="L54" s="40">
        <f>'Data entry hotel only'!AD54</f>
        <v>48009.756699999998</v>
      </c>
      <c r="M54" s="40">
        <f>'Data entry hotel only'!AG54</f>
        <v>45537.918100000003</v>
      </c>
      <c r="N54" s="40">
        <f>'Data entry hotel only'!AJ54</f>
        <v>26920.035100000001</v>
      </c>
      <c r="O54" s="40">
        <f>'Data entry hotel only'!AM54</f>
        <v>20371.658599999999</v>
      </c>
      <c r="Q54" s="223">
        <f>'Hotels Only'!C54-'Hotels ORG'!C54</f>
        <v>663.81680000002962</v>
      </c>
      <c r="R54" s="224">
        <f>SUM(D54:I54)-SUM('Hotels ORG'!D54:I54)</f>
        <v>-27508.465399999986</v>
      </c>
    </row>
    <row r="55" spans="2:18" ht="14" x14ac:dyDescent="0.15">
      <c r="B55" s="38" t="s">
        <v>22</v>
      </c>
      <c r="C55" s="40">
        <f>'Data entry hotel only'!C55</f>
        <v>778178.01049999997</v>
      </c>
      <c r="D55" s="40">
        <f>'Data entry hotel only'!F55</f>
        <v>38650.67</v>
      </c>
      <c r="E55" s="40">
        <f>'Data entry hotel only'!I55</f>
        <v>63102.14</v>
      </c>
      <c r="F55" s="40">
        <f>'Data entry hotel only'!L55</f>
        <v>53402.03</v>
      </c>
      <c r="G55" s="40">
        <f>'Data entry hotel only'!O55</f>
        <v>65019.62</v>
      </c>
      <c r="H55" s="40">
        <f>'Data entry hotel only'!R55</f>
        <v>68329.570000000007</v>
      </c>
      <c r="I55" s="40">
        <f>'Data entry hotel only'!U55</f>
        <v>73509.2</v>
      </c>
      <c r="J55" s="40">
        <f>'Data entry hotel only'!X55</f>
        <v>71883.457399999999</v>
      </c>
      <c r="K55" s="40">
        <f>'Data entry hotel only'!AA55</f>
        <v>74377.033599999995</v>
      </c>
      <c r="L55" s="40">
        <f>'Data entry hotel only'!AD55</f>
        <v>75170.2071</v>
      </c>
      <c r="M55" s="40">
        <f>'Data entry hotel only'!AG55</f>
        <v>73937.235700000005</v>
      </c>
      <c r="N55" s="40">
        <f>'Data entry hotel only'!AJ55</f>
        <v>62039.130299999997</v>
      </c>
      <c r="O55" s="40">
        <f>'Data entry hotel only'!AM55</f>
        <v>58757.716399999998</v>
      </c>
      <c r="Q55" s="223">
        <f>'Hotels Only'!C55-'Hotels ORG'!C55</f>
        <v>-51843.165800000075</v>
      </c>
      <c r="R55" s="224">
        <f>SUM(D55:I55)-SUM('Hotels ORG'!D55:I55)</f>
        <v>-54980.709299999929</v>
      </c>
    </row>
    <row r="56" spans="2:18" ht="14" x14ac:dyDescent="0.15">
      <c r="B56" s="38" t="s">
        <v>40</v>
      </c>
      <c r="C56" s="40">
        <f>'Data entry hotel only'!C56</f>
        <v>222004.06</v>
      </c>
      <c r="D56" s="40">
        <f>'Data entry hotel only'!F56</f>
        <v>14178.09</v>
      </c>
      <c r="E56" s="40">
        <f>'Data entry hotel only'!I56</f>
        <v>6669.85</v>
      </c>
      <c r="F56" s="40">
        <f>'Data entry hotel only'!L56</f>
        <v>20424.8</v>
      </c>
      <c r="G56" s="40">
        <f>'Data entry hotel only'!O56</f>
        <v>25670.03</v>
      </c>
      <c r="H56" s="40">
        <f>'Data entry hotel only'!R56</f>
        <v>25141.65</v>
      </c>
      <c r="I56" s="40">
        <f>'Data entry hotel only'!U56</f>
        <v>9613.9599999999991</v>
      </c>
      <c r="J56" s="40">
        <f>'Data entry hotel only'!X56</f>
        <v>22941.279999999999</v>
      </c>
      <c r="K56" s="40">
        <f>'Data entry hotel only'!AA56</f>
        <v>21018.28</v>
      </c>
      <c r="L56" s="40">
        <f>'Data entry hotel only'!AD56</f>
        <v>24518.28</v>
      </c>
      <c r="M56" s="40">
        <f>'Data entry hotel only'!AG56</f>
        <v>21918.28</v>
      </c>
      <c r="N56" s="40">
        <f>'Data entry hotel only'!AJ56</f>
        <v>17268.28</v>
      </c>
      <c r="O56" s="40">
        <f>'Data entry hotel only'!AM56</f>
        <v>12641.28</v>
      </c>
      <c r="Q56" s="223">
        <f>'Hotels Only'!C56-'Hotels ORG'!C56</f>
        <v>-11972.299999999988</v>
      </c>
      <c r="R56" s="224">
        <f>SUM(D56:I56)-SUM('Hotels ORG'!D56:I56)</f>
        <v>-13354.299999999988</v>
      </c>
    </row>
    <row r="57" spans="2:18" ht="14" x14ac:dyDescent="0.15">
      <c r="B57" s="42" t="s">
        <v>41</v>
      </c>
      <c r="C57" s="43">
        <f>'Data entry hotel only'!C57</f>
        <v>2284027.2582</v>
      </c>
      <c r="D57" s="43">
        <f>'Data entry hotel only'!F57</f>
        <v>195174.05</v>
      </c>
      <c r="E57" s="43">
        <f>'Data entry hotel only'!I57</f>
        <v>190634.69</v>
      </c>
      <c r="F57" s="43">
        <f>'Data entry hotel only'!L57</f>
        <v>169541.98</v>
      </c>
      <c r="G57" s="43">
        <f>'Data entry hotel only'!O57</f>
        <v>201010.23</v>
      </c>
      <c r="H57" s="43">
        <f>'Data entry hotel only'!R57</f>
        <v>237899.95</v>
      </c>
      <c r="I57" s="43">
        <f>'Data entry hotel only'!U57</f>
        <v>-42833.83</v>
      </c>
      <c r="J57" s="43">
        <f>'Data entry hotel only'!X57</f>
        <v>211576.7009</v>
      </c>
      <c r="K57" s="43">
        <f>'Data entry hotel only'!AA57</f>
        <v>213618.15640000001</v>
      </c>
      <c r="L57" s="43">
        <f>'Data entry hotel only'!AD57</f>
        <v>248919.20439999999</v>
      </c>
      <c r="M57" s="43">
        <f>'Data entry hotel only'!AG57</f>
        <v>225888.26089999999</v>
      </c>
      <c r="N57" s="43">
        <f>'Data entry hotel only'!AJ57</f>
        <v>234324.3124</v>
      </c>
      <c r="O57" s="43">
        <f>'Data entry hotel only'!AM57</f>
        <v>198273.55319999999</v>
      </c>
      <c r="Q57" s="223">
        <f>'Hotels Only'!C57-'Hotels ORG'!C57</f>
        <v>-519151.03390000015</v>
      </c>
      <c r="R57" s="224">
        <f>SUM(D57:I57)-SUM('Hotels ORG'!D57:I57)</f>
        <v>-382812.65729999996</v>
      </c>
    </row>
    <row r="58" spans="2:18" x14ac:dyDescent="0.15">
      <c r="B58" s="40"/>
      <c r="C58" s="40">
        <f>'Data entry hotel only'!C58</f>
        <v>0</v>
      </c>
      <c r="D58" s="40">
        <f>'Data entry hotel only'!F58</f>
        <v>0</v>
      </c>
      <c r="E58" s="40">
        <f>'Data entry hotel only'!I58</f>
        <v>0</v>
      </c>
      <c r="F58" s="40">
        <f>'Data entry hotel only'!L58</f>
        <v>0</v>
      </c>
      <c r="G58" s="40">
        <f>'Data entry hotel only'!O58</f>
        <v>0</v>
      </c>
      <c r="H58" s="40">
        <f>'Data entry hotel only'!R58</f>
        <v>0</v>
      </c>
      <c r="I58" s="40">
        <f>'Data entry hotel only'!U58</f>
        <v>0</v>
      </c>
      <c r="J58" s="40">
        <f>'Data entry hotel only'!X58</f>
        <v>0</v>
      </c>
      <c r="K58" s="40">
        <f>'Data entry hotel only'!AA58</f>
        <v>0</v>
      </c>
      <c r="L58" s="40">
        <f>'Data entry hotel only'!AD58</f>
        <v>0</v>
      </c>
      <c r="M58" s="40">
        <f>'Data entry hotel only'!AG58</f>
        <v>0</v>
      </c>
      <c r="N58" s="40">
        <f>'Data entry hotel only'!AJ58</f>
        <v>0</v>
      </c>
      <c r="O58" s="40">
        <f>'Data entry hotel only'!AM58</f>
        <v>0</v>
      </c>
      <c r="Q58" s="223">
        <f>'Hotels Only'!C58-'Hotels ORG'!C58</f>
        <v>0</v>
      </c>
      <c r="R58" s="224">
        <f>SUM(D58:I58)-SUM('Hotels ORG'!D58:I58)</f>
        <v>0</v>
      </c>
    </row>
    <row r="59" spans="2:18" ht="14" x14ac:dyDescent="0.15">
      <c r="B59" s="44" t="s">
        <v>38</v>
      </c>
      <c r="C59" s="45">
        <f>'Data entry hotel only'!C59</f>
        <v>0</v>
      </c>
      <c r="D59" s="45">
        <f>'Data entry hotel only'!F59</f>
        <v>0</v>
      </c>
      <c r="E59" s="45">
        <f>'Data entry hotel only'!I59</f>
        <v>0</v>
      </c>
      <c r="F59" s="45">
        <f>'Data entry hotel only'!L59</f>
        <v>0</v>
      </c>
      <c r="G59" s="45">
        <f>'Data entry hotel only'!O59</f>
        <v>0</v>
      </c>
      <c r="H59" s="45">
        <f>'Data entry hotel only'!R59</f>
        <v>0</v>
      </c>
      <c r="I59" s="45">
        <f>'Data entry hotel only'!U59</f>
        <v>0</v>
      </c>
      <c r="J59" s="45">
        <f>'Data entry hotel only'!X59</f>
        <v>0</v>
      </c>
      <c r="K59" s="45">
        <f>'Data entry hotel only'!AA59</f>
        <v>0</v>
      </c>
      <c r="L59" s="45">
        <f>'Data entry hotel only'!AD59</f>
        <v>0</v>
      </c>
      <c r="M59" s="45">
        <f>'Data entry hotel only'!AG59</f>
        <v>0</v>
      </c>
      <c r="N59" s="45">
        <f>'Data entry hotel only'!AJ59</f>
        <v>0</v>
      </c>
      <c r="O59" s="45">
        <f>'Data entry hotel only'!AM59</f>
        <v>0</v>
      </c>
      <c r="Q59" s="223">
        <f>'Hotels Only'!C59-'Hotels ORG'!C59</f>
        <v>0</v>
      </c>
      <c r="R59" s="224">
        <f>SUM(D59:I59)-SUM('Hotels ORG'!D59:I59)</f>
        <v>0</v>
      </c>
    </row>
    <row r="60" spans="2:18" ht="14" x14ac:dyDescent="0.15">
      <c r="B60" s="42" t="s">
        <v>38</v>
      </c>
      <c r="C60" s="43">
        <f>'Data entry hotel only'!C60</f>
        <v>1120170.156</v>
      </c>
      <c r="D60" s="43">
        <f>'Data entry hotel only'!F60</f>
        <v>64731.78</v>
      </c>
      <c r="E60" s="43">
        <f>'Data entry hotel only'!I60</f>
        <v>130015.54</v>
      </c>
      <c r="F60" s="43">
        <f>'Data entry hotel only'!L60</f>
        <v>136429.06</v>
      </c>
      <c r="G60" s="43">
        <f>'Data entry hotel only'!O60</f>
        <v>64627.17</v>
      </c>
      <c r="H60" s="43">
        <f>'Data entry hotel only'!R60</f>
        <v>88609.29</v>
      </c>
      <c r="I60" s="43">
        <f>'Data entry hotel only'!U60</f>
        <v>48911.71</v>
      </c>
      <c r="J60" s="43">
        <f>'Data entry hotel only'!X60</f>
        <v>67847.327699999994</v>
      </c>
      <c r="K60" s="43">
        <f>'Data entry hotel only'!AA60</f>
        <v>74159.435700000002</v>
      </c>
      <c r="L60" s="43">
        <f>'Data entry hotel only'!AD60</f>
        <v>128144.4604</v>
      </c>
      <c r="M60" s="43">
        <f>'Data entry hotel only'!AG60</f>
        <v>132754.3848</v>
      </c>
      <c r="N60" s="43">
        <f>'Data entry hotel only'!AJ60</f>
        <v>115176.7596</v>
      </c>
      <c r="O60" s="43">
        <f>'Data entry hotel only'!AM60</f>
        <v>68763.237800000003</v>
      </c>
      <c r="Q60" s="223">
        <f>'Hotels Only'!C60-'Hotels ORG'!C60</f>
        <v>-54724.631199999945</v>
      </c>
      <c r="R60" s="224">
        <f>SUM(D60:I60)-SUM('Hotels ORG'!D60:I60)</f>
        <v>-23866.93310000014</v>
      </c>
    </row>
    <row r="61" spans="2:18" x14ac:dyDescent="0.15">
      <c r="B61" s="40"/>
      <c r="C61" s="40">
        <f>'Data entry hotel only'!C61</f>
        <v>0</v>
      </c>
      <c r="D61" s="40">
        <f>'Data entry hotel only'!F61</f>
        <v>0</v>
      </c>
      <c r="E61" s="40">
        <f>'Data entry hotel only'!I61</f>
        <v>0</v>
      </c>
      <c r="F61" s="40">
        <f>'Data entry hotel only'!L61</f>
        <v>0</v>
      </c>
      <c r="G61" s="40">
        <f>'Data entry hotel only'!O61</f>
        <v>0</v>
      </c>
      <c r="H61" s="40">
        <f>'Data entry hotel only'!R61</f>
        <v>0</v>
      </c>
      <c r="I61" s="40">
        <f>'Data entry hotel only'!U61</f>
        <v>0</v>
      </c>
      <c r="J61" s="40">
        <f>'Data entry hotel only'!X61</f>
        <v>0</v>
      </c>
      <c r="K61" s="40">
        <f>'Data entry hotel only'!AA61</f>
        <v>0</v>
      </c>
      <c r="L61" s="40">
        <f>'Data entry hotel only'!AD61</f>
        <v>0</v>
      </c>
      <c r="M61" s="40">
        <f>'Data entry hotel only'!AG61</f>
        <v>0</v>
      </c>
      <c r="N61" s="40">
        <f>'Data entry hotel only'!AJ61</f>
        <v>0</v>
      </c>
      <c r="O61" s="40">
        <f>'Data entry hotel only'!AM61</f>
        <v>0</v>
      </c>
      <c r="Q61" s="223">
        <f>'Hotels Only'!C61-'Hotels ORG'!C61</f>
        <v>0</v>
      </c>
      <c r="R61" s="224">
        <f>SUM(D61:I61)-SUM('Hotels ORG'!D61:I61)</f>
        <v>0</v>
      </c>
    </row>
    <row r="62" spans="2:18" ht="14" x14ac:dyDescent="0.15">
      <c r="B62" s="44" t="s">
        <v>51</v>
      </c>
      <c r="C62" s="45">
        <f>'Data entry hotel only'!C62</f>
        <v>0</v>
      </c>
      <c r="D62" s="45">
        <f>'Data entry hotel only'!F62</f>
        <v>0</v>
      </c>
      <c r="E62" s="45">
        <f>'Data entry hotel only'!I62</f>
        <v>0</v>
      </c>
      <c r="F62" s="45">
        <f>'Data entry hotel only'!L62</f>
        <v>0</v>
      </c>
      <c r="G62" s="45">
        <f>'Data entry hotel only'!O62</f>
        <v>0</v>
      </c>
      <c r="H62" s="45">
        <f>'Data entry hotel only'!R62</f>
        <v>0</v>
      </c>
      <c r="I62" s="45">
        <f>'Data entry hotel only'!U62</f>
        <v>0</v>
      </c>
      <c r="J62" s="45">
        <f>'Data entry hotel only'!X62</f>
        <v>0</v>
      </c>
      <c r="K62" s="45">
        <f>'Data entry hotel only'!AA62</f>
        <v>0</v>
      </c>
      <c r="L62" s="45">
        <f>'Data entry hotel only'!AD62</f>
        <v>0</v>
      </c>
      <c r="M62" s="45">
        <f>'Data entry hotel only'!AG62</f>
        <v>0</v>
      </c>
      <c r="N62" s="45">
        <f>'Data entry hotel only'!AJ62</f>
        <v>0</v>
      </c>
      <c r="O62" s="45">
        <f>'Data entry hotel only'!AM62</f>
        <v>0</v>
      </c>
      <c r="Q62" s="223">
        <f>'Hotels Only'!C62-'Hotels ORG'!C62</f>
        <v>0</v>
      </c>
      <c r="R62" s="224">
        <f>SUM(D62:I62)-SUM('Hotels ORG'!D62:I62)</f>
        <v>0</v>
      </c>
    </row>
    <row r="63" spans="2:18" ht="14" x14ac:dyDescent="0.15">
      <c r="B63" s="42" t="s">
        <v>52</v>
      </c>
      <c r="C63" s="43">
        <f>'Data entry hotel only'!C63</f>
        <v>46522670.3257</v>
      </c>
      <c r="D63" s="43">
        <f>'Data entry hotel only'!F63</f>
        <v>1960609.94</v>
      </c>
      <c r="E63" s="43">
        <f>'Data entry hotel only'!I63</f>
        <v>2556377.58</v>
      </c>
      <c r="F63" s="43">
        <f>'Data entry hotel only'!L63</f>
        <v>4520025.55</v>
      </c>
      <c r="G63" s="43">
        <f>'Data entry hotel only'!O63</f>
        <v>2699308.55</v>
      </c>
      <c r="H63" s="43">
        <f>'Data entry hotel only'!R63</f>
        <v>4594362.01</v>
      </c>
      <c r="I63" s="43">
        <f>'Data entry hotel only'!U63</f>
        <v>3391435.92</v>
      </c>
      <c r="J63" s="43">
        <f>'Data entry hotel only'!X63</f>
        <v>2863097.7573000002</v>
      </c>
      <c r="K63" s="43">
        <f>'Data entry hotel only'!AA63</f>
        <v>3371157.6985999998</v>
      </c>
      <c r="L63" s="43">
        <f>'Data entry hotel only'!AD63</f>
        <v>6032010.0582999997</v>
      </c>
      <c r="M63" s="43">
        <f>'Data entry hotel only'!AG63</f>
        <v>6121265.5871000001</v>
      </c>
      <c r="N63" s="43">
        <f>'Data entry hotel only'!AJ63</f>
        <v>5166028.6152999997</v>
      </c>
      <c r="O63" s="43">
        <f>'Data entry hotel only'!AM63</f>
        <v>3246991.0591000002</v>
      </c>
      <c r="Q63" s="223">
        <f>'Hotels Only'!C63-'Hotels ORG'!C63</f>
        <v>-8883989.9035999998</v>
      </c>
      <c r="R63" s="224">
        <f>SUM(D63:I63)-SUM('Hotels ORG'!D63:I63)</f>
        <v>-6036820.9346999973</v>
      </c>
    </row>
    <row r="64" spans="2:18" ht="14" x14ac:dyDescent="0.15">
      <c r="B64" s="40" t="s">
        <v>200</v>
      </c>
      <c r="C64" s="94">
        <f>'Data entry hotel only'!C64</f>
        <v>0</v>
      </c>
      <c r="D64" s="94">
        <f>'Data entry hotel only'!F64</f>
        <v>0</v>
      </c>
      <c r="E64" s="94">
        <f>'Data entry hotel only'!I64</f>
        <v>0</v>
      </c>
      <c r="F64" s="94">
        <f>'Data entry hotel only'!L64</f>
        <v>0</v>
      </c>
      <c r="G64" s="94">
        <f>'Data entry hotel only'!O64</f>
        <v>0</v>
      </c>
      <c r="H64" s="94">
        <f>'Data entry hotel only'!R64</f>
        <v>0</v>
      </c>
      <c r="I64" s="94">
        <f>'Data entry hotel only'!U64</f>
        <v>0</v>
      </c>
      <c r="J64" s="94">
        <f>'Data entry hotel only'!X64</f>
        <v>0</v>
      </c>
      <c r="K64" s="94">
        <f>'Data entry hotel only'!AA64</f>
        <v>0</v>
      </c>
      <c r="L64" s="94">
        <f>'Data entry hotel only'!AD64</f>
        <v>0</v>
      </c>
      <c r="M64" s="94">
        <f>'Data entry hotel only'!AG64</f>
        <v>0</v>
      </c>
      <c r="N64" s="94">
        <f>'Data entry hotel only'!AJ64</f>
        <v>0</v>
      </c>
      <c r="O64" s="94">
        <f>'Data entry hotel only'!AM64</f>
        <v>0</v>
      </c>
      <c r="Q64" s="223">
        <f>'Hotels Only'!C64-'Hotels ORG'!C64</f>
        <v>-0.53150548930429176</v>
      </c>
      <c r="R64" s="224">
        <f>SUM(D64:I64)-SUM('Hotels ORG'!D64:I64)</f>
        <v>-3.0659264830891026</v>
      </c>
    </row>
    <row r="65" spans="2:18" ht="14" x14ac:dyDescent="0.15">
      <c r="B65" s="44" t="s">
        <v>53</v>
      </c>
      <c r="C65" s="45">
        <f>'Data entry hotel only'!C65</f>
        <v>0</v>
      </c>
      <c r="D65" s="45">
        <f>'Data entry hotel only'!F65</f>
        <v>0</v>
      </c>
      <c r="E65" s="45">
        <f>'Data entry hotel only'!I65</f>
        <v>0</v>
      </c>
      <c r="F65" s="45">
        <f>'Data entry hotel only'!L65</f>
        <v>0</v>
      </c>
      <c r="G65" s="45">
        <f>'Data entry hotel only'!O65</f>
        <v>0</v>
      </c>
      <c r="H65" s="45">
        <f>'Data entry hotel only'!R65</f>
        <v>0</v>
      </c>
      <c r="I65" s="45">
        <f>'Data entry hotel only'!U65</f>
        <v>0</v>
      </c>
      <c r="J65" s="45">
        <f>'Data entry hotel only'!X65</f>
        <v>0</v>
      </c>
      <c r="K65" s="45">
        <f>'Data entry hotel only'!AA65</f>
        <v>0</v>
      </c>
      <c r="L65" s="45">
        <f>'Data entry hotel only'!AD65</f>
        <v>0</v>
      </c>
      <c r="M65" s="45">
        <f>'Data entry hotel only'!AG65</f>
        <v>0</v>
      </c>
      <c r="N65" s="45">
        <f>'Data entry hotel only'!AJ65</f>
        <v>0</v>
      </c>
      <c r="O65" s="45">
        <f>'Data entry hotel only'!AM65</f>
        <v>0</v>
      </c>
      <c r="Q65" s="223">
        <f>'Hotels Only'!C65-'Hotels ORG'!C65</f>
        <v>0</v>
      </c>
      <c r="R65" s="224">
        <f>SUM(D65:I65)-SUM('Hotels ORG'!D65:I65)</f>
        <v>0</v>
      </c>
    </row>
    <row r="66" spans="2:18" ht="14" x14ac:dyDescent="0.15">
      <c r="B66" s="38" t="s">
        <v>22</v>
      </c>
      <c r="C66" s="40">
        <f>'Data entry hotel only'!C66</f>
        <v>3392870.4114999999</v>
      </c>
      <c r="D66" s="40">
        <f>'Data entry hotel only'!F66</f>
        <v>267654.8</v>
      </c>
      <c r="E66" s="40">
        <f>'Data entry hotel only'!I66</f>
        <v>311315.8</v>
      </c>
      <c r="F66" s="40">
        <f>'Data entry hotel only'!L66</f>
        <v>292935.64</v>
      </c>
      <c r="G66" s="40">
        <f>'Data entry hotel only'!O66</f>
        <v>277602.3</v>
      </c>
      <c r="H66" s="40">
        <f>'Data entry hotel only'!R66</f>
        <v>273839.17</v>
      </c>
      <c r="I66" s="40">
        <f>'Data entry hotel only'!U66</f>
        <v>273523.64</v>
      </c>
      <c r="J66" s="40">
        <f>'Data entry hotel only'!X66</f>
        <v>267659.6643</v>
      </c>
      <c r="K66" s="40">
        <f>'Data entry hotel only'!AA66</f>
        <v>278150.48310000001</v>
      </c>
      <c r="L66" s="40">
        <f>'Data entry hotel only'!AD66</f>
        <v>267560.46260000003</v>
      </c>
      <c r="M66" s="40">
        <f>'Data entry hotel only'!AG66</f>
        <v>284271.43099999998</v>
      </c>
      <c r="N66" s="40">
        <f>'Data entry hotel only'!AJ66</f>
        <v>295414.04810000001</v>
      </c>
      <c r="O66" s="40">
        <f>'Data entry hotel only'!AM66</f>
        <v>302942.97240000003</v>
      </c>
      <c r="Q66" s="223">
        <f>'Hotels Only'!C66-'Hotels ORG'!C66</f>
        <v>-83812.876999999862</v>
      </c>
      <c r="R66" s="224">
        <f>SUM(D66:I66)-SUM('Hotels ORG'!D66:I66)</f>
        <v>-37362.047899999889</v>
      </c>
    </row>
    <row r="67" spans="2:18" ht="14" x14ac:dyDescent="0.15">
      <c r="B67" s="38" t="s">
        <v>40</v>
      </c>
      <c r="C67" s="40">
        <f>'Data entry hotel only'!C67</f>
        <v>2573792.5529</v>
      </c>
      <c r="D67" s="40">
        <f>'Data entry hotel only'!F67</f>
        <v>146585.74</v>
      </c>
      <c r="E67" s="40">
        <f>'Data entry hotel only'!I67</f>
        <v>216910.89</v>
      </c>
      <c r="F67" s="40">
        <f>'Data entry hotel only'!L67</f>
        <v>202771.87</v>
      </c>
      <c r="G67" s="40">
        <f>'Data entry hotel only'!O67</f>
        <v>236907.05</v>
      </c>
      <c r="H67" s="40">
        <f>'Data entry hotel only'!R67</f>
        <v>208094.4</v>
      </c>
      <c r="I67" s="40">
        <f>'Data entry hotel only'!U67</f>
        <v>209537.43</v>
      </c>
      <c r="J67" s="40">
        <f>'Data entry hotel only'!X67</f>
        <v>188922.78099999999</v>
      </c>
      <c r="K67" s="40">
        <f>'Data entry hotel only'!AA67</f>
        <v>193332.28460000001</v>
      </c>
      <c r="L67" s="40">
        <f>'Data entry hotel only'!AD67</f>
        <v>256324.21969999999</v>
      </c>
      <c r="M67" s="40">
        <f>'Data entry hotel only'!AG67</f>
        <v>256909.89139999999</v>
      </c>
      <c r="N67" s="40">
        <f>'Data entry hotel only'!AJ67</f>
        <v>270129.68160000001</v>
      </c>
      <c r="O67" s="40">
        <f>'Data entry hotel only'!AM67</f>
        <v>187366.31460000001</v>
      </c>
      <c r="Q67" s="223">
        <f>'Hotels Only'!C67-'Hotels ORG'!C67</f>
        <v>-263184.80079999985</v>
      </c>
      <c r="R67" s="224">
        <f>SUM(D67:I67)-SUM('Hotels ORG'!D67:I67)</f>
        <v>-174150.65850000014</v>
      </c>
    </row>
    <row r="68" spans="2:18" ht="14" x14ac:dyDescent="0.15">
      <c r="B68" s="42" t="s">
        <v>41</v>
      </c>
      <c r="C68" s="43">
        <f>'Data entry hotel only'!C68</f>
        <v>-5966662.9644999998</v>
      </c>
      <c r="D68" s="43">
        <f>'Data entry hotel only'!F68</f>
        <v>-414240.54</v>
      </c>
      <c r="E68" s="43">
        <f>'Data entry hotel only'!I68</f>
        <v>-528226.68999999994</v>
      </c>
      <c r="F68" s="43">
        <f>'Data entry hotel only'!L68</f>
        <v>-495707.51</v>
      </c>
      <c r="G68" s="43">
        <f>'Data entry hotel only'!O68</f>
        <v>-514509.35</v>
      </c>
      <c r="H68" s="43">
        <f>'Data entry hotel only'!R68</f>
        <v>-481933.57</v>
      </c>
      <c r="I68" s="43">
        <f>'Data entry hotel only'!U68</f>
        <v>-483061.07</v>
      </c>
      <c r="J68" s="43">
        <f>'Data entry hotel only'!X68</f>
        <v>-456582.44540000003</v>
      </c>
      <c r="K68" s="43">
        <f>'Data entry hotel only'!AA68</f>
        <v>-471482.76750000002</v>
      </c>
      <c r="L68" s="43">
        <f>'Data entry hotel only'!AD68</f>
        <v>-523884.6827</v>
      </c>
      <c r="M68" s="43">
        <f>'Data entry hotel only'!AG68</f>
        <v>-541181.32220000005</v>
      </c>
      <c r="N68" s="43">
        <f>'Data entry hotel only'!AJ68</f>
        <v>-565543.72970000003</v>
      </c>
      <c r="O68" s="43">
        <f>'Data entry hotel only'!AM68</f>
        <v>-490309.28700000001</v>
      </c>
      <c r="Q68" s="223">
        <f>'Hotels Only'!C68-'Hotels ORG'!C68</f>
        <v>346997.67810000014</v>
      </c>
      <c r="R68" s="224">
        <f>SUM(D68:I68)-SUM('Hotels ORG'!D68:I68)</f>
        <v>211512.70630000066</v>
      </c>
    </row>
    <row r="69" spans="2:18" x14ac:dyDescent="0.15">
      <c r="B69" s="40"/>
      <c r="C69" s="40">
        <f>'Data entry hotel only'!C69</f>
        <v>0</v>
      </c>
      <c r="D69" s="40">
        <f>'Data entry hotel only'!F69</f>
        <v>0</v>
      </c>
      <c r="E69" s="40">
        <f>'Data entry hotel only'!I69</f>
        <v>0</v>
      </c>
      <c r="F69" s="40">
        <f>'Data entry hotel only'!L69</f>
        <v>0</v>
      </c>
      <c r="G69" s="40">
        <f>'Data entry hotel only'!O69</f>
        <v>0</v>
      </c>
      <c r="H69" s="40">
        <f>'Data entry hotel only'!R69</f>
        <v>0</v>
      </c>
      <c r="I69" s="40">
        <f>'Data entry hotel only'!U69</f>
        <v>0</v>
      </c>
      <c r="J69" s="40">
        <f>'Data entry hotel only'!X69</f>
        <v>0</v>
      </c>
      <c r="K69" s="40">
        <f>'Data entry hotel only'!AA69</f>
        <v>0</v>
      </c>
      <c r="L69" s="40">
        <f>'Data entry hotel only'!AD69</f>
        <v>0</v>
      </c>
      <c r="M69" s="40">
        <f>'Data entry hotel only'!AG69</f>
        <v>0</v>
      </c>
      <c r="N69" s="40">
        <f>'Data entry hotel only'!AJ69</f>
        <v>0</v>
      </c>
      <c r="O69" s="40">
        <f>'Data entry hotel only'!AM69</f>
        <v>0</v>
      </c>
      <c r="Q69" s="223">
        <f>'Hotels Only'!C69-'Hotels ORG'!C69</f>
        <v>0</v>
      </c>
      <c r="R69" s="224">
        <f>SUM(D69:I69)-SUM('Hotels ORG'!D69:I69)</f>
        <v>0</v>
      </c>
    </row>
    <row r="70" spans="2:18" ht="14" x14ac:dyDescent="0.15">
      <c r="B70" s="44" t="s">
        <v>54</v>
      </c>
      <c r="C70" s="45">
        <f>'Data entry hotel only'!C70</f>
        <v>0</v>
      </c>
      <c r="D70" s="45">
        <f>'Data entry hotel only'!F70</f>
        <v>0</v>
      </c>
      <c r="E70" s="45">
        <f>'Data entry hotel only'!I70</f>
        <v>0</v>
      </c>
      <c r="F70" s="45">
        <f>'Data entry hotel only'!L70</f>
        <v>0</v>
      </c>
      <c r="G70" s="45">
        <f>'Data entry hotel only'!O70</f>
        <v>0</v>
      </c>
      <c r="H70" s="45">
        <f>'Data entry hotel only'!R70</f>
        <v>0</v>
      </c>
      <c r="I70" s="45">
        <f>'Data entry hotel only'!U70</f>
        <v>0</v>
      </c>
      <c r="J70" s="45">
        <f>'Data entry hotel only'!X70</f>
        <v>0</v>
      </c>
      <c r="K70" s="45">
        <f>'Data entry hotel only'!AA70</f>
        <v>0</v>
      </c>
      <c r="L70" s="45">
        <f>'Data entry hotel only'!AD70</f>
        <v>0</v>
      </c>
      <c r="M70" s="45">
        <f>'Data entry hotel only'!AG70</f>
        <v>0</v>
      </c>
      <c r="N70" s="45">
        <f>'Data entry hotel only'!AJ70</f>
        <v>0</v>
      </c>
      <c r="O70" s="45">
        <f>'Data entry hotel only'!AM70</f>
        <v>0</v>
      </c>
      <c r="Q70" s="223">
        <f>'Hotels Only'!C70-'Hotels ORG'!C70</f>
        <v>0</v>
      </c>
      <c r="R70" s="224">
        <f>SUM(D70:I70)-SUM('Hotels ORG'!D70:I70)</f>
        <v>0</v>
      </c>
    </row>
    <row r="71" spans="2:18" ht="14" x14ac:dyDescent="0.15">
      <c r="B71" s="38" t="s">
        <v>55</v>
      </c>
      <c r="C71" s="40">
        <f>'Data entry hotel only'!C71</f>
        <v>356826.29</v>
      </c>
      <c r="D71" s="40">
        <f>'Data entry hotel only'!F71</f>
        <v>30394.86</v>
      </c>
      <c r="E71" s="40">
        <f>'Data entry hotel only'!I71</f>
        <v>35600.370000000003</v>
      </c>
      <c r="F71" s="40">
        <f>'Data entry hotel only'!L71</f>
        <v>20739.650000000001</v>
      </c>
      <c r="G71" s="40">
        <f>'Data entry hotel only'!O71</f>
        <v>35350.42</v>
      </c>
      <c r="H71" s="40">
        <f>'Data entry hotel only'!R71</f>
        <v>33310.18</v>
      </c>
      <c r="I71" s="40">
        <f>'Data entry hotel only'!U71</f>
        <v>33853.67</v>
      </c>
      <c r="J71" s="40">
        <f>'Data entry hotel only'!X71</f>
        <v>29345.71</v>
      </c>
      <c r="K71" s="40">
        <f>'Data entry hotel only'!AA71</f>
        <v>29309.71</v>
      </c>
      <c r="L71" s="40">
        <f>'Data entry hotel only'!AD71</f>
        <v>27230.43</v>
      </c>
      <c r="M71" s="40">
        <f>'Data entry hotel only'!AG71</f>
        <v>27230.43</v>
      </c>
      <c r="N71" s="40">
        <f>'Data entry hotel only'!AJ71</f>
        <v>27230.43</v>
      </c>
      <c r="O71" s="40">
        <f>'Data entry hotel only'!AM71</f>
        <v>27230.43</v>
      </c>
      <c r="Q71" s="223">
        <f>'Hotels Only'!C71-'Hotels ORG'!C71</f>
        <v>30512.570000000007</v>
      </c>
      <c r="R71" s="224">
        <f>SUM(D71:I71)-SUM('Hotels ORG'!D71:I71)</f>
        <v>26242.290000000008</v>
      </c>
    </row>
    <row r="72" spans="2:18" ht="14" x14ac:dyDescent="0.15">
      <c r="B72" s="38" t="s">
        <v>56</v>
      </c>
      <c r="C72" s="40">
        <f>'Data entry hotel only'!C72</f>
        <v>1434154.6373999999</v>
      </c>
      <c r="D72" s="40">
        <f>'Data entry hotel only'!F72</f>
        <v>120578.93</v>
      </c>
      <c r="E72" s="40">
        <f>'Data entry hotel only'!I72</f>
        <v>95062.5</v>
      </c>
      <c r="F72" s="40">
        <f>'Data entry hotel only'!L72</f>
        <v>107634.83</v>
      </c>
      <c r="G72" s="40">
        <f>'Data entry hotel only'!O72</f>
        <v>85958.09</v>
      </c>
      <c r="H72" s="40">
        <f>'Data entry hotel only'!R72</f>
        <v>117292.68</v>
      </c>
      <c r="I72" s="40">
        <f>'Data entry hotel only'!U72</f>
        <v>97718.49</v>
      </c>
      <c r="J72" s="40">
        <f>'Data entry hotel only'!X72</f>
        <v>151104.8174</v>
      </c>
      <c r="K72" s="40">
        <f>'Data entry hotel only'!AA72</f>
        <v>126656.97040000001</v>
      </c>
      <c r="L72" s="40">
        <f>'Data entry hotel only'!AD72</f>
        <v>129487.41740000001</v>
      </c>
      <c r="M72" s="40">
        <f>'Data entry hotel only'!AG72</f>
        <v>144434.2274</v>
      </c>
      <c r="N72" s="40">
        <f>'Data entry hotel only'!AJ72</f>
        <v>127018.2674</v>
      </c>
      <c r="O72" s="40">
        <f>'Data entry hotel only'!AM72</f>
        <v>131207.41740000001</v>
      </c>
      <c r="Q72" s="223">
        <f>'Hotels Only'!C72-'Hotels ORG'!C72</f>
        <v>-218572.72440000018</v>
      </c>
      <c r="R72" s="224">
        <f>SUM(D72:I72)-SUM('Hotels ORG'!D72:I72)</f>
        <v>-221660.36439999996</v>
      </c>
    </row>
    <row r="73" spans="2:18" ht="14" x14ac:dyDescent="0.15">
      <c r="B73" s="38" t="s">
        <v>40</v>
      </c>
      <c r="C73" s="40">
        <f>'Data entry hotel only'!C73</f>
        <v>33800.080000000002</v>
      </c>
      <c r="D73" s="40">
        <f>'Data entry hotel only'!F73</f>
        <v>1999.74</v>
      </c>
      <c r="E73" s="40">
        <f>'Data entry hotel only'!I73</f>
        <v>-6144.84</v>
      </c>
      <c r="F73" s="40">
        <f>'Data entry hotel only'!L73</f>
        <v>3105.24</v>
      </c>
      <c r="G73" s="40">
        <f>'Data entry hotel only'!O73</f>
        <v>-101.26</v>
      </c>
      <c r="H73" s="40">
        <f>'Data entry hotel only'!R73</f>
        <v>2961.74</v>
      </c>
      <c r="I73" s="40">
        <f>'Data entry hotel only'!U73</f>
        <v>2507.2399999999998</v>
      </c>
      <c r="J73" s="40">
        <f>'Data entry hotel only'!X73</f>
        <v>4818.49</v>
      </c>
      <c r="K73" s="40">
        <f>'Data entry hotel only'!AA73</f>
        <v>4523.49</v>
      </c>
      <c r="L73" s="40">
        <f>'Data entry hotel only'!AD73</f>
        <v>5643.49</v>
      </c>
      <c r="M73" s="40">
        <f>'Data entry hotel only'!AG73</f>
        <v>4652.25</v>
      </c>
      <c r="N73" s="40">
        <f>'Data entry hotel only'!AJ73</f>
        <v>4357.25</v>
      </c>
      <c r="O73" s="40">
        <f>'Data entry hotel only'!AM73</f>
        <v>5477.25</v>
      </c>
      <c r="Q73" s="223">
        <f>'Hotels Only'!C73-'Hotels ORG'!C73</f>
        <v>-28106.92</v>
      </c>
      <c r="R73" s="224">
        <f>SUM(D73:I73)-SUM('Hotels ORG'!D73:I73)</f>
        <v>-26625.64</v>
      </c>
    </row>
    <row r="74" spans="2:18" ht="14" x14ac:dyDescent="0.15">
      <c r="B74" s="42" t="s">
        <v>41</v>
      </c>
      <c r="C74" s="43">
        <f>'Data entry hotel only'!C74</f>
        <v>-1825963.0074</v>
      </c>
      <c r="D74" s="43">
        <f>'Data entry hotel only'!F74</f>
        <v>-152973.53</v>
      </c>
      <c r="E74" s="43">
        <f>'Data entry hotel only'!I74</f>
        <v>-124518.03</v>
      </c>
      <c r="F74" s="43">
        <f>'Data entry hotel only'!L74</f>
        <v>-131479.72</v>
      </c>
      <c r="G74" s="43">
        <f>'Data entry hotel only'!O74</f>
        <v>-121207.25</v>
      </c>
      <c r="H74" s="43">
        <f>'Data entry hotel only'!R74</f>
        <v>-153564.6</v>
      </c>
      <c r="I74" s="43">
        <f>'Data entry hotel only'!U74</f>
        <v>-134079.4</v>
      </c>
      <c r="J74" s="43">
        <f>'Data entry hotel only'!X74</f>
        <v>-185466.01740000001</v>
      </c>
      <c r="K74" s="43">
        <f>'Data entry hotel only'!AA74</f>
        <v>-160687.1704</v>
      </c>
      <c r="L74" s="43">
        <f>'Data entry hotel only'!AD74</f>
        <v>-162558.33739999999</v>
      </c>
      <c r="M74" s="43">
        <f>'Data entry hotel only'!AG74</f>
        <v>-176513.9074</v>
      </c>
      <c r="N74" s="43">
        <f>'Data entry hotel only'!AJ74</f>
        <v>-158802.9474</v>
      </c>
      <c r="O74" s="43">
        <f>'Data entry hotel only'!AM74</f>
        <v>-164112.0974</v>
      </c>
      <c r="Q74" s="223">
        <f>'Hotels Only'!C74-'Hotels ORG'!C74</f>
        <v>223709.07440000004</v>
      </c>
      <c r="R74" s="224">
        <f>SUM(D74:I74)-SUM('Hotels ORG'!D74:I74)</f>
        <v>229585.71439999994</v>
      </c>
    </row>
    <row r="75" spans="2:18" x14ac:dyDescent="0.15">
      <c r="B75" s="40"/>
      <c r="C75" s="40">
        <f>'Data entry hotel only'!C75</f>
        <v>0</v>
      </c>
      <c r="D75" s="40">
        <f>'Data entry hotel only'!F75</f>
        <v>0</v>
      </c>
      <c r="E75" s="40">
        <f>'Data entry hotel only'!I75</f>
        <v>0</v>
      </c>
      <c r="F75" s="40">
        <f>'Data entry hotel only'!L75</f>
        <v>0</v>
      </c>
      <c r="G75" s="40">
        <f>'Data entry hotel only'!O75</f>
        <v>0</v>
      </c>
      <c r="H75" s="40">
        <f>'Data entry hotel only'!R75</f>
        <v>0</v>
      </c>
      <c r="I75" s="40">
        <f>'Data entry hotel only'!U75</f>
        <v>0</v>
      </c>
      <c r="J75" s="40">
        <f>'Data entry hotel only'!X75</f>
        <v>0</v>
      </c>
      <c r="K75" s="40">
        <f>'Data entry hotel only'!AA75</f>
        <v>0</v>
      </c>
      <c r="L75" s="40">
        <f>'Data entry hotel only'!AD75</f>
        <v>0</v>
      </c>
      <c r="M75" s="40">
        <f>'Data entry hotel only'!AG75</f>
        <v>0</v>
      </c>
      <c r="N75" s="40">
        <f>'Data entry hotel only'!AJ75</f>
        <v>0</v>
      </c>
      <c r="O75" s="40">
        <f>'Data entry hotel only'!AM75</f>
        <v>0</v>
      </c>
      <c r="Q75" s="223">
        <f>'Hotels Only'!C75-'Hotels ORG'!C75</f>
        <v>0</v>
      </c>
      <c r="R75" s="224">
        <f>SUM(D75:I75)-SUM('Hotels ORG'!D75:I75)</f>
        <v>0</v>
      </c>
    </row>
    <row r="76" spans="2:18" ht="14" x14ac:dyDescent="0.15">
      <c r="B76" s="44" t="s">
        <v>57</v>
      </c>
      <c r="C76" s="45">
        <f>'Data entry hotel only'!C76</f>
        <v>0</v>
      </c>
      <c r="D76" s="45">
        <f>'Data entry hotel only'!F76</f>
        <v>0</v>
      </c>
      <c r="E76" s="45">
        <f>'Data entry hotel only'!I76</f>
        <v>0</v>
      </c>
      <c r="F76" s="45">
        <f>'Data entry hotel only'!L76</f>
        <v>0</v>
      </c>
      <c r="G76" s="45">
        <f>'Data entry hotel only'!O76</f>
        <v>0</v>
      </c>
      <c r="H76" s="45">
        <f>'Data entry hotel only'!R76</f>
        <v>0</v>
      </c>
      <c r="I76" s="45">
        <f>'Data entry hotel only'!U76</f>
        <v>0</v>
      </c>
      <c r="J76" s="45">
        <f>'Data entry hotel only'!X76</f>
        <v>0</v>
      </c>
      <c r="K76" s="45">
        <f>'Data entry hotel only'!AA76</f>
        <v>0</v>
      </c>
      <c r="L76" s="45">
        <f>'Data entry hotel only'!AD76</f>
        <v>0</v>
      </c>
      <c r="M76" s="45">
        <f>'Data entry hotel only'!AG76</f>
        <v>0</v>
      </c>
      <c r="N76" s="45">
        <f>'Data entry hotel only'!AJ76</f>
        <v>0</v>
      </c>
      <c r="O76" s="45">
        <f>'Data entry hotel only'!AM76</f>
        <v>0</v>
      </c>
      <c r="Q76" s="223">
        <f>'Hotels Only'!C76-'Hotels ORG'!C76</f>
        <v>0</v>
      </c>
      <c r="R76" s="224">
        <f>SUM(D76:I76)-SUM('Hotels ORG'!D76:I76)</f>
        <v>0</v>
      </c>
    </row>
    <row r="77" spans="2:18" ht="14" x14ac:dyDescent="0.15">
      <c r="B77" s="38" t="s">
        <v>22</v>
      </c>
      <c r="C77" s="40">
        <f>'Data entry hotel only'!C77</f>
        <v>1348143.7001</v>
      </c>
      <c r="D77" s="40">
        <f>'Data entry hotel only'!F77</f>
        <v>58500.38</v>
      </c>
      <c r="E77" s="40">
        <f>'Data entry hotel only'!I77</f>
        <v>117257.66</v>
      </c>
      <c r="F77" s="40">
        <f>'Data entry hotel only'!L77</f>
        <v>118942.39</v>
      </c>
      <c r="G77" s="40">
        <f>'Data entry hotel only'!O77</f>
        <v>87711.25</v>
      </c>
      <c r="H77" s="40">
        <f>'Data entry hotel only'!R77</f>
        <v>120238.35</v>
      </c>
      <c r="I77" s="40">
        <f>'Data entry hotel only'!U77</f>
        <v>102761.19</v>
      </c>
      <c r="J77" s="40">
        <f>'Data entry hotel only'!X77</f>
        <v>94388.416299999997</v>
      </c>
      <c r="K77" s="40">
        <f>'Data entry hotel only'!AA77</f>
        <v>101537.8406</v>
      </c>
      <c r="L77" s="40">
        <f>'Data entry hotel only'!AD77</f>
        <v>148420.35750000001</v>
      </c>
      <c r="M77" s="40">
        <f>'Data entry hotel only'!AG77</f>
        <v>152813.56349999999</v>
      </c>
      <c r="N77" s="40">
        <f>'Data entry hotel only'!AJ77</f>
        <v>141724.5588</v>
      </c>
      <c r="O77" s="40">
        <f>'Data entry hotel only'!AM77</f>
        <v>103847.74340000001</v>
      </c>
      <c r="Q77" s="223">
        <f>'Hotels Only'!C77-'Hotels ORG'!C77</f>
        <v>-100319.68879999989</v>
      </c>
      <c r="R77" s="224">
        <f>SUM(D77:I77)-SUM('Hotels ORG'!D77:I77)</f>
        <v>-90647.771100000013</v>
      </c>
    </row>
    <row r="78" spans="2:18" ht="14" x14ac:dyDescent="0.15">
      <c r="B78" s="38" t="s">
        <v>40</v>
      </c>
      <c r="C78" s="40">
        <f>'Data entry hotel only'!C78</f>
        <v>4137720.8313000002</v>
      </c>
      <c r="D78" s="40">
        <f>'Data entry hotel only'!F78</f>
        <v>280266.21000000002</v>
      </c>
      <c r="E78" s="40">
        <f>'Data entry hotel only'!I78</f>
        <v>233142.37</v>
      </c>
      <c r="F78" s="40">
        <f>'Data entry hotel only'!L78</f>
        <v>323086.65000000002</v>
      </c>
      <c r="G78" s="40">
        <f>'Data entry hotel only'!O78</f>
        <v>300633.21999999997</v>
      </c>
      <c r="H78" s="40">
        <f>'Data entry hotel only'!R78</f>
        <v>335885.64</v>
      </c>
      <c r="I78" s="40">
        <f>'Data entry hotel only'!U78</f>
        <v>321955.65000000002</v>
      </c>
      <c r="J78" s="40">
        <f>'Data entry hotel only'!X78</f>
        <v>326269.57699999999</v>
      </c>
      <c r="K78" s="40">
        <f>'Data entry hotel only'!AA78</f>
        <v>340882.14449999999</v>
      </c>
      <c r="L78" s="40">
        <f>'Data entry hotel only'!AD78</f>
        <v>459720.50050000002</v>
      </c>
      <c r="M78" s="40">
        <f>'Data entry hotel only'!AG78</f>
        <v>469929.78360000002</v>
      </c>
      <c r="N78" s="40">
        <f>'Data entry hotel only'!AJ78</f>
        <v>417837.08970000001</v>
      </c>
      <c r="O78" s="40">
        <f>'Data entry hotel only'!AM78</f>
        <v>328111.99599999998</v>
      </c>
      <c r="Q78" s="223">
        <f>'Hotels Only'!C78-'Hotels ORG'!C78</f>
        <v>-574138.6148000001</v>
      </c>
      <c r="R78" s="224">
        <f>SUM(D78:I78)-SUM('Hotels ORG'!D78:I78)</f>
        <v>-476033.57789999992</v>
      </c>
    </row>
    <row r="79" spans="2:18" ht="14" x14ac:dyDescent="0.15">
      <c r="B79" s="42" t="s">
        <v>41</v>
      </c>
      <c r="C79" s="43">
        <f>'Data entry hotel only'!C79</f>
        <v>-5485864.5318999998</v>
      </c>
      <c r="D79" s="43">
        <f>'Data entry hotel only'!F79</f>
        <v>-338766.59</v>
      </c>
      <c r="E79" s="43">
        <f>'Data entry hotel only'!I79</f>
        <v>-350400.03</v>
      </c>
      <c r="F79" s="43">
        <f>'Data entry hotel only'!L79</f>
        <v>-442029.04</v>
      </c>
      <c r="G79" s="43">
        <f>'Data entry hotel only'!O79</f>
        <v>-388344.47</v>
      </c>
      <c r="H79" s="43">
        <f>'Data entry hotel only'!R79</f>
        <v>-456123.99</v>
      </c>
      <c r="I79" s="43">
        <f>'Data entry hotel only'!U79</f>
        <v>-424716.84</v>
      </c>
      <c r="J79" s="43">
        <f>'Data entry hotel only'!X79</f>
        <v>-420657.99329999997</v>
      </c>
      <c r="K79" s="43">
        <f>'Data entry hotel only'!AA79</f>
        <v>-442419.98509999999</v>
      </c>
      <c r="L79" s="43">
        <f>'Data entry hotel only'!AD79</f>
        <v>-608140.85829999996</v>
      </c>
      <c r="M79" s="43">
        <f>'Data entry hotel only'!AG79</f>
        <v>-622743.34730000002</v>
      </c>
      <c r="N79" s="43">
        <f>'Data entry hotel only'!AJ79</f>
        <v>-559561.64839999995</v>
      </c>
      <c r="O79" s="43">
        <f>'Data entry hotel only'!AM79</f>
        <v>-431959.73950000003</v>
      </c>
      <c r="Q79" s="223">
        <f>'Hotels Only'!C79-'Hotels ORG'!C79</f>
        <v>674458.30370000005</v>
      </c>
      <c r="R79" s="224">
        <f>SUM(D79:I79)-SUM('Hotels ORG'!D79:I79)</f>
        <v>566681.34910000023</v>
      </c>
    </row>
    <row r="80" spans="2:18" x14ac:dyDescent="0.15">
      <c r="B80" s="40"/>
      <c r="C80" s="40">
        <f>'Data entry hotel only'!C80</f>
        <v>0</v>
      </c>
      <c r="D80" s="40">
        <f>'Data entry hotel only'!F80</f>
        <v>0</v>
      </c>
      <c r="E80" s="40">
        <f>'Data entry hotel only'!I80</f>
        <v>0</v>
      </c>
      <c r="F80" s="40">
        <f>'Data entry hotel only'!L80</f>
        <v>0</v>
      </c>
      <c r="G80" s="40">
        <f>'Data entry hotel only'!O80</f>
        <v>0</v>
      </c>
      <c r="H80" s="40">
        <f>'Data entry hotel only'!R80</f>
        <v>0</v>
      </c>
      <c r="I80" s="40">
        <f>'Data entry hotel only'!U80</f>
        <v>0</v>
      </c>
      <c r="J80" s="40">
        <f>'Data entry hotel only'!X80</f>
        <v>0</v>
      </c>
      <c r="K80" s="40">
        <f>'Data entry hotel only'!AA80</f>
        <v>0</v>
      </c>
      <c r="L80" s="40">
        <f>'Data entry hotel only'!AD80</f>
        <v>0</v>
      </c>
      <c r="M80" s="40">
        <f>'Data entry hotel only'!AG80</f>
        <v>0</v>
      </c>
      <c r="N80" s="40">
        <f>'Data entry hotel only'!AJ80</f>
        <v>0</v>
      </c>
      <c r="O80" s="40">
        <f>'Data entry hotel only'!AM80</f>
        <v>0</v>
      </c>
      <c r="Q80" s="223">
        <f>'Hotels Only'!C80-'Hotels ORG'!C80</f>
        <v>0</v>
      </c>
      <c r="R80" s="224">
        <f>SUM(D80:I80)-SUM('Hotels ORG'!D80:I80)</f>
        <v>0</v>
      </c>
    </row>
    <row r="81" spans="2:18" ht="14" x14ac:dyDescent="0.15">
      <c r="B81" s="44" t="s">
        <v>58</v>
      </c>
      <c r="C81" s="45">
        <f>'Data entry hotel only'!C81</f>
        <v>0</v>
      </c>
      <c r="D81" s="45">
        <f>'Data entry hotel only'!F81</f>
        <v>0</v>
      </c>
      <c r="E81" s="45">
        <f>'Data entry hotel only'!I81</f>
        <v>0</v>
      </c>
      <c r="F81" s="45">
        <f>'Data entry hotel only'!L81</f>
        <v>0</v>
      </c>
      <c r="G81" s="45">
        <f>'Data entry hotel only'!O81</f>
        <v>0</v>
      </c>
      <c r="H81" s="45">
        <f>'Data entry hotel only'!R81</f>
        <v>0</v>
      </c>
      <c r="I81" s="45">
        <f>'Data entry hotel only'!U81</f>
        <v>0</v>
      </c>
      <c r="J81" s="45">
        <f>'Data entry hotel only'!X81</f>
        <v>0</v>
      </c>
      <c r="K81" s="45">
        <f>'Data entry hotel only'!AA81</f>
        <v>0</v>
      </c>
      <c r="L81" s="45">
        <f>'Data entry hotel only'!AD81</f>
        <v>0</v>
      </c>
      <c r="M81" s="45">
        <f>'Data entry hotel only'!AG81</f>
        <v>0</v>
      </c>
      <c r="N81" s="45">
        <f>'Data entry hotel only'!AJ81</f>
        <v>0</v>
      </c>
      <c r="O81" s="45">
        <f>'Data entry hotel only'!AM81</f>
        <v>0</v>
      </c>
      <c r="Q81" s="223">
        <f>'Hotels Only'!C81-'Hotels ORG'!C81</f>
        <v>0</v>
      </c>
      <c r="R81" s="224">
        <f>SUM(D81:I81)-SUM('Hotels ORG'!D81:I81)</f>
        <v>0</v>
      </c>
    </row>
    <row r="82" spans="2:18" ht="14" x14ac:dyDescent="0.15">
      <c r="B82" s="38" t="s">
        <v>22</v>
      </c>
      <c r="C82" s="40">
        <f>'Data entry hotel only'!C82</f>
        <v>1802176.0333</v>
      </c>
      <c r="D82" s="40">
        <f>'Data entry hotel only'!F82</f>
        <v>141848.97</v>
      </c>
      <c r="E82" s="40">
        <f>'Data entry hotel only'!I82</f>
        <v>146924.6</v>
      </c>
      <c r="F82" s="40">
        <f>'Data entry hotel only'!L82</f>
        <v>153024.71</v>
      </c>
      <c r="G82" s="40">
        <f>'Data entry hotel only'!O82</f>
        <v>139035.51</v>
      </c>
      <c r="H82" s="40">
        <f>'Data entry hotel only'!R82</f>
        <v>149684.25</v>
      </c>
      <c r="I82" s="40">
        <f>'Data entry hotel only'!U82</f>
        <v>150836.89000000001</v>
      </c>
      <c r="J82" s="40">
        <f>'Data entry hotel only'!X82</f>
        <v>153562.67000000001</v>
      </c>
      <c r="K82" s="40">
        <f>'Data entry hotel only'!AA82</f>
        <v>142266.3322</v>
      </c>
      <c r="L82" s="40">
        <f>'Data entry hotel only'!AD82</f>
        <v>151271.03890000001</v>
      </c>
      <c r="M82" s="40">
        <f>'Data entry hotel only'!AG82</f>
        <v>153483.67370000001</v>
      </c>
      <c r="N82" s="40">
        <f>'Data entry hotel only'!AJ82</f>
        <v>171898.88089999999</v>
      </c>
      <c r="O82" s="40">
        <f>'Data entry hotel only'!AM82</f>
        <v>148338.50760000001</v>
      </c>
      <c r="Q82" s="223">
        <f>'Hotels Only'!C82-'Hotels ORG'!C82</f>
        <v>-100113.0094000001</v>
      </c>
      <c r="R82" s="224">
        <f>SUM(D82:I82)-SUM('Hotels ORG'!D82:I82)</f>
        <v>-58845.497799999896</v>
      </c>
    </row>
    <row r="83" spans="2:18" ht="14" x14ac:dyDescent="0.15">
      <c r="B83" s="38" t="s">
        <v>40</v>
      </c>
      <c r="C83" s="40">
        <f>'Data entry hotel only'!C83</f>
        <v>3142993.5298000001</v>
      </c>
      <c r="D83" s="40">
        <f>'Data entry hotel only'!F83</f>
        <v>225801.19</v>
      </c>
      <c r="E83" s="40">
        <f>'Data entry hotel only'!I83</f>
        <v>281939.90999999997</v>
      </c>
      <c r="F83" s="40">
        <f>'Data entry hotel only'!L83</f>
        <v>256058.78</v>
      </c>
      <c r="G83" s="40">
        <f>'Data entry hotel only'!O83</f>
        <v>263668.53999999998</v>
      </c>
      <c r="H83" s="40">
        <f>'Data entry hotel only'!R83</f>
        <v>253958.84</v>
      </c>
      <c r="I83" s="40">
        <f>'Data entry hotel only'!U83</f>
        <v>243972.8</v>
      </c>
      <c r="J83" s="40">
        <f>'Data entry hotel only'!X83</f>
        <v>298662.16330000001</v>
      </c>
      <c r="K83" s="40">
        <f>'Data entry hotel only'!AA83</f>
        <v>252073.73329999999</v>
      </c>
      <c r="L83" s="40">
        <f>'Data entry hotel only'!AD83</f>
        <v>317393.7733</v>
      </c>
      <c r="M83" s="40">
        <f>'Data entry hotel only'!AG83</f>
        <v>285672.24329999997</v>
      </c>
      <c r="N83" s="40">
        <f>'Data entry hotel only'!AJ83</f>
        <v>229464.1833</v>
      </c>
      <c r="O83" s="40">
        <f>'Data entry hotel only'!AM83</f>
        <v>234327.37330000001</v>
      </c>
      <c r="Q83" s="223">
        <f>'Hotels Only'!C83-'Hotels ORG'!C83</f>
        <v>80747.740200000349</v>
      </c>
      <c r="R83" s="224">
        <f>SUM(D83:I83)-SUM('Hotels ORG'!D83:I83)</f>
        <v>-35439.219799999846</v>
      </c>
    </row>
    <row r="84" spans="2:18" ht="14" x14ac:dyDescent="0.15">
      <c r="B84" s="42" t="s">
        <v>41</v>
      </c>
      <c r="C84" s="43">
        <f>'Data entry hotel only'!C84</f>
        <v>-4945169.5630999999</v>
      </c>
      <c r="D84" s="43">
        <f>'Data entry hotel only'!F84</f>
        <v>-367650.16</v>
      </c>
      <c r="E84" s="43">
        <f>'Data entry hotel only'!I84</f>
        <v>-428864.51</v>
      </c>
      <c r="F84" s="43">
        <f>'Data entry hotel only'!L84</f>
        <v>-409083.49</v>
      </c>
      <c r="G84" s="43">
        <f>'Data entry hotel only'!O84</f>
        <v>-402704.05</v>
      </c>
      <c r="H84" s="43">
        <f>'Data entry hotel only'!R84</f>
        <v>-403643.09</v>
      </c>
      <c r="I84" s="43">
        <f>'Data entry hotel only'!U84</f>
        <v>-394809.69</v>
      </c>
      <c r="J84" s="43">
        <f>'Data entry hotel only'!X84</f>
        <v>-452224.8333</v>
      </c>
      <c r="K84" s="43">
        <f>'Data entry hotel only'!AA84</f>
        <v>-394340.06550000003</v>
      </c>
      <c r="L84" s="43">
        <f>'Data entry hotel only'!AD84</f>
        <v>-468664.81219999999</v>
      </c>
      <c r="M84" s="43">
        <f>'Data entry hotel only'!AG84</f>
        <v>-439155.91700000002</v>
      </c>
      <c r="N84" s="43">
        <f>'Data entry hotel only'!AJ84</f>
        <v>-401363.06420000002</v>
      </c>
      <c r="O84" s="43">
        <f>'Data entry hotel only'!AM84</f>
        <v>-382665.88089999999</v>
      </c>
      <c r="Q84" s="223">
        <f>'Hotels Only'!C84-'Hotels ORG'!C84</f>
        <v>19365.269199999981</v>
      </c>
      <c r="R84" s="224">
        <f>SUM(D84:I84)-SUM('Hotels ORG'!D84:I84)</f>
        <v>94284.717599999625</v>
      </c>
    </row>
    <row r="85" spans="2:18" x14ac:dyDescent="0.15">
      <c r="B85" s="40"/>
      <c r="C85" s="40">
        <f>'Data entry hotel only'!C85</f>
        <v>0</v>
      </c>
      <c r="D85" s="40">
        <f>'Data entry hotel only'!F85</f>
        <v>0</v>
      </c>
      <c r="E85" s="40">
        <f>'Data entry hotel only'!I85</f>
        <v>0</v>
      </c>
      <c r="F85" s="40">
        <f>'Data entry hotel only'!L85</f>
        <v>0</v>
      </c>
      <c r="G85" s="40">
        <f>'Data entry hotel only'!O85</f>
        <v>0</v>
      </c>
      <c r="H85" s="40">
        <f>'Data entry hotel only'!R85</f>
        <v>0</v>
      </c>
      <c r="I85" s="40">
        <f>'Data entry hotel only'!U85</f>
        <v>0</v>
      </c>
      <c r="J85" s="40">
        <f>'Data entry hotel only'!X85</f>
        <v>0</v>
      </c>
      <c r="K85" s="40">
        <f>'Data entry hotel only'!AA85</f>
        <v>0</v>
      </c>
      <c r="L85" s="40">
        <f>'Data entry hotel only'!AD85</f>
        <v>0</v>
      </c>
      <c r="M85" s="40">
        <f>'Data entry hotel only'!AG85</f>
        <v>0</v>
      </c>
      <c r="N85" s="40">
        <f>'Data entry hotel only'!AJ85</f>
        <v>0</v>
      </c>
      <c r="O85" s="40">
        <f>'Data entry hotel only'!AM85</f>
        <v>0</v>
      </c>
      <c r="Q85" s="223">
        <f>'Hotels Only'!C85-'Hotels ORG'!C85</f>
        <v>0</v>
      </c>
      <c r="R85" s="224">
        <f>SUM(D85:I85)-SUM('Hotels ORG'!D85:I85)</f>
        <v>0</v>
      </c>
    </row>
    <row r="86" spans="2:18" ht="14" x14ac:dyDescent="0.15">
      <c r="B86" s="44" t="s">
        <v>59</v>
      </c>
      <c r="C86" s="45">
        <f>'Data entry hotel only'!C86</f>
        <v>0</v>
      </c>
      <c r="D86" s="45">
        <f>'Data entry hotel only'!F86</f>
        <v>0</v>
      </c>
      <c r="E86" s="45">
        <f>'Data entry hotel only'!I86</f>
        <v>0</v>
      </c>
      <c r="F86" s="45">
        <f>'Data entry hotel only'!L86</f>
        <v>0</v>
      </c>
      <c r="G86" s="45">
        <f>'Data entry hotel only'!O86</f>
        <v>0</v>
      </c>
      <c r="H86" s="45">
        <f>'Data entry hotel only'!R86</f>
        <v>0</v>
      </c>
      <c r="I86" s="45">
        <f>'Data entry hotel only'!U86</f>
        <v>0</v>
      </c>
      <c r="J86" s="45">
        <f>'Data entry hotel only'!X86</f>
        <v>0</v>
      </c>
      <c r="K86" s="45">
        <f>'Data entry hotel only'!AA86</f>
        <v>0</v>
      </c>
      <c r="L86" s="45">
        <f>'Data entry hotel only'!AD86</f>
        <v>0</v>
      </c>
      <c r="M86" s="45">
        <f>'Data entry hotel only'!AG86</f>
        <v>0</v>
      </c>
      <c r="N86" s="45">
        <f>'Data entry hotel only'!AJ86</f>
        <v>0</v>
      </c>
      <c r="O86" s="45">
        <f>'Data entry hotel only'!AM86</f>
        <v>0</v>
      </c>
      <c r="Q86" s="223">
        <f>'Hotels Only'!C86-'Hotels ORG'!C86</f>
        <v>0</v>
      </c>
      <c r="R86" s="224">
        <f>SUM(D86:I86)-SUM('Hotels ORG'!D86:I86)</f>
        <v>0</v>
      </c>
    </row>
    <row r="87" spans="2:18" ht="14" x14ac:dyDescent="0.15">
      <c r="B87" s="42" t="s">
        <v>41</v>
      </c>
      <c r="C87" s="43">
        <f>'Data entry hotel only'!C87</f>
        <v>-4532319.4550000001</v>
      </c>
      <c r="D87" s="43">
        <f>'Data entry hotel only'!F87</f>
        <v>-466143.3</v>
      </c>
      <c r="E87" s="43">
        <f>'Data entry hotel only'!I87</f>
        <v>-362442.26</v>
      </c>
      <c r="F87" s="43">
        <f>'Data entry hotel only'!L87</f>
        <v>-384952.75</v>
      </c>
      <c r="G87" s="43">
        <f>'Data entry hotel only'!O87</f>
        <v>-378486.45</v>
      </c>
      <c r="H87" s="43">
        <f>'Data entry hotel only'!R87</f>
        <v>-356729.16</v>
      </c>
      <c r="I87" s="43">
        <f>'Data entry hotel only'!U87</f>
        <v>-219243.27</v>
      </c>
      <c r="J87" s="43">
        <f>'Data entry hotel only'!X87</f>
        <v>-370070.1998</v>
      </c>
      <c r="K87" s="43">
        <f>'Data entry hotel only'!AA87</f>
        <v>-363286.12219999998</v>
      </c>
      <c r="L87" s="43">
        <f>'Data entry hotel only'!AD87</f>
        <v>-419586.50060000003</v>
      </c>
      <c r="M87" s="43">
        <f>'Data entry hotel only'!AG87</f>
        <v>-408091.35230000003</v>
      </c>
      <c r="N87" s="43">
        <f>'Data entry hotel only'!AJ87</f>
        <v>-432282.85710000002</v>
      </c>
      <c r="O87" s="43">
        <f>'Data entry hotel only'!AM87</f>
        <v>-371005.23300000001</v>
      </c>
      <c r="Q87" s="223">
        <f>'Hotels Only'!C87-'Hotels ORG'!C87</f>
        <v>353271.20019999985</v>
      </c>
      <c r="R87" s="224">
        <f>SUM(D87:I87)-SUM('Hotels ORG'!D87:I87)</f>
        <v>260570.43850000016</v>
      </c>
    </row>
    <row r="88" spans="2:18" x14ac:dyDescent="0.15">
      <c r="B88" s="40"/>
      <c r="C88" s="40">
        <f>'Data entry hotel only'!C88</f>
        <v>0</v>
      </c>
      <c r="D88" s="40">
        <f>'Data entry hotel only'!F88</f>
        <v>0</v>
      </c>
      <c r="E88" s="40">
        <f>'Data entry hotel only'!I88</f>
        <v>0</v>
      </c>
      <c r="F88" s="40">
        <f>'Data entry hotel only'!L88</f>
        <v>0</v>
      </c>
      <c r="G88" s="40">
        <f>'Data entry hotel only'!O88</f>
        <v>0</v>
      </c>
      <c r="H88" s="40">
        <f>'Data entry hotel only'!R88</f>
        <v>0</v>
      </c>
      <c r="I88" s="40">
        <f>'Data entry hotel only'!U88</f>
        <v>0</v>
      </c>
      <c r="J88" s="40">
        <f>'Data entry hotel only'!X88</f>
        <v>0</v>
      </c>
      <c r="K88" s="40">
        <f>'Data entry hotel only'!AA88</f>
        <v>0</v>
      </c>
      <c r="L88" s="40">
        <f>'Data entry hotel only'!AD88</f>
        <v>0</v>
      </c>
      <c r="M88" s="40">
        <f>'Data entry hotel only'!AG88</f>
        <v>0</v>
      </c>
      <c r="N88" s="40">
        <f>'Data entry hotel only'!AJ88</f>
        <v>0</v>
      </c>
      <c r="O88" s="40">
        <f>'Data entry hotel only'!AM88</f>
        <v>0</v>
      </c>
      <c r="Q88" s="223">
        <f>'Hotels Only'!C88-'Hotels ORG'!C88</f>
        <v>0</v>
      </c>
      <c r="R88" s="224">
        <f>SUM(D88:I88)-SUM('Hotels ORG'!D88:I88)</f>
        <v>0</v>
      </c>
    </row>
    <row r="89" spans="2:18" ht="14" x14ac:dyDescent="0.15">
      <c r="B89" s="42" t="s">
        <v>23</v>
      </c>
      <c r="C89" s="43">
        <f>'Data entry hotel only'!C89</f>
        <v>23766690.804400001</v>
      </c>
      <c r="D89" s="43">
        <f>'Data entry hotel only'!F89</f>
        <v>220835.82</v>
      </c>
      <c r="E89" s="43">
        <f>'Data entry hotel only'!I89</f>
        <v>761926.06</v>
      </c>
      <c r="F89" s="43">
        <f>'Data entry hotel only'!L89</f>
        <v>2656773.04</v>
      </c>
      <c r="G89" s="43">
        <f>'Data entry hotel only'!O89</f>
        <v>894056.98</v>
      </c>
      <c r="H89" s="43">
        <f>'Data entry hotel only'!R89</f>
        <v>2742367.6</v>
      </c>
      <c r="I89" s="43">
        <f>'Data entry hotel only'!U89</f>
        <v>1735525.65</v>
      </c>
      <c r="J89" s="43">
        <f>'Data entry hotel only'!X89</f>
        <v>978096.26859999995</v>
      </c>
      <c r="K89" s="43">
        <f>'Data entry hotel only'!AA89</f>
        <v>1538941.5876</v>
      </c>
      <c r="L89" s="43">
        <f>'Data entry hotel only'!AD89</f>
        <v>3849174.8672000002</v>
      </c>
      <c r="M89" s="43">
        <f>'Data entry hotel only'!AG89</f>
        <v>3933579.7411000002</v>
      </c>
      <c r="N89" s="43">
        <f>'Data entry hotel only'!AJ89</f>
        <v>3048474.3684999999</v>
      </c>
      <c r="O89" s="43">
        <f>'Data entry hotel only'!AM89</f>
        <v>1406938.8214</v>
      </c>
      <c r="Q89" s="223">
        <f>'Hotels Only'!C89-'Hotels ORG'!C89</f>
        <v>-7266188.3781999983</v>
      </c>
      <c r="R89" s="224">
        <f>SUM(D89:I89)-SUM('Hotels ORG'!D89:I89)</f>
        <v>-4674186.0088</v>
      </c>
    </row>
    <row r="90" spans="2:18" x14ac:dyDescent="0.15">
      <c r="B90" s="40"/>
      <c r="C90" s="40">
        <f>'Data entry hotel only'!C90</f>
        <v>0</v>
      </c>
      <c r="D90" s="40">
        <f>'Data entry hotel only'!F90</f>
        <v>0</v>
      </c>
      <c r="E90" s="40">
        <f>'Data entry hotel only'!I90</f>
        <v>0</v>
      </c>
      <c r="F90" s="40">
        <f>'Data entry hotel only'!L90</f>
        <v>0</v>
      </c>
      <c r="G90" s="40">
        <f>'Data entry hotel only'!O90</f>
        <v>0</v>
      </c>
      <c r="H90" s="40">
        <f>'Data entry hotel only'!R90</f>
        <v>0</v>
      </c>
      <c r="I90" s="40">
        <f>'Data entry hotel only'!U90</f>
        <v>0</v>
      </c>
      <c r="J90" s="40">
        <f>'Data entry hotel only'!X90</f>
        <v>0</v>
      </c>
      <c r="K90" s="40">
        <f>'Data entry hotel only'!AA90</f>
        <v>0</v>
      </c>
      <c r="L90" s="40">
        <f>'Data entry hotel only'!AD90</f>
        <v>0</v>
      </c>
      <c r="M90" s="40">
        <f>'Data entry hotel only'!AG90</f>
        <v>0</v>
      </c>
      <c r="N90" s="40">
        <f>'Data entry hotel only'!AJ90</f>
        <v>0</v>
      </c>
      <c r="O90" s="40">
        <f>'Data entry hotel only'!AM90</f>
        <v>0</v>
      </c>
      <c r="Q90" s="223">
        <f>'Hotels Only'!C90-'Hotels ORG'!C90</f>
        <v>0</v>
      </c>
      <c r="R90" s="224">
        <f>SUM(D90:I90)-SUM('Hotels ORG'!D90:I90)</f>
        <v>0</v>
      </c>
    </row>
    <row r="91" spans="2:18" ht="14" x14ac:dyDescent="0.15">
      <c r="B91" s="42" t="s">
        <v>60</v>
      </c>
      <c r="C91" s="43">
        <f>'Data entry hotel only'!C91</f>
        <v>223313.88</v>
      </c>
      <c r="D91" s="43">
        <f>'Data entry hotel only'!F91</f>
        <v>22394.720000000001</v>
      </c>
      <c r="E91" s="43">
        <f>'Data entry hotel only'!I91</f>
        <v>4077.47</v>
      </c>
      <c r="F91" s="43">
        <f>'Data entry hotel only'!L91</f>
        <v>2376.91</v>
      </c>
      <c r="G91" s="43">
        <f>'Data entry hotel only'!O91</f>
        <v>2410.62</v>
      </c>
      <c r="H91" s="43">
        <f>'Data entry hotel only'!R91</f>
        <v>1211.2</v>
      </c>
      <c r="I91" s="43">
        <f>'Data entry hotel only'!U91</f>
        <v>2034.96</v>
      </c>
      <c r="J91" s="43">
        <f>'Data entry hotel only'!X91</f>
        <v>156468</v>
      </c>
      <c r="K91" s="43">
        <f>'Data entry hotel only'!AA91</f>
        <v>6468</v>
      </c>
      <c r="L91" s="43">
        <f>'Data entry hotel only'!AD91</f>
        <v>6468</v>
      </c>
      <c r="M91" s="43">
        <f>'Data entry hotel only'!AG91</f>
        <v>6468</v>
      </c>
      <c r="N91" s="43">
        <f>'Data entry hotel only'!AJ91</f>
        <v>6468</v>
      </c>
      <c r="O91" s="43">
        <f>'Data entry hotel only'!AM91</f>
        <v>6468</v>
      </c>
      <c r="Q91" s="223">
        <f>'Hotels Only'!C91-'Hotels ORG'!C91</f>
        <v>-14510.649999999994</v>
      </c>
      <c r="R91" s="224">
        <f>SUM(D91:I91)-SUM('Hotels ORG'!D91:I91)</f>
        <v>-14510.649999999994</v>
      </c>
    </row>
    <row r="92" spans="2:18" ht="14" x14ac:dyDescent="0.15">
      <c r="B92" s="38" t="s">
        <v>61</v>
      </c>
      <c r="C92" s="40">
        <f>'Data entry hotel only'!C92</f>
        <v>31001.62</v>
      </c>
      <c r="D92" s="40">
        <f>'Data entry hotel only'!F92</f>
        <v>22188.53</v>
      </c>
      <c r="E92" s="40">
        <f>'Data entry hotel only'!I92</f>
        <v>882.67</v>
      </c>
      <c r="F92" s="40">
        <f>'Data entry hotel only'!L92</f>
        <v>716</v>
      </c>
      <c r="G92" s="40">
        <f>'Data entry hotel only'!O92</f>
        <v>766.42</v>
      </c>
      <c r="H92" s="40">
        <f>'Data entry hotel only'!R92</f>
        <v>716</v>
      </c>
      <c r="I92" s="40">
        <f>'Data entry hotel only'!U92</f>
        <v>716</v>
      </c>
      <c r="J92" s="40">
        <f>'Data entry hotel only'!X92</f>
        <v>836</v>
      </c>
      <c r="K92" s="40">
        <f>'Data entry hotel only'!AA92</f>
        <v>836</v>
      </c>
      <c r="L92" s="40">
        <f>'Data entry hotel only'!AD92</f>
        <v>836</v>
      </c>
      <c r="M92" s="40">
        <f>'Data entry hotel only'!AG92</f>
        <v>836</v>
      </c>
      <c r="N92" s="40">
        <f>'Data entry hotel only'!AJ92</f>
        <v>836</v>
      </c>
      <c r="O92" s="40">
        <f>'Data entry hotel only'!AM92</f>
        <v>836</v>
      </c>
      <c r="Q92" s="223">
        <f>'Hotels Only'!C92-'Hotels ORG'!C92</f>
        <v>-502.90999999999985</v>
      </c>
      <c r="R92" s="224">
        <f>SUM(D92:I92)-SUM('Hotels ORG'!D92:I92)</f>
        <v>-502.91000000000349</v>
      </c>
    </row>
    <row r="93" spans="2:18" ht="14" x14ac:dyDescent="0.15">
      <c r="B93" s="38" t="s">
        <v>62</v>
      </c>
      <c r="C93" s="40">
        <f>'Data entry hotel only'!C93</f>
        <v>192312.26</v>
      </c>
      <c r="D93" s="40">
        <f>'Data entry hotel only'!F93</f>
        <v>206.19</v>
      </c>
      <c r="E93" s="40">
        <f>'Data entry hotel only'!I93</f>
        <v>3194.8</v>
      </c>
      <c r="F93" s="40">
        <f>'Data entry hotel only'!L93</f>
        <v>1660.91</v>
      </c>
      <c r="G93" s="40">
        <f>'Data entry hotel only'!O93</f>
        <v>1644.2</v>
      </c>
      <c r="H93" s="40">
        <f>'Data entry hotel only'!R93</f>
        <v>495.2</v>
      </c>
      <c r="I93" s="40">
        <f>'Data entry hotel only'!U93</f>
        <v>1318.96</v>
      </c>
      <c r="J93" s="40">
        <f>'Data entry hotel only'!X93</f>
        <v>155632</v>
      </c>
      <c r="K93" s="40">
        <f>'Data entry hotel only'!AA93</f>
        <v>5632</v>
      </c>
      <c r="L93" s="40">
        <f>'Data entry hotel only'!AD93</f>
        <v>5632</v>
      </c>
      <c r="M93" s="40">
        <f>'Data entry hotel only'!AG93</f>
        <v>5632</v>
      </c>
      <c r="N93" s="40">
        <f>'Data entry hotel only'!AJ93</f>
        <v>5632</v>
      </c>
      <c r="O93" s="40">
        <f>'Data entry hotel only'!AM93</f>
        <v>5632</v>
      </c>
      <c r="Q93" s="223">
        <f>'Hotels Only'!C93-'Hotels ORG'!C93</f>
        <v>-14007.739999999991</v>
      </c>
      <c r="R93" s="224">
        <f>SUM(D93:I93)-SUM('Hotels ORG'!D93:I93)</f>
        <v>-14007.74</v>
      </c>
    </row>
    <row r="94" spans="2:18" ht="14" x14ac:dyDescent="0.15">
      <c r="B94" s="38" t="s">
        <v>63</v>
      </c>
      <c r="C94" s="40">
        <f>'Data entry hotel only'!C94</f>
        <v>0</v>
      </c>
      <c r="D94" s="40">
        <f>'Data entry hotel only'!F94</f>
        <v>0</v>
      </c>
      <c r="E94" s="40">
        <f>'Data entry hotel only'!I94</f>
        <v>0</v>
      </c>
      <c r="F94" s="40">
        <f>'Data entry hotel only'!L94</f>
        <v>0</v>
      </c>
      <c r="G94" s="40">
        <f>'Data entry hotel only'!O94</f>
        <v>0</v>
      </c>
      <c r="H94" s="40">
        <f>'Data entry hotel only'!R94</f>
        <v>0</v>
      </c>
      <c r="I94" s="40">
        <f>'Data entry hotel only'!U94</f>
        <v>0</v>
      </c>
      <c r="J94" s="40">
        <f>'Data entry hotel only'!X94</f>
        <v>0</v>
      </c>
      <c r="K94" s="40">
        <f>'Data entry hotel only'!AA94</f>
        <v>0</v>
      </c>
      <c r="L94" s="40">
        <f>'Data entry hotel only'!AD94</f>
        <v>0</v>
      </c>
      <c r="M94" s="40">
        <f>'Data entry hotel only'!AG94</f>
        <v>0</v>
      </c>
      <c r="N94" s="40">
        <f>'Data entry hotel only'!AJ94</f>
        <v>0</v>
      </c>
      <c r="O94" s="40">
        <f>'Data entry hotel only'!AM94</f>
        <v>0</v>
      </c>
      <c r="Q94" s="223">
        <f>'Hotels Only'!C94-'Hotels ORG'!C94</f>
        <v>0</v>
      </c>
      <c r="R94" s="224">
        <f>SUM(D94:I94)-SUM('Hotels ORG'!D94:I94)</f>
        <v>0</v>
      </c>
    </row>
    <row r="95" spans="2:18" ht="14" x14ac:dyDescent="0.15">
      <c r="B95" s="38" t="s">
        <v>64</v>
      </c>
      <c r="C95" s="40">
        <f>'Data entry hotel only'!C95</f>
        <v>0</v>
      </c>
      <c r="D95" s="40">
        <f>'Data entry hotel only'!F95</f>
        <v>0</v>
      </c>
      <c r="E95" s="40">
        <f>'Data entry hotel only'!I95</f>
        <v>0</v>
      </c>
      <c r="F95" s="40">
        <f>'Data entry hotel only'!L95</f>
        <v>0</v>
      </c>
      <c r="G95" s="40">
        <f>'Data entry hotel only'!O95</f>
        <v>0</v>
      </c>
      <c r="H95" s="40">
        <f>'Data entry hotel only'!R95</f>
        <v>0</v>
      </c>
      <c r="I95" s="40">
        <f>'Data entry hotel only'!U95</f>
        <v>0</v>
      </c>
      <c r="J95" s="40">
        <f>'Data entry hotel only'!X95</f>
        <v>0</v>
      </c>
      <c r="K95" s="40">
        <f>'Data entry hotel only'!AA95</f>
        <v>0</v>
      </c>
      <c r="L95" s="40">
        <f>'Data entry hotel only'!AD95</f>
        <v>0</v>
      </c>
      <c r="M95" s="40">
        <f>'Data entry hotel only'!AG95</f>
        <v>0</v>
      </c>
      <c r="N95" s="40">
        <f>'Data entry hotel only'!AJ95</f>
        <v>0</v>
      </c>
      <c r="O95" s="40">
        <f>'Data entry hotel only'!AM95</f>
        <v>0</v>
      </c>
      <c r="Q95" s="223">
        <f>'Hotels Only'!C95-'Hotels ORG'!C95</f>
        <v>0</v>
      </c>
      <c r="R95" s="224">
        <f>SUM(D95:I95)-SUM('Hotels ORG'!D95:I95)</f>
        <v>0</v>
      </c>
    </row>
    <row r="96" spans="2:18" x14ac:dyDescent="0.15">
      <c r="B96" s="40"/>
      <c r="C96" s="40">
        <f>'Data entry hotel only'!C96</f>
        <v>0</v>
      </c>
      <c r="D96" s="40">
        <f>'Data entry hotel only'!F96</f>
        <v>0</v>
      </c>
      <c r="E96" s="40">
        <f>'Data entry hotel only'!I96</f>
        <v>0</v>
      </c>
      <c r="F96" s="40">
        <f>'Data entry hotel only'!L96</f>
        <v>0</v>
      </c>
      <c r="G96" s="40">
        <f>'Data entry hotel only'!O96</f>
        <v>0</v>
      </c>
      <c r="H96" s="40">
        <f>'Data entry hotel only'!R96</f>
        <v>0</v>
      </c>
      <c r="I96" s="40">
        <f>'Data entry hotel only'!U96</f>
        <v>0</v>
      </c>
      <c r="J96" s="40">
        <f>'Data entry hotel only'!X96</f>
        <v>0</v>
      </c>
      <c r="K96" s="40">
        <f>'Data entry hotel only'!AA96</f>
        <v>0</v>
      </c>
      <c r="L96" s="40">
        <f>'Data entry hotel only'!AD96</f>
        <v>0</v>
      </c>
      <c r="M96" s="40">
        <f>'Data entry hotel only'!AG96</f>
        <v>0</v>
      </c>
      <c r="N96" s="40">
        <f>'Data entry hotel only'!AJ96</f>
        <v>0</v>
      </c>
      <c r="O96" s="40">
        <f>'Data entry hotel only'!AM96</f>
        <v>0</v>
      </c>
      <c r="Q96" s="223">
        <f>'Hotels Only'!C96-'Hotels ORG'!C96</f>
        <v>0</v>
      </c>
      <c r="R96" s="224">
        <f>SUM(D96:I96)-SUM('Hotels ORG'!D96:I96)</f>
        <v>0</v>
      </c>
    </row>
    <row r="97" spans="2:18" ht="14" x14ac:dyDescent="0.15">
      <c r="B97" s="42" t="s">
        <v>65</v>
      </c>
      <c r="C97" s="43">
        <f>'Data entry hotel only'!C97</f>
        <v>300315.19</v>
      </c>
      <c r="D97" s="43">
        <f>'Data entry hotel only'!F97</f>
        <v>2255.91</v>
      </c>
      <c r="E97" s="43">
        <f>'Data entry hotel only'!I97</f>
        <v>7429.26</v>
      </c>
      <c r="F97" s="43">
        <f>'Data entry hotel only'!L97</f>
        <v>1660.91</v>
      </c>
      <c r="G97" s="43">
        <f>'Data entry hotel only'!O97</f>
        <v>1644.2</v>
      </c>
      <c r="H97" s="43">
        <f>'Data entry hotel only'!R97</f>
        <v>495.2</v>
      </c>
      <c r="I97" s="43">
        <f>'Data entry hotel only'!U97</f>
        <v>1717.71</v>
      </c>
      <c r="J97" s="43">
        <f>'Data entry hotel only'!X97</f>
        <v>175852</v>
      </c>
      <c r="K97" s="43">
        <f>'Data entry hotel only'!AA97</f>
        <v>21852</v>
      </c>
      <c r="L97" s="43">
        <f>'Data entry hotel only'!AD97</f>
        <v>21852</v>
      </c>
      <c r="M97" s="43">
        <f>'Data entry hotel only'!AG97</f>
        <v>21852</v>
      </c>
      <c r="N97" s="43">
        <f>'Data entry hotel only'!AJ97</f>
        <v>21852</v>
      </c>
      <c r="O97" s="43">
        <f>'Data entry hotel only'!AM97</f>
        <v>21852</v>
      </c>
      <c r="Q97" s="223">
        <f>'Hotels Only'!C97-'Hotels ORG'!C97</f>
        <v>-104644.81</v>
      </c>
      <c r="R97" s="224">
        <f>SUM(D97:I97)-SUM('Hotels ORG'!D97:I97)</f>
        <v>-104644.81</v>
      </c>
    </row>
    <row r="98" spans="2:18" ht="14" x14ac:dyDescent="0.15">
      <c r="B98" s="38" t="s">
        <v>66</v>
      </c>
      <c r="C98" s="40">
        <f>'Data entry hotel only'!C98</f>
        <v>0</v>
      </c>
      <c r="D98" s="40">
        <f>'Data entry hotel only'!F98</f>
        <v>0</v>
      </c>
      <c r="E98" s="40">
        <f>'Data entry hotel only'!I98</f>
        <v>0</v>
      </c>
      <c r="F98" s="40">
        <f>'Data entry hotel only'!L98</f>
        <v>0</v>
      </c>
      <c r="G98" s="40">
        <f>'Data entry hotel only'!O98</f>
        <v>0</v>
      </c>
      <c r="H98" s="40">
        <f>'Data entry hotel only'!R98</f>
        <v>0</v>
      </c>
      <c r="I98" s="40">
        <f>'Data entry hotel only'!U98</f>
        <v>0</v>
      </c>
      <c r="J98" s="40">
        <f>'Data entry hotel only'!X98</f>
        <v>0</v>
      </c>
      <c r="K98" s="40">
        <f>'Data entry hotel only'!AA98</f>
        <v>0</v>
      </c>
      <c r="L98" s="40">
        <f>'Data entry hotel only'!AD98</f>
        <v>0</v>
      </c>
      <c r="M98" s="40">
        <f>'Data entry hotel only'!AG98</f>
        <v>0</v>
      </c>
      <c r="N98" s="40">
        <f>'Data entry hotel only'!AJ98</f>
        <v>0</v>
      </c>
      <c r="O98" s="40">
        <f>'Data entry hotel only'!AM98</f>
        <v>0</v>
      </c>
      <c r="Q98" s="223">
        <f>'Hotels Only'!C98-'Hotels ORG'!C98</f>
        <v>0</v>
      </c>
      <c r="R98" s="224">
        <f>SUM(D98:I98)-SUM('Hotels ORG'!D98:I98)</f>
        <v>0</v>
      </c>
    </row>
    <row r="99" spans="2:18" ht="14" x14ac:dyDescent="0.15">
      <c r="B99" s="38" t="s">
        <v>67</v>
      </c>
      <c r="C99" s="40">
        <f>'Data entry hotel only'!C99</f>
        <v>300315.19</v>
      </c>
      <c r="D99" s="40">
        <f>'Data entry hotel only'!F99</f>
        <v>2255.91</v>
      </c>
      <c r="E99" s="40">
        <f>'Data entry hotel only'!I99</f>
        <v>7429.26</v>
      </c>
      <c r="F99" s="40">
        <f>'Data entry hotel only'!L99</f>
        <v>1660.91</v>
      </c>
      <c r="G99" s="40">
        <f>'Data entry hotel only'!O99</f>
        <v>1644.2</v>
      </c>
      <c r="H99" s="40">
        <f>'Data entry hotel only'!R99</f>
        <v>495.2</v>
      </c>
      <c r="I99" s="40">
        <f>'Data entry hotel only'!U99</f>
        <v>1717.71</v>
      </c>
      <c r="J99" s="40">
        <f>'Data entry hotel only'!X99</f>
        <v>175852</v>
      </c>
      <c r="K99" s="40">
        <f>'Data entry hotel only'!AA99</f>
        <v>21852</v>
      </c>
      <c r="L99" s="40">
        <f>'Data entry hotel only'!AD99</f>
        <v>21852</v>
      </c>
      <c r="M99" s="40">
        <f>'Data entry hotel only'!AG99</f>
        <v>21852</v>
      </c>
      <c r="N99" s="40">
        <f>'Data entry hotel only'!AJ99</f>
        <v>21852</v>
      </c>
      <c r="O99" s="40">
        <f>'Data entry hotel only'!AM99</f>
        <v>21852</v>
      </c>
      <c r="Q99" s="223">
        <f>'Hotels Only'!C99-'Hotels ORG'!C99</f>
        <v>-104644.81</v>
      </c>
      <c r="R99" s="224">
        <f>SUM(D99:I99)-SUM('Hotels ORG'!D99:I99)</f>
        <v>-104644.81</v>
      </c>
    </row>
    <row r="100" spans="2:18" x14ac:dyDescent="0.15">
      <c r="B100" s="40"/>
      <c r="C100" s="40">
        <f>'Data entry hotel only'!C100</f>
        <v>0</v>
      </c>
      <c r="D100" s="40">
        <f>'Data entry hotel only'!F100</f>
        <v>0</v>
      </c>
      <c r="E100" s="40">
        <f>'Data entry hotel only'!I100</f>
        <v>0</v>
      </c>
      <c r="F100" s="40">
        <f>'Data entry hotel only'!L100</f>
        <v>0</v>
      </c>
      <c r="G100" s="40">
        <f>'Data entry hotel only'!O100</f>
        <v>0</v>
      </c>
      <c r="H100" s="40">
        <f>'Data entry hotel only'!R100</f>
        <v>0</v>
      </c>
      <c r="I100" s="40">
        <f>'Data entry hotel only'!U100</f>
        <v>0</v>
      </c>
      <c r="J100" s="40">
        <f>'Data entry hotel only'!X100</f>
        <v>0</v>
      </c>
      <c r="K100" s="40">
        <f>'Data entry hotel only'!AA100</f>
        <v>0</v>
      </c>
      <c r="L100" s="40">
        <f>'Data entry hotel only'!AD100</f>
        <v>0</v>
      </c>
      <c r="M100" s="40">
        <f>'Data entry hotel only'!AG100</f>
        <v>0</v>
      </c>
      <c r="N100" s="40">
        <f>'Data entry hotel only'!AJ100</f>
        <v>0</v>
      </c>
      <c r="O100" s="40">
        <f>'Data entry hotel only'!AM100</f>
        <v>0</v>
      </c>
      <c r="Q100" s="223">
        <f>'Hotels Only'!C100-'Hotels ORG'!C100</f>
        <v>0</v>
      </c>
      <c r="R100" s="224">
        <f>SUM(D100:I100)-SUM('Hotels ORG'!D100:I100)</f>
        <v>0</v>
      </c>
    </row>
    <row r="101" spans="2:18" ht="28" x14ac:dyDescent="0.15">
      <c r="B101" s="42" t="s">
        <v>68</v>
      </c>
      <c r="C101" s="43">
        <f>'Data entry hotel only'!C101</f>
        <v>-77001.31</v>
      </c>
      <c r="D101" s="43">
        <f>'Data entry hotel only'!F101</f>
        <v>20138.810000000001</v>
      </c>
      <c r="E101" s="43">
        <f>'Data entry hotel only'!I101</f>
        <v>-3351.79</v>
      </c>
      <c r="F101" s="43">
        <f>'Data entry hotel only'!L101</f>
        <v>716</v>
      </c>
      <c r="G101" s="43">
        <f>'Data entry hotel only'!O101</f>
        <v>766.42</v>
      </c>
      <c r="H101" s="43">
        <f>'Data entry hotel only'!R101</f>
        <v>716</v>
      </c>
      <c r="I101" s="43">
        <f>'Data entry hotel only'!U101</f>
        <v>317.25</v>
      </c>
      <c r="J101" s="43">
        <f>'Data entry hotel only'!X101</f>
        <v>-19384</v>
      </c>
      <c r="K101" s="43">
        <f>'Data entry hotel only'!AA101</f>
        <v>-15384</v>
      </c>
      <c r="L101" s="43">
        <f>'Data entry hotel only'!AD101</f>
        <v>-15384</v>
      </c>
      <c r="M101" s="43">
        <f>'Data entry hotel only'!AG101</f>
        <v>-15384</v>
      </c>
      <c r="N101" s="43">
        <f>'Data entry hotel only'!AJ101</f>
        <v>-15384</v>
      </c>
      <c r="O101" s="43">
        <f>'Data entry hotel only'!AM101</f>
        <v>-15384</v>
      </c>
      <c r="Q101" s="223">
        <f>'Hotels Only'!C101-'Hotels ORG'!C101</f>
        <v>90134.16</v>
      </c>
      <c r="R101" s="224">
        <f>SUM(D101:I101)-SUM('Hotels ORG'!D101:I101)</f>
        <v>90134.16</v>
      </c>
    </row>
    <row r="102" spans="2:18" x14ac:dyDescent="0.15">
      <c r="B102" s="40"/>
      <c r="C102" s="40">
        <f>'Data entry hotel only'!C102</f>
        <v>0</v>
      </c>
      <c r="D102" s="40">
        <f>'Data entry hotel only'!F102</f>
        <v>0</v>
      </c>
      <c r="E102" s="40">
        <f>'Data entry hotel only'!I102</f>
        <v>0</v>
      </c>
      <c r="F102" s="40">
        <f>'Data entry hotel only'!L102</f>
        <v>0</v>
      </c>
      <c r="G102" s="40">
        <f>'Data entry hotel only'!O102</f>
        <v>0</v>
      </c>
      <c r="H102" s="40">
        <f>'Data entry hotel only'!R102</f>
        <v>0</v>
      </c>
      <c r="I102" s="40">
        <f>'Data entry hotel only'!U102</f>
        <v>0</v>
      </c>
      <c r="J102" s="40">
        <f>'Data entry hotel only'!X102</f>
        <v>0</v>
      </c>
      <c r="K102" s="40">
        <f>'Data entry hotel only'!AA102</f>
        <v>0</v>
      </c>
      <c r="L102" s="40">
        <f>'Data entry hotel only'!AD102</f>
        <v>0</v>
      </c>
      <c r="M102" s="40">
        <f>'Data entry hotel only'!AG102</f>
        <v>0</v>
      </c>
      <c r="N102" s="40">
        <f>'Data entry hotel only'!AJ102</f>
        <v>0</v>
      </c>
      <c r="O102" s="40">
        <f>'Data entry hotel only'!AM102</f>
        <v>0</v>
      </c>
      <c r="Q102" s="223">
        <f>'Hotels Only'!C102-'Hotels ORG'!C102</f>
        <v>0</v>
      </c>
      <c r="R102" s="224">
        <f>SUM(D102:I102)-SUM('Hotels ORG'!D102:I102)</f>
        <v>0</v>
      </c>
    </row>
    <row r="103" spans="2:18" ht="14" x14ac:dyDescent="0.15">
      <c r="B103" s="42" t="s">
        <v>69</v>
      </c>
      <c r="C103" s="43">
        <f>'Data entry hotel only'!C103</f>
        <v>23689689.494399998</v>
      </c>
      <c r="D103" s="43">
        <f>'Data entry hotel only'!F103</f>
        <v>240974.63</v>
      </c>
      <c r="E103" s="43">
        <f>'Data entry hotel only'!I103</f>
        <v>758574.27</v>
      </c>
      <c r="F103" s="43">
        <f>'Data entry hotel only'!L103</f>
        <v>2657489.04</v>
      </c>
      <c r="G103" s="43">
        <f>'Data entry hotel only'!O103</f>
        <v>894823.4</v>
      </c>
      <c r="H103" s="43">
        <f>'Data entry hotel only'!R103</f>
        <v>2743083.6</v>
      </c>
      <c r="I103" s="43">
        <f>'Data entry hotel only'!U103</f>
        <v>1735842.9</v>
      </c>
      <c r="J103" s="43">
        <f>'Data entry hotel only'!X103</f>
        <v>958712.26859999995</v>
      </c>
      <c r="K103" s="43">
        <f>'Data entry hotel only'!AA103</f>
        <v>1523557.5876</v>
      </c>
      <c r="L103" s="43">
        <f>'Data entry hotel only'!AD103</f>
        <v>3833790.8672000002</v>
      </c>
      <c r="M103" s="43">
        <f>'Data entry hotel only'!AG103</f>
        <v>3918195.7411000002</v>
      </c>
      <c r="N103" s="43">
        <f>'Data entry hotel only'!AJ103</f>
        <v>3033090.3684999999</v>
      </c>
      <c r="O103" s="43">
        <f>'Data entry hotel only'!AM103</f>
        <v>1391554.8214</v>
      </c>
      <c r="Q103" s="223">
        <f>'Hotels Only'!C103-'Hotels ORG'!C103</f>
        <v>-7176054.2182000019</v>
      </c>
      <c r="R103" s="224">
        <f>SUM(D103:I103)-SUM('Hotels ORG'!D103:I103)</f>
        <v>-4584051.8487999998</v>
      </c>
    </row>
    <row r="104" spans="2:18" x14ac:dyDescent="0.15">
      <c r="B104" s="40"/>
      <c r="C104" s="40">
        <f>'Data entry hotel only'!C104</f>
        <v>0</v>
      </c>
      <c r="D104" s="40">
        <f>'Data entry hotel only'!F104</f>
        <v>0</v>
      </c>
      <c r="E104" s="40">
        <f>'Data entry hotel only'!I104</f>
        <v>0</v>
      </c>
      <c r="F104" s="40">
        <f>'Data entry hotel only'!L104</f>
        <v>0</v>
      </c>
      <c r="G104" s="40">
        <f>'Data entry hotel only'!O104</f>
        <v>0</v>
      </c>
      <c r="H104" s="40">
        <f>'Data entry hotel only'!R104</f>
        <v>0</v>
      </c>
      <c r="I104" s="40">
        <f>'Data entry hotel only'!U104</f>
        <v>0</v>
      </c>
      <c r="J104" s="40">
        <f>'Data entry hotel only'!X104</f>
        <v>0</v>
      </c>
      <c r="K104" s="40">
        <f>'Data entry hotel only'!AA104</f>
        <v>0</v>
      </c>
      <c r="L104" s="40">
        <f>'Data entry hotel only'!AD104</f>
        <v>0</v>
      </c>
      <c r="M104" s="40">
        <f>'Data entry hotel only'!AG104</f>
        <v>0</v>
      </c>
      <c r="N104" s="40">
        <f>'Data entry hotel only'!AJ104</f>
        <v>0</v>
      </c>
      <c r="O104" s="40">
        <f>'Data entry hotel only'!AM104</f>
        <v>0</v>
      </c>
      <c r="Q104" s="223">
        <f>'Hotels Only'!C104-'Hotels ORG'!C104</f>
        <v>0</v>
      </c>
      <c r="R104" s="224">
        <f>SUM(D104:I104)-SUM('Hotels ORG'!D104:I104)</f>
        <v>0</v>
      </c>
    </row>
    <row r="105" spans="2:18" ht="14" x14ac:dyDescent="0.15">
      <c r="B105" s="42" t="s">
        <v>70</v>
      </c>
      <c r="C105" s="43">
        <f>'Data entry hotel only'!C105</f>
        <v>1870645.24</v>
      </c>
      <c r="D105" s="43">
        <f>'Data entry hotel only'!F105</f>
        <v>117491.16</v>
      </c>
      <c r="E105" s="43">
        <f>'Data entry hotel only'!I105</f>
        <v>112431.25</v>
      </c>
      <c r="F105" s="43">
        <f>'Data entry hotel only'!L105</f>
        <v>121804.06</v>
      </c>
      <c r="G105" s="43">
        <f>'Data entry hotel only'!O105</f>
        <v>232129.67</v>
      </c>
      <c r="H105" s="43">
        <f>'Data entry hotel only'!R105</f>
        <v>113646.29</v>
      </c>
      <c r="I105" s="43">
        <f>'Data entry hotel only'!U105</f>
        <v>113766.29</v>
      </c>
      <c r="J105" s="43">
        <f>'Data entry hotel only'!X105</f>
        <v>174618.43</v>
      </c>
      <c r="K105" s="43">
        <f>'Data entry hotel only'!AA105</f>
        <v>180451.4</v>
      </c>
      <c r="L105" s="43">
        <f>'Data entry hotel only'!AD105</f>
        <v>174618.43</v>
      </c>
      <c r="M105" s="43">
        <f>'Data entry hotel only'!AG105</f>
        <v>174618.43</v>
      </c>
      <c r="N105" s="43">
        <f>'Data entry hotel only'!AJ105</f>
        <v>180451.4</v>
      </c>
      <c r="O105" s="43">
        <f>'Data entry hotel only'!AM105</f>
        <v>174618.43</v>
      </c>
      <c r="Q105" s="223">
        <f>'Hotels Only'!C105-'Hotels ORG'!C105</f>
        <v>-251702.3600000001</v>
      </c>
      <c r="R105" s="224">
        <f>SUM(D105:I105)-SUM('Hotels ORG'!D105:I105)</f>
        <v>-251602.33999999997</v>
      </c>
    </row>
    <row r="106" spans="2:18" ht="14" x14ac:dyDescent="0.15">
      <c r="B106" s="38" t="s">
        <v>71</v>
      </c>
      <c r="C106" s="40">
        <f>'Data entry hotel only'!C106</f>
        <v>746308.95</v>
      </c>
      <c r="D106" s="40">
        <f>'Data entry hotel only'!F106</f>
        <v>46596.53</v>
      </c>
      <c r="E106" s="40">
        <f>'Data entry hotel only'!I106</f>
        <v>40494.99</v>
      </c>
      <c r="F106" s="40">
        <f>'Data entry hotel only'!L106</f>
        <v>50414.29</v>
      </c>
      <c r="G106" s="40">
        <f>'Data entry hotel only'!O106</f>
        <v>160909.9</v>
      </c>
      <c r="H106" s="40">
        <f>'Data entry hotel only'!R106</f>
        <v>45406.99</v>
      </c>
      <c r="I106" s="40">
        <f>'Data entry hotel only'!U106</f>
        <v>45406.99</v>
      </c>
      <c r="J106" s="40">
        <f>'Data entry hotel only'!X106</f>
        <v>59513.21</v>
      </c>
      <c r="K106" s="40">
        <f>'Data entry hotel only'!AA106</f>
        <v>59513.21</v>
      </c>
      <c r="L106" s="40">
        <f>'Data entry hotel only'!AD106</f>
        <v>59513.21</v>
      </c>
      <c r="M106" s="40">
        <f>'Data entry hotel only'!AG106</f>
        <v>59513.21</v>
      </c>
      <c r="N106" s="40">
        <f>'Data entry hotel only'!AJ106</f>
        <v>59513.21</v>
      </c>
      <c r="O106" s="40">
        <f>'Data entry hotel only'!AM106</f>
        <v>59513.21</v>
      </c>
      <c r="Q106" s="223">
        <f>'Hotels Only'!C106-'Hotels ORG'!C106</f>
        <v>28650.389999999898</v>
      </c>
      <c r="R106" s="224">
        <f>SUM(D106:I106)-SUM('Hotels ORG'!D106:I106)</f>
        <v>30250.409999999974</v>
      </c>
    </row>
    <row r="107" spans="2:18" ht="14" x14ac:dyDescent="0.15">
      <c r="B107" s="38" t="s">
        <v>72</v>
      </c>
      <c r="C107" s="40">
        <f>'Data entry hotel only'!C107</f>
        <v>21972.06</v>
      </c>
      <c r="D107" s="40">
        <f>'Data entry hotel only'!F107</f>
        <v>0</v>
      </c>
      <c r="E107" s="40">
        <f>'Data entry hotel only'!I107</f>
        <v>0</v>
      </c>
      <c r="F107" s="40">
        <f>'Data entry hotel only'!L107</f>
        <v>0</v>
      </c>
      <c r="G107" s="40">
        <f>'Data entry hotel only'!O107</f>
        <v>0</v>
      </c>
      <c r="H107" s="40">
        <f>'Data entry hotel only'!R107</f>
        <v>0</v>
      </c>
      <c r="I107" s="40">
        <f>'Data entry hotel only'!U107</f>
        <v>0</v>
      </c>
      <c r="J107" s="40">
        <f>'Data entry hotel only'!X107</f>
        <v>3662.01</v>
      </c>
      <c r="K107" s="40">
        <f>'Data entry hotel only'!AA107</f>
        <v>3662.01</v>
      </c>
      <c r="L107" s="40">
        <f>'Data entry hotel only'!AD107</f>
        <v>3662.01</v>
      </c>
      <c r="M107" s="40">
        <f>'Data entry hotel only'!AG107</f>
        <v>3662.01</v>
      </c>
      <c r="N107" s="40">
        <f>'Data entry hotel only'!AJ107</f>
        <v>3662.01</v>
      </c>
      <c r="O107" s="40">
        <f>'Data entry hotel only'!AM107</f>
        <v>3662.01</v>
      </c>
      <c r="Q107" s="223">
        <f>'Hotels Only'!C107-'Hotels ORG'!C107</f>
        <v>-23990.06</v>
      </c>
      <c r="R107" s="224">
        <f>SUM(D107:I107)-SUM('Hotels ORG'!D107:I107)</f>
        <v>-23990.060000000005</v>
      </c>
    </row>
    <row r="108" spans="2:18" ht="14" x14ac:dyDescent="0.15">
      <c r="B108" s="38" t="s">
        <v>73</v>
      </c>
      <c r="C108" s="40">
        <f>'Data entry hotel only'!C108</f>
        <v>464741.86</v>
      </c>
      <c r="D108" s="40">
        <f>'Data entry hotel only'!F108</f>
        <v>32408.86</v>
      </c>
      <c r="E108" s="40">
        <f>'Data entry hotel only'!I108</f>
        <v>19260.2</v>
      </c>
      <c r="F108" s="40">
        <f>'Data entry hotel only'!L108</f>
        <v>19010.2</v>
      </c>
      <c r="G108" s="40">
        <f>'Data entry hotel only'!O108</f>
        <v>19010.2</v>
      </c>
      <c r="H108" s="40">
        <f>'Data entry hotel only'!R108</f>
        <v>19010.2</v>
      </c>
      <c r="I108" s="40">
        <f>'Data entry hotel only'!U108</f>
        <v>19010.2</v>
      </c>
      <c r="J108" s="40">
        <f>'Data entry hotel only'!X108</f>
        <v>56172</v>
      </c>
      <c r="K108" s="40">
        <f>'Data entry hotel only'!AA108</f>
        <v>56172</v>
      </c>
      <c r="L108" s="40">
        <f>'Data entry hotel only'!AD108</f>
        <v>56172</v>
      </c>
      <c r="M108" s="40">
        <f>'Data entry hotel only'!AG108</f>
        <v>56172</v>
      </c>
      <c r="N108" s="40">
        <f>'Data entry hotel only'!AJ108</f>
        <v>56172</v>
      </c>
      <c r="O108" s="40">
        <f>'Data entry hotel only'!AM108</f>
        <v>56172</v>
      </c>
      <c r="Q108" s="223">
        <f>'Hotels Only'!C108-'Hotels ORG'!C108</f>
        <v>-206322.14</v>
      </c>
      <c r="R108" s="224">
        <f>SUM(D108:I108)-SUM('Hotels ORG'!D108:I108)</f>
        <v>-207822.14</v>
      </c>
    </row>
    <row r="109" spans="2:18" ht="14" x14ac:dyDescent="0.15">
      <c r="B109" s="38" t="s">
        <v>74</v>
      </c>
      <c r="C109" s="40">
        <f>'Data entry hotel only'!C109</f>
        <v>91111.96</v>
      </c>
      <c r="D109" s="40">
        <f>'Data entry hotel only'!F109</f>
        <v>5818.8</v>
      </c>
      <c r="E109" s="40">
        <f>'Data entry hotel only'!I109</f>
        <v>4023.8</v>
      </c>
      <c r="F109" s="40">
        <f>'Data entry hotel only'!L109</f>
        <v>8969.27</v>
      </c>
      <c r="G109" s="40">
        <f>'Data entry hotel only'!O109</f>
        <v>8799.27</v>
      </c>
      <c r="H109" s="40">
        <f>'Data entry hotel only'!R109</f>
        <v>5818.8</v>
      </c>
      <c r="I109" s="40">
        <f>'Data entry hotel only'!U109</f>
        <v>5938.8</v>
      </c>
      <c r="J109" s="40">
        <f>'Data entry hotel only'!X109</f>
        <v>8623.8700000000008</v>
      </c>
      <c r="K109" s="40">
        <f>'Data entry hotel only'!AA109</f>
        <v>8623.8700000000008</v>
      </c>
      <c r="L109" s="40">
        <f>'Data entry hotel only'!AD109</f>
        <v>8623.8700000000008</v>
      </c>
      <c r="M109" s="40">
        <f>'Data entry hotel only'!AG109</f>
        <v>8623.8700000000008</v>
      </c>
      <c r="N109" s="40">
        <f>'Data entry hotel only'!AJ109</f>
        <v>8623.8700000000008</v>
      </c>
      <c r="O109" s="40">
        <f>'Data entry hotel only'!AM109</f>
        <v>8623.8700000000008</v>
      </c>
      <c r="Q109" s="223">
        <f>'Hotels Only'!C109-'Hotels ORG'!C109</f>
        <v>-13451</v>
      </c>
      <c r="R109" s="224">
        <f>SUM(D109:I109)-SUM('Hotels ORG'!D109:I109)</f>
        <v>-13451</v>
      </c>
    </row>
    <row r="110" spans="2:18" ht="14" x14ac:dyDescent="0.15">
      <c r="B110" s="38" t="s">
        <v>75</v>
      </c>
      <c r="C110" s="40">
        <f>'Data entry hotel only'!C110</f>
        <v>537473.81000000006</v>
      </c>
      <c r="D110" s="40">
        <f>'Data entry hotel only'!F110</f>
        <v>32013.919999999998</v>
      </c>
      <c r="E110" s="40">
        <f>'Data entry hotel only'!I110</f>
        <v>47999.21</v>
      </c>
      <c r="F110" s="40">
        <f>'Data entry hotel only'!L110</f>
        <v>42757.25</v>
      </c>
      <c r="G110" s="40">
        <f>'Data entry hotel only'!O110</f>
        <v>42757.25</v>
      </c>
      <c r="H110" s="40">
        <f>'Data entry hotel only'!R110</f>
        <v>42757.25</v>
      </c>
      <c r="I110" s="40">
        <f>'Data entry hotel only'!U110</f>
        <v>42757.25</v>
      </c>
      <c r="J110" s="40">
        <f>'Data entry hotel only'!X110</f>
        <v>45794.29</v>
      </c>
      <c r="K110" s="40">
        <f>'Data entry hotel only'!AA110</f>
        <v>51627.26</v>
      </c>
      <c r="L110" s="40">
        <f>'Data entry hotel only'!AD110</f>
        <v>45794.29</v>
      </c>
      <c r="M110" s="40">
        <f>'Data entry hotel only'!AG110</f>
        <v>45794.29</v>
      </c>
      <c r="N110" s="40">
        <f>'Data entry hotel only'!AJ110</f>
        <v>51627.26</v>
      </c>
      <c r="O110" s="40">
        <f>'Data entry hotel only'!AM110</f>
        <v>45794.29</v>
      </c>
      <c r="Q110" s="223">
        <f>'Hotels Only'!C110-'Hotels ORG'!C110</f>
        <v>-35389.54999999993</v>
      </c>
      <c r="R110" s="224">
        <f>SUM(D110:I110)-SUM('Hotels ORG'!D110:I110)</f>
        <v>-35389.549999999988</v>
      </c>
    </row>
    <row r="111" spans="2:18" ht="14" x14ac:dyDescent="0.15">
      <c r="B111" s="38" t="s">
        <v>76</v>
      </c>
      <c r="C111" s="40">
        <f>'Data entry hotel only'!C111</f>
        <v>9036.6</v>
      </c>
      <c r="D111" s="40">
        <f>'Data entry hotel only'!F111</f>
        <v>653.04999999999995</v>
      </c>
      <c r="E111" s="40">
        <f>'Data entry hotel only'!I111</f>
        <v>653.04999999999995</v>
      </c>
      <c r="F111" s="40">
        <f>'Data entry hotel only'!L111</f>
        <v>653.04999999999995</v>
      </c>
      <c r="G111" s="40">
        <f>'Data entry hotel only'!O111</f>
        <v>653.04999999999995</v>
      </c>
      <c r="H111" s="40">
        <f>'Data entry hotel only'!R111</f>
        <v>653.04999999999995</v>
      </c>
      <c r="I111" s="40">
        <f>'Data entry hotel only'!U111</f>
        <v>653.04999999999995</v>
      </c>
      <c r="J111" s="40">
        <f>'Data entry hotel only'!X111</f>
        <v>853.05</v>
      </c>
      <c r="K111" s="40">
        <f>'Data entry hotel only'!AA111</f>
        <v>853.05</v>
      </c>
      <c r="L111" s="40">
        <f>'Data entry hotel only'!AD111</f>
        <v>853.05</v>
      </c>
      <c r="M111" s="40">
        <f>'Data entry hotel only'!AG111</f>
        <v>853.05</v>
      </c>
      <c r="N111" s="40">
        <f>'Data entry hotel only'!AJ111</f>
        <v>853.05</v>
      </c>
      <c r="O111" s="40">
        <f>'Data entry hotel only'!AM111</f>
        <v>853.05</v>
      </c>
      <c r="Q111" s="223">
        <f>'Hotels Only'!C111-'Hotels ORG'!C111</f>
        <v>-1200</v>
      </c>
      <c r="R111" s="224">
        <f>SUM(D111:I111)-SUM('Hotels ORG'!D111:I111)</f>
        <v>-1200</v>
      </c>
    </row>
    <row r="112" spans="2:18" ht="14" x14ac:dyDescent="0.15">
      <c r="B112" s="38" t="s">
        <v>77</v>
      </c>
      <c r="C112" s="40">
        <f>'Data entry hotel only'!C112</f>
        <v>0</v>
      </c>
      <c r="D112" s="40">
        <f>'Data entry hotel only'!F112</f>
        <v>0</v>
      </c>
      <c r="E112" s="40">
        <f>'Data entry hotel only'!I112</f>
        <v>0</v>
      </c>
      <c r="F112" s="40">
        <f>'Data entry hotel only'!L112</f>
        <v>0</v>
      </c>
      <c r="G112" s="40">
        <f>'Data entry hotel only'!O112</f>
        <v>0</v>
      </c>
      <c r="H112" s="40">
        <f>'Data entry hotel only'!R112</f>
        <v>0</v>
      </c>
      <c r="I112" s="40">
        <f>'Data entry hotel only'!U112</f>
        <v>0</v>
      </c>
      <c r="J112" s="40">
        <f>'Data entry hotel only'!X112</f>
        <v>0</v>
      </c>
      <c r="K112" s="40">
        <f>'Data entry hotel only'!AA112</f>
        <v>0</v>
      </c>
      <c r="L112" s="40">
        <f>'Data entry hotel only'!AD112</f>
        <v>0</v>
      </c>
      <c r="M112" s="40">
        <f>'Data entry hotel only'!AG112</f>
        <v>0</v>
      </c>
      <c r="N112" s="40">
        <f>'Data entry hotel only'!AJ112</f>
        <v>0</v>
      </c>
      <c r="O112" s="40">
        <f>'Data entry hotel only'!AM112</f>
        <v>0</v>
      </c>
      <c r="Q112" s="223">
        <f>'Hotels Only'!C112-'Hotels ORG'!C112</f>
        <v>0</v>
      </c>
      <c r="R112" s="224">
        <f>SUM(D112:I112)-SUM('Hotels ORG'!D112:I112)</f>
        <v>0</v>
      </c>
    </row>
    <row r="113" spans="2:18" ht="14" x14ac:dyDescent="0.15">
      <c r="B113" s="38" t="s">
        <v>78</v>
      </c>
      <c r="C113" s="40">
        <f>'Data entry hotel only'!C113</f>
        <v>0</v>
      </c>
      <c r="D113" s="40">
        <f>'Data entry hotel only'!F113</f>
        <v>0</v>
      </c>
      <c r="E113" s="40">
        <f>'Data entry hotel only'!I113</f>
        <v>0</v>
      </c>
      <c r="F113" s="40">
        <f>'Data entry hotel only'!L113</f>
        <v>0</v>
      </c>
      <c r="G113" s="40">
        <f>'Data entry hotel only'!O113</f>
        <v>0</v>
      </c>
      <c r="H113" s="40">
        <f>'Data entry hotel only'!R113</f>
        <v>0</v>
      </c>
      <c r="I113" s="40">
        <f>'Data entry hotel only'!U113</f>
        <v>0</v>
      </c>
      <c r="J113" s="40">
        <f>'Data entry hotel only'!X113</f>
        <v>0</v>
      </c>
      <c r="K113" s="40">
        <f>'Data entry hotel only'!AA113</f>
        <v>0</v>
      </c>
      <c r="L113" s="40">
        <f>'Data entry hotel only'!AD113</f>
        <v>0</v>
      </c>
      <c r="M113" s="40">
        <f>'Data entry hotel only'!AG113</f>
        <v>0</v>
      </c>
      <c r="N113" s="40">
        <f>'Data entry hotel only'!AJ113</f>
        <v>0</v>
      </c>
      <c r="O113" s="40">
        <f>'Data entry hotel only'!AM113</f>
        <v>0</v>
      </c>
      <c r="Q113" s="223">
        <f>'Hotels Only'!C113-'Hotels ORG'!C113</f>
        <v>0</v>
      </c>
      <c r="R113" s="224">
        <f>SUM(D113:I113)-SUM('Hotels ORG'!D113:I113)</f>
        <v>0</v>
      </c>
    </row>
    <row r="114" spans="2:18" ht="14" x14ac:dyDescent="0.15">
      <c r="B114" s="38" t="s">
        <v>79</v>
      </c>
      <c r="C114" s="40">
        <f>'Data entry hotel only'!C114</f>
        <v>0</v>
      </c>
      <c r="D114" s="40">
        <f>'Data entry hotel only'!F114</f>
        <v>0</v>
      </c>
      <c r="E114" s="40">
        <f>'Data entry hotel only'!I114</f>
        <v>0</v>
      </c>
      <c r="F114" s="40">
        <f>'Data entry hotel only'!L114</f>
        <v>0</v>
      </c>
      <c r="G114" s="40">
        <f>'Data entry hotel only'!O114</f>
        <v>0</v>
      </c>
      <c r="H114" s="40">
        <f>'Data entry hotel only'!R114</f>
        <v>0</v>
      </c>
      <c r="I114" s="40">
        <f>'Data entry hotel only'!U114</f>
        <v>0</v>
      </c>
      <c r="J114" s="40">
        <f>'Data entry hotel only'!X114</f>
        <v>0</v>
      </c>
      <c r="K114" s="40">
        <f>'Data entry hotel only'!AA114</f>
        <v>0</v>
      </c>
      <c r="L114" s="40">
        <f>'Data entry hotel only'!AD114</f>
        <v>0</v>
      </c>
      <c r="M114" s="40">
        <f>'Data entry hotel only'!AG114</f>
        <v>0</v>
      </c>
      <c r="N114" s="40">
        <f>'Data entry hotel only'!AJ114</f>
        <v>0</v>
      </c>
      <c r="O114" s="40">
        <f>'Data entry hotel only'!AM114</f>
        <v>0</v>
      </c>
      <c r="Q114" s="223">
        <f>'Hotels Only'!C114-'Hotels ORG'!C114</f>
        <v>0</v>
      </c>
      <c r="R114" s="224">
        <f>SUM(D114:I114)-SUM('Hotels ORG'!D114:I114)</f>
        <v>0</v>
      </c>
    </row>
    <row r="115" spans="2:18" ht="14" x14ac:dyDescent="0.15">
      <c r="B115" s="38" t="s">
        <v>80</v>
      </c>
      <c r="C115" s="40">
        <f>'Data entry hotel only'!C115</f>
        <v>0</v>
      </c>
      <c r="D115" s="40">
        <f>'Data entry hotel only'!F115</f>
        <v>0</v>
      </c>
      <c r="E115" s="40">
        <f>'Data entry hotel only'!I115</f>
        <v>0</v>
      </c>
      <c r="F115" s="40">
        <f>'Data entry hotel only'!L115</f>
        <v>0</v>
      </c>
      <c r="G115" s="40">
        <f>'Data entry hotel only'!O115</f>
        <v>0</v>
      </c>
      <c r="H115" s="40">
        <f>'Data entry hotel only'!R115</f>
        <v>0</v>
      </c>
      <c r="I115" s="40">
        <f>'Data entry hotel only'!U115</f>
        <v>0</v>
      </c>
      <c r="J115" s="40">
        <f>'Data entry hotel only'!X115</f>
        <v>0</v>
      </c>
      <c r="K115" s="40">
        <f>'Data entry hotel only'!AA115</f>
        <v>0</v>
      </c>
      <c r="L115" s="40">
        <f>'Data entry hotel only'!AD115</f>
        <v>0</v>
      </c>
      <c r="M115" s="40">
        <f>'Data entry hotel only'!AG115</f>
        <v>0</v>
      </c>
      <c r="N115" s="40">
        <f>'Data entry hotel only'!AJ115</f>
        <v>0</v>
      </c>
      <c r="O115" s="40">
        <f>'Data entry hotel only'!AM115</f>
        <v>0</v>
      </c>
      <c r="Q115" s="223">
        <f>'Hotels Only'!C115-'Hotels ORG'!C115</f>
        <v>0</v>
      </c>
      <c r="R115" s="224">
        <f>SUM(D115:I115)-SUM('Hotels ORG'!D115:I115)</f>
        <v>0</v>
      </c>
    </row>
    <row r="116" spans="2:18" x14ac:dyDescent="0.15">
      <c r="B116" s="40"/>
      <c r="C116" s="40">
        <f>'Data entry hotel only'!C116</f>
        <v>0</v>
      </c>
      <c r="D116" s="40">
        <f>'Data entry hotel only'!F116</f>
        <v>0</v>
      </c>
      <c r="E116" s="40">
        <f>'Data entry hotel only'!I116</f>
        <v>0</v>
      </c>
      <c r="F116" s="40">
        <f>'Data entry hotel only'!L116</f>
        <v>0</v>
      </c>
      <c r="G116" s="40">
        <f>'Data entry hotel only'!O116</f>
        <v>0</v>
      </c>
      <c r="H116" s="40">
        <f>'Data entry hotel only'!R116</f>
        <v>0</v>
      </c>
      <c r="I116" s="40">
        <f>'Data entry hotel only'!U116</f>
        <v>0</v>
      </c>
      <c r="J116" s="40">
        <f>'Data entry hotel only'!X116</f>
        <v>0</v>
      </c>
      <c r="K116" s="40">
        <f>'Data entry hotel only'!AA116</f>
        <v>0</v>
      </c>
      <c r="L116" s="40">
        <f>'Data entry hotel only'!AD116</f>
        <v>0</v>
      </c>
      <c r="M116" s="40">
        <f>'Data entry hotel only'!AG116</f>
        <v>0</v>
      </c>
      <c r="N116" s="40">
        <f>'Data entry hotel only'!AJ116</f>
        <v>0</v>
      </c>
      <c r="O116" s="40">
        <f>'Data entry hotel only'!AM116</f>
        <v>0</v>
      </c>
      <c r="Q116" s="223">
        <f>'Hotels Only'!C116-'Hotels ORG'!C116</f>
        <v>0</v>
      </c>
      <c r="R116" s="224">
        <f>SUM(D116:I116)-SUM('Hotels ORG'!D116:I116)</f>
        <v>0</v>
      </c>
    </row>
    <row r="117" spans="2:18" ht="14" x14ac:dyDescent="0.15">
      <c r="B117" s="42" t="s">
        <v>81</v>
      </c>
      <c r="C117" s="43">
        <f>'Data entry hotel only'!C117</f>
        <v>0</v>
      </c>
      <c r="D117" s="43">
        <f>'Data entry hotel only'!F117</f>
        <v>0</v>
      </c>
      <c r="E117" s="43">
        <f>'Data entry hotel only'!I117</f>
        <v>0</v>
      </c>
      <c r="F117" s="43">
        <f>'Data entry hotel only'!L117</f>
        <v>0</v>
      </c>
      <c r="G117" s="43">
        <f>'Data entry hotel only'!O117</f>
        <v>0</v>
      </c>
      <c r="H117" s="43">
        <f>'Data entry hotel only'!R117</f>
        <v>0</v>
      </c>
      <c r="I117" s="43">
        <f>'Data entry hotel only'!U117</f>
        <v>0</v>
      </c>
      <c r="J117" s="43">
        <f>'Data entry hotel only'!X117</f>
        <v>0</v>
      </c>
      <c r="K117" s="43">
        <f>'Data entry hotel only'!AA117</f>
        <v>0</v>
      </c>
      <c r="L117" s="43">
        <f>'Data entry hotel only'!AD117</f>
        <v>0</v>
      </c>
      <c r="M117" s="43">
        <f>'Data entry hotel only'!AG117</f>
        <v>0</v>
      </c>
      <c r="N117" s="43">
        <f>'Data entry hotel only'!AJ117</f>
        <v>0</v>
      </c>
      <c r="O117" s="43">
        <f>'Data entry hotel only'!AM117</f>
        <v>0</v>
      </c>
      <c r="Q117" s="223">
        <f>'Hotels Only'!C117-'Hotels ORG'!C117</f>
        <v>0</v>
      </c>
      <c r="R117" s="224">
        <f>SUM(D117:I117)-SUM('Hotels ORG'!D117:I117)</f>
        <v>0</v>
      </c>
    </row>
    <row r="118" spans="2:18" ht="14" x14ac:dyDescent="0.15">
      <c r="B118" s="38" t="s">
        <v>82</v>
      </c>
      <c r="C118" s="40">
        <f>'Data entry hotel only'!C118</f>
        <v>0</v>
      </c>
      <c r="D118" s="40">
        <f>'Data entry hotel only'!F118</f>
        <v>0</v>
      </c>
      <c r="E118" s="40">
        <f>'Data entry hotel only'!I118</f>
        <v>0</v>
      </c>
      <c r="F118" s="40">
        <f>'Data entry hotel only'!L118</f>
        <v>0</v>
      </c>
      <c r="G118" s="40">
        <f>'Data entry hotel only'!O118</f>
        <v>0</v>
      </c>
      <c r="H118" s="40">
        <f>'Data entry hotel only'!R118</f>
        <v>0</v>
      </c>
      <c r="I118" s="40">
        <f>'Data entry hotel only'!U118</f>
        <v>0</v>
      </c>
      <c r="J118" s="40">
        <f>'Data entry hotel only'!X118</f>
        <v>0</v>
      </c>
      <c r="K118" s="40">
        <f>'Data entry hotel only'!AA118</f>
        <v>0</v>
      </c>
      <c r="L118" s="40">
        <f>'Data entry hotel only'!AD118</f>
        <v>0</v>
      </c>
      <c r="M118" s="40">
        <f>'Data entry hotel only'!AG118</f>
        <v>0</v>
      </c>
      <c r="N118" s="40">
        <f>'Data entry hotel only'!AJ118</f>
        <v>0</v>
      </c>
      <c r="O118" s="40">
        <f>'Data entry hotel only'!AM118</f>
        <v>0</v>
      </c>
      <c r="Q118" s="223">
        <f>'Hotels Only'!C118-'Hotels ORG'!C118</f>
        <v>0</v>
      </c>
      <c r="R118" s="224">
        <f>SUM(D118:I118)-SUM('Hotels ORG'!D118:I118)</f>
        <v>0</v>
      </c>
    </row>
    <row r="119" spans="2:18" ht="14" x14ac:dyDescent="0.15">
      <c r="B119" s="38" t="s">
        <v>83</v>
      </c>
      <c r="C119" s="40">
        <f>'Data entry hotel only'!C119</f>
        <v>0</v>
      </c>
      <c r="D119" s="40">
        <f>'Data entry hotel only'!F119</f>
        <v>0</v>
      </c>
      <c r="E119" s="40">
        <f>'Data entry hotel only'!I119</f>
        <v>0</v>
      </c>
      <c r="F119" s="40">
        <f>'Data entry hotel only'!L119</f>
        <v>0</v>
      </c>
      <c r="G119" s="40">
        <f>'Data entry hotel only'!O119</f>
        <v>0</v>
      </c>
      <c r="H119" s="40">
        <f>'Data entry hotel only'!R119</f>
        <v>0</v>
      </c>
      <c r="I119" s="40">
        <f>'Data entry hotel only'!U119</f>
        <v>0</v>
      </c>
      <c r="J119" s="40">
        <f>'Data entry hotel only'!X119</f>
        <v>0</v>
      </c>
      <c r="K119" s="40">
        <f>'Data entry hotel only'!AA119</f>
        <v>0</v>
      </c>
      <c r="L119" s="40">
        <f>'Data entry hotel only'!AD119</f>
        <v>0</v>
      </c>
      <c r="M119" s="40">
        <f>'Data entry hotel only'!AG119</f>
        <v>0</v>
      </c>
      <c r="N119" s="40">
        <f>'Data entry hotel only'!AJ119</f>
        <v>0</v>
      </c>
      <c r="O119" s="40">
        <f>'Data entry hotel only'!AM119</f>
        <v>0</v>
      </c>
      <c r="Q119" s="223">
        <f>'Hotels Only'!C119-'Hotels ORG'!C119</f>
        <v>0</v>
      </c>
      <c r="R119" s="224">
        <f>SUM(D119:I119)-SUM('Hotels ORG'!D119:I119)</f>
        <v>0</v>
      </c>
    </row>
    <row r="120" spans="2:18" x14ac:dyDescent="0.15">
      <c r="B120" s="40"/>
      <c r="C120" s="40">
        <f>'Data entry hotel only'!C120</f>
        <v>0</v>
      </c>
      <c r="D120" s="40">
        <f>'Data entry hotel only'!F120</f>
        <v>0</v>
      </c>
      <c r="E120" s="40">
        <f>'Data entry hotel only'!I120</f>
        <v>0</v>
      </c>
      <c r="F120" s="40">
        <f>'Data entry hotel only'!L120</f>
        <v>0</v>
      </c>
      <c r="G120" s="40">
        <f>'Data entry hotel only'!O120</f>
        <v>0</v>
      </c>
      <c r="H120" s="40">
        <f>'Data entry hotel only'!R120</f>
        <v>0</v>
      </c>
      <c r="I120" s="40">
        <f>'Data entry hotel only'!U120</f>
        <v>0</v>
      </c>
      <c r="J120" s="40">
        <f>'Data entry hotel only'!X120</f>
        <v>0</v>
      </c>
      <c r="K120" s="40">
        <f>'Data entry hotel only'!AA120</f>
        <v>0</v>
      </c>
      <c r="L120" s="40">
        <f>'Data entry hotel only'!AD120</f>
        <v>0</v>
      </c>
      <c r="M120" s="40">
        <f>'Data entry hotel only'!AG120</f>
        <v>0</v>
      </c>
      <c r="N120" s="40">
        <f>'Data entry hotel only'!AJ120</f>
        <v>0</v>
      </c>
      <c r="O120" s="40">
        <f>'Data entry hotel only'!AM120</f>
        <v>0</v>
      </c>
      <c r="Q120" s="223">
        <f>'Hotels Only'!C120-'Hotels ORG'!C120</f>
        <v>0</v>
      </c>
      <c r="R120" s="224">
        <f>SUM(D120:I120)-SUM('Hotels ORG'!D120:I120)</f>
        <v>0</v>
      </c>
    </row>
    <row r="121" spans="2:18" ht="14" x14ac:dyDescent="0.15">
      <c r="B121" s="42" t="s">
        <v>84</v>
      </c>
      <c r="C121" s="43">
        <f>'Data entry hotel only'!C121</f>
        <v>21819044.2544</v>
      </c>
      <c r="D121" s="43">
        <f>'Data entry hotel only'!F121</f>
        <v>123483.47</v>
      </c>
      <c r="E121" s="43">
        <f>'Data entry hotel only'!I121</f>
        <v>646143.02</v>
      </c>
      <c r="F121" s="43">
        <f>'Data entry hotel only'!L121</f>
        <v>2535684.98</v>
      </c>
      <c r="G121" s="43">
        <f>'Data entry hotel only'!O121</f>
        <v>662693.73</v>
      </c>
      <c r="H121" s="43">
        <f>'Data entry hotel only'!R121</f>
        <v>2629437.31</v>
      </c>
      <c r="I121" s="43">
        <f>'Data entry hotel only'!U121</f>
        <v>1622076.61</v>
      </c>
      <c r="J121" s="43">
        <f>'Data entry hotel only'!X121</f>
        <v>784093.83860000002</v>
      </c>
      <c r="K121" s="43">
        <f>'Data entry hotel only'!AA121</f>
        <v>1343106.1876000001</v>
      </c>
      <c r="L121" s="43">
        <f>'Data entry hotel only'!AD121</f>
        <v>3659172.4372</v>
      </c>
      <c r="M121" s="43">
        <f>'Data entry hotel only'!AG121</f>
        <v>3743577.3111</v>
      </c>
      <c r="N121" s="43">
        <f>'Data entry hotel only'!AJ121</f>
        <v>2852638.9685</v>
      </c>
      <c r="O121" s="43">
        <f>'Data entry hotel only'!AM121</f>
        <v>1216936.3914000001</v>
      </c>
      <c r="Q121" s="223">
        <f>'Hotels Only'!C121-'Hotels ORG'!C121</f>
        <v>-6924351.8581999987</v>
      </c>
      <c r="R121" s="224">
        <f>SUM(D121:I121)-SUM('Hotels ORG'!D121:I121)</f>
        <v>-4332449.5088000009</v>
      </c>
    </row>
    <row r="122" spans="2:18" ht="14" x14ac:dyDescent="0.15">
      <c r="B122" s="38" t="s">
        <v>85</v>
      </c>
      <c r="C122" s="40">
        <f>'Data entry hotel only'!C122</f>
        <v>1417253.8436</v>
      </c>
      <c r="D122" s="40">
        <f>'Data entry hotel only'!F122</f>
        <v>81269.53</v>
      </c>
      <c r="E122" s="40">
        <f>'Data entry hotel only'!I122</f>
        <v>102246.12</v>
      </c>
      <c r="F122" s="40">
        <f>'Data entry hotel only'!L122</f>
        <v>24485.34</v>
      </c>
      <c r="G122" s="40">
        <f>'Data entry hotel only'!O122</f>
        <v>201049.43</v>
      </c>
      <c r="H122" s="40">
        <f>'Data entry hotel only'!R122</f>
        <v>120935.37</v>
      </c>
      <c r="I122" s="40">
        <f>'Data entry hotel only'!U122</f>
        <v>99817.14</v>
      </c>
      <c r="J122" s="40">
        <f>'Data entry hotel only'!X122</f>
        <v>95706.762499999997</v>
      </c>
      <c r="K122" s="40">
        <f>'Data entry hotel only'!AA122</f>
        <v>107800.24069999999</v>
      </c>
      <c r="L122" s="40">
        <f>'Data entry hotel only'!AD122</f>
        <v>156700.9982</v>
      </c>
      <c r="M122" s="40">
        <f>'Data entry hotel only'!AG122</f>
        <v>161863.6839</v>
      </c>
      <c r="N122" s="40">
        <f>'Data entry hotel only'!AJ122</f>
        <v>151858.93900000001</v>
      </c>
      <c r="O122" s="40">
        <f>'Data entry hotel only'!AM122</f>
        <v>113520.2893</v>
      </c>
      <c r="Q122" s="223">
        <f>'Hotels Only'!C122-'Hotels ORG'!C122</f>
        <v>-156550.26490000007</v>
      </c>
      <c r="R122" s="224">
        <f>SUM(D122:I122)-SUM('Hotels ORG'!D122:I122)</f>
        <v>-125424.97110000008</v>
      </c>
    </row>
    <row r="123" spans="2:18" x14ac:dyDescent="0.15">
      <c r="B123" s="40"/>
      <c r="C123" s="40">
        <f>'Data entry hotel only'!C123</f>
        <v>0</v>
      </c>
      <c r="D123" s="40">
        <f>'Data entry hotel only'!F123</f>
        <v>0</v>
      </c>
      <c r="E123" s="40">
        <f>'Data entry hotel only'!I123</f>
        <v>0</v>
      </c>
      <c r="F123" s="40">
        <f>'Data entry hotel only'!L123</f>
        <v>0</v>
      </c>
      <c r="G123" s="40">
        <f>'Data entry hotel only'!O123</f>
        <v>0</v>
      </c>
      <c r="H123" s="40">
        <f>'Data entry hotel only'!R123</f>
        <v>0</v>
      </c>
      <c r="I123" s="40">
        <f>'Data entry hotel only'!U123</f>
        <v>0</v>
      </c>
      <c r="J123" s="40">
        <f>'Data entry hotel only'!X123</f>
        <v>0</v>
      </c>
      <c r="K123" s="40">
        <f>'Data entry hotel only'!AA123</f>
        <v>0</v>
      </c>
      <c r="L123" s="40">
        <f>'Data entry hotel only'!AD123</f>
        <v>0</v>
      </c>
      <c r="M123" s="40">
        <f>'Data entry hotel only'!AG123</f>
        <v>0</v>
      </c>
      <c r="N123" s="40">
        <f>'Data entry hotel only'!AJ123</f>
        <v>0</v>
      </c>
      <c r="O123" s="40">
        <f>'Data entry hotel only'!AM123</f>
        <v>0</v>
      </c>
      <c r="Q123" s="223">
        <f>'Hotels Only'!C123-'Hotels ORG'!C123</f>
        <v>0</v>
      </c>
      <c r="R123" s="224">
        <f>SUM(D123:I123)-SUM('Hotels ORG'!D123:I123)</f>
        <v>0</v>
      </c>
    </row>
    <row r="124" spans="2:18" ht="28" x14ac:dyDescent="0.15">
      <c r="B124" s="42" t="s">
        <v>86</v>
      </c>
      <c r="C124" s="43">
        <f>'Data entry hotel only'!C124</f>
        <v>20401790.4113</v>
      </c>
      <c r="D124" s="43">
        <f>'Data entry hotel only'!F124</f>
        <v>42213.94</v>
      </c>
      <c r="E124" s="43">
        <f>'Data entry hotel only'!I124</f>
        <v>543896.9</v>
      </c>
      <c r="F124" s="43">
        <f>'Data entry hotel only'!L124</f>
        <v>2511199.64</v>
      </c>
      <c r="G124" s="43">
        <f>'Data entry hotel only'!O124</f>
        <v>461644.3</v>
      </c>
      <c r="H124" s="43">
        <f>'Data entry hotel only'!R124</f>
        <v>2508501.94</v>
      </c>
      <c r="I124" s="43">
        <f>'Data entry hotel only'!U124</f>
        <v>1522259.47</v>
      </c>
      <c r="J124" s="43">
        <f>'Data entry hotel only'!X124</f>
        <v>688387.07609999995</v>
      </c>
      <c r="K124" s="43">
        <f>'Data entry hotel only'!AA124</f>
        <v>1235305.9472000001</v>
      </c>
      <c r="L124" s="43">
        <f>'Data entry hotel only'!AD124</f>
        <v>3502471.4389999998</v>
      </c>
      <c r="M124" s="43">
        <f>'Data entry hotel only'!AG124</f>
        <v>3581713.6274000001</v>
      </c>
      <c r="N124" s="43">
        <f>'Data entry hotel only'!AJ124</f>
        <v>2700780.0295000002</v>
      </c>
      <c r="O124" s="43">
        <f>'Data entry hotel only'!AM124</f>
        <v>1103416.1021</v>
      </c>
      <c r="Q124" s="223">
        <f>'Hotels Only'!C124-'Hotels ORG'!C124</f>
        <v>-6767801.5927999988</v>
      </c>
      <c r="R124" s="224">
        <f>SUM(D124:I124)-SUM('Hotels ORG'!D124:I124)</f>
        <v>-4207024.5374000007</v>
      </c>
    </row>
    <row r="125" spans="2:18" ht="14" x14ac:dyDescent="0.15">
      <c r="B125" s="38" t="s">
        <v>87</v>
      </c>
      <c r="C125" s="40">
        <f>'Data entry hotel only'!C125</f>
        <v>18282.48</v>
      </c>
      <c r="D125" s="40">
        <f>'Data entry hotel only'!F125</f>
        <v>3047.08</v>
      </c>
      <c r="E125" s="40">
        <f>'Data entry hotel only'!I125</f>
        <v>3047.08</v>
      </c>
      <c r="F125" s="40">
        <f>'Data entry hotel only'!L125</f>
        <v>3047.08</v>
      </c>
      <c r="G125" s="40">
        <f>'Data entry hotel only'!O125</f>
        <v>3047.08</v>
      </c>
      <c r="H125" s="40">
        <f>'Data entry hotel only'!R125</f>
        <v>3047.08</v>
      </c>
      <c r="I125" s="40">
        <f>'Data entry hotel only'!U125</f>
        <v>3047.08</v>
      </c>
      <c r="J125" s="40">
        <f>'Data entry hotel only'!X125</f>
        <v>0</v>
      </c>
      <c r="K125" s="40">
        <f>'Data entry hotel only'!AA125</f>
        <v>0</v>
      </c>
      <c r="L125" s="40">
        <f>'Data entry hotel only'!AD125</f>
        <v>0</v>
      </c>
      <c r="M125" s="40">
        <f>'Data entry hotel only'!AG125</f>
        <v>0</v>
      </c>
      <c r="N125" s="40">
        <f>'Data entry hotel only'!AJ125</f>
        <v>0</v>
      </c>
      <c r="O125" s="40">
        <f>'Data entry hotel only'!AM125</f>
        <v>0</v>
      </c>
      <c r="Q125" s="223">
        <f>'Hotels Only'!C125-'Hotels ORG'!C125</f>
        <v>18282.48</v>
      </c>
      <c r="R125" s="224">
        <f>SUM(D125:I125)-SUM('Hotels ORG'!D125:I125)</f>
        <v>18282.48</v>
      </c>
    </row>
    <row r="126" spans="2:18" x14ac:dyDescent="0.15">
      <c r="B126" s="40"/>
      <c r="C126" s="40">
        <f>'Data entry hotel only'!C126</f>
        <v>0</v>
      </c>
      <c r="D126" s="40">
        <f>'Data entry hotel only'!F126</f>
        <v>0</v>
      </c>
      <c r="E126" s="40">
        <f>'Data entry hotel only'!I126</f>
        <v>0</v>
      </c>
      <c r="F126" s="40">
        <f>'Data entry hotel only'!L126</f>
        <v>0</v>
      </c>
      <c r="G126" s="40">
        <f>'Data entry hotel only'!O126</f>
        <v>0</v>
      </c>
      <c r="H126" s="40">
        <f>'Data entry hotel only'!R126</f>
        <v>0</v>
      </c>
      <c r="I126" s="40">
        <f>'Data entry hotel only'!U126</f>
        <v>0</v>
      </c>
      <c r="J126" s="40">
        <f>'Data entry hotel only'!X126</f>
        <v>0</v>
      </c>
      <c r="K126" s="40">
        <f>'Data entry hotel only'!AA126</f>
        <v>0</v>
      </c>
      <c r="L126" s="40">
        <f>'Data entry hotel only'!AD126</f>
        <v>0</v>
      </c>
      <c r="M126" s="40">
        <f>'Data entry hotel only'!AG126</f>
        <v>0</v>
      </c>
      <c r="N126" s="40">
        <f>'Data entry hotel only'!AJ126</f>
        <v>0</v>
      </c>
      <c r="O126" s="40">
        <f>'Data entry hotel only'!AM126</f>
        <v>0</v>
      </c>
      <c r="Q126" s="223">
        <f>'Hotels Only'!C126-'Hotels ORG'!C126</f>
        <v>0</v>
      </c>
      <c r="R126" s="224">
        <f>SUM(D126:I126)-SUM('Hotels ORG'!D126:I126)</f>
        <v>0</v>
      </c>
    </row>
    <row r="127" spans="2:18" ht="14" x14ac:dyDescent="0.15">
      <c r="B127" s="42" t="s">
        <v>88</v>
      </c>
      <c r="C127" s="43">
        <f>'Data entry hotel only'!C127</f>
        <v>20383507.931299999</v>
      </c>
      <c r="D127" s="43">
        <f>'Data entry hotel only'!F127</f>
        <v>39166.86</v>
      </c>
      <c r="E127" s="43">
        <f>'Data entry hotel only'!I127</f>
        <v>540849.81999999995</v>
      </c>
      <c r="F127" s="43">
        <f>'Data entry hotel only'!L127</f>
        <v>2508152.56</v>
      </c>
      <c r="G127" s="43">
        <f>'Data entry hotel only'!O127</f>
        <v>458597.22</v>
      </c>
      <c r="H127" s="43">
        <f>'Data entry hotel only'!R127</f>
        <v>2505454.86</v>
      </c>
      <c r="I127" s="43">
        <f>'Data entry hotel only'!U127</f>
        <v>1519212.39</v>
      </c>
      <c r="J127" s="43">
        <f>'Data entry hotel only'!X127</f>
        <v>688387.07609999995</v>
      </c>
      <c r="K127" s="43">
        <f>'Data entry hotel only'!AA127</f>
        <v>1235305.9472000001</v>
      </c>
      <c r="L127" s="43">
        <f>'Data entry hotel only'!AD127</f>
        <v>3502471.4389999998</v>
      </c>
      <c r="M127" s="43">
        <f>'Data entry hotel only'!AG127</f>
        <v>3581713.6274000001</v>
      </c>
      <c r="N127" s="43">
        <f>'Data entry hotel only'!AJ127</f>
        <v>2700780.0295000002</v>
      </c>
      <c r="O127" s="43">
        <f>'Data entry hotel only'!AM127</f>
        <v>1103416.1021</v>
      </c>
      <c r="Q127" s="223">
        <f>'Hotels Only'!C127-'Hotels ORG'!C127</f>
        <v>-6786084.0727999993</v>
      </c>
      <c r="R127" s="224">
        <f>SUM(D127:I127)-SUM('Hotels ORG'!D127:I127)</f>
        <v>-4225307.0174000012</v>
      </c>
    </row>
    <row r="128" spans="2:18" x14ac:dyDescent="0.15">
      <c r="B128" s="40"/>
      <c r="C128" s="40">
        <f>'Data entry hotel only'!C128</f>
        <v>0</v>
      </c>
      <c r="D128" s="40">
        <f>'Data entry hotel only'!F128</f>
        <v>0</v>
      </c>
      <c r="E128" s="40">
        <f>'Data entry hotel only'!I128</f>
        <v>0</v>
      </c>
      <c r="F128" s="40">
        <f>'Data entry hotel only'!L128</f>
        <v>0</v>
      </c>
      <c r="G128" s="40">
        <f>'Data entry hotel only'!O128</f>
        <v>0</v>
      </c>
      <c r="H128" s="40">
        <f>'Data entry hotel only'!R128</f>
        <v>0</v>
      </c>
      <c r="I128" s="40">
        <f>'Data entry hotel only'!U128</f>
        <v>0</v>
      </c>
      <c r="J128" s="40">
        <f>'Data entry hotel only'!X128</f>
        <v>0</v>
      </c>
      <c r="K128" s="40">
        <f>'Data entry hotel only'!AA128</f>
        <v>0</v>
      </c>
      <c r="L128" s="40">
        <f>'Data entry hotel only'!AD128</f>
        <v>0</v>
      </c>
      <c r="M128" s="40">
        <f>'Data entry hotel only'!AG128</f>
        <v>0</v>
      </c>
      <c r="N128" s="40">
        <f>'Data entry hotel only'!AJ128</f>
        <v>0</v>
      </c>
      <c r="O128" s="40">
        <f>'Data entry hotel only'!AM128</f>
        <v>0</v>
      </c>
      <c r="Q128" s="223">
        <f>'Hotels Only'!C128-'Hotels ORG'!C128</f>
        <v>0</v>
      </c>
      <c r="R128" s="224">
        <f>SUM(D128:I128)-SUM('Hotels ORG'!D128:I128)</f>
        <v>0</v>
      </c>
    </row>
    <row r="129" spans="2:18" ht="14" x14ac:dyDescent="0.15">
      <c r="B129" s="42" t="s">
        <v>89</v>
      </c>
      <c r="C129" s="43">
        <f>'Data entry hotel only'!C129</f>
        <v>2519444.8731999998</v>
      </c>
      <c r="D129" s="43">
        <f>'Data entry hotel only'!F129</f>
        <v>159645.4</v>
      </c>
      <c r="E129" s="43">
        <f>'Data entry hotel only'!I129</f>
        <v>189127.69</v>
      </c>
      <c r="F129" s="43">
        <f>'Data entry hotel only'!L129</f>
        <v>224583.8</v>
      </c>
      <c r="G129" s="43">
        <f>'Data entry hotel only'!O129</f>
        <v>168276.8</v>
      </c>
      <c r="H129" s="43">
        <f>'Data entry hotel only'!R129</f>
        <v>229337.25</v>
      </c>
      <c r="I129" s="43">
        <f>'Data entry hotel only'!U129</f>
        <v>195423.9</v>
      </c>
      <c r="J129" s="43">
        <f>'Data entry hotel only'!X129</f>
        <v>172780.2009</v>
      </c>
      <c r="K129" s="43">
        <f>'Data entry hotel only'!AA129</f>
        <v>191664.71770000001</v>
      </c>
      <c r="L129" s="43">
        <f>'Data entry hotel only'!AD129</f>
        <v>283319.6667</v>
      </c>
      <c r="M129" s="43">
        <f>'Data entry hotel only'!AG129</f>
        <v>273264.65090000001</v>
      </c>
      <c r="N129" s="43">
        <f>'Data entry hotel only'!AJ129</f>
        <v>250079.41260000001</v>
      </c>
      <c r="O129" s="43">
        <f>'Data entry hotel only'!AM129</f>
        <v>181941.38440000001</v>
      </c>
      <c r="Q129" s="223">
        <f>'Hotels Only'!C129-'Hotels ORG'!C129</f>
        <v>-607897.81740000006</v>
      </c>
      <c r="R129" s="224">
        <f>SUM(D129:I129)-SUM('Hotels ORG'!D129:I129)</f>
        <v>-327290.38390000002</v>
      </c>
    </row>
    <row r="130" spans="2:18" ht="14" x14ac:dyDescent="0.15">
      <c r="B130" s="38" t="s">
        <v>90</v>
      </c>
      <c r="C130" s="40">
        <f>'Data entry hotel only'!C130</f>
        <v>2519444.8731999998</v>
      </c>
      <c r="D130" s="40">
        <f>'Data entry hotel only'!F130</f>
        <v>159645.4</v>
      </c>
      <c r="E130" s="40">
        <f>'Data entry hotel only'!I130</f>
        <v>189127.69</v>
      </c>
      <c r="F130" s="40">
        <f>'Data entry hotel only'!L130</f>
        <v>224583.8</v>
      </c>
      <c r="G130" s="40">
        <f>'Data entry hotel only'!O130</f>
        <v>168276.8</v>
      </c>
      <c r="H130" s="40">
        <f>'Data entry hotel only'!R130</f>
        <v>229337.25</v>
      </c>
      <c r="I130" s="40">
        <f>'Data entry hotel only'!U130</f>
        <v>195423.9</v>
      </c>
      <c r="J130" s="40">
        <f>'Data entry hotel only'!X130</f>
        <v>172780.2009</v>
      </c>
      <c r="K130" s="40">
        <f>'Data entry hotel only'!AA130</f>
        <v>191664.71770000001</v>
      </c>
      <c r="L130" s="40">
        <f>'Data entry hotel only'!AD130</f>
        <v>283319.6667</v>
      </c>
      <c r="M130" s="40">
        <f>'Data entry hotel only'!AG130</f>
        <v>273264.65090000001</v>
      </c>
      <c r="N130" s="40">
        <f>'Data entry hotel only'!AJ130</f>
        <v>250079.41260000001</v>
      </c>
      <c r="O130" s="40">
        <f>'Data entry hotel only'!AM130</f>
        <v>181941.38440000001</v>
      </c>
      <c r="Q130" s="223">
        <f>'Hotels Only'!C130-'Hotels ORG'!C130</f>
        <v>-607897.81740000006</v>
      </c>
      <c r="R130" s="224">
        <f>SUM(D130:I130)-SUM('Hotels ORG'!D130:I130)</f>
        <v>-327290.38390000002</v>
      </c>
    </row>
    <row r="131" spans="2:18" ht="14" x14ac:dyDescent="0.15">
      <c r="B131" s="38" t="s">
        <v>91</v>
      </c>
      <c r="C131" s="40">
        <f>'Data entry hotel only'!C131</f>
        <v>0</v>
      </c>
      <c r="D131" s="40">
        <f>'Data entry hotel only'!F131</f>
        <v>0</v>
      </c>
      <c r="E131" s="40">
        <f>'Data entry hotel only'!I131</f>
        <v>0</v>
      </c>
      <c r="F131" s="40">
        <f>'Data entry hotel only'!L131</f>
        <v>0</v>
      </c>
      <c r="G131" s="40">
        <f>'Data entry hotel only'!O131</f>
        <v>0</v>
      </c>
      <c r="H131" s="40">
        <f>'Data entry hotel only'!R131</f>
        <v>0</v>
      </c>
      <c r="I131" s="40">
        <f>'Data entry hotel only'!U131</f>
        <v>0</v>
      </c>
      <c r="J131" s="40">
        <f>'Data entry hotel only'!X131</f>
        <v>0</v>
      </c>
      <c r="K131" s="40">
        <f>'Data entry hotel only'!AA131</f>
        <v>0</v>
      </c>
      <c r="L131" s="40">
        <f>'Data entry hotel only'!AD131</f>
        <v>0</v>
      </c>
      <c r="M131" s="40">
        <f>'Data entry hotel only'!AG131</f>
        <v>0</v>
      </c>
      <c r="N131" s="40">
        <f>'Data entry hotel only'!AJ131</f>
        <v>0</v>
      </c>
      <c r="O131" s="40">
        <f>'Data entry hotel only'!AM131</f>
        <v>0</v>
      </c>
      <c r="Q131" s="223">
        <f>'Hotels Only'!C131-'Hotels ORG'!C131</f>
        <v>0</v>
      </c>
      <c r="R131" s="224">
        <f>SUM(D131:I131)-SUM('Hotels ORG'!D131:I131)</f>
        <v>0</v>
      </c>
    </row>
    <row r="132" spans="2:18" ht="14" x14ac:dyDescent="0.15">
      <c r="B132" s="38" t="s">
        <v>92</v>
      </c>
      <c r="C132" s="40">
        <f>'Data entry hotel only'!C132</f>
        <v>0</v>
      </c>
      <c r="D132" s="40">
        <f>'Data entry hotel only'!F132</f>
        <v>0</v>
      </c>
      <c r="E132" s="40">
        <f>'Data entry hotel only'!I132</f>
        <v>0</v>
      </c>
      <c r="F132" s="40">
        <f>'Data entry hotel only'!L132</f>
        <v>0</v>
      </c>
      <c r="G132" s="40">
        <f>'Data entry hotel only'!O132</f>
        <v>0</v>
      </c>
      <c r="H132" s="40">
        <f>'Data entry hotel only'!R132</f>
        <v>0</v>
      </c>
      <c r="I132" s="40">
        <f>'Data entry hotel only'!U132</f>
        <v>0</v>
      </c>
      <c r="J132" s="40">
        <f>'Data entry hotel only'!X132</f>
        <v>0</v>
      </c>
      <c r="K132" s="40">
        <f>'Data entry hotel only'!AA132</f>
        <v>0</v>
      </c>
      <c r="L132" s="40">
        <f>'Data entry hotel only'!AD132</f>
        <v>0</v>
      </c>
      <c r="M132" s="40">
        <f>'Data entry hotel only'!AG132</f>
        <v>0</v>
      </c>
      <c r="N132" s="40">
        <f>'Data entry hotel only'!AJ132</f>
        <v>0</v>
      </c>
      <c r="O132" s="40">
        <f>'Data entry hotel only'!AM132</f>
        <v>0</v>
      </c>
      <c r="Q132" s="223">
        <f>'Hotels Only'!C132-'Hotels ORG'!C132</f>
        <v>0</v>
      </c>
      <c r="R132" s="224">
        <f>SUM(D132:I132)-SUM('Hotels ORG'!D132:I132)</f>
        <v>0</v>
      </c>
    </row>
    <row r="133" spans="2:18" x14ac:dyDescent="0.15">
      <c r="B133" s="40"/>
      <c r="C133" s="40">
        <f>'Data entry hotel only'!C133</f>
        <v>0</v>
      </c>
      <c r="D133" s="40">
        <f>'Data entry hotel only'!F133</f>
        <v>0</v>
      </c>
      <c r="E133" s="40">
        <f>'Data entry hotel only'!I133</f>
        <v>0</v>
      </c>
      <c r="F133" s="40">
        <f>'Data entry hotel only'!L133</f>
        <v>0</v>
      </c>
      <c r="G133" s="40">
        <f>'Data entry hotel only'!O133</f>
        <v>0</v>
      </c>
      <c r="H133" s="40">
        <f>'Data entry hotel only'!R133</f>
        <v>0</v>
      </c>
      <c r="I133" s="40">
        <f>'Data entry hotel only'!U133</f>
        <v>0</v>
      </c>
      <c r="J133" s="40">
        <f>'Data entry hotel only'!X133</f>
        <v>0</v>
      </c>
      <c r="K133" s="40">
        <f>'Data entry hotel only'!AA133</f>
        <v>0</v>
      </c>
      <c r="L133" s="40">
        <f>'Data entry hotel only'!AD133</f>
        <v>0</v>
      </c>
      <c r="M133" s="40">
        <f>'Data entry hotel only'!AG133</f>
        <v>0</v>
      </c>
      <c r="N133" s="40">
        <f>'Data entry hotel only'!AJ133</f>
        <v>0</v>
      </c>
      <c r="O133" s="40">
        <f>'Data entry hotel only'!AM133</f>
        <v>0</v>
      </c>
      <c r="Q133" s="223">
        <f>'Hotels Only'!C133-'Hotels ORG'!C133</f>
        <v>0</v>
      </c>
      <c r="R133" s="224">
        <f>SUM(D133:I133)-SUM('Hotels ORG'!D133:I133)</f>
        <v>0</v>
      </c>
    </row>
    <row r="134" spans="2:18" ht="14" x14ac:dyDescent="0.15">
      <c r="B134" s="42" t="s">
        <v>93</v>
      </c>
      <c r="C134" s="43">
        <f>'Data entry hotel only'!C134</f>
        <v>17864063.057999998</v>
      </c>
      <c r="D134" s="43">
        <f>'Data entry hotel only'!F134</f>
        <v>-120478.54</v>
      </c>
      <c r="E134" s="43">
        <f>'Data entry hotel only'!I134</f>
        <v>351722.13</v>
      </c>
      <c r="F134" s="43">
        <f>'Data entry hotel only'!L134</f>
        <v>2283568.7599999998</v>
      </c>
      <c r="G134" s="43">
        <f>'Data entry hotel only'!O134</f>
        <v>290320.42</v>
      </c>
      <c r="H134" s="43">
        <f>'Data entry hotel only'!R134</f>
        <v>2276117.61</v>
      </c>
      <c r="I134" s="43">
        <f>'Data entry hotel only'!U134</f>
        <v>1323788.49</v>
      </c>
      <c r="J134" s="43">
        <f>'Data entry hotel only'!X134</f>
        <v>515606.875</v>
      </c>
      <c r="K134" s="43">
        <f>'Data entry hotel only'!AA134</f>
        <v>1043641.2295</v>
      </c>
      <c r="L134" s="43">
        <f>'Data entry hotel only'!AD134</f>
        <v>3219151.7722</v>
      </c>
      <c r="M134" s="43">
        <f>'Data entry hotel only'!AG134</f>
        <v>3308448.9763000002</v>
      </c>
      <c r="N134" s="43">
        <f>'Data entry hotel only'!AJ134</f>
        <v>2450700.6172000002</v>
      </c>
      <c r="O134" s="43">
        <f>'Data entry hotel only'!AM134</f>
        <v>921474.71779999998</v>
      </c>
      <c r="Q134" s="223">
        <f>'Hotels Only'!C134-'Hotels ORG'!C134</f>
        <v>-6178186.254800003</v>
      </c>
      <c r="R134" s="224">
        <f>SUM(D134:I134)-SUM('Hotels ORG'!D134:I134)</f>
        <v>-3898016.6330000013</v>
      </c>
    </row>
    <row r="135" spans="2:18" x14ac:dyDescent="0.15">
      <c r="B135" s="40"/>
      <c r="C135" s="40">
        <f>'Data entry hotel only'!C135</f>
        <v>0</v>
      </c>
      <c r="D135" s="40">
        <f>'Data entry hotel only'!F135</f>
        <v>0</v>
      </c>
      <c r="E135" s="40">
        <f>'Data entry hotel only'!I135</f>
        <v>0</v>
      </c>
      <c r="F135" s="40">
        <f>'Data entry hotel only'!L135</f>
        <v>0</v>
      </c>
      <c r="G135" s="40">
        <f>'Data entry hotel only'!O135</f>
        <v>0</v>
      </c>
      <c r="H135" s="40">
        <f>'Data entry hotel only'!R135</f>
        <v>0</v>
      </c>
      <c r="I135" s="40">
        <f>'Data entry hotel only'!U135</f>
        <v>0</v>
      </c>
      <c r="J135" s="40">
        <f>'Data entry hotel only'!X135</f>
        <v>0</v>
      </c>
      <c r="K135" s="40">
        <f>'Data entry hotel only'!AA135</f>
        <v>0</v>
      </c>
      <c r="L135" s="40">
        <f>'Data entry hotel only'!AD135</f>
        <v>0</v>
      </c>
      <c r="M135" s="40">
        <f>'Data entry hotel only'!AG135</f>
        <v>0</v>
      </c>
      <c r="N135" s="40">
        <f>'Data entry hotel only'!AJ135</f>
        <v>0</v>
      </c>
      <c r="O135" s="40">
        <f>'Data entry hotel only'!AM135</f>
        <v>0</v>
      </c>
      <c r="Q135" s="223">
        <f>'Hotels Only'!C135-'Hotels ORG'!C135</f>
        <v>0</v>
      </c>
      <c r="R135" s="224">
        <f>SUM(D135:I135)-SUM('Hotels ORG'!D135:I135)</f>
        <v>0</v>
      </c>
    </row>
    <row r="136" spans="2:18" ht="14" x14ac:dyDescent="0.15">
      <c r="B136" s="42" t="s">
        <v>94</v>
      </c>
      <c r="C136" s="43">
        <f>'Data entry hotel only'!C136</f>
        <v>24262261.425299998</v>
      </c>
      <c r="D136" s="43">
        <f>'Data entry hotel only'!F136</f>
        <v>2031108.5</v>
      </c>
      <c r="E136" s="43">
        <f>'Data entry hotel only'!I136</f>
        <v>2086474.25</v>
      </c>
      <c r="F136" s="43">
        <f>'Data entry hotel only'!L136</f>
        <v>1824723.08</v>
      </c>
      <c r="G136" s="43">
        <f>'Data entry hotel only'!O136</f>
        <v>1971223.38</v>
      </c>
      <c r="H136" s="43">
        <f>'Data entry hotel only'!R136</f>
        <v>2048366.24</v>
      </c>
      <c r="I136" s="43">
        <f>'Data entry hotel only'!U136</f>
        <v>1907608.94</v>
      </c>
      <c r="J136" s="43">
        <f>'Data entry hotel only'!X136</f>
        <v>1945786.7076000001</v>
      </c>
      <c r="K136" s="43">
        <f>'Data entry hotel only'!AA136</f>
        <v>2012518.8304999999</v>
      </c>
      <c r="L136" s="43">
        <f>'Data entry hotel only'!AD136</f>
        <v>2156754.8829999999</v>
      </c>
      <c r="M136" s="43">
        <f>'Data entry hotel only'!AG136</f>
        <v>2176587.4051000001</v>
      </c>
      <c r="N136" s="43">
        <f>'Data entry hotel only'!AJ136</f>
        <v>2124869.7133999998</v>
      </c>
      <c r="O136" s="43">
        <f>'Data entry hotel only'!AM136</f>
        <v>1976239.4957000001</v>
      </c>
      <c r="Q136" s="223">
        <f>'Hotels Only'!C136-'Hotels ORG'!C136</f>
        <v>-1346572.2809000015</v>
      </c>
      <c r="R136" s="224">
        <f>SUM(D136:I136)-SUM('Hotels ORG'!D136:I136)</f>
        <v>-791251.96020000242</v>
      </c>
    </row>
    <row r="137" spans="2:18" ht="14" x14ac:dyDescent="0.15">
      <c r="B137" s="38" t="s">
        <v>95</v>
      </c>
      <c r="C137" s="40">
        <f>'Data entry hotel only'!C137</f>
        <v>21776790.010000002</v>
      </c>
      <c r="D137" s="40">
        <f>'Data entry hotel only'!F137</f>
        <v>2031108.5</v>
      </c>
      <c r="E137" s="40">
        <f>'Data entry hotel only'!I137</f>
        <v>2086474.25</v>
      </c>
      <c r="F137" s="40">
        <f>'Data entry hotel only'!L137</f>
        <v>1824723.08</v>
      </c>
      <c r="G137" s="40">
        <f>'Data entry hotel only'!O137</f>
        <v>1971223.38</v>
      </c>
      <c r="H137" s="40">
        <f>'Data entry hotel only'!R137</f>
        <v>2048366.24</v>
      </c>
      <c r="I137" s="40">
        <f>'Data entry hotel only'!U137</f>
        <v>1907608.94</v>
      </c>
      <c r="J137" s="40">
        <f>'Data entry hotel only'!X137</f>
        <v>1656926.04</v>
      </c>
      <c r="K137" s="40">
        <f>'Data entry hotel only'!AA137</f>
        <v>1656926.04</v>
      </c>
      <c r="L137" s="40">
        <f>'Data entry hotel only'!AD137</f>
        <v>1656926.04</v>
      </c>
      <c r="M137" s="40">
        <f>'Data entry hotel only'!AG137</f>
        <v>1606926.04</v>
      </c>
      <c r="N137" s="40">
        <f>'Data entry hotel only'!AJ137</f>
        <v>1664790.73</v>
      </c>
      <c r="O137" s="40">
        <f>'Data entry hotel only'!AM137</f>
        <v>1664790.73</v>
      </c>
      <c r="Q137" s="223">
        <f>'Hotels Only'!C137-'Hotels ORG'!C137</f>
        <v>1956287.5700000003</v>
      </c>
      <c r="R137" s="224">
        <f>SUM(D137:I137)-SUM('Hotels ORG'!D137:I137)</f>
        <v>1960654.2299999986</v>
      </c>
    </row>
    <row r="138" spans="2:18" ht="14" x14ac:dyDescent="0.15">
      <c r="B138" s="38" t="s">
        <v>96</v>
      </c>
      <c r="C138" s="40">
        <f>'Data entry hotel only'!C138</f>
        <v>2485471.4153</v>
      </c>
      <c r="D138" s="40">
        <f>'Data entry hotel only'!F138</f>
        <v>0</v>
      </c>
      <c r="E138" s="40">
        <f>'Data entry hotel only'!I138</f>
        <v>0</v>
      </c>
      <c r="F138" s="40">
        <f>'Data entry hotel only'!L138</f>
        <v>0</v>
      </c>
      <c r="G138" s="40">
        <f>'Data entry hotel only'!O138</f>
        <v>0</v>
      </c>
      <c r="H138" s="40">
        <f>'Data entry hotel only'!R138</f>
        <v>0</v>
      </c>
      <c r="I138" s="40">
        <f>'Data entry hotel only'!U138</f>
        <v>0</v>
      </c>
      <c r="J138" s="40">
        <f>'Data entry hotel only'!X138</f>
        <v>288860.66759999999</v>
      </c>
      <c r="K138" s="40">
        <f>'Data entry hotel only'!AA138</f>
        <v>355592.7905</v>
      </c>
      <c r="L138" s="40">
        <f>'Data entry hotel only'!AD138</f>
        <v>499828.84299999999</v>
      </c>
      <c r="M138" s="40">
        <f>'Data entry hotel only'!AG138</f>
        <v>569661.36510000005</v>
      </c>
      <c r="N138" s="40">
        <f>'Data entry hotel only'!AJ138</f>
        <v>460078.98340000003</v>
      </c>
      <c r="O138" s="40">
        <f>'Data entry hotel only'!AM138</f>
        <v>311448.76569999999</v>
      </c>
      <c r="Q138" s="223">
        <f>'Hotels Only'!C138-'Hotels ORG'!C138</f>
        <v>-3302859.8509000004</v>
      </c>
      <c r="R138" s="224">
        <f>SUM(D138:I138)-SUM('Hotels ORG'!D138:I138)</f>
        <v>-2751906.1901999996</v>
      </c>
    </row>
    <row r="139" spans="2:18" ht="14" x14ac:dyDescent="0.15">
      <c r="B139" s="38" t="s">
        <v>97</v>
      </c>
      <c r="C139" s="40">
        <f>'Data entry hotel only'!C139</f>
        <v>0</v>
      </c>
      <c r="D139" s="40">
        <f>'Data entry hotel only'!F139</f>
        <v>0</v>
      </c>
      <c r="E139" s="40">
        <f>'Data entry hotel only'!I139</f>
        <v>0</v>
      </c>
      <c r="F139" s="40">
        <f>'Data entry hotel only'!L139</f>
        <v>0</v>
      </c>
      <c r="G139" s="40">
        <f>'Data entry hotel only'!O139</f>
        <v>0</v>
      </c>
      <c r="H139" s="40">
        <f>'Data entry hotel only'!R139</f>
        <v>0</v>
      </c>
      <c r="I139" s="40">
        <f>'Data entry hotel only'!U139</f>
        <v>0</v>
      </c>
      <c r="J139" s="40">
        <f>'Data entry hotel only'!X139</f>
        <v>0</v>
      </c>
      <c r="K139" s="40">
        <f>'Data entry hotel only'!AA139</f>
        <v>0</v>
      </c>
      <c r="L139" s="40">
        <f>'Data entry hotel only'!AD139</f>
        <v>0</v>
      </c>
      <c r="M139" s="40">
        <f>'Data entry hotel only'!AG139</f>
        <v>0</v>
      </c>
      <c r="N139" s="40">
        <f>'Data entry hotel only'!AJ139</f>
        <v>0</v>
      </c>
      <c r="O139" s="40">
        <f>'Data entry hotel only'!AM139</f>
        <v>0</v>
      </c>
      <c r="Q139" s="223">
        <f>'Hotels Only'!C139-'Hotels ORG'!C139</f>
        <v>0</v>
      </c>
      <c r="R139" s="224">
        <f>SUM(D139:I139)-SUM('Hotels ORG'!D139:I139)</f>
        <v>0</v>
      </c>
    </row>
    <row r="140" spans="2:18" x14ac:dyDescent="0.15">
      <c r="B140" s="40"/>
      <c r="C140" s="40">
        <f>'Data entry hotel only'!C140</f>
        <v>0</v>
      </c>
      <c r="D140" s="40">
        <f>'Data entry hotel only'!F140</f>
        <v>0</v>
      </c>
      <c r="E140" s="40">
        <f>'Data entry hotel only'!I140</f>
        <v>0</v>
      </c>
      <c r="F140" s="40">
        <f>'Data entry hotel only'!L140</f>
        <v>0</v>
      </c>
      <c r="G140" s="40">
        <f>'Data entry hotel only'!O140</f>
        <v>0</v>
      </c>
      <c r="H140" s="40">
        <f>'Data entry hotel only'!R140</f>
        <v>0</v>
      </c>
      <c r="I140" s="40">
        <f>'Data entry hotel only'!U140</f>
        <v>0</v>
      </c>
      <c r="J140" s="40">
        <f>'Data entry hotel only'!X140</f>
        <v>0</v>
      </c>
      <c r="K140" s="40">
        <f>'Data entry hotel only'!AA140</f>
        <v>0</v>
      </c>
      <c r="L140" s="40">
        <f>'Data entry hotel only'!AD140</f>
        <v>0</v>
      </c>
      <c r="M140" s="40">
        <f>'Data entry hotel only'!AG140</f>
        <v>0</v>
      </c>
      <c r="N140" s="40">
        <f>'Data entry hotel only'!AJ140</f>
        <v>0</v>
      </c>
      <c r="O140" s="40">
        <f>'Data entry hotel only'!AM140</f>
        <v>0</v>
      </c>
      <c r="Q140" s="223">
        <f>'Hotels Only'!C140-'Hotels ORG'!C140</f>
        <v>0</v>
      </c>
      <c r="R140" s="224">
        <f>SUM(D140:I140)-SUM('Hotels ORG'!D140:I140)</f>
        <v>0</v>
      </c>
    </row>
    <row r="141" spans="2:18" ht="28" x14ac:dyDescent="0.15">
      <c r="B141" s="42" t="s">
        <v>98</v>
      </c>
      <c r="C141" s="43">
        <f>'Data entry hotel only'!C141</f>
        <v>-6398198.3673</v>
      </c>
      <c r="D141" s="43">
        <f>'Data entry hotel only'!F141</f>
        <v>-2151587.04</v>
      </c>
      <c r="E141" s="43">
        <f>'Data entry hotel only'!I141</f>
        <v>-1734752.12</v>
      </c>
      <c r="F141" s="43">
        <f>'Data entry hotel only'!L141</f>
        <v>458845.68</v>
      </c>
      <c r="G141" s="43">
        <f>'Data entry hotel only'!O141</f>
        <v>-1680902.96</v>
      </c>
      <c r="H141" s="43">
        <f>'Data entry hotel only'!R141</f>
        <v>227751.37</v>
      </c>
      <c r="I141" s="43">
        <f>'Data entry hotel only'!U141</f>
        <v>-583820.44999999995</v>
      </c>
      <c r="J141" s="43">
        <f>'Data entry hotel only'!X141</f>
        <v>-1430179.8326000001</v>
      </c>
      <c r="K141" s="43">
        <f>'Data entry hotel only'!AA141</f>
        <v>-968877.60109999997</v>
      </c>
      <c r="L141" s="43">
        <f>'Data entry hotel only'!AD141</f>
        <v>1062396.8892999999</v>
      </c>
      <c r="M141" s="43">
        <f>'Data entry hotel only'!AG141</f>
        <v>1131861.5711999999</v>
      </c>
      <c r="N141" s="43">
        <f>'Data entry hotel only'!AJ141</f>
        <v>325830.90379999997</v>
      </c>
      <c r="O141" s="43">
        <f>'Data entry hotel only'!AM141</f>
        <v>-1054764.7779000001</v>
      </c>
      <c r="Q141" s="223">
        <f>'Hotels Only'!C141-'Hotels ORG'!C141</f>
        <v>-4831613.9742999999</v>
      </c>
      <c r="R141" s="224">
        <f>SUM(D141:I141)-SUM('Hotels ORG'!D141:I141)</f>
        <v>-3106764.673</v>
      </c>
    </row>
    <row r="142" spans="2:18" ht="14" x14ac:dyDescent="0.15">
      <c r="B142" s="38" t="s">
        <v>99</v>
      </c>
      <c r="C142" s="40">
        <f>'Data entry hotel only'!C142</f>
        <v>0</v>
      </c>
      <c r="D142" s="40">
        <f>'Data entry hotel only'!F142</f>
        <v>0</v>
      </c>
      <c r="E142" s="40">
        <f>'Data entry hotel only'!I142</f>
        <v>0</v>
      </c>
      <c r="F142" s="40">
        <f>'Data entry hotel only'!L142</f>
        <v>0</v>
      </c>
      <c r="G142" s="40">
        <f>'Data entry hotel only'!O142</f>
        <v>0</v>
      </c>
      <c r="H142" s="40">
        <f>'Data entry hotel only'!R142</f>
        <v>0</v>
      </c>
      <c r="I142" s="40">
        <f>'Data entry hotel only'!U142</f>
        <v>0</v>
      </c>
      <c r="J142" s="40">
        <f>'Data entry hotel only'!X142</f>
        <v>0</v>
      </c>
      <c r="K142" s="40">
        <f>'Data entry hotel only'!AA142</f>
        <v>0</v>
      </c>
      <c r="L142" s="40">
        <f>'Data entry hotel only'!AD142</f>
        <v>0</v>
      </c>
      <c r="M142" s="40">
        <f>'Data entry hotel only'!AG142</f>
        <v>0</v>
      </c>
      <c r="N142" s="40">
        <f>'Data entry hotel only'!AJ142</f>
        <v>0</v>
      </c>
      <c r="O142" s="40">
        <f>'Data entry hotel only'!AM142</f>
        <v>0</v>
      </c>
      <c r="Q142" s="223">
        <f>'Hotels Only'!C142-'Hotels ORG'!C142</f>
        <v>0</v>
      </c>
      <c r="R142" s="224">
        <f>SUM(D142:I142)-SUM('Hotels ORG'!D142:I142)</f>
        <v>0</v>
      </c>
    </row>
    <row r="143" spans="2:18" x14ac:dyDescent="0.15">
      <c r="B143" s="40"/>
      <c r="C143" s="40">
        <f>'Data entry hotel only'!C143</f>
        <v>0</v>
      </c>
      <c r="D143" s="40">
        <f>'Data entry hotel only'!F143</f>
        <v>0</v>
      </c>
      <c r="E143" s="40">
        <f>'Data entry hotel only'!I143</f>
        <v>0</v>
      </c>
      <c r="F143" s="40">
        <f>'Data entry hotel only'!L143</f>
        <v>0</v>
      </c>
      <c r="G143" s="40">
        <f>'Data entry hotel only'!O143</f>
        <v>0</v>
      </c>
      <c r="H143" s="40">
        <f>'Data entry hotel only'!R143</f>
        <v>0</v>
      </c>
      <c r="I143" s="40">
        <f>'Data entry hotel only'!U143</f>
        <v>0</v>
      </c>
      <c r="J143" s="40">
        <f>'Data entry hotel only'!X143</f>
        <v>0</v>
      </c>
      <c r="K143" s="40">
        <f>'Data entry hotel only'!AA143</f>
        <v>0</v>
      </c>
      <c r="L143" s="40">
        <f>'Data entry hotel only'!AD143</f>
        <v>0</v>
      </c>
      <c r="M143" s="40">
        <f>'Data entry hotel only'!AG143</f>
        <v>0</v>
      </c>
      <c r="N143" s="40">
        <f>'Data entry hotel only'!AJ143</f>
        <v>0</v>
      </c>
      <c r="O143" s="40">
        <f>'Data entry hotel only'!AM143</f>
        <v>0</v>
      </c>
      <c r="Q143" s="223">
        <f>'Hotels Only'!C143-'Hotels ORG'!C143</f>
        <v>0</v>
      </c>
      <c r="R143" s="224">
        <f>SUM(D143:I143)-SUM('Hotels ORG'!D143:I143)</f>
        <v>0</v>
      </c>
    </row>
    <row r="144" spans="2:18" ht="14" x14ac:dyDescent="0.15">
      <c r="B144" s="42" t="s">
        <v>100</v>
      </c>
      <c r="C144" s="43">
        <f>'Data entry hotel only'!C144</f>
        <v>-6398198.3673</v>
      </c>
      <c r="D144" s="43">
        <f>'Data entry hotel only'!F144</f>
        <v>-2151587.04</v>
      </c>
      <c r="E144" s="43">
        <f>'Data entry hotel only'!I144</f>
        <v>-1734752.12</v>
      </c>
      <c r="F144" s="43">
        <f>'Data entry hotel only'!L144</f>
        <v>458845.68</v>
      </c>
      <c r="G144" s="43">
        <f>'Data entry hotel only'!O144</f>
        <v>-1680902.96</v>
      </c>
      <c r="H144" s="43">
        <f>'Data entry hotel only'!R144</f>
        <v>227751.37</v>
      </c>
      <c r="I144" s="43">
        <f>'Data entry hotel only'!U144</f>
        <v>-583820.44999999995</v>
      </c>
      <c r="J144" s="43">
        <f>'Data entry hotel only'!X144</f>
        <v>-1430179.8326000001</v>
      </c>
      <c r="K144" s="43">
        <f>'Data entry hotel only'!AA144</f>
        <v>-968877.60109999997</v>
      </c>
      <c r="L144" s="43">
        <f>'Data entry hotel only'!AD144</f>
        <v>1062396.8892999999</v>
      </c>
      <c r="M144" s="43">
        <f>'Data entry hotel only'!AG144</f>
        <v>1131861.5711999999</v>
      </c>
      <c r="N144" s="43">
        <f>'Data entry hotel only'!AJ144</f>
        <v>325830.90379999997</v>
      </c>
      <c r="O144" s="43">
        <f>'Data entry hotel only'!AM144</f>
        <v>-1054764.7779000001</v>
      </c>
      <c r="Q144" s="223">
        <f>'Hotels Only'!C144-'Hotels ORG'!C144</f>
        <v>-4831613.9742999999</v>
      </c>
      <c r="R144" s="224">
        <f>SUM(D144:I144)-SUM('Hotels ORG'!D144:I144)</f>
        <v>-3106764.673</v>
      </c>
    </row>
    <row r="145" spans="2:18" ht="14" x14ac:dyDescent="0.15">
      <c r="B145" s="38" t="s">
        <v>101</v>
      </c>
      <c r="C145" s="40">
        <f>'Data entry hotel only'!C145</f>
        <v>0</v>
      </c>
      <c r="D145" s="40">
        <f>'Data entry hotel only'!F145</f>
        <v>0</v>
      </c>
      <c r="E145" s="40">
        <f>'Data entry hotel only'!I145</f>
        <v>0</v>
      </c>
      <c r="F145" s="40">
        <f>'Data entry hotel only'!L145</f>
        <v>0</v>
      </c>
      <c r="G145" s="40">
        <f>'Data entry hotel only'!O145</f>
        <v>0</v>
      </c>
      <c r="H145" s="40">
        <f>'Data entry hotel only'!R145</f>
        <v>0</v>
      </c>
      <c r="I145" s="40">
        <f>'Data entry hotel only'!U145</f>
        <v>0</v>
      </c>
      <c r="J145" s="40">
        <f>'Data entry hotel only'!X145</f>
        <v>0</v>
      </c>
      <c r="K145" s="40">
        <f>'Data entry hotel only'!AA145</f>
        <v>0</v>
      </c>
      <c r="L145" s="40">
        <f>'Data entry hotel only'!AD145</f>
        <v>0</v>
      </c>
      <c r="M145" s="40">
        <f>'Data entry hotel only'!AG145</f>
        <v>0</v>
      </c>
      <c r="N145" s="40">
        <f>'Data entry hotel only'!AJ145</f>
        <v>0</v>
      </c>
      <c r="O145" s="40">
        <f>'Data entry hotel only'!AM145</f>
        <v>0</v>
      </c>
      <c r="Q145" s="223">
        <f>'Hotels Only'!C145-'Hotels ORG'!C145</f>
        <v>0</v>
      </c>
      <c r="R145" s="224">
        <f>SUM(D145:I145)-SUM('Hotels ORG'!D145:I145)</f>
        <v>0</v>
      </c>
    </row>
    <row r="146" spans="2:18" x14ac:dyDescent="0.15">
      <c r="B146" s="40"/>
      <c r="C146" s="40">
        <f>'Data entry hotel only'!C146</f>
        <v>0</v>
      </c>
      <c r="D146" s="40">
        <f>'Data entry hotel only'!F146</f>
        <v>0</v>
      </c>
      <c r="E146" s="40">
        <f>'Data entry hotel only'!I146</f>
        <v>0</v>
      </c>
      <c r="F146" s="40">
        <f>'Data entry hotel only'!L146</f>
        <v>0</v>
      </c>
      <c r="G146" s="40">
        <f>'Data entry hotel only'!O146</f>
        <v>0</v>
      </c>
      <c r="H146" s="40">
        <f>'Data entry hotel only'!R146</f>
        <v>0</v>
      </c>
      <c r="I146" s="40">
        <f>'Data entry hotel only'!U146</f>
        <v>0</v>
      </c>
      <c r="J146" s="40">
        <f>'Data entry hotel only'!X146</f>
        <v>0</v>
      </c>
      <c r="K146" s="40">
        <f>'Data entry hotel only'!AA146</f>
        <v>0</v>
      </c>
      <c r="L146" s="40">
        <f>'Data entry hotel only'!AD146</f>
        <v>0</v>
      </c>
      <c r="M146" s="40">
        <f>'Data entry hotel only'!AG146</f>
        <v>0</v>
      </c>
      <c r="N146" s="40">
        <f>'Data entry hotel only'!AJ146</f>
        <v>0</v>
      </c>
      <c r="O146" s="40">
        <f>'Data entry hotel only'!AM146</f>
        <v>0</v>
      </c>
      <c r="Q146" s="223">
        <f>'Hotels Only'!C146-'Hotels ORG'!C146</f>
        <v>0</v>
      </c>
      <c r="R146" s="224">
        <f>SUM(D146:I146)-SUM('Hotels ORG'!D146:I146)</f>
        <v>0</v>
      </c>
    </row>
    <row r="147" spans="2:18" ht="28" x14ac:dyDescent="0.15">
      <c r="B147" s="42" t="s">
        <v>102</v>
      </c>
      <c r="C147" s="43">
        <f>'Data entry hotel only'!C147</f>
        <v>-6398198.3673</v>
      </c>
      <c r="D147" s="43">
        <f>'Data entry hotel only'!F147</f>
        <v>-2151587.04</v>
      </c>
      <c r="E147" s="43">
        <f>'Data entry hotel only'!I147</f>
        <v>-1734752.12</v>
      </c>
      <c r="F147" s="43">
        <f>'Data entry hotel only'!L147</f>
        <v>458845.68</v>
      </c>
      <c r="G147" s="43">
        <f>'Data entry hotel only'!O147</f>
        <v>-1680902.96</v>
      </c>
      <c r="H147" s="43">
        <f>'Data entry hotel only'!R147</f>
        <v>227751.37</v>
      </c>
      <c r="I147" s="43">
        <f>'Data entry hotel only'!U147</f>
        <v>-583820.44999999995</v>
      </c>
      <c r="J147" s="43">
        <f>'Data entry hotel only'!X147</f>
        <v>-1430179.8326000001</v>
      </c>
      <c r="K147" s="43">
        <f>'Data entry hotel only'!AA147</f>
        <v>-968877.60109999997</v>
      </c>
      <c r="L147" s="43">
        <f>'Data entry hotel only'!AD147</f>
        <v>1062396.8892999999</v>
      </c>
      <c r="M147" s="43">
        <f>'Data entry hotel only'!AG147</f>
        <v>1131861.5711999999</v>
      </c>
      <c r="N147" s="43">
        <f>'Data entry hotel only'!AJ147</f>
        <v>325830.90379999997</v>
      </c>
      <c r="O147" s="43">
        <f>'Data entry hotel only'!AM147</f>
        <v>-1054764.7779000001</v>
      </c>
      <c r="Q147" s="223">
        <f>'Hotels Only'!C147-'Hotels ORG'!C147</f>
        <v>-4831613.9742999999</v>
      </c>
      <c r="R147" s="224">
        <f>SUM(D147:I147)-SUM('Hotels ORG'!D147:I147)</f>
        <v>-3106764.673</v>
      </c>
    </row>
    <row r="148" spans="2:18" ht="14" x14ac:dyDescent="0.15">
      <c r="B148" s="38" t="s">
        <v>103</v>
      </c>
      <c r="C148" s="40">
        <f>'Data entry hotel only'!C148</f>
        <v>0</v>
      </c>
      <c r="D148" s="40">
        <f>'Data entry hotel only'!F148</f>
        <v>0</v>
      </c>
      <c r="E148" s="40">
        <f>'Data entry hotel only'!I148</f>
        <v>0</v>
      </c>
      <c r="F148" s="40">
        <f>'Data entry hotel only'!L148</f>
        <v>0</v>
      </c>
      <c r="G148" s="40">
        <f>'Data entry hotel only'!O148</f>
        <v>0</v>
      </c>
      <c r="H148" s="40">
        <f>'Data entry hotel only'!R148</f>
        <v>0</v>
      </c>
      <c r="I148" s="40">
        <f>'Data entry hotel only'!U148</f>
        <v>0</v>
      </c>
      <c r="J148" s="40">
        <f>'Data entry hotel only'!X148</f>
        <v>0</v>
      </c>
      <c r="K148" s="40">
        <f>'Data entry hotel only'!AA148</f>
        <v>0</v>
      </c>
      <c r="L148" s="40">
        <f>'Data entry hotel only'!AD148</f>
        <v>0</v>
      </c>
      <c r="M148" s="40">
        <f>'Data entry hotel only'!AG148</f>
        <v>0</v>
      </c>
      <c r="N148" s="40">
        <f>'Data entry hotel only'!AJ148</f>
        <v>0</v>
      </c>
      <c r="O148" s="40">
        <f>'Data entry hotel only'!AM148</f>
        <v>0</v>
      </c>
      <c r="Q148" s="223">
        <f>'Hotels Only'!C148-'Hotels ORG'!C148</f>
        <v>0</v>
      </c>
      <c r="R148" s="224">
        <f>SUM(D148:I148)-SUM('Hotels ORG'!D148:I148)</f>
        <v>0</v>
      </c>
    </row>
    <row r="149" spans="2:18" x14ac:dyDescent="0.15">
      <c r="B149" s="40"/>
      <c r="C149" s="40">
        <f>'Data entry hotel only'!C149</f>
        <v>0</v>
      </c>
      <c r="D149" s="40">
        <f>'Data entry hotel only'!F149</f>
        <v>0</v>
      </c>
      <c r="E149" s="40">
        <f>'Data entry hotel only'!I149</f>
        <v>0</v>
      </c>
      <c r="F149" s="40">
        <f>'Data entry hotel only'!L149</f>
        <v>0</v>
      </c>
      <c r="G149" s="40">
        <f>'Data entry hotel only'!O149</f>
        <v>0</v>
      </c>
      <c r="H149" s="40">
        <f>'Data entry hotel only'!R149</f>
        <v>0</v>
      </c>
      <c r="I149" s="40">
        <f>'Data entry hotel only'!U149</f>
        <v>0</v>
      </c>
      <c r="J149" s="40">
        <f>'Data entry hotel only'!X149</f>
        <v>0</v>
      </c>
      <c r="K149" s="40">
        <f>'Data entry hotel only'!AA149</f>
        <v>0</v>
      </c>
      <c r="L149" s="40">
        <f>'Data entry hotel only'!AD149</f>
        <v>0</v>
      </c>
      <c r="M149" s="40">
        <f>'Data entry hotel only'!AG149</f>
        <v>0</v>
      </c>
      <c r="N149" s="40">
        <f>'Data entry hotel only'!AJ149</f>
        <v>0</v>
      </c>
      <c r="O149" s="40">
        <f>'Data entry hotel only'!AM149</f>
        <v>0</v>
      </c>
      <c r="Q149" s="223">
        <f>'Hotels Only'!C149-'Hotels ORG'!C149</f>
        <v>0</v>
      </c>
      <c r="R149" s="224">
        <f>SUM(D149:I149)-SUM('Hotels ORG'!D149:I149)</f>
        <v>0</v>
      </c>
    </row>
    <row r="150" spans="2:18" ht="14" x14ac:dyDescent="0.15">
      <c r="B150" s="42" t="s">
        <v>104</v>
      </c>
      <c r="C150" s="43">
        <f>'Data entry hotel only'!C150</f>
        <v>-6398198.3673</v>
      </c>
      <c r="D150" s="43">
        <f>'Data entry hotel only'!F150</f>
        <v>-2151587.04</v>
      </c>
      <c r="E150" s="43">
        <f>'Data entry hotel only'!I150</f>
        <v>-1734752.12</v>
      </c>
      <c r="F150" s="43">
        <f>'Data entry hotel only'!L150</f>
        <v>458845.68</v>
      </c>
      <c r="G150" s="43">
        <f>'Data entry hotel only'!O150</f>
        <v>-1680902.96</v>
      </c>
      <c r="H150" s="43">
        <f>'Data entry hotel only'!R150</f>
        <v>227751.37</v>
      </c>
      <c r="I150" s="43">
        <f>'Data entry hotel only'!U150</f>
        <v>-583820.44999999995</v>
      </c>
      <c r="J150" s="43">
        <f>'Data entry hotel only'!X150</f>
        <v>-1430179.8326000001</v>
      </c>
      <c r="K150" s="43">
        <f>'Data entry hotel only'!AA150</f>
        <v>-968877.60109999997</v>
      </c>
      <c r="L150" s="43">
        <f>'Data entry hotel only'!AD150</f>
        <v>1062396.8892999999</v>
      </c>
      <c r="M150" s="43">
        <f>'Data entry hotel only'!AG150</f>
        <v>1131861.5711999999</v>
      </c>
      <c r="N150" s="43">
        <f>'Data entry hotel only'!AJ150</f>
        <v>325830.90379999997</v>
      </c>
      <c r="O150" s="43">
        <f>'Data entry hotel only'!AM150</f>
        <v>-1054764.7779000001</v>
      </c>
      <c r="Q150" s="223">
        <f>'Hotels Only'!C150-'Hotels ORG'!C150</f>
        <v>-4831613.9742999999</v>
      </c>
      <c r="R150" s="224">
        <f>SUM(D150:I150)-SUM('Hotels ORG'!D150:I150)</f>
        <v>-3106764.673</v>
      </c>
    </row>
    <row r="151" spans="2:18" x14ac:dyDescent="0.15">
      <c r="B151" s="40"/>
      <c r="C151" s="40">
        <f>'Data entry hotel only'!C151</f>
        <v>0</v>
      </c>
      <c r="D151" s="40">
        <f>'Data entry hotel only'!F151</f>
        <v>0</v>
      </c>
      <c r="E151" s="40">
        <f>'Data entry hotel only'!I151</f>
        <v>0</v>
      </c>
      <c r="F151" s="40">
        <f>'Data entry hotel only'!L151</f>
        <v>0</v>
      </c>
      <c r="G151" s="40">
        <f>'Data entry hotel only'!O151</f>
        <v>0</v>
      </c>
      <c r="H151" s="40">
        <f>'Data entry hotel only'!R151</f>
        <v>0</v>
      </c>
      <c r="I151" s="40">
        <f>'Data entry hotel only'!U151</f>
        <v>0</v>
      </c>
      <c r="J151" s="40">
        <f>'Data entry hotel only'!X151</f>
        <v>0</v>
      </c>
      <c r="K151" s="40">
        <f>'Data entry hotel only'!AA151</f>
        <v>0</v>
      </c>
      <c r="L151" s="40">
        <f>'Data entry hotel only'!AD151</f>
        <v>0</v>
      </c>
      <c r="M151" s="40">
        <f>'Data entry hotel only'!AG151</f>
        <v>0</v>
      </c>
      <c r="N151" s="40">
        <f>'Data entry hotel only'!AJ151</f>
        <v>0</v>
      </c>
      <c r="O151" s="40">
        <f>'Data entry hotel only'!AM151</f>
        <v>0</v>
      </c>
      <c r="Q151" s="223">
        <f>'Hotels Only'!C151-'Hotels ORG'!C151</f>
        <v>0</v>
      </c>
      <c r="R151" s="224">
        <f>SUM(D151:I151)-SUM('Hotels ORG'!D151:I151)</f>
        <v>0</v>
      </c>
    </row>
    <row r="152" spans="2:18" ht="14" x14ac:dyDescent="0.15">
      <c r="B152" s="44" t="s">
        <v>105</v>
      </c>
      <c r="C152" s="45">
        <f>'Data entry hotel only'!C152</f>
        <v>0</v>
      </c>
      <c r="D152" s="45">
        <f>'Data entry hotel only'!F152</f>
        <v>0</v>
      </c>
      <c r="E152" s="45">
        <f>'Data entry hotel only'!I152</f>
        <v>0</v>
      </c>
      <c r="F152" s="45">
        <f>'Data entry hotel only'!L152</f>
        <v>0</v>
      </c>
      <c r="G152" s="45">
        <f>'Data entry hotel only'!O152</f>
        <v>0</v>
      </c>
      <c r="H152" s="45">
        <f>'Data entry hotel only'!R152</f>
        <v>0</v>
      </c>
      <c r="I152" s="45">
        <f>'Data entry hotel only'!U152</f>
        <v>0</v>
      </c>
      <c r="J152" s="45">
        <f>'Data entry hotel only'!X152</f>
        <v>0</v>
      </c>
      <c r="K152" s="45">
        <f>'Data entry hotel only'!AA152</f>
        <v>0</v>
      </c>
      <c r="L152" s="45">
        <f>'Data entry hotel only'!AD152</f>
        <v>0</v>
      </c>
      <c r="M152" s="45">
        <f>'Data entry hotel only'!AG152</f>
        <v>0</v>
      </c>
      <c r="N152" s="45">
        <f>'Data entry hotel only'!AJ152</f>
        <v>0</v>
      </c>
      <c r="O152" s="45">
        <f>'Data entry hotel only'!AM152</f>
        <v>0</v>
      </c>
      <c r="Q152" s="223">
        <f>'Hotels Only'!C152-'Hotels ORG'!C152</f>
        <v>0</v>
      </c>
      <c r="R152" s="224">
        <f>SUM(D152:I152)-SUM('Hotels ORG'!D152:I152)</f>
        <v>0</v>
      </c>
    </row>
    <row r="153" spans="2:18" ht="14" x14ac:dyDescent="0.15">
      <c r="B153" s="38" t="s">
        <v>106</v>
      </c>
      <c r="C153" s="40">
        <f>'Data entry hotel only'!C153</f>
        <v>-5924419.9073000001</v>
      </c>
      <c r="D153" s="40">
        <f>'Data entry hotel only'!F153</f>
        <v>-2118525.13</v>
      </c>
      <c r="E153" s="40">
        <f>'Data entry hotel only'!I153</f>
        <v>-1714838.87</v>
      </c>
      <c r="F153" s="40">
        <f>'Data entry hotel only'!L153</f>
        <v>478508.93</v>
      </c>
      <c r="G153" s="40">
        <f>'Data entry hotel only'!O153</f>
        <v>-1661239.71</v>
      </c>
      <c r="H153" s="40">
        <f>'Data entry hotel only'!R153</f>
        <v>247414.62</v>
      </c>
      <c r="I153" s="40">
        <f>'Data entry hotel only'!U153</f>
        <v>-564157.19999999995</v>
      </c>
      <c r="J153" s="40">
        <f>'Data entry hotel only'!X153</f>
        <v>-1373154.7826</v>
      </c>
      <c r="K153" s="40">
        <f>'Data entry hotel only'!AA153</f>
        <v>-911852.55110000004</v>
      </c>
      <c r="L153" s="40">
        <f>'Data entry hotel only'!AD153</f>
        <v>1119421.9393</v>
      </c>
      <c r="M153" s="40">
        <f>'Data entry hotel only'!AG153</f>
        <v>1188886.6211999999</v>
      </c>
      <c r="N153" s="40">
        <f>'Data entry hotel only'!AJ153</f>
        <v>382855.95380000002</v>
      </c>
      <c r="O153" s="40">
        <f>'Data entry hotel only'!AM153</f>
        <v>-997739.72790000006</v>
      </c>
      <c r="Q153" s="223">
        <f>'Hotels Only'!C153-'Hotels ORG'!C153</f>
        <v>-5039136.1143000005</v>
      </c>
      <c r="R153" s="224">
        <f>SUM(D153:I153)-SUM('Hotels ORG'!D153:I153)</f>
        <v>-3315786.8129999992</v>
      </c>
    </row>
    <row r="154" spans="2:18" ht="14" x14ac:dyDescent="0.15">
      <c r="B154" s="38" t="s">
        <v>107</v>
      </c>
      <c r="C154" s="40">
        <f>'Data entry hotel only'!C154</f>
        <v>-6389161.7673000004</v>
      </c>
      <c r="D154" s="40">
        <f>'Data entry hotel only'!F154</f>
        <v>-2150933.9900000002</v>
      </c>
      <c r="E154" s="40">
        <f>'Data entry hotel only'!I154</f>
        <v>-1734099.07</v>
      </c>
      <c r="F154" s="40">
        <f>'Data entry hotel only'!L154</f>
        <v>459498.73</v>
      </c>
      <c r="G154" s="40">
        <f>'Data entry hotel only'!O154</f>
        <v>-1680249.91</v>
      </c>
      <c r="H154" s="40">
        <f>'Data entry hotel only'!R154</f>
        <v>228404.42</v>
      </c>
      <c r="I154" s="40">
        <f>'Data entry hotel only'!U154</f>
        <v>-583167.4</v>
      </c>
      <c r="J154" s="40">
        <f>'Data entry hotel only'!X154</f>
        <v>-1429326.7826</v>
      </c>
      <c r="K154" s="40">
        <f>'Data entry hotel only'!AA154</f>
        <v>-968024.55110000004</v>
      </c>
      <c r="L154" s="40">
        <f>'Data entry hotel only'!AD154</f>
        <v>1063249.9393</v>
      </c>
      <c r="M154" s="40">
        <f>'Data entry hotel only'!AG154</f>
        <v>1132714.6211999999</v>
      </c>
      <c r="N154" s="40">
        <f>'Data entry hotel only'!AJ154</f>
        <v>326683.95380000002</v>
      </c>
      <c r="O154" s="40">
        <f>'Data entry hotel only'!AM154</f>
        <v>-1053911.7279000001</v>
      </c>
      <c r="Q154" s="223">
        <f>'Hotels Only'!C154-'Hotels ORG'!C154</f>
        <v>-4832813.9743000008</v>
      </c>
      <c r="R154" s="224">
        <f>SUM(D154:I154)-SUM('Hotels ORG'!D154:I154)</f>
        <v>-3107964.673</v>
      </c>
    </row>
    <row r="155" spans="2:18" ht="14" x14ac:dyDescent="0.15">
      <c r="B155" s="42" t="s">
        <v>108</v>
      </c>
      <c r="C155" s="43">
        <f>'Data entry hotel only'!C155</f>
        <v>3967222.0101000001</v>
      </c>
      <c r="D155" s="43">
        <f>'Data entry hotel only'!F155</f>
        <v>265711.99</v>
      </c>
      <c r="E155" s="43">
        <f>'Data entry hotel only'!I155</f>
        <v>317693.40999999997</v>
      </c>
      <c r="F155" s="43">
        <f>'Data entry hotel only'!L155</f>
        <v>390494.35</v>
      </c>
      <c r="G155" s="43">
        <f>'Data entry hotel only'!O155</f>
        <v>294399.5</v>
      </c>
      <c r="H155" s="43">
        <f>'Data entry hotel only'!R155</f>
        <v>400592.63</v>
      </c>
      <c r="I155" s="43">
        <f>'Data entry hotel only'!U155</f>
        <v>340619.55</v>
      </c>
      <c r="J155" s="43">
        <f>'Data entry hotel only'!X155</f>
        <v>251826.8481</v>
      </c>
      <c r="K155" s="43">
        <f>'Data entry hotel only'!AA155</f>
        <v>277033.20689999999</v>
      </c>
      <c r="L155" s="43">
        <f>'Data entry hotel only'!AD155</f>
        <v>407365.37569999998</v>
      </c>
      <c r="M155" s="43">
        <f>'Data entry hotel only'!AG155</f>
        <v>394544.42170000001</v>
      </c>
      <c r="N155" s="43">
        <f>'Data entry hotel only'!AJ155</f>
        <v>361742.33909999998</v>
      </c>
      <c r="O155" s="43">
        <f>'Data entry hotel only'!AM155</f>
        <v>265198.38860000001</v>
      </c>
      <c r="Q155" s="223">
        <f>'Hotels Only'!C155-'Hotels ORG'!C155</f>
        <v>-193173.47779999999</v>
      </c>
      <c r="R155" s="224">
        <f>SUM(D155:I155)-SUM('Hotels ORG'!D155:I155)</f>
        <v>20713.780299999984</v>
      </c>
    </row>
    <row r="156" spans="2:18" ht="14" x14ac:dyDescent="0.15">
      <c r="B156" s="38" t="s">
        <v>109</v>
      </c>
      <c r="C156" s="40">
        <f>'Data entry hotel only'!C156</f>
        <v>0</v>
      </c>
      <c r="D156" s="40">
        <f>'Data entry hotel only'!F156</f>
        <v>0</v>
      </c>
      <c r="E156" s="40">
        <f>'Data entry hotel only'!I156</f>
        <v>0</v>
      </c>
      <c r="F156" s="40">
        <f>'Data entry hotel only'!L156</f>
        <v>0</v>
      </c>
      <c r="G156" s="40">
        <f>'Data entry hotel only'!O156</f>
        <v>0</v>
      </c>
      <c r="H156" s="40">
        <f>'Data entry hotel only'!R156</f>
        <v>0</v>
      </c>
      <c r="I156" s="40">
        <f>'Data entry hotel only'!U156</f>
        <v>0</v>
      </c>
      <c r="J156" s="40">
        <f>'Data entry hotel only'!X156</f>
        <v>0</v>
      </c>
      <c r="K156" s="40">
        <f>'Data entry hotel only'!AA156</f>
        <v>0</v>
      </c>
      <c r="L156" s="40">
        <f>'Data entry hotel only'!AD156</f>
        <v>0</v>
      </c>
      <c r="M156" s="40">
        <f>'Data entry hotel only'!AG156</f>
        <v>0</v>
      </c>
      <c r="N156" s="40">
        <f>'Data entry hotel only'!AJ156</f>
        <v>0</v>
      </c>
      <c r="O156" s="40">
        <f>'Data entry hotel only'!AM156</f>
        <v>0</v>
      </c>
      <c r="Q156" s="223">
        <f>'Hotels Only'!C156-'Hotels ORG'!C156</f>
        <v>0</v>
      </c>
      <c r="R156" s="224">
        <f>SUM(D156:I156)-SUM('Hotels ORG'!D156:I156)</f>
        <v>0</v>
      </c>
    </row>
    <row r="157" spans="2:18" ht="14" x14ac:dyDescent="0.15">
      <c r="B157" s="38" t="s">
        <v>110</v>
      </c>
      <c r="C157" s="40">
        <f>'Data entry hotel only'!C157</f>
        <v>0</v>
      </c>
      <c r="D157" s="40">
        <f>'Data entry hotel only'!F157</f>
        <v>0</v>
      </c>
      <c r="E157" s="40">
        <f>'Data entry hotel only'!I157</f>
        <v>0</v>
      </c>
      <c r="F157" s="40">
        <f>'Data entry hotel only'!L157</f>
        <v>0</v>
      </c>
      <c r="G157" s="40">
        <f>'Data entry hotel only'!O157</f>
        <v>0</v>
      </c>
      <c r="H157" s="40">
        <f>'Data entry hotel only'!R157</f>
        <v>0</v>
      </c>
      <c r="I157" s="40">
        <f>'Data entry hotel only'!U157</f>
        <v>0</v>
      </c>
      <c r="J157" s="40">
        <f>'Data entry hotel only'!X157</f>
        <v>0</v>
      </c>
      <c r="K157" s="40">
        <f>'Data entry hotel only'!AA157</f>
        <v>0</v>
      </c>
      <c r="L157" s="40">
        <f>'Data entry hotel only'!AD157</f>
        <v>0</v>
      </c>
      <c r="M157" s="40">
        <f>'Data entry hotel only'!AG157</f>
        <v>0</v>
      </c>
      <c r="N157" s="40">
        <f>'Data entry hotel only'!AJ157</f>
        <v>0</v>
      </c>
      <c r="O157" s="40">
        <f>'Data entry hotel only'!AM157</f>
        <v>0</v>
      </c>
      <c r="Q157" s="223">
        <f>'Hotels Only'!C157-'Hotels ORG'!C157</f>
        <v>0</v>
      </c>
      <c r="R157" s="224">
        <f>SUM(D157:I157)-SUM('Hotels ORG'!D157:I157)</f>
        <v>0</v>
      </c>
    </row>
    <row r="158" spans="2:18" ht="14" x14ac:dyDescent="0.15">
      <c r="B158" s="38" t="s">
        <v>111</v>
      </c>
      <c r="C158" s="40">
        <f>'Data entry hotel only'!C158</f>
        <v>919935.95779999997</v>
      </c>
      <c r="D158" s="40">
        <f>'Data entry hotel only'!F158</f>
        <v>52851.45</v>
      </c>
      <c r="E158" s="40">
        <f>'Data entry hotel only'!I158</f>
        <v>62060.39</v>
      </c>
      <c r="F158" s="40">
        <f>'Data entry hotel only'!L158</f>
        <v>83723.38</v>
      </c>
      <c r="G158" s="40">
        <f>'Data entry hotel only'!O158</f>
        <v>63016.28</v>
      </c>
      <c r="H158" s="40">
        <f>'Data entry hotel only'!R158</f>
        <v>84505.04</v>
      </c>
      <c r="I158" s="40">
        <f>'Data entry hotel only'!U158</f>
        <v>71730.47</v>
      </c>
      <c r="J158" s="40">
        <f>'Data entry hotel only'!X158</f>
        <v>64234.7719</v>
      </c>
      <c r="K158" s="40">
        <f>'Data entry hotel only'!AA158</f>
        <v>70914.641099999993</v>
      </c>
      <c r="L158" s="40">
        <f>'Data entry hotel only'!AD158</f>
        <v>102504.8854</v>
      </c>
      <c r="M158" s="40">
        <f>'Data entry hotel only'!AG158</f>
        <v>102764.63649999999</v>
      </c>
      <c r="N158" s="40">
        <f>'Data entry hotel only'!AJ158</f>
        <v>93462.854600000006</v>
      </c>
      <c r="O158" s="40">
        <f>'Data entry hotel only'!AM158</f>
        <v>68167.158299999996</v>
      </c>
      <c r="Q158" s="223">
        <f>'Hotels Only'!C158-'Hotels ORG'!C158</f>
        <v>-113116.83929999999</v>
      </c>
      <c r="R158" s="224">
        <f>SUM(D158:I158)-SUM('Hotels ORG'!D158:I158)</f>
        <v>-77225.415199999989</v>
      </c>
    </row>
    <row r="159" spans="2:18" ht="14" x14ac:dyDescent="0.15">
      <c r="B159" s="38" t="s">
        <v>112</v>
      </c>
      <c r="C159" s="40">
        <f>'Data entry hotel only'!C159</f>
        <v>1033811.0853</v>
      </c>
      <c r="D159" s="40">
        <f>'Data entry hotel only'!F159</f>
        <v>-45929.66</v>
      </c>
      <c r="E159" s="40">
        <f>'Data entry hotel only'!I159</f>
        <v>744.43</v>
      </c>
      <c r="F159" s="40">
        <f>'Data entry hotel only'!L159</f>
        <v>13158.58</v>
      </c>
      <c r="G159" s="40">
        <f>'Data entry hotel only'!O159</f>
        <v>-3576.01</v>
      </c>
      <c r="H159" s="40">
        <f>'Data entry hotel only'!R159</f>
        <v>27494.62</v>
      </c>
      <c r="I159" s="40">
        <f>'Data entry hotel only'!U159</f>
        <v>7500.62</v>
      </c>
      <c r="J159" s="40">
        <f>'Data entry hotel only'!X159</f>
        <v>124563.4345</v>
      </c>
      <c r="K159" s="40">
        <f>'Data entry hotel only'!AA159</f>
        <v>139179.00090000001</v>
      </c>
      <c r="L159" s="40">
        <f>'Data entry hotel only'!AD159</f>
        <v>213789.7647</v>
      </c>
      <c r="M159" s="40">
        <f>'Data entry hotel only'!AG159</f>
        <v>219542.90160000001</v>
      </c>
      <c r="N159" s="40">
        <f>'Data entry hotel only'!AJ159</f>
        <v>199358.93460000001</v>
      </c>
      <c r="O159" s="40">
        <f>'Data entry hotel only'!AM159</f>
        <v>137984.46900000001</v>
      </c>
      <c r="Q159" s="223">
        <f>'Hotels Only'!C159-'Hotels ORG'!C159</f>
        <v>-1384857.9385000002</v>
      </c>
      <c r="R159" s="224">
        <f>SUM(D159:I159)-SUM('Hotels ORG'!D159:I159)</f>
        <v>-1158200.3117</v>
      </c>
    </row>
    <row r="160" spans="2:18" ht="14" x14ac:dyDescent="0.15">
      <c r="B160" s="38" t="s">
        <v>113</v>
      </c>
      <c r="C160" s="40">
        <f>'Data entry hotel only'!C160</f>
        <v>2519444.8731999998</v>
      </c>
      <c r="D160" s="40">
        <f>'Data entry hotel only'!F160</f>
        <v>159645.4</v>
      </c>
      <c r="E160" s="40">
        <f>'Data entry hotel only'!I160</f>
        <v>189127.69</v>
      </c>
      <c r="F160" s="40">
        <f>'Data entry hotel only'!L160</f>
        <v>224583.8</v>
      </c>
      <c r="G160" s="40">
        <f>'Data entry hotel only'!O160</f>
        <v>168276.8</v>
      </c>
      <c r="H160" s="40">
        <f>'Data entry hotel only'!R160</f>
        <v>229337.25</v>
      </c>
      <c r="I160" s="40">
        <f>'Data entry hotel only'!U160</f>
        <v>195423.9</v>
      </c>
      <c r="J160" s="40">
        <f>'Data entry hotel only'!X160</f>
        <v>172780.2009</v>
      </c>
      <c r="K160" s="40">
        <f>'Data entry hotel only'!AA160</f>
        <v>191664.71770000001</v>
      </c>
      <c r="L160" s="40">
        <f>'Data entry hotel only'!AD160</f>
        <v>283319.6667</v>
      </c>
      <c r="M160" s="40">
        <f>'Data entry hotel only'!AG160</f>
        <v>273264.65090000001</v>
      </c>
      <c r="N160" s="40">
        <f>'Data entry hotel only'!AJ160</f>
        <v>250079.41260000001</v>
      </c>
      <c r="O160" s="40">
        <f>'Data entry hotel only'!AM160</f>
        <v>181941.38440000001</v>
      </c>
      <c r="Q160" s="223">
        <f>'Hotels Only'!C160-'Hotels ORG'!C160</f>
        <v>-607897.81740000006</v>
      </c>
      <c r="R160" s="224">
        <f>SUM(D160:I160)-SUM('Hotels ORG'!D160:I160)</f>
        <v>-327290.38390000002</v>
      </c>
    </row>
    <row r="161" spans="2:18" ht="14" x14ac:dyDescent="0.15">
      <c r="B161" s="38" t="s">
        <v>114</v>
      </c>
      <c r="C161" s="40">
        <f>'Data entry hotel only'!C161</f>
        <v>527841.17929999996</v>
      </c>
      <c r="D161" s="40">
        <f>'Data entry hotel only'!F161</f>
        <v>53215.14</v>
      </c>
      <c r="E161" s="40">
        <f>'Data entry hotel only'!I161</f>
        <v>66505.33</v>
      </c>
      <c r="F161" s="40">
        <f>'Data entry hotel only'!L161</f>
        <v>82187.17</v>
      </c>
      <c r="G161" s="40">
        <f>'Data entry hotel only'!O161</f>
        <v>63106.42</v>
      </c>
      <c r="H161" s="40">
        <f>'Data entry hotel only'!R161</f>
        <v>86750.34</v>
      </c>
      <c r="I161" s="40">
        <f>'Data entry hotel only'!U161</f>
        <v>73465.179999999993</v>
      </c>
      <c r="J161" s="40">
        <f>'Data entry hotel only'!X161</f>
        <v>14811.8752</v>
      </c>
      <c r="K161" s="40">
        <f>'Data entry hotel only'!AA161</f>
        <v>14453.8482</v>
      </c>
      <c r="L161" s="40">
        <f>'Data entry hotel only'!AD161</f>
        <v>21540.823499999999</v>
      </c>
      <c r="M161" s="40">
        <f>'Data entry hotel only'!AG161</f>
        <v>18515.134699999999</v>
      </c>
      <c r="N161" s="40">
        <f>'Data entry hotel only'!AJ161</f>
        <v>18200.0717</v>
      </c>
      <c r="O161" s="40">
        <f>'Data entry hotel only'!AM161</f>
        <v>15089.846</v>
      </c>
      <c r="Q161" s="223">
        <f>'Hotels Only'!C161-'Hotels ORG'!C161</f>
        <v>527841.17929999996</v>
      </c>
      <c r="R161" s="224">
        <f>SUM(D161:I161)-SUM('Hotels ORG'!D161:I161)</f>
        <v>425229.58</v>
      </c>
    </row>
    <row r="162" spans="2:18" ht="14" x14ac:dyDescent="0.15">
      <c r="B162" s="42" t="s">
        <v>115</v>
      </c>
      <c r="C162" s="43">
        <f>'Data entry hotel only'!C162</f>
        <v>4920459.4516000003</v>
      </c>
      <c r="D162" s="43">
        <f>'Data entry hotel only'!F162</f>
        <v>307057.37</v>
      </c>
      <c r="E162" s="43">
        <f>'Data entry hotel only'!I162</f>
        <v>332842.46999999997</v>
      </c>
      <c r="F162" s="43">
        <f>'Data entry hotel only'!L162</f>
        <v>396862.89</v>
      </c>
      <c r="G162" s="43">
        <f>'Data entry hotel only'!O162</f>
        <v>371718.6</v>
      </c>
      <c r="H162" s="43">
        <f>'Data entry hotel only'!R162</f>
        <v>423180.21</v>
      </c>
      <c r="I162" s="43">
        <f>'Data entry hotel only'!U162</f>
        <v>392835.31</v>
      </c>
      <c r="J162" s="43">
        <f>'Data entry hotel only'!X162</f>
        <v>356923.5784</v>
      </c>
      <c r="K162" s="43">
        <f>'Data entry hotel only'!AA162</f>
        <v>390844.96600000001</v>
      </c>
      <c r="L162" s="43">
        <f>'Data entry hotel only'!AD162</f>
        <v>539286.8493</v>
      </c>
      <c r="M162" s="43">
        <f>'Data entry hotel only'!AG162</f>
        <v>564348.21569999994</v>
      </c>
      <c r="N162" s="43">
        <f>'Data entry hotel only'!AJ162</f>
        <v>485973.65710000001</v>
      </c>
      <c r="O162" s="43">
        <f>'Data entry hotel only'!AM162</f>
        <v>358585.33510000003</v>
      </c>
      <c r="Q162" s="223">
        <f>'Hotels Only'!C162-'Hotels ORG'!C162</f>
        <v>-501068.85559999943</v>
      </c>
      <c r="R162" s="224">
        <f>SUM(D162:I162)-SUM('Hotels ORG'!D162:I162)</f>
        <v>-350747.30079999985</v>
      </c>
    </row>
    <row r="163" spans="2:18" ht="14" x14ac:dyDescent="0.15">
      <c r="B163" s="38" t="s">
        <v>116</v>
      </c>
      <c r="C163" s="40">
        <f>'Data entry hotel only'!C163</f>
        <v>2312515.1028</v>
      </c>
      <c r="D163" s="40">
        <f>'Data entry hotel only'!F163</f>
        <v>130853.71</v>
      </c>
      <c r="E163" s="40">
        <f>'Data entry hotel only'!I163</f>
        <v>177177.93</v>
      </c>
      <c r="F163" s="40">
        <f>'Data entry hotel only'!L163</f>
        <v>195602.94</v>
      </c>
      <c r="G163" s="40">
        <f>'Data entry hotel only'!O163</f>
        <v>172954.75</v>
      </c>
      <c r="H163" s="40">
        <f>'Data entry hotel only'!R163</f>
        <v>217484.46</v>
      </c>
      <c r="I163" s="40">
        <f>'Data entry hotel only'!U163</f>
        <v>185473.72</v>
      </c>
      <c r="J163" s="40">
        <f>'Data entry hotel only'!X163</f>
        <v>156822.9614</v>
      </c>
      <c r="K163" s="40">
        <f>'Data entry hotel only'!AA163</f>
        <v>176849.55129999999</v>
      </c>
      <c r="L163" s="40">
        <f>'Data entry hotel only'!AD163</f>
        <v>251639.32430000001</v>
      </c>
      <c r="M163" s="40">
        <f>'Data entry hotel only'!AG163</f>
        <v>262819.82539999997</v>
      </c>
      <c r="N163" s="40">
        <f>'Data entry hotel only'!AJ163</f>
        <v>224602.7879</v>
      </c>
      <c r="O163" s="40">
        <f>'Data entry hotel only'!AM163</f>
        <v>160233.14249999999</v>
      </c>
      <c r="Q163" s="223">
        <f>'Hotels Only'!C163-'Hotels ORG'!C163</f>
        <v>-189550.25039999979</v>
      </c>
      <c r="R163" s="224">
        <f>SUM(D163:I163)-SUM('Hotels ORG'!D163:I163)</f>
        <v>-102966.9031</v>
      </c>
    </row>
    <row r="164" spans="2:18" ht="14" x14ac:dyDescent="0.15">
      <c r="B164" s="38" t="s">
        <v>117</v>
      </c>
      <c r="C164" s="40">
        <f>'Data entry hotel only'!C164</f>
        <v>1543732.2409999999</v>
      </c>
      <c r="D164" s="40">
        <f>'Data entry hotel only'!F164</f>
        <v>92272.86</v>
      </c>
      <c r="E164" s="40">
        <f>'Data entry hotel only'!I164</f>
        <v>105489.5</v>
      </c>
      <c r="F164" s="40">
        <f>'Data entry hotel only'!L164</f>
        <v>120934.02</v>
      </c>
      <c r="G164" s="40">
        <f>'Data entry hotel only'!O164</f>
        <v>109589.65</v>
      </c>
      <c r="H164" s="40">
        <f>'Data entry hotel only'!R164</f>
        <v>115516.59</v>
      </c>
      <c r="I164" s="40">
        <f>'Data entry hotel only'!U164</f>
        <v>125729.28</v>
      </c>
      <c r="J164" s="40">
        <f>'Data entry hotel only'!X164</f>
        <v>112395.5778</v>
      </c>
      <c r="K164" s="40">
        <f>'Data entry hotel only'!AA164</f>
        <v>125553.72689999999</v>
      </c>
      <c r="L164" s="40">
        <f>'Data entry hotel only'!AD164</f>
        <v>175611.41329999999</v>
      </c>
      <c r="M164" s="40">
        <f>'Data entry hotel only'!AG164</f>
        <v>187077.6801</v>
      </c>
      <c r="N164" s="40">
        <f>'Data entry hotel only'!AJ164</f>
        <v>159867.9693</v>
      </c>
      <c r="O164" s="40">
        <f>'Data entry hotel only'!AM164</f>
        <v>113693.9736</v>
      </c>
      <c r="Q164" s="223">
        <f>'Hotels Only'!C164-'Hotels ORG'!C164</f>
        <v>-212127.03000000003</v>
      </c>
      <c r="R164" s="224">
        <f>SUM(D164:I164)-SUM('Hotels ORG'!D164:I164)</f>
        <v>-161679.06900000002</v>
      </c>
    </row>
    <row r="165" spans="2:18" ht="14" x14ac:dyDescent="0.15">
      <c r="B165" s="38" t="s">
        <v>118</v>
      </c>
      <c r="C165" s="40">
        <f>'Data entry hotel only'!C165</f>
        <v>501952.98259999999</v>
      </c>
      <c r="D165" s="40">
        <f>'Data entry hotel only'!F165</f>
        <v>46226.16</v>
      </c>
      <c r="E165" s="40">
        <f>'Data entry hotel only'!I165</f>
        <v>8271.2000000000007</v>
      </c>
      <c r="F165" s="40">
        <f>'Data entry hotel only'!L165</f>
        <v>31531.42</v>
      </c>
      <c r="G165" s="40">
        <f>'Data entry hotel only'!O165</f>
        <v>43468.66</v>
      </c>
      <c r="H165" s="40">
        <f>'Data entry hotel only'!R165</f>
        <v>34903.22</v>
      </c>
      <c r="I165" s="40">
        <f>'Data entry hotel only'!U165</f>
        <v>28203.759999999998</v>
      </c>
      <c r="J165" s="40">
        <f>'Data entry hotel only'!X165</f>
        <v>52453.389600000002</v>
      </c>
      <c r="K165" s="40">
        <f>'Data entry hotel only'!AA165</f>
        <v>50367.441500000001</v>
      </c>
      <c r="L165" s="40">
        <f>'Data entry hotel only'!AD165</f>
        <v>54171.852299999999</v>
      </c>
      <c r="M165" s="40">
        <f>'Data entry hotel only'!AG165</f>
        <v>56932.981099999997</v>
      </c>
      <c r="N165" s="40">
        <f>'Data entry hotel only'!AJ165</f>
        <v>49208.114399999999</v>
      </c>
      <c r="O165" s="40">
        <f>'Data entry hotel only'!AM165</f>
        <v>46214.7837</v>
      </c>
      <c r="Q165" s="223">
        <f>'Hotels Only'!C165-'Hotels ORG'!C165</f>
        <v>-90136.292000000016</v>
      </c>
      <c r="R165" s="224">
        <f>SUM(D165:I165)-SUM('Hotels ORG'!D165:I165)</f>
        <v>-95671.301999999996</v>
      </c>
    </row>
    <row r="166" spans="2:18" ht="14" x14ac:dyDescent="0.15">
      <c r="B166" s="38" t="s">
        <v>119</v>
      </c>
      <c r="C166" s="40">
        <f>'Data entry hotel only'!C166</f>
        <v>562259.12540000002</v>
      </c>
      <c r="D166" s="40">
        <f>'Data entry hotel only'!F166</f>
        <v>37704.639999999999</v>
      </c>
      <c r="E166" s="40">
        <f>'Data entry hotel only'!I166</f>
        <v>41903.839999999997</v>
      </c>
      <c r="F166" s="40">
        <f>'Data entry hotel only'!L166</f>
        <v>48794.51</v>
      </c>
      <c r="G166" s="40">
        <f>'Data entry hotel only'!O166</f>
        <v>45705.54</v>
      </c>
      <c r="H166" s="40">
        <f>'Data entry hotel only'!R166</f>
        <v>55275.94</v>
      </c>
      <c r="I166" s="40">
        <f>'Data entry hotel only'!U166</f>
        <v>53428.55</v>
      </c>
      <c r="J166" s="40">
        <f>'Data entry hotel only'!X166</f>
        <v>35251.649700000002</v>
      </c>
      <c r="K166" s="40">
        <f>'Data entry hotel only'!AA166</f>
        <v>38074.246400000004</v>
      </c>
      <c r="L166" s="40">
        <f>'Data entry hotel only'!AD166</f>
        <v>57864.259400000003</v>
      </c>
      <c r="M166" s="40">
        <f>'Data entry hotel only'!AG166</f>
        <v>57517.728999999999</v>
      </c>
      <c r="N166" s="40">
        <f>'Data entry hotel only'!AJ166</f>
        <v>52294.785499999998</v>
      </c>
      <c r="O166" s="40">
        <f>'Data entry hotel only'!AM166</f>
        <v>38443.435400000002</v>
      </c>
      <c r="Q166" s="223">
        <f>'Hotels Only'!C166-'Hotels ORG'!C166</f>
        <v>-9255.2835999999661</v>
      </c>
      <c r="R166" s="224">
        <f>SUM(D166:I166)-SUM('Hotels ORG'!D166:I166)</f>
        <v>9569.9727999999886</v>
      </c>
    </row>
    <row r="167" spans="2:18" ht="14" x14ac:dyDescent="0.15">
      <c r="C167" s="282" t="s">
        <v>424</v>
      </c>
      <c r="D167" s="283">
        <v>45658</v>
      </c>
      <c r="E167" s="283">
        <v>45689</v>
      </c>
      <c r="F167" s="284" t="s">
        <v>425</v>
      </c>
      <c r="G167" s="283">
        <v>45748</v>
      </c>
      <c r="H167" s="283">
        <v>45778</v>
      </c>
      <c r="I167" s="283">
        <v>45809</v>
      </c>
    </row>
    <row r="168" spans="2:18" ht="14" x14ac:dyDescent="0.15">
      <c r="B168" s="285" t="s">
        <v>423</v>
      </c>
      <c r="C168" s="286">
        <f>430358</f>
        <v>430358</v>
      </c>
      <c r="D168" s="281">
        <f t="shared" ref="D168:I168" si="0">D162-D162*15%</f>
        <v>260998.76449999999</v>
      </c>
      <c r="E168" s="281">
        <f t="shared" si="0"/>
        <v>282916.09949999995</v>
      </c>
      <c r="F168" s="281">
        <f t="shared" si="0"/>
        <v>337333.45650000003</v>
      </c>
      <c r="G168" s="281">
        <f t="shared" si="0"/>
        <v>315960.81</v>
      </c>
      <c r="H168" s="281">
        <f t="shared" si="0"/>
        <v>359703.17850000004</v>
      </c>
      <c r="I168" s="281">
        <f t="shared" si="0"/>
        <v>333910.0135</v>
      </c>
    </row>
    <row r="169" spans="2:18" ht="14" x14ac:dyDescent="0.15">
      <c r="B169" s="285" t="s">
        <v>426</v>
      </c>
      <c r="D169" s="281">
        <f>C168/31*15</f>
        <v>208237.74193548388</v>
      </c>
      <c r="E169" s="281">
        <f>D168</f>
        <v>260998.76449999999</v>
      </c>
      <c r="F169" s="281">
        <f>E168</f>
        <v>282916.09949999995</v>
      </c>
      <c r="G169" s="281">
        <f>F168</f>
        <v>337333.45650000003</v>
      </c>
      <c r="H169" s="281">
        <f>G168</f>
        <v>315960.81</v>
      </c>
      <c r="I169" s="281">
        <f>H168</f>
        <v>359703.17850000004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scale="3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F967-E226-4FCC-BBDE-F15910D2BD4C}">
  <sheetPr>
    <pageSetUpPr fitToPage="1"/>
  </sheetPr>
  <dimension ref="B2:O177"/>
  <sheetViews>
    <sheetView zoomScale="79" workbookViewId="0">
      <pane xSplit="2" ySplit="10" topLeftCell="C135" activePane="bottomRight" state="frozen"/>
      <selection activeCell="O153" sqref="O153"/>
      <selection pane="topRight" activeCell="O153" sqref="O153"/>
      <selection pane="bottomLeft" activeCell="O153" sqref="O153"/>
      <selection pane="bottomRight" activeCell="O153" sqref="O153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135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Kudamm'!C11</f>
        <v>5200028.4957999997</v>
      </c>
      <c r="D11" s="39">
        <f>'data entry Kudamm'!F11</f>
        <v>212740.55</v>
      </c>
      <c r="E11" s="39">
        <f>'data entry Kudamm'!I11</f>
        <v>372392.58</v>
      </c>
      <c r="F11" s="39">
        <f>'data entry Kudamm'!L11</f>
        <v>380798.35</v>
      </c>
      <c r="G11" s="39">
        <f>'data entry Kudamm'!O11</f>
        <v>302561.83</v>
      </c>
      <c r="H11" s="39">
        <f>'data entry Kudamm'!R11</f>
        <v>488136.49699999997</v>
      </c>
      <c r="I11" s="39">
        <f>'data entry Kudamm'!U11</f>
        <v>511441.89809999999</v>
      </c>
      <c r="J11" s="39">
        <f>'data entry Kudamm'!X11</f>
        <v>434316.6923</v>
      </c>
      <c r="K11" s="39">
        <f>'data entry Kudamm'!AA11</f>
        <v>456630.766</v>
      </c>
      <c r="L11" s="39">
        <f>'data entry Kudamm'!AD11</f>
        <v>660583.62210000004</v>
      </c>
      <c r="M11" s="39">
        <f>'data entry Kudamm'!AG11</f>
        <v>549086.48979999998</v>
      </c>
      <c r="N11" s="39">
        <f>'data entry Kudamm'!AJ11</f>
        <v>428789.63439999998</v>
      </c>
      <c r="O11" s="39">
        <f>'data entry Kudamm'!AM11</f>
        <v>402549.58610000001</v>
      </c>
    </row>
    <row r="12" spans="2:15" ht="14" x14ac:dyDescent="0.15">
      <c r="B12" s="38" t="s">
        <v>22</v>
      </c>
      <c r="C12" s="39">
        <f>'data entry Kudamm'!C12</f>
        <v>1611374.2836</v>
      </c>
      <c r="D12" s="39">
        <f>'data entry Kudamm'!F12</f>
        <v>112829.1</v>
      </c>
      <c r="E12" s="39">
        <f>'data entry Kudamm'!I12</f>
        <v>121553.12</v>
      </c>
      <c r="F12" s="39">
        <f>'data entry Kudamm'!L12</f>
        <v>126390.39999999999</v>
      </c>
      <c r="G12" s="39">
        <f>'data entry Kudamm'!O12</f>
        <v>128766.25</v>
      </c>
      <c r="H12" s="39">
        <f>'data entry Kudamm'!R12</f>
        <v>135081.04459999999</v>
      </c>
      <c r="I12" s="39">
        <f>'data entry Kudamm'!U12</f>
        <v>142868.4529</v>
      </c>
      <c r="J12" s="39">
        <f>'data entry Kudamm'!X12</f>
        <v>136694.24530000001</v>
      </c>
      <c r="K12" s="39">
        <f>'data entry Kudamm'!AA12</f>
        <v>140326.62650000001</v>
      </c>
      <c r="L12" s="39">
        <f>'data entry Kudamm'!AD12</f>
        <v>145475.60879999999</v>
      </c>
      <c r="M12" s="39">
        <f>'data entry Kudamm'!AG12</f>
        <v>148990.1581</v>
      </c>
      <c r="N12" s="39">
        <f>'data entry Kudamm'!AJ12</f>
        <v>145125.97070000001</v>
      </c>
      <c r="O12" s="39">
        <f>'data entry Kudamm'!AM12</f>
        <v>127273.3067</v>
      </c>
    </row>
    <row r="13" spans="2:15" ht="14" x14ac:dyDescent="0.15">
      <c r="B13" s="38" t="s">
        <v>23</v>
      </c>
      <c r="C13" s="39">
        <f>'data entry Kudamm'!C13</f>
        <v>1548482.7171</v>
      </c>
      <c r="D13" s="39">
        <f>'data entry Kudamm'!F13</f>
        <v>-17055.05</v>
      </c>
      <c r="E13" s="39">
        <f>'data entry Kudamm'!I13</f>
        <v>111494.36</v>
      </c>
      <c r="F13" s="39">
        <f>'data entry Kudamm'!L13</f>
        <v>114274.56</v>
      </c>
      <c r="G13" s="39">
        <f>'data entry Kudamm'!O13</f>
        <v>26160.82</v>
      </c>
      <c r="H13" s="39">
        <f>'data entry Kudamm'!R13</f>
        <v>161857.965</v>
      </c>
      <c r="I13" s="39">
        <f>'data entry Kudamm'!U13</f>
        <v>173787.9546</v>
      </c>
      <c r="J13" s="39">
        <f>'data entry Kudamm'!X13</f>
        <v>112548.7426</v>
      </c>
      <c r="K13" s="39">
        <f>'data entry Kudamm'!AA13</f>
        <v>142779.37169999999</v>
      </c>
      <c r="L13" s="39">
        <f>'data entry Kudamm'!AD13</f>
        <v>287583.31439999997</v>
      </c>
      <c r="M13" s="39">
        <f>'data entry Kudamm'!AG13</f>
        <v>201371.5215</v>
      </c>
      <c r="N13" s="39">
        <f>'data entry Kudamm'!AJ13</f>
        <v>118280.0408</v>
      </c>
      <c r="O13" s="39">
        <f>'data entry Kudamm'!AM13</f>
        <v>115399.1165</v>
      </c>
    </row>
    <row r="14" spans="2:15" ht="14" x14ac:dyDescent="0.15">
      <c r="B14" s="38" t="s">
        <v>24</v>
      </c>
      <c r="C14" s="39">
        <f>'data entry Kudamm'!C14</f>
        <v>53290</v>
      </c>
      <c r="D14" s="39">
        <f>'data entry Kudamm'!F14</f>
        <v>4526</v>
      </c>
      <c r="E14" s="39">
        <f>'data entry Kudamm'!I14</f>
        <v>4088</v>
      </c>
      <c r="F14" s="39">
        <f>'data entry Kudamm'!L14</f>
        <v>4526</v>
      </c>
      <c r="G14" s="39">
        <f>'data entry Kudamm'!O14</f>
        <v>4380</v>
      </c>
      <c r="H14" s="39">
        <f>'data entry Kudamm'!R14</f>
        <v>4526</v>
      </c>
      <c r="I14" s="39">
        <f>'data entry Kudamm'!U14</f>
        <v>4380</v>
      </c>
      <c r="J14" s="39">
        <f>'data entry Kudamm'!X14</f>
        <v>4526</v>
      </c>
      <c r="K14" s="39">
        <f>'data entry Kudamm'!AA14</f>
        <v>4526</v>
      </c>
      <c r="L14" s="39">
        <f>'data entry Kudamm'!AD14</f>
        <v>4380</v>
      </c>
      <c r="M14" s="39">
        <f>'data entry Kudamm'!AG14</f>
        <v>4526</v>
      </c>
      <c r="N14" s="39">
        <f>'data entry Kudamm'!AJ14</f>
        <v>4380</v>
      </c>
      <c r="O14" s="39">
        <f>'data entry Kudamm'!AM14</f>
        <v>4526</v>
      </c>
    </row>
    <row r="15" spans="2:15" ht="14" x14ac:dyDescent="0.15">
      <c r="B15" s="38" t="s">
        <v>25</v>
      </c>
      <c r="C15" s="39">
        <f>'data entry Kudamm'!C15</f>
        <v>37346</v>
      </c>
      <c r="D15" s="39">
        <f>'data entry Kudamm'!F15</f>
        <v>1846</v>
      </c>
      <c r="E15" s="39">
        <f>'data entry Kudamm'!I15</f>
        <v>2460</v>
      </c>
      <c r="F15" s="39">
        <f>'data entry Kudamm'!L15</f>
        <v>2996</v>
      </c>
      <c r="G15" s="39">
        <f>'data entry Kudamm'!O15</f>
        <v>2571</v>
      </c>
      <c r="H15" s="39">
        <f>'data entry Kudamm'!R15</f>
        <v>3542</v>
      </c>
      <c r="I15" s="39">
        <f>'data entry Kudamm'!U15</f>
        <v>3670</v>
      </c>
      <c r="J15" s="39">
        <f>'data entry Kudamm'!X15</f>
        <v>3213</v>
      </c>
      <c r="K15" s="39">
        <f>'data entry Kudamm'!AA15</f>
        <v>3403</v>
      </c>
      <c r="L15" s="39">
        <f>'data entry Kudamm'!AD15</f>
        <v>3785</v>
      </c>
      <c r="M15" s="39">
        <f>'data entry Kudamm'!AG15</f>
        <v>3495</v>
      </c>
      <c r="N15" s="39">
        <f>'data entry Kudamm'!AJ15</f>
        <v>3155</v>
      </c>
      <c r="O15" s="39">
        <f>'data entry Kudamm'!AM15</f>
        <v>3210</v>
      </c>
    </row>
    <row r="16" spans="2:15" ht="14" x14ac:dyDescent="0.15">
      <c r="B16" s="38" t="s">
        <v>26</v>
      </c>
      <c r="C16" s="39">
        <f>'data entry Kudamm'!C16</f>
        <v>70.273972602740002</v>
      </c>
      <c r="D16" s="39">
        <f>'data entry Kudamm'!F16</f>
        <v>41.029606716747999</v>
      </c>
      <c r="E16" s="39">
        <f>'data entry Kudamm'!I16</f>
        <v>60.543052837573001</v>
      </c>
      <c r="F16" s="39">
        <f>'data entry Kudamm'!L16</f>
        <v>66.261599646486999</v>
      </c>
      <c r="G16" s="39">
        <f>'data entry Kudamm'!O16</f>
        <v>58.767123287670998</v>
      </c>
      <c r="H16" s="39">
        <f>'data entry Kudamm'!R16</f>
        <v>78.369421122404006</v>
      </c>
      <c r="I16" s="39">
        <f>'data entry Kudamm'!U16</f>
        <v>83.926940639269006</v>
      </c>
      <c r="J16" s="39">
        <f>'data entry Kudamm'!X16</f>
        <v>71.210782147591999</v>
      </c>
      <c r="K16" s="39">
        <f>'data entry Kudamm'!AA16</f>
        <v>75.364560318162006</v>
      </c>
      <c r="L16" s="39">
        <f>'data entry Kudamm'!AD16</f>
        <v>86.757990867580006</v>
      </c>
      <c r="M16" s="39">
        <f>'data entry Kudamm'!AG16</f>
        <v>77.485638532921001</v>
      </c>
      <c r="N16" s="39">
        <f>'data entry Kudamm'!AJ16</f>
        <v>72.260273972603002</v>
      </c>
      <c r="O16" s="39">
        <f>'data entry Kudamm'!AM16</f>
        <v>71.034025629694995</v>
      </c>
    </row>
    <row r="17" spans="2:15" ht="14" x14ac:dyDescent="0.15">
      <c r="B17" s="38" t="s">
        <v>27</v>
      </c>
      <c r="C17" s="39">
        <f>'data entry Kudamm'!C17</f>
        <v>124.76815080598</v>
      </c>
      <c r="D17" s="39">
        <f>'data entry Kudamm'!F17</f>
        <v>96.831868905741999</v>
      </c>
      <c r="E17" s="39">
        <f>'data entry Kudamm'!I17</f>
        <v>129.58584146340999</v>
      </c>
      <c r="F17" s="39">
        <f>'data entry Kudamm'!L17</f>
        <v>113.34515687583</v>
      </c>
      <c r="G17" s="39">
        <f>'data entry Kudamm'!O17</f>
        <v>101.50490470634</v>
      </c>
      <c r="H17" s="39">
        <f>'data entry Kudamm'!R17</f>
        <v>124.99827780915</v>
      </c>
      <c r="I17" s="39">
        <f>'data entry Kudamm'!U17</f>
        <v>126.83866485014001</v>
      </c>
      <c r="J17" s="39">
        <f>'data entry Kudamm'!X17</f>
        <v>121.20883909119</v>
      </c>
      <c r="K17" s="39">
        <f>'data entry Kudamm'!AA17</f>
        <v>120.75355862473999</v>
      </c>
      <c r="L17" s="39">
        <f>'data entry Kudamm'!AD17</f>
        <v>158.71466314399001</v>
      </c>
      <c r="M17" s="39">
        <f>'data entry Kudamm'!AG17</f>
        <v>142.57253218884</v>
      </c>
      <c r="N17" s="39">
        <f>'data entry Kudamm'!AJ17</f>
        <v>123.64500792393</v>
      </c>
      <c r="O17" s="39">
        <f>'data entry Kudamm'!AM17</f>
        <v>113.32436137072</v>
      </c>
    </row>
    <row r="18" spans="2:15" ht="14" x14ac:dyDescent="0.15">
      <c r="B18" s="38" t="s">
        <v>28</v>
      </c>
      <c r="C18" s="39">
        <f>'data entry Kudamm'!C18</f>
        <v>87.385540626758996</v>
      </c>
      <c r="D18" s="39">
        <f>'data entry Kudamm'!F18</f>
        <v>39.432454706142003</v>
      </c>
      <c r="E18" s="39">
        <f>'data entry Kudamm'!I18</f>
        <v>77.916729452054994</v>
      </c>
      <c r="F18" s="39">
        <f>'data entry Kudamm'!L18</f>
        <v>75.003378258948004</v>
      </c>
      <c r="G18" s="39">
        <f>'data entry Kudamm'!O18</f>
        <v>59.476696347031996</v>
      </c>
      <c r="H18" s="39">
        <f>'data entry Kudamm'!R18</f>
        <v>97.756053910738004</v>
      </c>
      <c r="I18" s="39">
        <f>'data entry Kudamm'!U18</f>
        <v>106.23239726027001</v>
      </c>
      <c r="J18" s="39">
        <f>'data entry Kudamm'!X18</f>
        <v>86.001767565178994</v>
      </c>
      <c r="K18" s="39">
        <f>'data entry Kudamm'!AA18</f>
        <v>90.747759611136004</v>
      </c>
      <c r="L18" s="39">
        <f>'data entry Kudamm'!AD18</f>
        <v>137.10844748858</v>
      </c>
      <c r="M18" s="39">
        <f>'data entry Kudamm'!AG18</f>
        <v>110.05103844454</v>
      </c>
      <c r="N18" s="39">
        <f>'data entry Kudamm'!AJ18</f>
        <v>89.018264840182994</v>
      </c>
      <c r="O18" s="39">
        <f>'data entry Kudamm'!AM18</f>
        <v>80.329474149359001</v>
      </c>
    </row>
    <row r="19" spans="2:15" ht="14" x14ac:dyDescent="0.15">
      <c r="B19" s="38" t="s">
        <v>29</v>
      </c>
      <c r="C19" s="39">
        <f>'data entry Kudamm'!C19</f>
        <v>97.579817898292006</v>
      </c>
      <c r="D19" s="39">
        <f>'data entry Kudamm'!F19</f>
        <v>47.004098541758999</v>
      </c>
      <c r="E19" s="39">
        <f>'data entry Kudamm'!I19</f>
        <v>91.094075342465999</v>
      </c>
      <c r="F19" s="39">
        <f>'data entry Kudamm'!L19</f>
        <v>84.135737958462002</v>
      </c>
      <c r="G19" s="39">
        <f>'data entry Kudamm'!O19</f>
        <v>69.078043378995005</v>
      </c>
      <c r="H19" s="39">
        <f>'data entry Kudamm'!R19</f>
        <v>107.85163433495001</v>
      </c>
      <c r="I19" s="39">
        <f>'data entry Kudamm'!U19</f>
        <v>116.76755664384</v>
      </c>
      <c r="J19" s="39">
        <f>'data entry Kudamm'!X19</f>
        <v>95.960382744144994</v>
      </c>
      <c r="K19" s="39">
        <f>'data entry Kudamm'!AA19</f>
        <v>100.89058020327001</v>
      </c>
      <c r="L19" s="39">
        <f>'data entry Kudamm'!AD19</f>
        <v>150.81817856164</v>
      </c>
      <c r="M19" s="39">
        <f>'data entry Kudamm'!AG19</f>
        <v>121.31826995138999</v>
      </c>
      <c r="N19" s="39">
        <f>'data entry Kudamm'!AJ19</f>
        <v>97.897176803652997</v>
      </c>
      <c r="O19" s="39">
        <f>'data entry Kudamm'!AM19</f>
        <v>88.941578899690995</v>
      </c>
    </row>
    <row r="20" spans="2:15" ht="14" x14ac:dyDescent="0.15">
      <c r="B20" s="38" t="s">
        <v>30</v>
      </c>
      <c r="C20" s="39">
        <f>'data entry Kudamm'!C20</f>
        <v>52521.33</v>
      </c>
      <c r="D20" s="39">
        <f>'data entry Kudamm'!F20</f>
        <v>2349</v>
      </c>
      <c r="E20" s="39">
        <f>'data entry Kudamm'!I20</f>
        <v>3145</v>
      </c>
      <c r="F20" s="39">
        <f>'data entry Kudamm'!L20</f>
        <v>3788</v>
      </c>
      <c r="G20" s="39">
        <f>'data entry Kudamm'!O20</f>
        <v>3792</v>
      </c>
      <c r="H20" s="39">
        <f>'data entry Kudamm'!R20</f>
        <v>5107.68</v>
      </c>
      <c r="I20" s="39">
        <f>'data entry Kudamm'!U20</f>
        <v>5366.96</v>
      </c>
      <c r="J20" s="39">
        <f>'data entry Kudamm'!X20</f>
        <v>4834.5</v>
      </c>
      <c r="K20" s="39">
        <f>'data entry Kudamm'!AA20</f>
        <v>5218.83</v>
      </c>
      <c r="L20" s="39">
        <f>'data entry Kudamm'!AD20</f>
        <v>5206</v>
      </c>
      <c r="M20" s="39">
        <f>'data entry Kudamm'!AG20</f>
        <v>4839.66</v>
      </c>
      <c r="N20" s="39">
        <f>'data entry Kudamm'!AJ20</f>
        <v>4051.2</v>
      </c>
      <c r="O20" s="39">
        <f>'data entry Kudamm'!AM20</f>
        <v>4822.5</v>
      </c>
    </row>
    <row r="21" spans="2:15" ht="14" x14ac:dyDescent="0.15">
      <c r="B21" s="38" t="s">
        <v>31</v>
      </c>
      <c r="C21" s="39">
        <f>'data entry Kudamm'!C21</f>
        <v>1.4024761675879001</v>
      </c>
      <c r="D21" s="39">
        <f>'data entry Kudamm'!F21</f>
        <v>1.2649434571889999</v>
      </c>
      <c r="E21" s="39">
        <f>'data entry Kudamm'!I21</f>
        <v>1.2707070707071</v>
      </c>
      <c r="F21" s="39">
        <f>'data entry Kudamm'!L21</f>
        <v>1.2630876958985999</v>
      </c>
      <c r="G21" s="39">
        <f>'data entry Kudamm'!O21</f>
        <v>1.4731934731934999</v>
      </c>
      <c r="H21" s="39">
        <f>'data entry Kudamm'!R21</f>
        <v>1.44</v>
      </c>
      <c r="I21" s="39">
        <f>'data entry Kudamm'!U21</f>
        <v>1.46</v>
      </c>
      <c r="J21" s="39">
        <f>'data entry Kudamm'!X21</f>
        <v>1.5</v>
      </c>
      <c r="K21" s="39">
        <f>'data entry Kudamm'!AA21</f>
        <v>1.53</v>
      </c>
      <c r="L21" s="39">
        <f>'data entry Kudamm'!AD21</f>
        <v>1.37</v>
      </c>
      <c r="M21" s="39">
        <f>'data entry Kudamm'!AG21</f>
        <v>1.38</v>
      </c>
      <c r="N21" s="39">
        <f>'data entry Kudamm'!AJ21</f>
        <v>1.28</v>
      </c>
      <c r="O21" s="39">
        <f>'data entry Kudamm'!AM21</f>
        <v>1.5</v>
      </c>
    </row>
    <row r="22" spans="2:15" ht="14" x14ac:dyDescent="0.15">
      <c r="B22" s="38" t="s">
        <v>32</v>
      </c>
      <c r="C22" s="39">
        <f>'data entry Kudamm'!C22</f>
        <v>25414.2696</v>
      </c>
      <c r="D22" s="39">
        <f>'data entry Kudamm'!F22</f>
        <v>0</v>
      </c>
      <c r="E22" s="39">
        <f>'data entry Kudamm'!I22</f>
        <v>0</v>
      </c>
      <c r="F22" s="39">
        <f>'data entry Kudamm'!L22</f>
        <v>0</v>
      </c>
      <c r="G22" s="39">
        <f>'data entry Kudamm'!O22</f>
        <v>0</v>
      </c>
      <c r="H22" s="39">
        <f>'data entry Kudamm'!R22</f>
        <v>2911.3775999999998</v>
      </c>
      <c r="I22" s="39">
        <f>'data entry Kudamm'!U22</f>
        <v>3756.8719999999998</v>
      </c>
      <c r="J22" s="39">
        <f>'data entry Kudamm'!X22</f>
        <v>3142.4250000000002</v>
      </c>
      <c r="K22" s="39">
        <f>'data entry Kudamm'!AA22</f>
        <v>4175.0640000000003</v>
      </c>
      <c r="L22" s="39">
        <f>'data entry Kudamm'!AD22</f>
        <v>3644.2</v>
      </c>
      <c r="M22" s="39">
        <f>'data entry Kudamm'!AG22</f>
        <v>2903.7959999999998</v>
      </c>
      <c r="N22" s="39">
        <f>'data entry Kudamm'!AJ22</f>
        <v>2228.16</v>
      </c>
      <c r="O22" s="39">
        <f>'data entry Kudamm'!AM22</f>
        <v>2652.375</v>
      </c>
    </row>
    <row r="23" spans="2:15" ht="14" x14ac:dyDescent="0.15">
      <c r="B23" s="38" t="s">
        <v>33</v>
      </c>
      <c r="C23" s="39">
        <f>'data entry Kudamm'!C23</f>
        <v>22.1767</v>
      </c>
      <c r="D23" s="39">
        <f>'data entry Kudamm'!F23</f>
        <v>23.48</v>
      </c>
      <c r="E23" s="39">
        <f>'data entry Kudamm'!I23</f>
        <v>22.98</v>
      </c>
      <c r="F23" s="39">
        <f>'data entry Kudamm'!L23</f>
        <v>22.98</v>
      </c>
      <c r="G23" s="39">
        <f>'data entry Kudamm'!O23</f>
        <v>22.18</v>
      </c>
      <c r="H23" s="39">
        <f>'data entry Kudamm'!R23</f>
        <v>21.27</v>
      </c>
      <c r="I23" s="39">
        <f>'data entry Kudamm'!U23</f>
        <v>21.27</v>
      </c>
      <c r="J23" s="39">
        <f>'data entry Kudamm'!X23</f>
        <v>20.61</v>
      </c>
      <c r="K23" s="39">
        <f>'data entry Kudamm'!AA23</f>
        <v>22.27</v>
      </c>
      <c r="L23" s="39">
        <f>'data entry Kudamm'!AD23</f>
        <v>22.27</v>
      </c>
      <c r="M23" s="39">
        <f>'data entry Kudamm'!AG23</f>
        <v>22.27</v>
      </c>
      <c r="N23" s="39">
        <f>'data entry Kudamm'!AJ23</f>
        <v>22.27</v>
      </c>
      <c r="O23" s="39">
        <f>'data entry Kudamm'!AM23</f>
        <v>22.27</v>
      </c>
    </row>
    <row r="24" spans="2:15" x14ac:dyDescent="0.15">
      <c r="C24" s="39">
        <f>'data entry Kudamm'!C24</f>
        <v>0</v>
      </c>
      <c r="D24" s="39">
        <f>'data entry Kudamm'!F24</f>
        <v>0</v>
      </c>
      <c r="E24" s="39">
        <f>'data entry Kudamm'!I24</f>
        <v>0</v>
      </c>
      <c r="F24" s="39">
        <f>'data entry Kudamm'!L24</f>
        <v>0</v>
      </c>
      <c r="G24" s="39">
        <f>'data entry Kudamm'!O24</f>
        <v>0</v>
      </c>
      <c r="H24" s="39">
        <f>'data entry Kudamm'!R24</f>
        <v>0</v>
      </c>
      <c r="I24" s="39">
        <f>'data entry Kudamm'!U24</f>
        <v>0</v>
      </c>
      <c r="J24" s="39">
        <f>'data entry Kudamm'!X24</f>
        <v>0</v>
      </c>
      <c r="K24" s="39">
        <f>'data entry Kudamm'!AA24</f>
        <v>0</v>
      </c>
      <c r="L24" s="39">
        <f>'data entry Kudamm'!AD24</f>
        <v>0</v>
      </c>
      <c r="M24" s="39">
        <f>'data entry Kudamm'!AG24</f>
        <v>0</v>
      </c>
      <c r="N24" s="39">
        <f>'data entry Kudamm'!AJ24</f>
        <v>0</v>
      </c>
      <c r="O24" s="39">
        <f>'data entry Kudamm'!AM24</f>
        <v>0</v>
      </c>
    </row>
    <row r="25" spans="2:15" ht="14" x14ac:dyDescent="0.15">
      <c r="B25" s="38" t="s">
        <v>34</v>
      </c>
      <c r="C25" s="39">
        <f>'data entry Kudamm'!C25</f>
        <v>0</v>
      </c>
      <c r="D25" s="39">
        <f>'data entry Kudamm'!F25</f>
        <v>0</v>
      </c>
      <c r="E25" s="39">
        <f>'data entry Kudamm'!I25</f>
        <v>0</v>
      </c>
      <c r="F25" s="39">
        <f>'data entry Kudamm'!L25</f>
        <v>0</v>
      </c>
      <c r="G25" s="39">
        <f>'data entry Kudamm'!O25</f>
        <v>0</v>
      </c>
      <c r="H25" s="39">
        <f>'data entry Kudamm'!R25</f>
        <v>0</v>
      </c>
      <c r="I25" s="39">
        <f>'data entry Kudamm'!U25</f>
        <v>0</v>
      </c>
      <c r="J25" s="39">
        <f>'data entry Kudamm'!X25</f>
        <v>0</v>
      </c>
      <c r="K25" s="39">
        <f>'data entry Kudamm'!AA25</f>
        <v>0</v>
      </c>
      <c r="L25" s="39">
        <f>'data entry Kudamm'!AD25</f>
        <v>0</v>
      </c>
      <c r="M25" s="39">
        <f>'data entry Kudamm'!AG25</f>
        <v>0</v>
      </c>
      <c r="N25" s="39">
        <f>'data entry Kudamm'!AJ25</f>
        <v>0</v>
      </c>
      <c r="O25" s="39">
        <f>'data entry Kudamm'!AM25</f>
        <v>0</v>
      </c>
    </row>
    <row r="26" spans="2:15" x14ac:dyDescent="0.15">
      <c r="B26" s="40"/>
      <c r="C26" s="39">
        <f>'data entry Kudamm'!C26</f>
        <v>0</v>
      </c>
      <c r="D26" s="39">
        <f>'data entry Kudamm'!F26</f>
        <v>0</v>
      </c>
      <c r="E26" s="39">
        <f>'data entry Kudamm'!I26</f>
        <v>0</v>
      </c>
      <c r="F26" s="39">
        <f>'data entry Kudamm'!L26</f>
        <v>0</v>
      </c>
      <c r="G26" s="39">
        <f>'data entry Kudamm'!O26</f>
        <v>0</v>
      </c>
      <c r="H26" s="39">
        <f>'data entry Kudamm'!R26</f>
        <v>0</v>
      </c>
      <c r="I26" s="39">
        <f>'data entry Kudamm'!U26</f>
        <v>0</v>
      </c>
      <c r="J26" s="39">
        <f>'data entry Kudamm'!X26</f>
        <v>0</v>
      </c>
      <c r="K26" s="39">
        <f>'data entry Kudamm'!AA26</f>
        <v>0</v>
      </c>
      <c r="L26" s="39">
        <f>'data entry Kudamm'!AD26</f>
        <v>0</v>
      </c>
      <c r="M26" s="39">
        <f>'data entry Kudamm'!AG26</f>
        <v>0</v>
      </c>
      <c r="N26" s="39">
        <f>'data entry Kudamm'!AJ26</f>
        <v>0</v>
      </c>
      <c r="O26" s="39">
        <f>'data entry Kudamm'!AM26</f>
        <v>0</v>
      </c>
    </row>
    <row r="27" spans="2:15" ht="14" x14ac:dyDescent="0.15">
      <c r="B27" s="42" t="s">
        <v>21</v>
      </c>
      <c r="C27" s="39">
        <f>'data entry Kudamm'!C27</f>
        <v>5200028.4957999997</v>
      </c>
      <c r="D27" s="39">
        <f>'data entry Kudamm'!F27</f>
        <v>212740.55</v>
      </c>
      <c r="E27" s="39">
        <f>'data entry Kudamm'!I27</f>
        <v>372392.58</v>
      </c>
      <c r="F27" s="39">
        <f>'data entry Kudamm'!L27</f>
        <v>380798.35</v>
      </c>
      <c r="G27" s="39">
        <f>'data entry Kudamm'!O27</f>
        <v>302561.83</v>
      </c>
      <c r="H27" s="39">
        <f>'data entry Kudamm'!R27</f>
        <v>488136.49699999997</v>
      </c>
      <c r="I27" s="39">
        <f>'data entry Kudamm'!U27</f>
        <v>511441.89809999999</v>
      </c>
      <c r="J27" s="39">
        <f>'data entry Kudamm'!X27</f>
        <v>434316.6923</v>
      </c>
      <c r="K27" s="39">
        <f>'data entry Kudamm'!AA27</f>
        <v>456630.766</v>
      </c>
      <c r="L27" s="39">
        <f>'data entry Kudamm'!AD27</f>
        <v>660583.62210000004</v>
      </c>
      <c r="M27" s="39">
        <f>'data entry Kudamm'!AG27</f>
        <v>549086.48979999998</v>
      </c>
      <c r="N27" s="39">
        <f>'data entry Kudamm'!AJ27</f>
        <v>428789.63439999998</v>
      </c>
      <c r="O27" s="39">
        <f>'data entry Kudamm'!AM27</f>
        <v>402549.58610000001</v>
      </c>
    </row>
    <row r="28" spans="2:15" ht="14" x14ac:dyDescent="0.15">
      <c r="B28" s="38" t="s">
        <v>35</v>
      </c>
      <c r="C28" s="39">
        <f>'data entry Kudamm'!C28</f>
        <v>4659591.3600000003</v>
      </c>
      <c r="D28" s="39">
        <f>'data entry Kudamm'!F28</f>
        <v>178751.63</v>
      </c>
      <c r="E28" s="39">
        <f>'data entry Kudamm'!I28</f>
        <v>318781.17</v>
      </c>
      <c r="F28" s="39">
        <f>'data entry Kudamm'!L28</f>
        <v>339582.09</v>
      </c>
      <c r="G28" s="39">
        <f>'data entry Kudamm'!O28</f>
        <v>260969.11</v>
      </c>
      <c r="H28" s="39">
        <f>'data entry Kudamm'!R28</f>
        <v>442743.9</v>
      </c>
      <c r="I28" s="39">
        <f>'data entry Kudamm'!U28</f>
        <v>465497.9</v>
      </c>
      <c r="J28" s="39">
        <f>'data entry Kudamm'!X28</f>
        <v>389444</v>
      </c>
      <c r="K28" s="39">
        <f>'data entry Kudamm'!AA28</f>
        <v>410924.36</v>
      </c>
      <c r="L28" s="39">
        <f>'data entry Kudamm'!AD28</f>
        <v>600735</v>
      </c>
      <c r="M28" s="39">
        <f>'data entry Kudamm'!AG28</f>
        <v>498291</v>
      </c>
      <c r="N28" s="39">
        <f>'data entry Kudamm'!AJ28</f>
        <v>390100</v>
      </c>
      <c r="O28" s="39">
        <f>'data entry Kudamm'!AM28</f>
        <v>363771.2</v>
      </c>
    </row>
    <row r="29" spans="2:15" ht="14" x14ac:dyDescent="0.15">
      <c r="B29" s="38" t="s">
        <v>36</v>
      </c>
      <c r="C29" s="39">
        <f>'data entry Kudamm'!C29</f>
        <v>480816.3726</v>
      </c>
      <c r="D29" s="39">
        <f>'data entry Kudamm'!F29</f>
        <v>32058.639999999999</v>
      </c>
      <c r="E29" s="39">
        <f>'data entry Kudamm'!I29</f>
        <v>39792.019999999997</v>
      </c>
      <c r="F29" s="39">
        <f>'data entry Kudamm'!L29</f>
        <v>36216.18</v>
      </c>
      <c r="G29" s="39">
        <f>'data entry Kudamm'!O29</f>
        <v>39508.67</v>
      </c>
      <c r="H29" s="39">
        <f>'data entry Kudamm'!R29</f>
        <v>42786.063999999998</v>
      </c>
      <c r="I29" s="39">
        <f>'data entry Kudamm'!U29</f>
        <v>43437.067999999999</v>
      </c>
      <c r="J29" s="39">
        <f>'data entry Kudamm'!X29</f>
        <v>41433.224999999999</v>
      </c>
      <c r="K29" s="39">
        <f>'data entry Kudamm'!AA29</f>
        <v>44206.874000000003</v>
      </c>
      <c r="L29" s="39">
        <f>'data entry Kudamm'!AD29</f>
        <v>44951.360000000001</v>
      </c>
      <c r="M29" s="39">
        <f>'data entry Kudamm'!AG29</f>
        <v>42948.169600000001</v>
      </c>
      <c r="N29" s="39">
        <f>'data entry Kudamm'!AJ29</f>
        <v>36196.351999999999</v>
      </c>
      <c r="O29" s="39">
        <f>'data entry Kudamm'!AM29</f>
        <v>37281.75</v>
      </c>
    </row>
    <row r="30" spans="2:15" ht="14" x14ac:dyDescent="0.15">
      <c r="B30" s="38" t="s">
        <v>37</v>
      </c>
      <c r="C30" s="39">
        <f>'data entry Kudamm'!C30</f>
        <v>16687.893199999999</v>
      </c>
      <c r="D30" s="39">
        <f>'data entry Kudamm'!F30</f>
        <v>121.91</v>
      </c>
      <c r="E30" s="39">
        <f>'data entry Kudamm'!I30</f>
        <v>8586.52</v>
      </c>
      <c r="F30" s="39">
        <f>'data entry Kudamm'!L30</f>
        <v>1236.6500000000001</v>
      </c>
      <c r="G30" s="39">
        <f>'data entry Kudamm'!O30</f>
        <v>255.85</v>
      </c>
      <c r="H30" s="39">
        <f>'data entry Kudamm'!R30</f>
        <v>1106.5329999999999</v>
      </c>
      <c r="I30" s="39">
        <f>'data entry Kudamm'!U30</f>
        <v>1006.9301</v>
      </c>
      <c r="J30" s="39">
        <f>'data entry Kudamm'!X30</f>
        <v>939.46730000000002</v>
      </c>
      <c r="K30" s="39">
        <f>'data entry Kudamm'!AA30</f>
        <v>699.53200000000004</v>
      </c>
      <c r="L30" s="39">
        <f>'data entry Kudamm'!AD30</f>
        <v>897.26210000000003</v>
      </c>
      <c r="M30" s="39">
        <f>'data entry Kudamm'!AG30</f>
        <v>847.3202</v>
      </c>
      <c r="N30" s="39">
        <f>'data entry Kudamm'!AJ30</f>
        <v>493.2824</v>
      </c>
      <c r="O30" s="39">
        <f>'data entry Kudamm'!AM30</f>
        <v>496.6361</v>
      </c>
    </row>
    <row r="31" spans="2:15" ht="14" x14ac:dyDescent="0.15">
      <c r="B31" s="38" t="s">
        <v>38</v>
      </c>
      <c r="C31" s="39">
        <f>'data entry Kudamm'!C31</f>
        <v>42932.87</v>
      </c>
      <c r="D31" s="39">
        <f>'data entry Kudamm'!F31</f>
        <v>1808.37</v>
      </c>
      <c r="E31" s="39">
        <f>'data entry Kudamm'!I31</f>
        <v>5232.87</v>
      </c>
      <c r="F31" s="39">
        <f>'data entry Kudamm'!L31</f>
        <v>3763.43</v>
      </c>
      <c r="G31" s="39">
        <f>'data entry Kudamm'!O31</f>
        <v>1828.2</v>
      </c>
      <c r="H31" s="39">
        <f>'data entry Kudamm'!R31</f>
        <v>1500</v>
      </c>
      <c r="I31" s="39">
        <f>'data entry Kudamm'!U31</f>
        <v>1500</v>
      </c>
      <c r="J31" s="39">
        <f>'data entry Kudamm'!X31</f>
        <v>2500</v>
      </c>
      <c r="K31" s="39">
        <f>'data entry Kudamm'!AA31</f>
        <v>800</v>
      </c>
      <c r="L31" s="39">
        <f>'data entry Kudamm'!AD31</f>
        <v>14000</v>
      </c>
      <c r="M31" s="39">
        <f>'data entry Kudamm'!AG31</f>
        <v>7000</v>
      </c>
      <c r="N31" s="39">
        <f>'data entry Kudamm'!AJ31</f>
        <v>2000</v>
      </c>
      <c r="O31" s="39">
        <f>'data entry Kudamm'!AM31</f>
        <v>1000</v>
      </c>
    </row>
    <row r="32" spans="2:15" x14ac:dyDescent="0.15">
      <c r="B32" s="40"/>
      <c r="C32" s="39">
        <f>'data entry Kudamm'!C32</f>
        <v>0</v>
      </c>
      <c r="D32" s="39">
        <f>'data entry Kudamm'!F32</f>
        <v>0</v>
      </c>
      <c r="E32" s="39">
        <f>'data entry Kudamm'!I32</f>
        <v>0</v>
      </c>
      <c r="F32" s="39">
        <f>'data entry Kudamm'!L32</f>
        <v>0</v>
      </c>
      <c r="G32" s="39">
        <f>'data entry Kudamm'!O32</f>
        <v>0</v>
      </c>
      <c r="H32" s="39">
        <f>'data entry Kudamm'!R32</f>
        <v>0</v>
      </c>
      <c r="I32" s="39">
        <f>'data entry Kudamm'!U32</f>
        <v>0</v>
      </c>
      <c r="J32" s="39">
        <f>'data entry Kudamm'!X32</f>
        <v>0</v>
      </c>
      <c r="K32" s="39">
        <f>'data entry Kudamm'!AA32</f>
        <v>0</v>
      </c>
      <c r="L32" s="39">
        <f>'data entry Kudamm'!AD32</f>
        <v>0</v>
      </c>
      <c r="M32" s="39">
        <f>'data entry Kudamm'!AG32</f>
        <v>0</v>
      </c>
      <c r="N32" s="39">
        <f>'data entry Kudamm'!AJ32</f>
        <v>0</v>
      </c>
      <c r="O32" s="39">
        <f>'data entry Kudamm'!AM32</f>
        <v>0</v>
      </c>
    </row>
    <row r="33" spans="2:15" ht="14" x14ac:dyDescent="0.15">
      <c r="B33" s="44" t="s">
        <v>39</v>
      </c>
      <c r="C33" s="39">
        <f>'data entry Kudamm'!C33</f>
        <v>0</v>
      </c>
      <c r="D33" s="39">
        <f>'data entry Kudamm'!F33</f>
        <v>0</v>
      </c>
      <c r="E33" s="39">
        <f>'data entry Kudamm'!I33</f>
        <v>0</v>
      </c>
      <c r="F33" s="39">
        <f>'data entry Kudamm'!L33</f>
        <v>0</v>
      </c>
      <c r="G33" s="39">
        <f>'data entry Kudamm'!O33</f>
        <v>0</v>
      </c>
      <c r="H33" s="39">
        <f>'data entry Kudamm'!R33</f>
        <v>0</v>
      </c>
      <c r="I33" s="39">
        <f>'data entry Kudamm'!U33</f>
        <v>0</v>
      </c>
      <c r="J33" s="39">
        <f>'data entry Kudamm'!X33</f>
        <v>0</v>
      </c>
      <c r="K33" s="39">
        <f>'data entry Kudamm'!AA33</f>
        <v>0</v>
      </c>
      <c r="L33" s="39">
        <f>'data entry Kudamm'!AD33</f>
        <v>0</v>
      </c>
      <c r="M33" s="39">
        <f>'data entry Kudamm'!AG33</f>
        <v>0</v>
      </c>
      <c r="N33" s="39">
        <f>'data entry Kudamm'!AJ33</f>
        <v>0</v>
      </c>
      <c r="O33" s="39">
        <f>'data entry Kudamm'!AM33</f>
        <v>0</v>
      </c>
    </row>
    <row r="34" spans="2:15" ht="14" x14ac:dyDescent="0.15">
      <c r="B34" s="42" t="s">
        <v>35</v>
      </c>
      <c r="C34" s="39">
        <f>'data entry Kudamm'!C34</f>
        <v>4659591.3600000003</v>
      </c>
      <c r="D34" s="39">
        <f>'data entry Kudamm'!F34</f>
        <v>178751.63</v>
      </c>
      <c r="E34" s="39">
        <f>'data entry Kudamm'!I34</f>
        <v>318781.17</v>
      </c>
      <c r="F34" s="39">
        <f>'data entry Kudamm'!L34</f>
        <v>339582.09</v>
      </c>
      <c r="G34" s="39">
        <f>'data entry Kudamm'!O34</f>
        <v>260969.11</v>
      </c>
      <c r="H34" s="39">
        <f>'data entry Kudamm'!R34</f>
        <v>442743.9</v>
      </c>
      <c r="I34" s="39">
        <f>'data entry Kudamm'!U34</f>
        <v>465497.9</v>
      </c>
      <c r="J34" s="39">
        <f>'data entry Kudamm'!X34</f>
        <v>389444</v>
      </c>
      <c r="K34" s="39">
        <f>'data entry Kudamm'!AA34</f>
        <v>410924.36</v>
      </c>
      <c r="L34" s="39">
        <f>'data entry Kudamm'!AD34</f>
        <v>600735</v>
      </c>
      <c r="M34" s="39">
        <f>'data entry Kudamm'!AG34</f>
        <v>498291</v>
      </c>
      <c r="N34" s="39">
        <f>'data entry Kudamm'!AJ34</f>
        <v>390100</v>
      </c>
      <c r="O34" s="39">
        <f>'data entry Kudamm'!AM34</f>
        <v>363771.2</v>
      </c>
    </row>
    <row r="35" spans="2:15" ht="14" x14ac:dyDescent="0.15">
      <c r="B35" s="38" t="s">
        <v>22</v>
      </c>
      <c r="C35" s="39">
        <f>'data entry Kudamm'!C35</f>
        <v>986141.37230000005</v>
      </c>
      <c r="D35" s="39">
        <f>'data entry Kudamm'!F35</f>
        <v>64985.99</v>
      </c>
      <c r="E35" s="39">
        <f>'data entry Kudamm'!I35</f>
        <v>70716.23</v>
      </c>
      <c r="F35" s="39">
        <f>'data entry Kudamm'!L35</f>
        <v>78492.56</v>
      </c>
      <c r="G35" s="39">
        <f>'data entry Kudamm'!O35</f>
        <v>77566.39</v>
      </c>
      <c r="H35" s="39">
        <f>'data entry Kudamm'!R35</f>
        <v>84143.563200000004</v>
      </c>
      <c r="I35" s="39">
        <f>'data entry Kudamm'!U35</f>
        <v>87782.396200000003</v>
      </c>
      <c r="J35" s="39">
        <f>'data entry Kudamm'!X35</f>
        <v>81403.532800000001</v>
      </c>
      <c r="K35" s="39">
        <f>'data entry Kudamm'!AA35</f>
        <v>87321.215599999996</v>
      </c>
      <c r="L35" s="39">
        <f>'data entry Kudamm'!AD35</f>
        <v>90135.155400000003</v>
      </c>
      <c r="M35" s="39">
        <f>'data entry Kudamm'!AG35</f>
        <v>90937.882800000007</v>
      </c>
      <c r="N35" s="39">
        <f>'data entry Kudamm'!AJ35</f>
        <v>88700.082399999999</v>
      </c>
      <c r="O35" s="39">
        <f>'data entry Kudamm'!AM35</f>
        <v>83956.373900000006</v>
      </c>
    </row>
    <row r="36" spans="2:15" ht="14" x14ac:dyDescent="0.15">
      <c r="B36" s="38" t="s">
        <v>40</v>
      </c>
      <c r="C36" s="39">
        <f>'data entry Kudamm'!C36</f>
        <v>762535.54819999996</v>
      </c>
      <c r="D36" s="39">
        <f>'data entry Kudamm'!F36</f>
        <v>34278.660000000003</v>
      </c>
      <c r="E36" s="39">
        <f>'data entry Kudamm'!I36</f>
        <v>53852.71</v>
      </c>
      <c r="F36" s="39">
        <f>'data entry Kudamm'!L36</f>
        <v>51053.29</v>
      </c>
      <c r="G36" s="39">
        <f>'data entry Kudamm'!O36</f>
        <v>52703.94</v>
      </c>
      <c r="H36" s="39">
        <f>'data entry Kudamm'!R36</f>
        <v>75362.852700000003</v>
      </c>
      <c r="I36" s="39">
        <f>'data entry Kudamm'!U36</f>
        <v>72932.203599999993</v>
      </c>
      <c r="J36" s="39">
        <f>'data entry Kudamm'!X36</f>
        <v>65490.370999999999</v>
      </c>
      <c r="K36" s="39">
        <f>'data entry Kudamm'!AA36</f>
        <v>67177.013099999996</v>
      </c>
      <c r="L36" s="39">
        <f>'data entry Kudamm'!AD36</f>
        <v>89318.65</v>
      </c>
      <c r="M36" s="39">
        <f>'data entry Kudamm'!AG36</f>
        <v>76705.760800000004</v>
      </c>
      <c r="N36" s="39">
        <f>'data entry Kudamm'!AJ36</f>
        <v>63755.726000000002</v>
      </c>
      <c r="O36" s="39">
        <f>'data entry Kudamm'!AM36</f>
        <v>59904.370999999999</v>
      </c>
    </row>
    <row r="37" spans="2:15" ht="14" x14ac:dyDescent="0.15">
      <c r="B37" s="42" t="s">
        <v>41</v>
      </c>
      <c r="C37" s="39">
        <f>'data entry Kudamm'!C37</f>
        <v>2910914.4394999999</v>
      </c>
      <c r="D37" s="39">
        <f>'data entry Kudamm'!F37</f>
        <v>79486.98</v>
      </c>
      <c r="E37" s="39">
        <f>'data entry Kudamm'!I37</f>
        <v>194212.23</v>
      </c>
      <c r="F37" s="39">
        <f>'data entry Kudamm'!L37</f>
        <v>210036.24</v>
      </c>
      <c r="G37" s="39">
        <f>'data entry Kudamm'!O37</f>
        <v>130698.78</v>
      </c>
      <c r="H37" s="39">
        <f>'data entry Kudamm'!R37</f>
        <v>283237.4841</v>
      </c>
      <c r="I37" s="39">
        <f>'data entry Kudamm'!U37</f>
        <v>304783.3002</v>
      </c>
      <c r="J37" s="39">
        <f>'data entry Kudamm'!X37</f>
        <v>242550.0962</v>
      </c>
      <c r="K37" s="39">
        <f>'data entry Kudamm'!AA37</f>
        <v>256426.13130000001</v>
      </c>
      <c r="L37" s="39">
        <f>'data entry Kudamm'!AD37</f>
        <v>421281.19459999999</v>
      </c>
      <c r="M37" s="39">
        <f>'data entry Kudamm'!AG37</f>
        <v>330647.35639999999</v>
      </c>
      <c r="N37" s="39">
        <f>'data entry Kudamm'!AJ37</f>
        <v>237644.19159999999</v>
      </c>
      <c r="O37" s="39">
        <f>'data entry Kudamm'!AM37</f>
        <v>219910.45509999999</v>
      </c>
    </row>
    <row r="38" spans="2:15" x14ac:dyDescent="0.15">
      <c r="B38" s="40"/>
      <c r="C38" s="39">
        <f>'data entry Kudamm'!C38</f>
        <v>0</v>
      </c>
      <c r="D38" s="39">
        <f>'data entry Kudamm'!F38</f>
        <v>0</v>
      </c>
      <c r="E38" s="39">
        <f>'data entry Kudamm'!I38</f>
        <v>0</v>
      </c>
      <c r="F38" s="39">
        <f>'data entry Kudamm'!L38</f>
        <v>0</v>
      </c>
      <c r="G38" s="39">
        <f>'data entry Kudamm'!O38</f>
        <v>0</v>
      </c>
      <c r="H38" s="39">
        <f>'data entry Kudamm'!R38</f>
        <v>0</v>
      </c>
      <c r="I38" s="39">
        <f>'data entry Kudamm'!U38</f>
        <v>0</v>
      </c>
      <c r="J38" s="39">
        <f>'data entry Kudamm'!X38</f>
        <v>0</v>
      </c>
      <c r="K38" s="39">
        <f>'data entry Kudamm'!AA38</f>
        <v>0</v>
      </c>
      <c r="L38" s="39">
        <f>'data entry Kudamm'!AD38</f>
        <v>0</v>
      </c>
      <c r="M38" s="39">
        <f>'data entry Kudamm'!AG38</f>
        <v>0</v>
      </c>
      <c r="N38" s="39">
        <f>'data entry Kudamm'!AJ38</f>
        <v>0</v>
      </c>
      <c r="O38" s="39">
        <f>'data entry Kudamm'!AM38</f>
        <v>0</v>
      </c>
    </row>
    <row r="39" spans="2:15" ht="14" x14ac:dyDescent="0.15">
      <c r="B39" s="44" t="s">
        <v>42</v>
      </c>
      <c r="C39" s="39">
        <f>'data entry Kudamm'!C39</f>
        <v>0</v>
      </c>
      <c r="D39" s="39">
        <f>'data entry Kudamm'!F39</f>
        <v>0</v>
      </c>
      <c r="E39" s="39">
        <f>'data entry Kudamm'!I39</f>
        <v>0</v>
      </c>
      <c r="F39" s="39">
        <f>'data entry Kudamm'!L39</f>
        <v>0</v>
      </c>
      <c r="G39" s="39">
        <f>'data entry Kudamm'!O39</f>
        <v>0</v>
      </c>
      <c r="H39" s="39">
        <f>'data entry Kudamm'!R39</f>
        <v>0</v>
      </c>
      <c r="I39" s="39">
        <f>'data entry Kudamm'!U39</f>
        <v>0</v>
      </c>
      <c r="J39" s="39">
        <f>'data entry Kudamm'!X39</f>
        <v>0</v>
      </c>
      <c r="K39" s="39">
        <f>'data entry Kudamm'!AA39</f>
        <v>0</v>
      </c>
      <c r="L39" s="39">
        <f>'data entry Kudamm'!AD39</f>
        <v>0</v>
      </c>
      <c r="M39" s="39">
        <f>'data entry Kudamm'!AG39</f>
        <v>0</v>
      </c>
      <c r="N39" s="39">
        <f>'data entry Kudamm'!AJ39</f>
        <v>0</v>
      </c>
      <c r="O39" s="39">
        <f>'data entry Kudamm'!AM39</f>
        <v>0</v>
      </c>
    </row>
    <row r="40" spans="2:15" ht="14" x14ac:dyDescent="0.15">
      <c r="B40" s="38" t="s">
        <v>43</v>
      </c>
      <c r="C40" s="39">
        <f>'data entry Kudamm'!C40</f>
        <v>365114.717</v>
      </c>
      <c r="D40" s="39">
        <f>'data entry Kudamm'!F40</f>
        <v>22695.16</v>
      </c>
      <c r="E40" s="39">
        <f>'data entry Kudamm'!I40</f>
        <v>30574.42</v>
      </c>
      <c r="F40" s="39">
        <f>'data entry Kudamm'!L40</f>
        <v>28178.44</v>
      </c>
      <c r="G40" s="39">
        <f>'data entry Kudamm'!O40</f>
        <v>30581.279999999999</v>
      </c>
      <c r="H40" s="39">
        <f>'data entry Kudamm'!R40</f>
        <v>33067.616000000002</v>
      </c>
      <c r="I40" s="39">
        <f>'data entry Kudamm'!U40</f>
        <v>33601.760000000002</v>
      </c>
      <c r="J40" s="39">
        <f>'data entry Kudamm'!X40</f>
        <v>32007</v>
      </c>
      <c r="K40" s="39">
        <f>'data entry Kudamm'!AA40</f>
        <v>34822.394999999997</v>
      </c>
      <c r="L40" s="39">
        <f>'data entry Kudamm'!AD40</f>
        <v>33453.599999999999</v>
      </c>
      <c r="M40" s="39">
        <f>'data entry Kudamm'!AG40</f>
        <v>30402.096000000001</v>
      </c>
      <c r="N40" s="39">
        <f>'data entry Kudamm'!AJ40</f>
        <v>27407.200000000001</v>
      </c>
      <c r="O40" s="39">
        <f>'data entry Kudamm'!AM40</f>
        <v>28323.75</v>
      </c>
    </row>
    <row r="41" spans="2:15" ht="14" x14ac:dyDescent="0.15">
      <c r="B41" s="38" t="s">
        <v>44</v>
      </c>
      <c r="C41" s="39">
        <f>'data entry Kudamm'!C41</f>
        <v>86306.055600000007</v>
      </c>
      <c r="D41" s="39">
        <f>'data entry Kudamm'!F41</f>
        <v>6146.1</v>
      </c>
      <c r="E41" s="39">
        <f>'data entry Kudamm'!I41</f>
        <v>7515.84</v>
      </c>
      <c r="F41" s="39">
        <f>'data entry Kudamm'!L41</f>
        <v>7319.69</v>
      </c>
      <c r="G41" s="39">
        <f>'data entry Kudamm'!O41</f>
        <v>7568.98</v>
      </c>
      <c r="H41" s="39">
        <f>'data entry Kudamm'!R41</f>
        <v>7718.4480000000003</v>
      </c>
      <c r="I41" s="39">
        <f>'data entry Kudamm'!U41</f>
        <v>7435.308</v>
      </c>
      <c r="J41" s="39">
        <f>'data entry Kudamm'!X41</f>
        <v>7126.2250000000004</v>
      </c>
      <c r="K41" s="39">
        <f>'data entry Kudamm'!AA41</f>
        <v>7884.4790000000003</v>
      </c>
      <c r="L41" s="39">
        <f>'data entry Kudamm'!AD41</f>
        <v>8297.76</v>
      </c>
      <c r="M41" s="39">
        <f>'data entry Kudamm'!AG41</f>
        <v>7546.0735999999997</v>
      </c>
      <c r="N41" s="39">
        <f>'data entry Kudamm'!AJ41</f>
        <v>5789.152</v>
      </c>
      <c r="O41" s="39">
        <f>'data entry Kudamm'!AM41</f>
        <v>5958</v>
      </c>
    </row>
    <row r="42" spans="2:15" ht="14" x14ac:dyDescent="0.15">
      <c r="B42" s="38" t="s">
        <v>45</v>
      </c>
      <c r="C42" s="39">
        <f>'data entry Kudamm'!C42</f>
        <v>29395.599999999999</v>
      </c>
      <c r="D42" s="39">
        <f>'data entry Kudamm'!F42</f>
        <v>3217.38</v>
      </c>
      <c r="E42" s="39">
        <f>'data entry Kudamm'!I42</f>
        <v>1701.76</v>
      </c>
      <c r="F42" s="39">
        <f>'data entry Kudamm'!L42</f>
        <v>718.05</v>
      </c>
      <c r="G42" s="39">
        <f>'data entry Kudamm'!O42</f>
        <v>1358.41</v>
      </c>
      <c r="H42" s="39">
        <f>'data entry Kudamm'!R42</f>
        <v>2000</v>
      </c>
      <c r="I42" s="39">
        <f>'data entry Kudamm'!U42</f>
        <v>2400</v>
      </c>
      <c r="J42" s="39">
        <f>'data entry Kudamm'!X42</f>
        <v>2300</v>
      </c>
      <c r="K42" s="39">
        <f>'data entry Kudamm'!AA42</f>
        <v>1500</v>
      </c>
      <c r="L42" s="39">
        <f>'data entry Kudamm'!AD42</f>
        <v>3200</v>
      </c>
      <c r="M42" s="39">
        <f>'data entry Kudamm'!AG42</f>
        <v>5000</v>
      </c>
      <c r="N42" s="39">
        <f>'data entry Kudamm'!AJ42</f>
        <v>3000</v>
      </c>
      <c r="O42" s="39">
        <f>'data entry Kudamm'!AM42</f>
        <v>3000</v>
      </c>
    </row>
    <row r="43" spans="2:15" ht="14" x14ac:dyDescent="0.15">
      <c r="B43" s="42" t="s">
        <v>36</v>
      </c>
      <c r="C43" s="39">
        <f>'data entry Kudamm'!C43</f>
        <v>480816.3726</v>
      </c>
      <c r="D43" s="39">
        <f>'data entry Kudamm'!F43</f>
        <v>32058.639999999999</v>
      </c>
      <c r="E43" s="39">
        <f>'data entry Kudamm'!I43</f>
        <v>39792.019999999997</v>
      </c>
      <c r="F43" s="39">
        <f>'data entry Kudamm'!L43</f>
        <v>36216.18</v>
      </c>
      <c r="G43" s="39">
        <f>'data entry Kudamm'!O43</f>
        <v>39508.67</v>
      </c>
      <c r="H43" s="39">
        <f>'data entry Kudamm'!R43</f>
        <v>42786.063999999998</v>
      </c>
      <c r="I43" s="39">
        <f>'data entry Kudamm'!U43</f>
        <v>43437.067999999999</v>
      </c>
      <c r="J43" s="39">
        <f>'data entry Kudamm'!X43</f>
        <v>41433.224999999999</v>
      </c>
      <c r="K43" s="39">
        <f>'data entry Kudamm'!AA43</f>
        <v>44206.874000000003</v>
      </c>
      <c r="L43" s="39">
        <f>'data entry Kudamm'!AD43</f>
        <v>44951.360000000001</v>
      </c>
      <c r="M43" s="39">
        <f>'data entry Kudamm'!AG43</f>
        <v>42948.169600000001</v>
      </c>
      <c r="N43" s="39">
        <f>'data entry Kudamm'!AJ43</f>
        <v>36196.351999999999</v>
      </c>
      <c r="O43" s="39">
        <f>'data entry Kudamm'!AM43</f>
        <v>37281.75</v>
      </c>
    </row>
    <row r="44" spans="2:15" ht="14" x14ac:dyDescent="0.15">
      <c r="B44" s="38" t="s">
        <v>46</v>
      </c>
      <c r="C44" s="39">
        <f>'data entry Kudamm'!C44</f>
        <v>123352.5583</v>
      </c>
      <c r="D44" s="39">
        <f>'data entry Kudamm'!F44</f>
        <v>8468.2999999999993</v>
      </c>
      <c r="E44" s="39">
        <f>'data entry Kudamm'!I44</f>
        <v>12554.72</v>
      </c>
      <c r="F44" s="39">
        <f>'data entry Kudamm'!L44</f>
        <v>10356.719999999999</v>
      </c>
      <c r="G44" s="39">
        <f>'data entry Kudamm'!O44</f>
        <v>11017.71</v>
      </c>
      <c r="H44" s="39">
        <f>'data entry Kudamm'!R44</f>
        <v>9936.2847999999994</v>
      </c>
      <c r="I44" s="39">
        <f>'data entry Kudamm'!U44</f>
        <v>10092.528</v>
      </c>
      <c r="J44" s="39">
        <f>'data entry Kudamm'!X44</f>
        <v>11151.45</v>
      </c>
      <c r="K44" s="39">
        <f>'data entry Kudamm'!AA44</f>
        <v>12169.838299999999</v>
      </c>
      <c r="L44" s="39">
        <f>'data entry Kudamm'!AD44</f>
        <v>10096.08</v>
      </c>
      <c r="M44" s="39">
        <f>'data entry Kudamm'!AG44</f>
        <v>9728.6707000000006</v>
      </c>
      <c r="N44" s="39">
        <f>'data entry Kudamm'!AJ44</f>
        <v>8770.3040000000001</v>
      </c>
      <c r="O44" s="39">
        <f>'data entry Kudamm'!AM44</f>
        <v>9009.9524999999994</v>
      </c>
    </row>
    <row r="45" spans="2:15" ht="14" x14ac:dyDescent="0.15">
      <c r="B45" s="38" t="s">
        <v>47</v>
      </c>
      <c r="C45" s="39">
        <f>'data entry Kudamm'!C45</f>
        <v>16613.427800000001</v>
      </c>
      <c r="D45" s="39">
        <f>'data entry Kudamm'!F45</f>
        <v>1573.81</v>
      </c>
      <c r="E45" s="39">
        <f>'data entry Kudamm'!I45</f>
        <v>1065.3800000000001</v>
      </c>
      <c r="F45" s="39">
        <f>'data entry Kudamm'!L45</f>
        <v>1382.26</v>
      </c>
      <c r="G45" s="39">
        <f>'data entry Kudamm'!O45</f>
        <v>2014.53</v>
      </c>
      <c r="H45" s="39">
        <f>'data entry Kudamm'!R45</f>
        <v>1670.0586000000001</v>
      </c>
      <c r="I45" s="39">
        <f>'data entry Kudamm'!U45</f>
        <v>1619.7678000000001</v>
      </c>
      <c r="J45" s="39">
        <f>'data entry Kudamm'!X45</f>
        <v>1094.4337</v>
      </c>
      <c r="K45" s="39">
        <f>'data entry Kudamm'!AA45</f>
        <v>1197.6719000000001</v>
      </c>
      <c r="L45" s="39">
        <f>'data entry Kudamm'!AD45</f>
        <v>1493.5968</v>
      </c>
      <c r="M45" s="39">
        <f>'data entry Kudamm'!AG45</f>
        <v>1477.2147</v>
      </c>
      <c r="N45" s="39">
        <f>'data entry Kudamm'!AJ45</f>
        <v>952.26430000000005</v>
      </c>
      <c r="O45" s="39">
        <f>'data entry Kudamm'!AM45</f>
        <v>1072.44</v>
      </c>
    </row>
    <row r="46" spans="2:15" ht="14" x14ac:dyDescent="0.15">
      <c r="B46" s="38" t="s">
        <v>48</v>
      </c>
      <c r="C46" s="39">
        <f>'data entry Kudamm'!C46</f>
        <v>-164.7</v>
      </c>
      <c r="D46" s="39">
        <f>'data entry Kudamm'!F46</f>
        <v>-330.89</v>
      </c>
      <c r="E46" s="39">
        <f>'data entry Kudamm'!I46</f>
        <v>149.96</v>
      </c>
      <c r="F46" s="39">
        <f>'data entry Kudamm'!L46</f>
        <v>5.48</v>
      </c>
      <c r="G46" s="39">
        <f>'data entry Kudamm'!O46</f>
        <v>10.75</v>
      </c>
      <c r="H46" s="39">
        <f>'data entry Kudamm'!R46</f>
        <v>0</v>
      </c>
      <c r="I46" s="39">
        <f>'data entry Kudamm'!U46</f>
        <v>0</v>
      </c>
      <c r="J46" s="39">
        <f>'data entry Kudamm'!X46</f>
        <v>0</v>
      </c>
      <c r="K46" s="39">
        <f>'data entry Kudamm'!AA46</f>
        <v>0</v>
      </c>
      <c r="L46" s="39">
        <f>'data entry Kudamm'!AD46</f>
        <v>0</v>
      </c>
      <c r="M46" s="39">
        <f>'data entry Kudamm'!AG46</f>
        <v>0</v>
      </c>
      <c r="N46" s="39">
        <f>'data entry Kudamm'!AJ46</f>
        <v>0</v>
      </c>
      <c r="O46" s="39">
        <f>'data entry Kudamm'!AM46</f>
        <v>0</v>
      </c>
    </row>
    <row r="47" spans="2:15" ht="14" x14ac:dyDescent="0.15">
      <c r="B47" s="42" t="s">
        <v>49</v>
      </c>
      <c r="C47" s="39">
        <f>'data entry Kudamm'!C47</f>
        <v>139801.28599999999</v>
      </c>
      <c r="D47" s="39">
        <f>'data entry Kudamm'!F47</f>
        <v>9711.2199999999993</v>
      </c>
      <c r="E47" s="39">
        <f>'data entry Kudamm'!I47</f>
        <v>13770.06</v>
      </c>
      <c r="F47" s="39">
        <f>'data entry Kudamm'!L47</f>
        <v>11744.46</v>
      </c>
      <c r="G47" s="39">
        <f>'data entry Kudamm'!O47</f>
        <v>13042.99</v>
      </c>
      <c r="H47" s="39">
        <f>'data entry Kudamm'!R47</f>
        <v>11606.3434</v>
      </c>
      <c r="I47" s="39">
        <f>'data entry Kudamm'!U47</f>
        <v>11712.2958</v>
      </c>
      <c r="J47" s="39">
        <f>'data entry Kudamm'!X47</f>
        <v>12245.8837</v>
      </c>
      <c r="K47" s="39">
        <f>'data entry Kudamm'!AA47</f>
        <v>13367.5101</v>
      </c>
      <c r="L47" s="39">
        <f>'data entry Kudamm'!AD47</f>
        <v>11589.676799999999</v>
      </c>
      <c r="M47" s="39">
        <f>'data entry Kudamm'!AG47</f>
        <v>11205.885399999999</v>
      </c>
      <c r="N47" s="39">
        <f>'data entry Kudamm'!AJ47</f>
        <v>9722.5683000000008</v>
      </c>
      <c r="O47" s="39">
        <f>'data entry Kudamm'!AM47</f>
        <v>10082.3925</v>
      </c>
    </row>
    <row r="48" spans="2:15" ht="14" x14ac:dyDescent="0.15">
      <c r="B48" s="38" t="s">
        <v>22</v>
      </c>
      <c r="C48" s="39">
        <f>'data entry Kudamm'!C48</f>
        <v>278659.016</v>
      </c>
      <c r="D48" s="39">
        <f>'data entry Kudamm'!F48</f>
        <v>20192.98</v>
      </c>
      <c r="E48" s="39">
        <f>'data entry Kudamm'!I48</f>
        <v>20143.900000000001</v>
      </c>
      <c r="F48" s="39">
        <f>'data entry Kudamm'!L48</f>
        <v>21319.35</v>
      </c>
      <c r="G48" s="39">
        <f>'data entry Kudamm'!O48</f>
        <v>22851</v>
      </c>
      <c r="H48" s="39">
        <f>'data entry Kudamm'!R48</f>
        <v>23036.32</v>
      </c>
      <c r="I48" s="39">
        <f>'data entry Kudamm'!U48</f>
        <v>24375.161499999998</v>
      </c>
      <c r="J48" s="39">
        <f>'data entry Kudamm'!X48</f>
        <v>24563.1561</v>
      </c>
      <c r="K48" s="39">
        <f>'data entry Kudamm'!AA48</f>
        <v>23041.072800000002</v>
      </c>
      <c r="L48" s="39">
        <f>'data entry Kudamm'!AD48</f>
        <v>26416.806400000001</v>
      </c>
      <c r="M48" s="39">
        <f>'data entry Kudamm'!AG48</f>
        <v>25485.0062</v>
      </c>
      <c r="N48" s="39">
        <f>'data entry Kudamm'!AJ48</f>
        <v>25105.5468</v>
      </c>
      <c r="O48" s="39">
        <f>'data entry Kudamm'!AM48</f>
        <v>22128.716199999999</v>
      </c>
    </row>
    <row r="49" spans="2:15" ht="14" x14ac:dyDescent="0.15">
      <c r="B49" s="38" t="s">
        <v>40</v>
      </c>
      <c r="C49" s="39">
        <f>'data entry Kudamm'!C49</f>
        <v>15715.66</v>
      </c>
      <c r="D49" s="39">
        <f>'data entry Kudamm'!F49</f>
        <v>353.15</v>
      </c>
      <c r="E49" s="39">
        <f>'data entry Kudamm'!I49</f>
        <v>256.2</v>
      </c>
      <c r="F49" s="39">
        <f>'data entry Kudamm'!L49</f>
        <v>1740.64</v>
      </c>
      <c r="G49" s="39">
        <f>'data entry Kudamm'!O49</f>
        <v>387.67</v>
      </c>
      <c r="H49" s="39">
        <f>'data entry Kudamm'!R49</f>
        <v>2190</v>
      </c>
      <c r="I49" s="39">
        <f>'data entry Kudamm'!U49</f>
        <v>2860</v>
      </c>
      <c r="J49" s="39">
        <f>'data entry Kudamm'!X49</f>
        <v>1224</v>
      </c>
      <c r="K49" s="39">
        <f>'data entry Kudamm'!AA49</f>
        <v>280</v>
      </c>
      <c r="L49" s="39">
        <f>'data entry Kudamm'!AD49</f>
        <v>3600</v>
      </c>
      <c r="M49" s="39">
        <f>'data entry Kudamm'!AG49</f>
        <v>2014</v>
      </c>
      <c r="N49" s="39">
        <f>'data entry Kudamm'!AJ49</f>
        <v>330</v>
      </c>
      <c r="O49" s="39">
        <f>'data entry Kudamm'!AM49</f>
        <v>480</v>
      </c>
    </row>
    <row r="50" spans="2:15" ht="14" x14ac:dyDescent="0.15">
      <c r="B50" s="42" t="s">
        <v>41</v>
      </c>
      <c r="C50" s="39">
        <f>'data entry Kudamm'!C50</f>
        <v>46640.410499999998</v>
      </c>
      <c r="D50" s="39">
        <f>'data entry Kudamm'!F50</f>
        <v>1801.29</v>
      </c>
      <c r="E50" s="39">
        <f>'data entry Kudamm'!I50</f>
        <v>5621.86</v>
      </c>
      <c r="F50" s="39">
        <f>'data entry Kudamm'!L50</f>
        <v>1411.73</v>
      </c>
      <c r="G50" s="39">
        <f>'data entry Kudamm'!O50</f>
        <v>3227.01</v>
      </c>
      <c r="H50" s="39">
        <f>'data entry Kudamm'!R50</f>
        <v>5953.4005999999999</v>
      </c>
      <c r="I50" s="39">
        <f>'data entry Kudamm'!U50</f>
        <v>4489.6107000000002</v>
      </c>
      <c r="J50" s="39">
        <f>'data entry Kudamm'!X50</f>
        <v>3400.1851000000001</v>
      </c>
      <c r="K50" s="39">
        <f>'data entry Kudamm'!AA50</f>
        <v>7518.2911000000004</v>
      </c>
      <c r="L50" s="39">
        <f>'data entry Kudamm'!AD50</f>
        <v>3344.8768</v>
      </c>
      <c r="M50" s="39">
        <f>'data entry Kudamm'!AG50</f>
        <v>4243.2780000000002</v>
      </c>
      <c r="N50" s="39">
        <f>'data entry Kudamm'!AJ50</f>
        <v>1038.2369000000001</v>
      </c>
      <c r="O50" s="39">
        <f>'data entry Kudamm'!AM50</f>
        <v>4590.6413000000002</v>
      </c>
    </row>
    <row r="51" spans="2:15" x14ac:dyDescent="0.15">
      <c r="B51" s="40"/>
      <c r="C51" s="39">
        <f>'data entry Kudamm'!C51</f>
        <v>0</v>
      </c>
      <c r="D51" s="39">
        <f>'data entry Kudamm'!F51</f>
        <v>0</v>
      </c>
      <c r="E51" s="39">
        <f>'data entry Kudamm'!I51</f>
        <v>0</v>
      </c>
      <c r="F51" s="39">
        <f>'data entry Kudamm'!L51</f>
        <v>0</v>
      </c>
      <c r="G51" s="39">
        <f>'data entry Kudamm'!O51</f>
        <v>0</v>
      </c>
      <c r="H51" s="39">
        <f>'data entry Kudamm'!R51</f>
        <v>0</v>
      </c>
      <c r="I51" s="39">
        <f>'data entry Kudamm'!U51</f>
        <v>0</v>
      </c>
      <c r="J51" s="39">
        <f>'data entry Kudamm'!X51</f>
        <v>0</v>
      </c>
      <c r="K51" s="39">
        <f>'data entry Kudamm'!AA51</f>
        <v>0</v>
      </c>
      <c r="L51" s="39">
        <f>'data entry Kudamm'!AD51</f>
        <v>0</v>
      </c>
      <c r="M51" s="39">
        <f>'data entry Kudamm'!AG51</f>
        <v>0</v>
      </c>
      <c r="N51" s="39">
        <f>'data entry Kudamm'!AJ51</f>
        <v>0</v>
      </c>
      <c r="O51" s="39">
        <f>'data entry Kudamm'!AM51</f>
        <v>0</v>
      </c>
    </row>
    <row r="52" spans="2:15" ht="14" x14ac:dyDescent="0.15">
      <c r="B52" s="44" t="s">
        <v>50</v>
      </c>
      <c r="C52" s="39">
        <f>'data entry Kudamm'!C52</f>
        <v>0</v>
      </c>
      <c r="D52" s="39">
        <f>'data entry Kudamm'!F52</f>
        <v>0</v>
      </c>
      <c r="E52" s="39">
        <f>'data entry Kudamm'!I52</f>
        <v>0</v>
      </c>
      <c r="F52" s="39">
        <f>'data entry Kudamm'!L52</f>
        <v>0</v>
      </c>
      <c r="G52" s="39">
        <f>'data entry Kudamm'!O52</f>
        <v>0</v>
      </c>
      <c r="H52" s="39">
        <f>'data entry Kudamm'!R52</f>
        <v>0</v>
      </c>
      <c r="I52" s="39">
        <f>'data entry Kudamm'!U52</f>
        <v>0</v>
      </c>
      <c r="J52" s="39">
        <f>'data entry Kudamm'!X52</f>
        <v>0</v>
      </c>
      <c r="K52" s="39">
        <f>'data entry Kudamm'!AA52</f>
        <v>0</v>
      </c>
      <c r="L52" s="39">
        <f>'data entry Kudamm'!AD52</f>
        <v>0</v>
      </c>
      <c r="M52" s="39">
        <f>'data entry Kudamm'!AG52</f>
        <v>0</v>
      </c>
      <c r="N52" s="39">
        <f>'data entry Kudamm'!AJ52</f>
        <v>0</v>
      </c>
      <c r="O52" s="39">
        <f>'data entry Kudamm'!AM52</f>
        <v>0</v>
      </c>
    </row>
    <row r="53" spans="2:15" ht="14" x14ac:dyDescent="0.15">
      <c r="B53" s="38" t="s">
        <v>37</v>
      </c>
      <c r="C53" s="39">
        <f>'data entry Kudamm'!C53</f>
        <v>16687.893199999999</v>
      </c>
      <c r="D53" s="39">
        <f>'data entry Kudamm'!F53</f>
        <v>121.91</v>
      </c>
      <c r="E53" s="39">
        <f>'data entry Kudamm'!I53</f>
        <v>8586.52</v>
      </c>
      <c r="F53" s="39">
        <f>'data entry Kudamm'!L53</f>
        <v>1236.6500000000001</v>
      </c>
      <c r="G53" s="39">
        <f>'data entry Kudamm'!O53</f>
        <v>255.85</v>
      </c>
      <c r="H53" s="39">
        <f>'data entry Kudamm'!R53</f>
        <v>1106.5329999999999</v>
      </c>
      <c r="I53" s="39">
        <f>'data entry Kudamm'!U53</f>
        <v>1006.9301</v>
      </c>
      <c r="J53" s="39">
        <f>'data entry Kudamm'!X53</f>
        <v>939.46730000000002</v>
      </c>
      <c r="K53" s="39">
        <f>'data entry Kudamm'!AA53</f>
        <v>699.53200000000004</v>
      </c>
      <c r="L53" s="39">
        <f>'data entry Kudamm'!AD53</f>
        <v>897.26210000000003</v>
      </c>
      <c r="M53" s="39">
        <f>'data entry Kudamm'!AG53</f>
        <v>847.3202</v>
      </c>
      <c r="N53" s="39">
        <f>'data entry Kudamm'!AJ53</f>
        <v>493.2824</v>
      </c>
      <c r="O53" s="39">
        <f>'data entry Kudamm'!AM53</f>
        <v>496.6361</v>
      </c>
    </row>
    <row r="54" spans="2:15" ht="14" x14ac:dyDescent="0.15">
      <c r="B54" s="38" t="s">
        <v>49</v>
      </c>
      <c r="C54" s="39">
        <f>'data entry Kudamm'!C54</f>
        <v>7305.9106000000002</v>
      </c>
      <c r="D54" s="39">
        <f>'data entry Kudamm'!F54</f>
        <v>203.07</v>
      </c>
      <c r="E54" s="39">
        <f>'data entry Kudamm'!I54</f>
        <v>426.68</v>
      </c>
      <c r="F54" s="39">
        <f>'data entry Kudamm'!L54</f>
        <v>353.61</v>
      </c>
      <c r="G54" s="39">
        <f>'data entry Kudamm'!O54</f>
        <v>702.98</v>
      </c>
      <c r="H54" s="39">
        <f>'data entry Kudamm'!R54</f>
        <v>955.22640000000001</v>
      </c>
      <c r="I54" s="39">
        <f>'data entry Kudamm'!U54</f>
        <v>875.54409999999996</v>
      </c>
      <c r="J54" s="39">
        <f>'data entry Kudamm'!X54</f>
        <v>811.57389999999998</v>
      </c>
      <c r="K54" s="39">
        <f>'data entry Kudamm'!AA54</f>
        <v>609.62559999999996</v>
      </c>
      <c r="L54" s="39">
        <f>'data entry Kudamm'!AD54</f>
        <v>777.80960000000005</v>
      </c>
      <c r="M54" s="39">
        <f>'data entry Kudamm'!AG54</f>
        <v>737.85609999999997</v>
      </c>
      <c r="N54" s="39">
        <f>'data entry Kudamm'!AJ54</f>
        <v>424.62599999999998</v>
      </c>
      <c r="O54" s="39">
        <f>'data entry Kudamm'!AM54</f>
        <v>427.30889999999999</v>
      </c>
    </row>
    <row r="55" spans="2:15" ht="14" x14ac:dyDescent="0.15">
      <c r="B55" s="38" t="s">
        <v>22</v>
      </c>
      <c r="C55" s="39">
        <f>'data entry Kudamm'!C55</f>
        <v>0</v>
      </c>
      <c r="D55" s="39">
        <f>'data entry Kudamm'!F55</f>
        <v>0</v>
      </c>
      <c r="E55" s="39">
        <f>'data entry Kudamm'!I55</f>
        <v>0</v>
      </c>
      <c r="F55" s="39">
        <f>'data entry Kudamm'!L55</f>
        <v>0</v>
      </c>
      <c r="G55" s="39">
        <f>'data entry Kudamm'!O55</f>
        <v>0</v>
      </c>
      <c r="H55" s="39">
        <f>'data entry Kudamm'!R55</f>
        <v>0</v>
      </c>
      <c r="I55" s="39">
        <f>'data entry Kudamm'!U55</f>
        <v>0</v>
      </c>
      <c r="J55" s="39">
        <f>'data entry Kudamm'!X55</f>
        <v>0</v>
      </c>
      <c r="K55" s="39">
        <f>'data entry Kudamm'!AA55</f>
        <v>0</v>
      </c>
      <c r="L55" s="39">
        <f>'data entry Kudamm'!AD55</f>
        <v>0</v>
      </c>
      <c r="M55" s="39">
        <f>'data entry Kudamm'!AG55</f>
        <v>0</v>
      </c>
      <c r="N55" s="39">
        <f>'data entry Kudamm'!AJ55</f>
        <v>0</v>
      </c>
      <c r="O55" s="39">
        <f>'data entry Kudamm'!AM55</f>
        <v>0</v>
      </c>
    </row>
    <row r="56" spans="2:15" ht="14" x14ac:dyDescent="0.15">
      <c r="B56" s="38" t="s">
        <v>40</v>
      </c>
      <c r="C56" s="39">
        <f>'data entry Kudamm'!C56</f>
        <v>111.73</v>
      </c>
      <c r="D56" s="39">
        <f>'data entry Kudamm'!F56</f>
        <v>111.73</v>
      </c>
      <c r="E56" s="39">
        <f>'data entry Kudamm'!I56</f>
        <v>0</v>
      </c>
      <c r="F56" s="39">
        <f>'data entry Kudamm'!L56</f>
        <v>119.55</v>
      </c>
      <c r="G56" s="39">
        <f>'data entry Kudamm'!O56</f>
        <v>-119.55</v>
      </c>
      <c r="H56" s="39">
        <f>'data entry Kudamm'!R56</f>
        <v>0</v>
      </c>
      <c r="I56" s="39">
        <f>'data entry Kudamm'!U56</f>
        <v>0</v>
      </c>
      <c r="J56" s="39">
        <f>'data entry Kudamm'!X56</f>
        <v>0</v>
      </c>
      <c r="K56" s="39">
        <f>'data entry Kudamm'!AA56</f>
        <v>0</v>
      </c>
      <c r="L56" s="39">
        <f>'data entry Kudamm'!AD56</f>
        <v>0</v>
      </c>
      <c r="M56" s="39">
        <f>'data entry Kudamm'!AG56</f>
        <v>0</v>
      </c>
      <c r="N56" s="39">
        <f>'data entry Kudamm'!AJ56</f>
        <v>0</v>
      </c>
      <c r="O56" s="39">
        <f>'data entry Kudamm'!AM56</f>
        <v>0</v>
      </c>
    </row>
    <row r="57" spans="2:15" ht="14" x14ac:dyDescent="0.15">
      <c r="B57" s="42" t="s">
        <v>41</v>
      </c>
      <c r="C57" s="39">
        <f>'data entry Kudamm'!C57</f>
        <v>9270.2525999999998</v>
      </c>
      <c r="D57" s="39">
        <f>'data entry Kudamm'!F57</f>
        <v>-192.89</v>
      </c>
      <c r="E57" s="39">
        <f>'data entry Kudamm'!I57</f>
        <v>8159.84</v>
      </c>
      <c r="F57" s="39">
        <f>'data entry Kudamm'!L57</f>
        <v>763.49</v>
      </c>
      <c r="G57" s="39">
        <f>'data entry Kudamm'!O57</f>
        <v>-327.58</v>
      </c>
      <c r="H57" s="39">
        <f>'data entry Kudamm'!R57</f>
        <v>151.3066</v>
      </c>
      <c r="I57" s="39">
        <f>'data entry Kudamm'!U57</f>
        <v>131.386</v>
      </c>
      <c r="J57" s="39">
        <f>'data entry Kudamm'!X57</f>
        <v>127.8935</v>
      </c>
      <c r="K57" s="39">
        <f>'data entry Kudamm'!AA57</f>
        <v>89.906400000000005</v>
      </c>
      <c r="L57" s="39">
        <f>'data entry Kudamm'!AD57</f>
        <v>119.4524</v>
      </c>
      <c r="M57" s="39">
        <f>'data entry Kudamm'!AG57</f>
        <v>109.464</v>
      </c>
      <c r="N57" s="39">
        <f>'data entry Kudamm'!AJ57</f>
        <v>68.656499999999994</v>
      </c>
      <c r="O57" s="39">
        <f>'data entry Kudamm'!AM57</f>
        <v>69.327200000000005</v>
      </c>
    </row>
    <row r="58" spans="2:15" x14ac:dyDescent="0.15">
      <c r="B58" s="40"/>
      <c r="C58" s="39">
        <f>'data entry Kudamm'!C58</f>
        <v>0</v>
      </c>
      <c r="D58" s="39">
        <f>'data entry Kudamm'!F58</f>
        <v>0</v>
      </c>
      <c r="E58" s="39">
        <f>'data entry Kudamm'!I58</f>
        <v>0</v>
      </c>
      <c r="F58" s="39">
        <f>'data entry Kudamm'!L58</f>
        <v>0</v>
      </c>
      <c r="G58" s="39">
        <f>'data entry Kudamm'!O58</f>
        <v>0</v>
      </c>
      <c r="H58" s="39">
        <f>'data entry Kudamm'!R58</f>
        <v>0</v>
      </c>
      <c r="I58" s="39">
        <f>'data entry Kudamm'!U58</f>
        <v>0</v>
      </c>
      <c r="J58" s="39">
        <f>'data entry Kudamm'!X58</f>
        <v>0</v>
      </c>
      <c r="K58" s="39">
        <f>'data entry Kudamm'!AA58</f>
        <v>0</v>
      </c>
      <c r="L58" s="39">
        <f>'data entry Kudamm'!AD58</f>
        <v>0</v>
      </c>
      <c r="M58" s="39">
        <f>'data entry Kudamm'!AG58</f>
        <v>0</v>
      </c>
      <c r="N58" s="39">
        <f>'data entry Kudamm'!AJ58</f>
        <v>0</v>
      </c>
      <c r="O58" s="39">
        <f>'data entry Kudamm'!AM58</f>
        <v>0</v>
      </c>
    </row>
    <row r="59" spans="2:15" ht="14" x14ac:dyDescent="0.15">
      <c r="B59" s="44" t="s">
        <v>38</v>
      </c>
      <c r="C59" s="39">
        <f>'data entry Kudamm'!C59</f>
        <v>0</v>
      </c>
      <c r="D59" s="39">
        <f>'data entry Kudamm'!F59</f>
        <v>0</v>
      </c>
      <c r="E59" s="39">
        <f>'data entry Kudamm'!I59</f>
        <v>0</v>
      </c>
      <c r="F59" s="39">
        <f>'data entry Kudamm'!L59</f>
        <v>0</v>
      </c>
      <c r="G59" s="39">
        <f>'data entry Kudamm'!O59</f>
        <v>0</v>
      </c>
      <c r="H59" s="39">
        <f>'data entry Kudamm'!R59</f>
        <v>0</v>
      </c>
      <c r="I59" s="39">
        <f>'data entry Kudamm'!U59</f>
        <v>0</v>
      </c>
      <c r="J59" s="39">
        <f>'data entry Kudamm'!X59</f>
        <v>0</v>
      </c>
      <c r="K59" s="39">
        <f>'data entry Kudamm'!AA59</f>
        <v>0</v>
      </c>
      <c r="L59" s="39">
        <f>'data entry Kudamm'!AD59</f>
        <v>0</v>
      </c>
      <c r="M59" s="39">
        <f>'data entry Kudamm'!AG59</f>
        <v>0</v>
      </c>
      <c r="N59" s="39">
        <f>'data entry Kudamm'!AJ59</f>
        <v>0</v>
      </c>
      <c r="O59" s="39">
        <f>'data entry Kudamm'!AM59</f>
        <v>0</v>
      </c>
    </row>
    <row r="60" spans="2:15" ht="14" x14ac:dyDescent="0.15">
      <c r="B60" s="42" t="s">
        <v>38</v>
      </c>
      <c r="C60" s="39">
        <f>'data entry Kudamm'!C60</f>
        <v>42932.87</v>
      </c>
      <c r="D60" s="39">
        <f>'data entry Kudamm'!F60</f>
        <v>1808.37</v>
      </c>
      <c r="E60" s="39">
        <f>'data entry Kudamm'!I60</f>
        <v>5232.87</v>
      </c>
      <c r="F60" s="39">
        <f>'data entry Kudamm'!L60</f>
        <v>3763.43</v>
      </c>
      <c r="G60" s="39">
        <f>'data entry Kudamm'!O60</f>
        <v>1828.2</v>
      </c>
      <c r="H60" s="39">
        <f>'data entry Kudamm'!R60</f>
        <v>1500</v>
      </c>
      <c r="I60" s="39">
        <f>'data entry Kudamm'!U60</f>
        <v>1500</v>
      </c>
      <c r="J60" s="39">
        <f>'data entry Kudamm'!X60</f>
        <v>2500</v>
      </c>
      <c r="K60" s="39">
        <f>'data entry Kudamm'!AA60</f>
        <v>800</v>
      </c>
      <c r="L60" s="39">
        <f>'data entry Kudamm'!AD60</f>
        <v>14000</v>
      </c>
      <c r="M60" s="39">
        <f>'data entry Kudamm'!AG60</f>
        <v>7000</v>
      </c>
      <c r="N60" s="39">
        <f>'data entry Kudamm'!AJ60</f>
        <v>2000</v>
      </c>
      <c r="O60" s="39">
        <f>'data entry Kudamm'!AM60</f>
        <v>1000</v>
      </c>
    </row>
    <row r="61" spans="2:15" x14ac:dyDescent="0.15">
      <c r="B61" s="40"/>
      <c r="C61" s="39">
        <f>'data entry Kudamm'!C61</f>
        <v>0</v>
      </c>
      <c r="D61" s="39">
        <f>'data entry Kudamm'!F61</f>
        <v>0</v>
      </c>
      <c r="E61" s="39">
        <f>'data entry Kudamm'!I61</f>
        <v>0</v>
      </c>
      <c r="F61" s="39">
        <f>'data entry Kudamm'!L61</f>
        <v>0</v>
      </c>
      <c r="G61" s="39">
        <f>'data entry Kudamm'!O61</f>
        <v>0</v>
      </c>
      <c r="H61" s="39">
        <f>'data entry Kudamm'!R61</f>
        <v>0</v>
      </c>
      <c r="I61" s="39">
        <f>'data entry Kudamm'!U61</f>
        <v>0</v>
      </c>
      <c r="J61" s="39">
        <f>'data entry Kudamm'!X61</f>
        <v>0</v>
      </c>
      <c r="K61" s="39">
        <f>'data entry Kudamm'!AA61</f>
        <v>0</v>
      </c>
      <c r="L61" s="39">
        <f>'data entry Kudamm'!AD61</f>
        <v>0</v>
      </c>
      <c r="M61" s="39">
        <f>'data entry Kudamm'!AG61</f>
        <v>0</v>
      </c>
      <c r="N61" s="39">
        <f>'data entry Kudamm'!AJ61</f>
        <v>0</v>
      </c>
      <c r="O61" s="39">
        <f>'data entry Kudamm'!AM61</f>
        <v>0</v>
      </c>
    </row>
    <row r="62" spans="2:15" ht="14" x14ac:dyDescent="0.15">
      <c r="B62" s="44" t="s">
        <v>51</v>
      </c>
      <c r="C62" s="39">
        <f>'data entry Kudamm'!C62</f>
        <v>0</v>
      </c>
      <c r="D62" s="39">
        <f>'data entry Kudamm'!F62</f>
        <v>0</v>
      </c>
      <c r="E62" s="39">
        <f>'data entry Kudamm'!I62</f>
        <v>0</v>
      </c>
      <c r="F62" s="39">
        <f>'data entry Kudamm'!L62</f>
        <v>0</v>
      </c>
      <c r="G62" s="39">
        <f>'data entry Kudamm'!O62</f>
        <v>0</v>
      </c>
      <c r="H62" s="39">
        <f>'data entry Kudamm'!R62</f>
        <v>0</v>
      </c>
      <c r="I62" s="39">
        <f>'data entry Kudamm'!U62</f>
        <v>0</v>
      </c>
      <c r="J62" s="39">
        <f>'data entry Kudamm'!X62</f>
        <v>0</v>
      </c>
      <c r="K62" s="39">
        <f>'data entry Kudamm'!AA62</f>
        <v>0</v>
      </c>
      <c r="L62" s="39">
        <f>'data entry Kudamm'!AD62</f>
        <v>0</v>
      </c>
      <c r="M62" s="39">
        <f>'data entry Kudamm'!AG62</f>
        <v>0</v>
      </c>
      <c r="N62" s="39">
        <f>'data entry Kudamm'!AJ62</f>
        <v>0</v>
      </c>
      <c r="O62" s="39">
        <f>'data entry Kudamm'!AM62</f>
        <v>0</v>
      </c>
    </row>
    <row r="63" spans="2:15" ht="14" x14ac:dyDescent="0.15">
      <c r="B63" s="42" t="s">
        <v>52</v>
      </c>
      <c r="C63" s="39">
        <f>'data entry Kudamm'!C63</f>
        <v>3009757.9726</v>
      </c>
      <c r="D63" s="39">
        <f>'data entry Kudamm'!F63</f>
        <v>82903.75</v>
      </c>
      <c r="E63" s="39">
        <f>'data entry Kudamm'!I63</f>
        <v>213226.8</v>
      </c>
      <c r="F63" s="39">
        <f>'data entry Kudamm'!L63</f>
        <v>215974.89</v>
      </c>
      <c r="G63" s="39">
        <f>'data entry Kudamm'!O63</f>
        <v>135426.41</v>
      </c>
      <c r="H63" s="39">
        <f>'data entry Kudamm'!R63</f>
        <v>290842.19140000001</v>
      </c>
      <c r="I63" s="39">
        <f>'data entry Kudamm'!U63</f>
        <v>310904.29690000002</v>
      </c>
      <c r="J63" s="39">
        <f>'data entry Kudamm'!X63</f>
        <v>248578.17480000001</v>
      </c>
      <c r="K63" s="39">
        <f>'data entry Kudamm'!AA63</f>
        <v>264834.32880000002</v>
      </c>
      <c r="L63" s="39">
        <f>'data entry Kudamm'!AD63</f>
        <v>438745.52370000002</v>
      </c>
      <c r="M63" s="39">
        <f>'data entry Kudamm'!AG63</f>
        <v>342000.09840000002</v>
      </c>
      <c r="N63" s="39">
        <f>'data entry Kudamm'!AJ63</f>
        <v>240751.08499999999</v>
      </c>
      <c r="O63" s="39">
        <f>'data entry Kudamm'!AM63</f>
        <v>225570.42360000001</v>
      </c>
    </row>
    <row r="64" spans="2:15" x14ac:dyDescent="0.15">
      <c r="B64" s="40"/>
      <c r="C64" s="39">
        <f>'data entry Kudamm'!C64</f>
        <v>0</v>
      </c>
      <c r="D64" s="39">
        <f>'data entry Kudamm'!F64</f>
        <v>0</v>
      </c>
      <c r="E64" s="39">
        <f>'data entry Kudamm'!I64</f>
        <v>0</v>
      </c>
      <c r="F64" s="39">
        <f>'data entry Kudamm'!L64</f>
        <v>0</v>
      </c>
      <c r="G64" s="39">
        <f>'data entry Kudamm'!O64</f>
        <v>0</v>
      </c>
      <c r="H64" s="39">
        <f>'data entry Kudamm'!R64</f>
        <v>0</v>
      </c>
      <c r="I64" s="39">
        <f>'data entry Kudamm'!U64</f>
        <v>0</v>
      </c>
      <c r="J64" s="39">
        <f>'data entry Kudamm'!X64</f>
        <v>0</v>
      </c>
      <c r="K64" s="39">
        <f>'data entry Kudamm'!AA64</f>
        <v>0</v>
      </c>
      <c r="L64" s="39">
        <f>'data entry Kudamm'!AD64</f>
        <v>0</v>
      </c>
      <c r="M64" s="39">
        <f>'data entry Kudamm'!AG64</f>
        <v>0</v>
      </c>
      <c r="N64" s="39">
        <f>'data entry Kudamm'!AJ64</f>
        <v>0</v>
      </c>
      <c r="O64" s="39">
        <f>'data entry Kudamm'!AM64</f>
        <v>0</v>
      </c>
    </row>
    <row r="65" spans="2:15" ht="14" x14ac:dyDescent="0.15">
      <c r="B65" s="44" t="s">
        <v>53</v>
      </c>
      <c r="C65" s="39">
        <f>'data entry Kudamm'!C65</f>
        <v>0</v>
      </c>
      <c r="D65" s="39">
        <f>'data entry Kudamm'!F65</f>
        <v>0</v>
      </c>
      <c r="E65" s="39">
        <f>'data entry Kudamm'!I65</f>
        <v>0</v>
      </c>
      <c r="F65" s="39">
        <f>'data entry Kudamm'!L65</f>
        <v>0</v>
      </c>
      <c r="G65" s="39">
        <f>'data entry Kudamm'!O65</f>
        <v>0</v>
      </c>
      <c r="H65" s="39">
        <f>'data entry Kudamm'!R65</f>
        <v>0</v>
      </c>
      <c r="I65" s="39">
        <f>'data entry Kudamm'!U65</f>
        <v>0</v>
      </c>
      <c r="J65" s="39">
        <f>'data entry Kudamm'!X65</f>
        <v>0</v>
      </c>
      <c r="K65" s="39">
        <f>'data entry Kudamm'!AA65</f>
        <v>0</v>
      </c>
      <c r="L65" s="39">
        <f>'data entry Kudamm'!AD65</f>
        <v>0</v>
      </c>
      <c r="M65" s="39">
        <f>'data entry Kudamm'!AG65</f>
        <v>0</v>
      </c>
      <c r="N65" s="39">
        <f>'data entry Kudamm'!AJ65</f>
        <v>0</v>
      </c>
      <c r="O65" s="39">
        <f>'data entry Kudamm'!AM65</f>
        <v>0</v>
      </c>
    </row>
    <row r="66" spans="2:15" ht="14" x14ac:dyDescent="0.15">
      <c r="B66" s="38" t="s">
        <v>22</v>
      </c>
      <c r="C66" s="39">
        <f>'data entry Kudamm'!C66</f>
        <v>180775.8388</v>
      </c>
      <c r="D66" s="39">
        <f>'data entry Kudamm'!F66</f>
        <v>15382.93</v>
      </c>
      <c r="E66" s="39">
        <f>'data entry Kudamm'!I66</f>
        <v>16986.02</v>
      </c>
      <c r="F66" s="39">
        <f>'data entry Kudamm'!L66</f>
        <v>14998.26</v>
      </c>
      <c r="G66" s="39">
        <f>'data entry Kudamm'!O66</f>
        <v>15159.36</v>
      </c>
      <c r="H66" s="39">
        <f>'data entry Kudamm'!R66</f>
        <v>13161.5602</v>
      </c>
      <c r="I66" s="39">
        <f>'data entry Kudamm'!U66</f>
        <v>16284.7971</v>
      </c>
      <c r="J66" s="39">
        <f>'data entry Kudamm'!X66</f>
        <v>15958.2785</v>
      </c>
      <c r="K66" s="39">
        <f>'data entry Kudamm'!AA66</f>
        <v>16572.1669</v>
      </c>
      <c r="L66" s="39">
        <f>'data entry Kudamm'!AD66</f>
        <v>14487.507</v>
      </c>
      <c r="M66" s="39">
        <f>'data entry Kudamm'!AG66</f>
        <v>17322.1669</v>
      </c>
      <c r="N66" s="39">
        <f>'data entry Kudamm'!AJ66</f>
        <v>16572.615900000001</v>
      </c>
      <c r="O66" s="39">
        <f>'data entry Kudamm'!AM66</f>
        <v>7890.1763000000001</v>
      </c>
    </row>
    <row r="67" spans="2:15" ht="14" x14ac:dyDescent="0.15">
      <c r="B67" s="38" t="s">
        <v>40</v>
      </c>
      <c r="C67" s="39">
        <f>'data entry Kudamm'!C67</f>
        <v>157819.75090000001</v>
      </c>
      <c r="D67" s="39">
        <f>'data entry Kudamm'!F67</f>
        <v>4743.3100000000004</v>
      </c>
      <c r="E67" s="39">
        <f>'data entry Kudamm'!I67</f>
        <v>14591.96</v>
      </c>
      <c r="F67" s="39">
        <f>'data entry Kudamm'!L67</f>
        <v>10888.68</v>
      </c>
      <c r="G67" s="39">
        <f>'data entry Kudamm'!O67</f>
        <v>12945.15</v>
      </c>
      <c r="H67" s="39">
        <f>'data entry Kudamm'!R67</f>
        <v>16301.8735</v>
      </c>
      <c r="I67" s="39">
        <f>'data entry Kudamm'!U67</f>
        <v>13337.0417</v>
      </c>
      <c r="J67" s="39">
        <f>'data entry Kudamm'!X67</f>
        <v>15453.4089</v>
      </c>
      <c r="K67" s="39">
        <f>'data entry Kudamm'!AA67</f>
        <v>12872.198700000001</v>
      </c>
      <c r="L67" s="39">
        <f>'data entry Kudamm'!AD67</f>
        <v>16796.641199999998</v>
      </c>
      <c r="M67" s="39">
        <f>'data entry Kudamm'!AG67</f>
        <v>14429.7979</v>
      </c>
      <c r="N67" s="39">
        <f>'data entry Kudamm'!AJ67</f>
        <v>14210.4463</v>
      </c>
      <c r="O67" s="39">
        <f>'data entry Kudamm'!AM67</f>
        <v>11249.242700000001</v>
      </c>
    </row>
    <row r="68" spans="2:15" ht="14" x14ac:dyDescent="0.15">
      <c r="B68" s="42" t="s">
        <v>41</v>
      </c>
      <c r="C68" s="39">
        <f>'data entry Kudamm'!C68</f>
        <v>-338595.58960000001</v>
      </c>
      <c r="D68" s="39">
        <f>'data entry Kudamm'!F68</f>
        <v>-20126.240000000002</v>
      </c>
      <c r="E68" s="39">
        <f>'data entry Kudamm'!I68</f>
        <v>-31577.98</v>
      </c>
      <c r="F68" s="39">
        <f>'data entry Kudamm'!L68</f>
        <v>-25886.94</v>
      </c>
      <c r="G68" s="39">
        <f>'data entry Kudamm'!O68</f>
        <v>-28104.51</v>
      </c>
      <c r="H68" s="39">
        <f>'data entry Kudamm'!R68</f>
        <v>-29463.4336</v>
      </c>
      <c r="I68" s="39">
        <f>'data entry Kudamm'!U68</f>
        <v>-29621.838800000001</v>
      </c>
      <c r="J68" s="39">
        <f>'data entry Kudamm'!X68</f>
        <v>-31411.687399999999</v>
      </c>
      <c r="K68" s="39">
        <f>'data entry Kudamm'!AA68</f>
        <v>-29444.365600000001</v>
      </c>
      <c r="L68" s="39">
        <f>'data entry Kudamm'!AD68</f>
        <v>-31284.1482</v>
      </c>
      <c r="M68" s="39">
        <f>'data entry Kudamm'!AG68</f>
        <v>-31751.964800000002</v>
      </c>
      <c r="N68" s="39">
        <f>'data entry Kudamm'!AJ68</f>
        <v>-30783.0622</v>
      </c>
      <c r="O68" s="39">
        <f>'data entry Kudamm'!AM68</f>
        <v>-19139.419000000002</v>
      </c>
    </row>
    <row r="69" spans="2:15" x14ac:dyDescent="0.15">
      <c r="B69" s="40"/>
      <c r="C69" s="39">
        <f>'data entry Kudamm'!C69</f>
        <v>0</v>
      </c>
      <c r="D69" s="39">
        <f>'data entry Kudamm'!F69</f>
        <v>0</v>
      </c>
      <c r="E69" s="39">
        <f>'data entry Kudamm'!I69</f>
        <v>0</v>
      </c>
      <c r="F69" s="39">
        <f>'data entry Kudamm'!L69</f>
        <v>0</v>
      </c>
      <c r="G69" s="39">
        <f>'data entry Kudamm'!O69</f>
        <v>0</v>
      </c>
      <c r="H69" s="39">
        <f>'data entry Kudamm'!R69</f>
        <v>0</v>
      </c>
      <c r="I69" s="39">
        <f>'data entry Kudamm'!U69</f>
        <v>0</v>
      </c>
      <c r="J69" s="39">
        <f>'data entry Kudamm'!X69</f>
        <v>0</v>
      </c>
      <c r="K69" s="39">
        <f>'data entry Kudamm'!AA69</f>
        <v>0</v>
      </c>
      <c r="L69" s="39">
        <f>'data entry Kudamm'!AD69</f>
        <v>0</v>
      </c>
      <c r="M69" s="39">
        <f>'data entry Kudamm'!AG69</f>
        <v>0</v>
      </c>
      <c r="N69" s="39">
        <f>'data entry Kudamm'!AJ69</f>
        <v>0</v>
      </c>
      <c r="O69" s="39">
        <f>'data entry Kudamm'!AM69</f>
        <v>0</v>
      </c>
    </row>
    <row r="70" spans="2:15" ht="14" x14ac:dyDescent="0.15">
      <c r="B70" s="44" t="s">
        <v>54</v>
      </c>
      <c r="C70" s="39">
        <f>'data entry Kudamm'!C70</f>
        <v>0</v>
      </c>
      <c r="D70" s="39">
        <f>'data entry Kudamm'!F70</f>
        <v>0</v>
      </c>
      <c r="E70" s="39">
        <f>'data entry Kudamm'!I70</f>
        <v>0</v>
      </c>
      <c r="F70" s="39">
        <f>'data entry Kudamm'!L70</f>
        <v>0</v>
      </c>
      <c r="G70" s="39">
        <f>'data entry Kudamm'!O70</f>
        <v>0</v>
      </c>
      <c r="H70" s="39">
        <f>'data entry Kudamm'!R70</f>
        <v>0</v>
      </c>
      <c r="I70" s="39">
        <f>'data entry Kudamm'!U70</f>
        <v>0</v>
      </c>
      <c r="J70" s="39">
        <f>'data entry Kudamm'!X70</f>
        <v>0</v>
      </c>
      <c r="K70" s="39">
        <f>'data entry Kudamm'!AA70</f>
        <v>0</v>
      </c>
      <c r="L70" s="39">
        <f>'data entry Kudamm'!AD70</f>
        <v>0</v>
      </c>
      <c r="M70" s="39">
        <f>'data entry Kudamm'!AG70</f>
        <v>0</v>
      </c>
      <c r="N70" s="39">
        <f>'data entry Kudamm'!AJ70</f>
        <v>0</v>
      </c>
      <c r="O70" s="39">
        <f>'data entry Kudamm'!AM70</f>
        <v>0</v>
      </c>
    </row>
    <row r="71" spans="2:15" ht="14" x14ac:dyDescent="0.15">
      <c r="B71" s="38" t="s">
        <v>55</v>
      </c>
      <c r="C71" s="39">
        <f>'data entry Kudamm'!C71</f>
        <v>19331.740000000002</v>
      </c>
      <c r="D71" s="39">
        <f>'data entry Kudamm'!F71</f>
        <v>1988.32</v>
      </c>
      <c r="E71" s="39">
        <f>'data entry Kudamm'!I71</f>
        <v>1832.31</v>
      </c>
      <c r="F71" s="39">
        <f>'data entry Kudamm'!L71</f>
        <v>1631.45</v>
      </c>
      <c r="G71" s="39">
        <f>'data entry Kudamm'!O71</f>
        <v>1223.6600000000001</v>
      </c>
      <c r="H71" s="39">
        <f>'data entry Kudamm'!R71</f>
        <v>1573</v>
      </c>
      <c r="I71" s="39">
        <f>'data entry Kudamm'!U71</f>
        <v>1609</v>
      </c>
      <c r="J71" s="39">
        <f>'data entry Kudamm'!X71</f>
        <v>1609</v>
      </c>
      <c r="K71" s="39">
        <f>'data entry Kudamm'!AA71</f>
        <v>1573</v>
      </c>
      <c r="L71" s="39">
        <f>'data entry Kudamm'!AD71</f>
        <v>1573</v>
      </c>
      <c r="M71" s="39">
        <f>'data entry Kudamm'!AG71</f>
        <v>1573</v>
      </c>
      <c r="N71" s="39">
        <f>'data entry Kudamm'!AJ71</f>
        <v>1573</v>
      </c>
      <c r="O71" s="39">
        <f>'data entry Kudamm'!AM71</f>
        <v>1573</v>
      </c>
    </row>
    <row r="72" spans="2:15" ht="14" x14ac:dyDescent="0.15">
      <c r="B72" s="38" t="s">
        <v>56</v>
      </c>
      <c r="C72" s="39">
        <f>'data entry Kudamm'!C72</f>
        <v>106123.12</v>
      </c>
      <c r="D72" s="39">
        <f>'data entry Kudamm'!F72</f>
        <v>9940.76</v>
      </c>
      <c r="E72" s="39">
        <f>'data entry Kudamm'!I72</f>
        <v>9122.4</v>
      </c>
      <c r="F72" s="39">
        <f>'data entry Kudamm'!L72</f>
        <v>10303.700000000001</v>
      </c>
      <c r="G72" s="39">
        <f>'data entry Kudamm'!O72</f>
        <v>9508.74</v>
      </c>
      <c r="H72" s="39">
        <f>'data entry Kudamm'!R72</f>
        <v>8407.69</v>
      </c>
      <c r="I72" s="39">
        <f>'data entry Kudamm'!U72</f>
        <v>8281.69</v>
      </c>
      <c r="J72" s="39">
        <f>'data entry Kudamm'!X72</f>
        <v>8465.69</v>
      </c>
      <c r="K72" s="39">
        <f>'data entry Kudamm'!AA72</f>
        <v>8281.69</v>
      </c>
      <c r="L72" s="39">
        <f>'data entry Kudamm'!AD72</f>
        <v>8781.69</v>
      </c>
      <c r="M72" s="39">
        <f>'data entry Kudamm'!AG72</f>
        <v>8465.69</v>
      </c>
      <c r="N72" s="39">
        <f>'data entry Kudamm'!AJ72</f>
        <v>8281.69</v>
      </c>
      <c r="O72" s="39">
        <f>'data entry Kudamm'!AM72</f>
        <v>8281.69</v>
      </c>
    </row>
    <row r="73" spans="2:15" ht="14" x14ac:dyDescent="0.15">
      <c r="B73" s="38" t="s">
        <v>40</v>
      </c>
      <c r="C73" s="39">
        <f>'data entry Kudamm'!C73</f>
        <v>3804</v>
      </c>
      <c r="D73" s="39">
        <f>'data entry Kudamm'!F73</f>
        <v>317</v>
      </c>
      <c r="E73" s="39">
        <f>'data entry Kudamm'!I73</f>
        <v>316</v>
      </c>
      <c r="F73" s="39">
        <f>'data entry Kudamm'!L73</f>
        <v>317.5</v>
      </c>
      <c r="G73" s="39">
        <f>'data entry Kudamm'!O73</f>
        <v>317.5</v>
      </c>
      <c r="H73" s="39">
        <f>'data entry Kudamm'!R73</f>
        <v>317</v>
      </c>
      <c r="I73" s="39">
        <f>'data entry Kudamm'!U73</f>
        <v>317</v>
      </c>
      <c r="J73" s="39">
        <f>'data entry Kudamm'!X73</f>
        <v>317</v>
      </c>
      <c r="K73" s="39">
        <f>'data entry Kudamm'!AA73</f>
        <v>317</v>
      </c>
      <c r="L73" s="39">
        <f>'data entry Kudamm'!AD73</f>
        <v>317</v>
      </c>
      <c r="M73" s="39">
        <f>'data entry Kudamm'!AG73</f>
        <v>317</v>
      </c>
      <c r="N73" s="39">
        <f>'data entry Kudamm'!AJ73</f>
        <v>317</v>
      </c>
      <c r="O73" s="39">
        <f>'data entry Kudamm'!AM73</f>
        <v>317</v>
      </c>
    </row>
    <row r="74" spans="2:15" ht="14" x14ac:dyDescent="0.15">
      <c r="B74" s="42" t="s">
        <v>41</v>
      </c>
      <c r="C74" s="39">
        <f>'data entry Kudamm'!C74</f>
        <v>-129258.86</v>
      </c>
      <c r="D74" s="39">
        <f>'data entry Kudamm'!F74</f>
        <v>-12246.08</v>
      </c>
      <c r="E74" s="39">
        <f>'data entry Kudamm'!I74</f>
        <v>-11270.71</v>
      </c>
      <c r="F74" s="39">
        <f>'data entry Kudamm'!L74</f>
        <v>-12252.65</v>
      </c>
      <c r="G74" s="39">
        <f>'data entry Kudamm'!O74</f>
        <v>-11049.9</v>
      </c>
      <c r="H74" s="39">
        <f>'data entry Kudamm'!R74</f>
        <v>-10297.69</v>
      </c>
      <c r="I74" s="39">
        <f>'data entry Kudamm'!U74</f>
        <v>-10207.69</v>
      </c>
      <c r="J74" s="39">
        <f>'data entry Kudamm'!X74</f>
        <v>-10391.69</v>
      </c>
      <c r="K74" s="39">
        <f>'data entry Kudamm'!AA74</f>
        <v>-10171.69</v>
      </c>
      <c r="L74" s="39">
        <f>'data entry Kudamm'!AD74</f>
        <v>-10671.69</v>
      </c>
      <c r="M74" s="39">
        <f>'data entry Kudamm'!AG74</f>
        <v>-10355.69</v>
      </c>
      <c r="N74" s="39">
        <f>'data entry Kudamm'!AJ74</f>
        <v>-10171.69</v>
      </c>
      <c r="O74" s="39">
        <f>'data entry Kudamm'!AM74</f>
        <v>-10171.69</v>
      </c>
    </row>
    <row r="75" spans="2:15" x14ac:dyDescent="0.15">
      <c r="B75" s="40"/>
      <c r="C75" s="39">
        <f>'data entry Kudamm'!C75</f>
        <v>0</v>
      </c>
      <c r="D75" s="39">
        <f>'data entry Kudamm'!F75</f>
        <v>0</v>
      </c>
      <c r="E75" s="39">
        <f>'data entry Kudamm'!I75</f>
        <v>0</v>
      </c>
      <c r="F75" s="39">
        <f>'data entry Kudamm'!L75</f>
        <v>0</v>
      </c>
      <c r="G75" s="39">
        <f>'data entry Kudamm'!O75</f>
        <v>0</v>
      </c>
      <c r="H75" s="39">
        <f>'data entry Kudamm'!R75</f>
        <v>0</v>
      </c>
      <c r="I75" s="39">
        <f>'data entry Kudamm'!U75</f>
        <v>0</v>
      </c>
      <c r="J75" s="39">
        <f>'data entry Kudamm'!X75</f>
        <v>0</v>
      </c>
      <c r="K75" s="39">
        <f>'data entry Kudamm'!AA75</f>
        <v>0</v>
      </c>
      <c r="L75" s="39">
        <f>'data entry Kudamm'!AD75</f>
        <v>0</v>
      </c>
      <c r="M75" s="39">
        <f>'data entry Kudamm'!AG75</f>
        <v>0</v>
      </c>
      <c r="N75" s="39">
        <f>'data entry Kudamm'!AJ75</f>
        <v>0</v>
      </c>
      <c r="O75" s="39">
        <f>'data entry Kudamm'!AM75</f>
        <v>0</v>
      </c>
    </row>
    <row r="76" spans="2:15" ht="14" x14ac:dyDescent="0.15">
      <c r="B76" s="44" t="s">
        <v>57</v>
      </c>
      <c r="C76" s="39">
        <f>'data entry Kudamm'!C76</f>
        <v>0</v>
      </c>
      <c r="D76" s="39">
        <f>'data entry Kudamm'!F76</f>
        <v>0</v>
      </c>
      <c r="E76" s="39">
        <f>'data entry Kudamm'!I76</f>
        <v>0</v>
      </c>
      <c r="F76" s="39">
        <f>'data entry Kudamm'!L76</f>
        <v>0</v>
      </c>
      <c r="G76" s="39">
        <f>'data entry Kudamm'!O76</f>
        <v>0</v>
      </c>
      <c r="H76" s="39">
        <f>'data entry Kudamm'!R76</f>
        <v>0</v>
      </c>
      <c r="I76" s="39">
        <f>'data entry Kudamm'!U76</f>
        <v>0</v>
      </c>
      <c r="J76" s="39">
        <f>'data entry Kudamm'!X76</f>
        <v>0</v>
      </c>
      <c r="K76" s="39">
        <f>'data entry Kudamm'!AA76</f>
        <v>0</v>
      </c>
      <c r="L76" s="39">
        <f>'data entry Kudamm'!AD76</f>
        <v>0</v>
      </c>
      <c r="M76" s="39">
        <f>'data entry Kudamm'!AG76</f>
        <v>0</v>
      </c>
      <c r="N76" s="39">
        <f>'data entry Kudamm'!AJ76</f>
        <v>0</v>
      </c>
      <c r="O76" s="39">
        <f>'data entry Kudamm'!AM76</f>
        <v>0</v>
      </c>
    </row>
    <row r="77" spans="2:15" ht="14" x14ac:dyDescent="0.15">
      <c r="B77" s="38" t="s">
        <v>22</v>
      </c>
      <c r="C77" s="39">
        <f>'data entry Kudamm'!C77</f>
        <v>52029.551899999999</v>
      </c>
      <c r="D77" s="39">
        <f>'data entry Kudamm'!F77</f>
        <v>2127.41</v>
      </c>
      <c r="E77" s="39">
        <f>'data entry Kudamm'!I77</f>
        <v>3734.73</v>
      </c>
      <c r="F77" s="39">
        <f>'data entry Kudamm'!L77</f>
        <v>3813.43</v>
      </c>
      <c r="G77" s="39">
        <f>'data entry Kudamm'!O77</f>
        <v>3038.63</v>
      </c>
      <c r="H77" s="39">
        <f>'data entry Kudamm'!R77</f>
        <v>4881.3649999999998</v>
      </c>
      <c r="I77" s="39">
        <f>'data entry Kudamm'!U77</f>
        <v>5114.4189999999999</v>
      </c>
      <c r="J77" s="39">
        <f>'data entry Kudamm'!X77</f>
        <v>4343.1669000000002</v>
      </c>
      <c r="K77" s="39">
        <f>'data entry Kudamm'!AA77</f>
        <v>4566.3077000000003</v>
      </c>
      <c r="L77" s="39">
        <f>'data entry Kudamm'!AD77</f>
        <v>6605.8361999999997</v>
      </c>
      <c r="M77" s="39">
        <f>'data entry Kudamm'!AG77</f>
        <v>5490.8648999999996</v>
      </c>
      <c r="N77" s="39">
        <f>'data entry Kudamm'!AJ77</f>
        <v>4287.8963000000003</v>
      </c>
      <c r="O77" s="39">
        <f>'data entry Kudamm'!AM77</f>
        <v>4025.4958999999999</v>
      </c>
    </row>
    <row r="78" spans="2:15" ht="14" x14ac:dyDescent="0.15">
      <c r="B78" s="38" t="s">
        <v>40</v>
      </c>
      <c r="C78" s="39">
        <f>'data entry Kudamm'!C78</f>
        <v>321278.97950000002</v>
      </c>
      <c r="D78" s="39">
        <f>'data entry Kudamm'!F78</f>
        <v>20001.89</v>
      </c>
      <c r="E78" s="39">
        <f>'data entry Kudamm'!I78</f>
        <v>16204.54</v>
      </c>
      <c r="F78" s="39">
        <f>'data entry Kudamm'!L78</f>
        <v>23180.240000000002</v>
      </c>
      <c r="G78" s="39">
        <f>'data entry Kudamm'!O78</f>
        <v>18145.7</v>
      </c>
      <c r="H78" s="39">
        <f>'data entry Kudamm'!R78</f>
        <v>29191.9015</v>
      </c>
      <c r="I78" s="39">
        <f>'data entry Kudamm'!U78</f>
        <v>33524.845500000003</v>
      </c>
      <c r="J78" s="39">
        <f>'data entry Kudamm'!X78</f>
        <v>29560.706900000001</v>
      </c>
      <c r="K78" s="39">
        <f>'data entry Kudamm'!AA78</f>
        <v>28616.6603</v>
      </c>
      <c r="L78" s="39">
        <f>'data entry Kudamm'!AD78</f>
        <v>37599.561199999996</v>
      </c>
      <c r="M78" s="39">
        <f>'data entry Kudamm'!AG78</f>
        <v>32618.049900000002</v>
      </c>
      <c r="N78" s="39">
        <f>'data entry Kudamm'!AJ78</f>
        <v>26609.3963</v>
      </c>
      <c r="O78" s="39">
        <f>'data entry Kudamm'!AM78</f>
        <v>26025.4879</v>
      </c>
    </row>
    <row r="79" spans="2:15" ht="14" x14ac:dyDescent="0.15">
      <c r="B79" s="42" t="s">
        <v>41</v>
      </c>
      <c r="C79" s="39">
        <f>'data entry Kudamm'!C79</f>
        <v>-373308.53120000003</v>
      </c>
      <c r="D79" s="39">
        <f>'data entry Kudamm'!F79</f>
        <v>-22129.3</v>
      </c>
      <c r="E79" s="39">
        <f>'data entry Kudamm'!I79</f>
        <v>-19939.27</v>
      </c>
      <c r="F79" s="39">
        <f>'data entry Kudamm'!L79</f>
        <v>-26993.67</v>
      </c>
      <c r="G79" s="39">
        <f>'data entry Kudamm'!O79</f>
        <v>-21184.33</v>
      </c>
      <c r="H79" s="39">
        <f>'data entry Kudamm'!R79</f>
        <v>-34073.2664</v>
      </c>
      <c r="I79" s="39">
        <f>'data entry Kudamm'!U79</f>
        <v>-38639.264499999997</v>
      </c>
      <c r="J79" s="39">
        <f>'data entry Kudamm'!X79</f>
        <v>-33903.873800000001</v>
      </c>
      <c r="K79" s="39">
        <f>'data entry Kudamm'!AA79</f>
        <v>-33182.967900000003</v>
      </c>
      <c r="L79" s="39">
        <f>'data entry Kudamm'!AD79</f>
        <v>-44205.397400000002</v>
      </c>
      <c r="M79" s="39">
        <f>'data entry Kudamm'!AG79</f>
        <v>-38108.914799999999</v>
      </c>
      <c r="N79" s="39">
        <f>'data entry Kudamm'!AJ79</f>
        <v>-30897.292700000002</v>
      </c>
      <c r="O79" s="39">
        <f>'data entry Kudamm'!AM79</f>
        <v>-30050.983700000001</v>
      </c>
    </row>
    <row r="80" spans="2:15" x14ac:dyDescent="0.15">
      <c r="B80" s="40"/>
      <c r="C80" s="39">
        <f>'data entry Kudamm'!C80</f>
        <v>0</v>
      </c>
      <c r="D80" s="39">
        <f>'data entry Kudamm'!F80</f>
        <v>0</v>
      </c>
      <c r="E80" s="39">
        <f>'data entry Kudamm'!I80</f>
        <v>0</v>
      </c>
      <c r="F80" s="39">
        <f>'data entry Kudamm'!L80</f>
        <v>0</v>
      </c>
      <c r="G80" s="39">
        <f>'data entry Kudamm'!O80</f>
        <v>0</v>
      </c>
      <c r="H80" s="39">
        <f>'data entry Kudamm'!R80</f>
        <v>0</v>
      </c>
      <c r="I80" s="39">
        <f>'data entry Kudamm'!U80</f>
        <v>0</v>
      </c>
      <c r="J80" s="39">
        <f>'data entry Kudamm'!X80</f>
        <v>0</v>
      </c>
      <c r="K80" s="39">
        <f>'data entry Kudamm'!AA80</f>
        <v>0</v>
      </c>
      <c r="L80" s="39">
        <f>'data entry Kudamm'!AD80</f>
        <v>0</v>
      </c>
      <c r="M80" s="39">
        <f>'data entry Kudamm'!AG80</f>
        <v>0</v>
      </c>
      <c r="N80" s="39">
        <f>'data entry Kudamm'!AJ80</f>
        <v>0</v>
      </c>
      <c r="O80" s="39">
        <f>'data entry Kudamm'!AM80</f>
        <v>0</v>
      </c>
    </row>
    <row r="81" spans="2:15" ht="14" x14ac:dyDescent="0.15">
      <c r="B81" s="44" t="s">
        <v>58</v>
      </c>
      <c r="C81" s="39">
        <f>'data entry Kudamm'!C81</f>
        <v>0</v>
      </c>
      <c r="D81" s="39">
        <f>'data entry Kudamm'!F81</f>
        <v>0</v>
      </c>
      <c r="E81" s="39">
        <f>'data entry Kudamm'!I81</f>
        <v>0</v>
      </c>
      <c r="F81" s="39">
        <f>'data entry Kudamm'!L81</f>
        <v>0</v>
      </c>
      <c r="G81" s="39">
        <f>'data entry Kudamm'!O81</f>
        <v>0</v>
      </c>
      <c r="H81" s="39">
        <f>'data entry Kudamm'!R81</f>
        <v>0</v>
      </c>
      <c r="I81" s="39">
        <f>'data entry Kudamm'!U81</f>
        <v>0</v>
      </c>
      <c r="J81" s="39">
        <f>'data entry Kudamm'!X81</f>
        <v>0</v>
      </c>
      <c r="K81" s="39">
        <f>'data entry Kudamm'!AA81</f>
        <v>0</v>
      </c>
      <c r="L81" s="39">
        <f>'data entry Kudamm'!AD81</f>
        <v>0</v>
      </c>
      <c r="M81" s="39">
        <f>'data entry Kudamm'!AG81</f>
        <v>0</v>
      </c>
      <c r="N81" s="39">
        <f>'data entry Kudamm'!AJ81</f>
        <v>0</v>
      </c>
      <c r="O81" s="39">
        <f>'data entry Kudamm'!AM81</f>
        <v>0</v>
      </c>
    </row>
    <row r="82" spans="2:15" ht="14" x14ac:dyDescent="0.15">
      <c r="B82" s="38" t="s">
        <v>22</v>
      </c>
      <c r="C82" s="39">
        <f>'data entry Kudamm'!C82</f>
        <v>113768.5046</v>
      </c>
      <c r="D82" s="39">
        <f>'data entry Kudamm'!F82</f>
        <v>10139.790000000001</v>
      </c>
      <c r="E82" s="39">
        <f>'data entry Kudamm'!I82</f>
        <v>9972.24</v>
      </c>
      <c r="F82" s="39">
        <f>'data entry Kudamm'!L82</f>
        <v>7766.8</v>
      </c>
      <c r="G82" s="39">
        <f>'data entry Kudamm'!O82</f>
        <v>10150.870000000001</v>
      </c>
      <c r="H82" s="39">
        <f>'data entry Kudamm'!R82</f>
        <v>9858.2363000000005</v>
      </c>
      <c r="I82" s="39">
        <f>'data entry Kudamm'!U82</f>
        <v>9311.6790000000001</v>
      </c>
      <c r="J82" s="39">
        <f>'data entry Kudamm'!X82</f>
        <v>10426.1109</v>
      </c>
      <c r="K82" s="39">
        <f>'data entry Kudamm'!AA82</f>
        <v>8825.8636000000006</v>
      </c>
      <c r="L82" s="39">
        <f>'data entry Kudamm'!AD82</f>
        <v>7830.3037000000004</v>
      </c>
      <c r="M82" s="39">
        <f>'data entry Kudamm'!AG82</f>
        <v>9754.2374</v>
      </c>
      <c r="N82" s="39">
        <f>'data entry Kudamm'!AJ82</f>
        <v>10459.829299999999</v>
      </c>
      <c r="O82" s="39">
        <f>'data entry Kudamm'!AM82</f>
        <v>9272.5444000000007</v>
      </c>
    </row>
    <row r="83" spans="2:15" ht="14" x14ac:dyDescent="0.15">
      <c r="B83" s="38" t="s">
        <v>40</v>
      </c>
      <c r="C83" s="39">
        <f>'data entry Kudamm'!C83</f>
        <v>254838.38</v>
      </c>
      <c r="D83" s="39">
        <f>'data entry Kudamm'!F83</f>
        <v>21172.74</v>
      </c>
      <c r="E83" s="39">
        <f>'data entry Kudamm'!I83</f>
        <v>14564.82</v>
      </c>
      <c r="F83" s="39">
        <f>'data entry Kudamm'!L83</f>
        <v>14249.93</v>
      </c>
      <c r="G83" s="39">
        <f>'data entry Kudamm'!O83</f>
        <v>25003.53</v>
      </c>
      <c r="H83" s="39">
        <f>'data entry Kudamm'!R83</f>
        <v>21238.67</v>
      </c>
      <c r="I83" s="39">
        <f>'data entry Kudamm'!U83</f>
        <v>24118.67</v>
      </c>
      <c r="J83" s="39">
        <f>'data entry Kudamm'!X83</f>
        <v>26006.67</v>
      </c>
      <c r="K83" s="39">
        <f>'data entry Kudamm'!AA83</f>
        <v>16138.67</v>
      </c>
      <c r="L83" s="39">
        <f>'data entry Kudamm'!AD83</f>
        <v>30860.67</v>
      </c>
      <c r="M83" s="39">
        <f>'data entry Kudamm'!AG83</f>
        <v>26006.67</v>
      </c>
      <c r="N83" s="39">
        <f>'data entry Kudamm'!AJ83</f>
        <v>16438.669999999998</v>
      </c>
      <c r="O83" s="39">
        <f>'data entry Kudamm'!AM83</f>
        <v>19038.669999999998</v>
      </c>
    </row>
    <row r="84" spans="2:15" ht="14" x14ac:dyDescent="0.15">
      <c r="B84" s="42" t="s">
        <v>41</v>
      </c>
      <c r="C84" s="39">
        <f>'data entry Kudamm'!C84</f>
        <v>-368606.88459999999</v>
      </c>
      <c r="D84" s="39">
        <f>'data entry Kudamm'!F84</f>
        <v>-31312.53</v>
      </c>
      <c r="E84" s="39">
        <f>'data entry Kudamm'!I84</f>
        <v>-24537.06</v>
      </c>
      <c r="F84" s="39">
        <f>'data entry Kudamm'!L84</f>
        <v>-22016.73</v>
      </c>
      <c r="G84" s="39">
        <f>'data entry Kudamm'!O84</f>
        <v>-35154.400000000001</v>
      </c>
      <c r="H84" s="39">
        <f>'data entry Kudamm'!R84</f>
        <v>-31096.906299999999</v>
      </c>
      <c r="I84" s="39">
        <f>'data entry Kudamm'!U84</f>
        <v>-33430.349000000002</v>
      </c>
      <c r="J84" s="39">
        <f>'data entry Kudamm'!X84</f>
        <v>-36432.780899999998</v>
      </c>
      <c r="K84" s="39">
        <f>'data entry Kudamm'!AA84</f>
        <v>-24964.533599999999</v>
      </c>
      <c r="L84" s="39">
        <f>'data entry Kudamm'!AD84</f>
        <v>-38690.973700000002</v>
      </c>
      <c r="M84" s="39">
        <f>'data entry Kudamm'!AG84</f>
        <v>-35760.907399999996</v>
      </c>
      <c r="N84" s="39">
        <f>'data entry Kudamm'!AJ84</f>
        <v>-26898.499299999999</v>
      </c>
      <c r="O84" s="39">
        <f>'data entry Kudamm'!AM84</f>
        <v>-28311.214400000001</v>
      </c>
    </row>
    <row r="85" spans="2:15" x14ac:dyDescent="0.15">
      <c r="B85" s="40"/>
      <c r="C85" s="39">
        <f>'data entry Kudamm'!C85</f>
        <v>0</v>
      </c>
      <c r="D85" s="39">
        <f>'data entry Kudamm'!F85</f>
        <v>0</v>
      </c>
      <c r="E85" s="39">
        <f>'data entry Kudamm'!I85</f>
        <v>0</v>
      </c>
      <c r="F85" s="39">
        <f>'data entry Kudamm'!L85</f>
        <v>0</v>
      </c>
      <c r="G85" s="39">
        <f>'data entry Kudamm'!O85</f>
        <v>0</v>
      </c>
      <c r="H85" s="39">
        <f>'data entry Kudamm'!R85</f>
        <v>0</v>
      </c>
      <c r="I85" s="39">
        <f>'data entry Kudamm'!U85</f>
        <v>0</v>
      </c>
      <c r="J85" s="39">
        <f>'data entry Kudamm'!X85</f>
        <v>0</v>
      </c>
      <c r="K85" s="39">
        <f>'data entry Kudamm'!AA85</f>
        <v>0</v>
      </c>
      <c r="L85" s="39">
        <f>'data entry Kudamm'!AD85</f>
        <v>0</v>
      </c>
      <c r="M85" s="39">
        <f>'data entry Kudamm'!AG85</f>
        <v>0</v>
      </c>
      <c r="N85" s="39">
        <f>'data entry Kudamm'!AJ85</f>
        <v>0</v>
      </c>
      <c r="O85" s="39">
        <f>'data entry Kudamm'!AM85</f>
        <v>0</v>
      </c>
    </row>
    <row r="86" spans="2:15" ht="14" x14ac:dyDescent="0.15">
      <c r="B86" s="44" t="s">
        <v>59</v>
      </c>
      <c r="C86" s="39">
        <f>'data entry Kudamm'!C86</f>
        <v>0</v>
      </c>
      <c r="D86" s="39">
        <f>'data entry Kudamm'!F86</f>
        <v>0</v>
      </c>
      <c r="E86" s="39">
        <f>'data entry Kudamm'!I86</f>
        <v>0</v>
      </c>
      <c r="F86" s="39">
        <f>'data entry Kudamm'!L86</f>
        <v>0</v>
      </c>
      <c r="G86" s="39">
        <f>'data entry Kudamm'!O86</f>
        <v>0</v>
      </c>
      <c r="H86" s="39">
        <f>'data entry Kudamm'!R86</f>
        <v>0</v>
      </c>
      <c r="I86" s="39">
        <f>'data entry Kudamm'!U86</f>
        <v>0</v>
      </c>
      <c r="J86" s="39">
        <f>'data entry Kudamm'!X86</f>
        <v>0</v>
      </c>
      <c r="K86" s="39">
        <f>'data entry Kudamm'!AA86</f>
        <v>0</v>
      </c>
      <c r="L86" s="39">
        <f>'data entry Kudamm'!AD86</f>
        <v>0</v>
      </c>
      <c r="M86" s="39">
        <f>'data entry Kudamm'!AG86</f>
        <v>0</v>
      </c>
      <c r="N86" s="39">
        <f>'data entry Kudamm'!AJ86</f>
        <v>0</v>
      </c>
      <c r="O86" s="39">
        <f>'data entry Kudamm'!AM86</f>
        <v>0</v>
      </c>
    </row>
    <row r="87" spans="2:15" ht="14" x14ac:dyDescent="0.15">
      <c r="B87" s="42" t="s">
        <v>41</v>
      </c>
      <c r="C87" s="39">
        <f>'data entry Kudamm'!C87</f>
        <v>-251505.39</v>
      </c>
      <c r="D87" s="39">
        <f>'data entry Kudamm'!F87</f>
        <v>-14144.65</v>
      </c>
      <c r="E87" s="39">
        <f>'data entry Kudamm'!I87</f>
        <v>-14407.42</v>
      </c>
      <c r="F87" s="39">
        <f>'data entry Kudamm'!L87</f>
        <v>-14550.34</v>
      </c>
      <c r="G87" s="39">
        <f>'data entry Kudamm'!O87</f>
        <v>-13772.45</v>
      </c>
      <c r="H87" s="39">
        <f>'data entry Kudamm'!R87</f>
        <v>-24052.93</v>
      </c>
      <c r="I87" s="39">
        <f>'data entry Kudamm'!U87</f>
        <v>-25217.200000000001</v>
      </c>
      <c r="J87" s="39">
        <f>'data entry Kudamm'!X87</f>
        <v>-23889.4</v>
      </c>
      <c r="K87" s="39">
        <f>'data entry Kudamm'!AA87</f>
        <v>-24291.4</v>
      </c>
      <c r="L87" s="39">
        <f>'data entry Kudamm'!AD87</f>
        <v>-26310</v>
      </c>
      <c r="M87" s="39">
        <f>'data entry Kudamm'!AG87</f>
        <v>-24651.1</v>
      </c>
      <c r="N87" s="39">
        <f>'data entry Kudamm'!AJ87</f>
        <v>-23720.5</v>
      </c>
      <c r="O87" s="39">
        <f>'data entry Kudamm'!AM87</f>
        <v>-22498</v>
      </c>
    </row>
    <row r="88" spans="2:15" x14ac:dyDescent="0.15">
      <c r="B88" s="40"/>
      <c r="C88" s="39">
        <f>'data entry Kudamm'!C88</f>
        <v>0</v>
      </c>
      <c r="D88" s="39">
        <f>'data entry Kudamm'!F88</f>
        <v>0</v>
      </c>
      <c r="E88" s="39">
        <f>'data entry Kudamm'!I88</f>
        <v>0</v>
      </c>
      <c r="F88" s="39">
        <f>'data entry Kudamm'!L88</f>
        <v>0</v>
      </c>
      <c r="G88" s="39">
        <f>'data entry Kudamm'!O88</f>
        <v>0</v>
      </c>
      <c r="H88" s="39">
        <f>'data entry Kudamm'!R88</f>
        <v>0</v>
      </c>
      <c r="I88" s="39">
        <f>'data entry Kudamm'!U88</f>
        <v>0</v>
      </c>
      <c r="J88" s="39">
        <f>'data entry Kudamm'!X88</f>
        <v>0</v>
      </c>
      <c r="K88" s="39">
        <f>'data entry Kudamm'!AA88</f>
        <v>0</v>
      </c>
      <c r="L88" s="39">
        <f>'data entry Kudamm'!AD88</f>
        <v>0</v>
      </c>
      <c r="M88" s="39">
        <f>'data entry Kudamm'!AG88</f>
        <v>0</v>
      </c>
      <c r="N88" s="39">
        <f>'data entry Kudamm'!AJ88</f>
        <v>0</v>
      </c>
      <c r="O88" s="39">
        <f>'data entry Kudamm'!AM88</f>
        <v>0</v>
      </c>
    </row>
    <row r="89" spans="2:15" ht="14" x14ac:dyDescent="0.15">
      <c r="B89" s="42" t="s">
        <v>23</v>
      </c>
      <c r="C89" s="39">
        <f>'data entry Kudamm'!C89</f>
        <v>1548482.7171</v>
      </c>
      <c r="D89" s="39">
        <f>'data entry Kudamm'!F89</f>
        <v>-17055.05</v>
      </c>
      <c r="E89" s="39">
        <f>'data entry Kudamm'!I89</f>
        <v>111494.36</v>
      </c>
      <c r="F89" s="39">
        <f>'data entry Kudamm'!L89</f>
        <v>114274.56</v>
      </c>
      <c r="G89" s="39">
        <f>'data entry Kudamm'!O89</f>
        <v>26160.82</v>
      </c>
      <c r="H89" s="39">
        <f>'data entry Kudamm'!R89</f>
        <v>161857.965</v>
      </c>
      <c r="I89" s="39">
        <f>'data entry Kudamm'!U89</f>
        <v>173787.9546</v>
      </c>
      <c r="J89" s="39">
        <f>'data entry Kudamm'!X89</f>
        <v>112548.7426</v>
      </c>
      <c r="K89" s="39">
        <f>'data entry Kudamm'!AA89</f>
        <v>142779.37169999999</v>
      </c>
      <c r="L89" s="39">
        <f>'data entry Kudamm'!AD89</f>
        <v>287583.31439999997</v>
      </c>
      <c r="M89" s="39">
        <f>'data entry Kudamm'!AG89</f>
        <v>201371.5215</v>
      </c>
      <c r="N89" s="39">
        <f>'data entry Kudamm'!AJ89</f>
        <v>118280.0408</v>
      </c>
      <c r="O89" s="39">
        <f>'data entry Kudamm'!AM89</f>
        <v>115399.1165</v>
      </c>
    </row>
    <row r="90" spans="2:15" x14ac:dyDescent="0.15">
      <c r="B90" s="40"/>
      <c r="C90" s="39">
        <f>'data entry Kudamm'!C90</f>
        <v>0</v>
      </c>
      <c r="D90" s="39">
        <f>'data entry Kudamm'!F90</f>
        <v>0</v>
      </c>
      <c r="E90" s="39">
        <f>'data entry Kudamm'!I90</f>
        <v>0</v>
      </c>
      <c r="F90" s="39">
        <f>'data entry Kudamm'!L90</f>
        <v>0</v>
      </c>
      <c r="G90" s="39">
        <f>'data entry Kudamm'!O90</f>
        <v>0</v>
      </c>
      <c r="H90" s="39">
        <f>'data entry Kudamm'!R90</f>
        <v>0</v>
      </c>
      <c r="I90" s="39">
        <f>'data entry Kudamm'!U90</f>
        <v>0</v>
      </c>
      <c r="J90" s="39">
        <f>'data entry Kudamm'!X90</f>
        <v>0</v>
      </c>
      <c r="K90" s="39">
        <f>'data entry Kudamm'!AA90</f>
        <v>0</v>
      </c>
      <c r="L90" s="39">
        <f>'data entry Kudamm'!AD90</f>
        <v>0</v>
      </c>
      <c r="M90" s="39">
        <f>'data entry Kudamm'!AG90</f>
        <v>0</v>
      </c>
      <c r="N90" s="39">
        <f>'data entry Kudamm'!AJ90</f>
        <v>0</v>
      </c>
      <c r="O90" s="39">
        <f>'data entry Kudamm'!AM90</f>
        <v>0</v>
      </c>
    </row>
    <row r="91" spans="2:15" ht="14" x14ac:dyDescent="0.15">
      <c r="B91" s="42" t="s">
        <v>60</v>
      </c>
      <c r="C91" s="39">
        <f>'data entry Kudamm'!C91</f>
        <v>0</v>
      </c>
      <c r="D91" s="39">
        <f>'data entry Kudamm'!F91</f>
        <v>0</v>
      </c>
      <c r="E91" s="39">
        <f>'data entry Kudamm'!I91</f>
        <v>0</v>
      </c>
      <c r="F91" s="39">
        <f>'data entry Kudamm'!L91</f>
        <v>0</v>
      </c>
      <c r="G91" s="39">
        <f>'data entry Kudamm'!O91</f>
        <v>0</v>
      </c>
      <c r="H91" s="39">
        <f>'data entry Kudamm'!R91</f>
        <v>0</v>
      </c>
      <c r="I91" s="39">
        <f>'data entry Kudamm'!U91</f>
        <v>0</v>
      </c>
      <c r="J91" s="39">
        <f>'data entry Kudamm'!X91</f>
        <v>0</v>
      </c>
      <c r="K91" s="39">
        <f>'data entry Kudamm'!AA91</f>
        <v>0</v>
      </c>
      <c r="L91" s="39">
        <f>'data entry Kudamm'!AD91</f>
        <v>0</v>
      </c>
      <c r="M91" s="39">
        <f>'data entry Kudamm'!AG91</f>
        <v>0</v>
      </c>
      <c r="N91" s="39">
        <f>'data entry Kudamm'!AJ91</f>
        <v>0</v>
      </c>
      <c r="O91" s="39">
        <f>'data entry Kudamm'!AM91</f>
        <v>0</v>
      </c>
    </row>
    <row r="92" spans="2:15" ht="14" x14ac:dyDescent="0.15">
      <c r="B92" s="38" t="s">
        <v>61</v>
      </c>
      <c r="C92" s="39">
        <f>'data entry Kudamm'!C92</f>
        <v>0</v>
      </c>
      <c r="D92" s="39">
        <f>'data entry Kudamm'!F92</f>
        <v>0</v>
      </c>
      <c r="E92" s="39">
        <f>'data entry Kudamm'!I92</f>
        <v>0</v>
      </c>
      <c r="F92" s="39">
        <f>'data entry Kudamm'!L92</f>
        <v>0</v>
      </c>
      <c r="G92" s="39">
        <f>'data entry Kudamm'!O92</f>
        <v>0</v>
      </c>
      <c r="H92" s="39">
        <f>'data entry Kudamm'!R92</f>
        <v>0</v>
      </c>
      <c r="I92" s="39">
        <f>'data entry Kudamm'!U92</f>
        <v>0</v>
      </c>
      <c r="J92" s="39">
        <f>'data entry Kudamm'!X92</f>
        <v>0</v>
      </c>
      <c r="K92" s="39">
        <f>'data entry Kudamm'!AA92</f>
        <v>0</v>
      </c>
      <c r="L92" s="39">
        <f>'data entry Kudamm'!AD92</f>
        <v>0</v>
      </c>
      <c r="M92" s="39">
        <f>'data entry Kudamm'!AG92</f>
        <v>0</v>
      </c>
      <c r="N92" s="39">
        <f>'data entry Kudamm'!AJ92</f>
        <v>0</v>
      </c>
      <c r="O92" s="39">
        <f>'data entry Kudamm'!AM92</f>
        <v>0</v>
      </c>
    </row>
    <row r="93" spans="2:15" ht="14" x14ac:dyDescent="0.15">
      <c r="B93" s="38" t="s">
        <v>62</v>
      </c>
      <c r="C93" s="39">
        <f>'data entry Kudamm'!C93</f>
        <v>0</v>
      </c>
      <c r="D93" s="39">
        <f>'data entry Kudamm'!F93</f>
        <v>0</v>
      </c>
      <c r="E93" s="39">
        <f>'data entry Kudamm'!I93</f>
        <v>0</v>
      </c>
      <c r="F93" s="39">
        <f>'data entry Kudamm'!L93</f>
        <v>0</v>
      </c>
      <c r="G93" s="39">
        <f>'data entry Kudamm'!O93</f>
        <v>0</v>
      </c>
      <c r="H93" s="39">
        <f>'data entry Kudamm'!R93</f>
        <v>0</v>
      </c>
      <c r="I93" s="39">
        <f>'data entry Kudamm'!U93</f>
        <v>0</v>
      </c>
      <c r="J93" s="39">
        <f>'data entry Kudamm'!X93</f>
        <v>0</v>
      </c>
      <c r="K93" s="39">
        <f>'data entry Kudamm'!AA93</f>
        <v>0</v>
      </c>
      <c r="L93" s="39">
        <f>'data entry Kudamm'!AD93</f>
        <v>0</v>
      </c>
      <c r="M93" s="39">
        <f>'data entry Kudamm'!AG93</f>
        <v>0</v>
      </c>
      <c r="N93" s="39">
        <f>'data entry Kudamm'!AJ93</f>
        <v>0</v>
      </c>
      <c r="O93" s="39">
        <f>'data entry Kudamm'!AM93</f>
        <v>0</v>
      </c>
    </row>
    <row r="94" spans="2:15" ht="14" x14ac:dyDescent="0.15">
      <c r="B94" s="38" t="s">
        <v>63</v>
      </c>
      <c r="C94" s="39">
        <f>'data entry Kudamm'!C94</f>
        <v>0</v>
      </c>
      <c r="D94" s="39">
        <f>'data entry Kudamm'!F94</f>
        <v>0</v>
      </c>
      <c r="E94" s="39">
        <f>'data entry Kudamm'!I94</f>
        <v>0</v>
      </c>
      <c r="F94" s="39">
        <f>'data entry Kudamm'!L94</f>
        <v>0</v>
      </c>
      <c r="G94" s="39">
        <f>'data entry Kudamm'!O94</f>
        <v>0</v>
      </c>
      <c r="H94" s="39">
        <f>'data entry Kudamm'!R94</f>
        <v>0</v>
      </c>
      <c r="I94" s="39">
        <f>'data entry Kudamm'!U94</f>
        <v>0</v>
      </c>
      <c r="J94" s="39">
        <f>'data entry Kudamm'!X94</f>
        <v>0</v>
      </c>
      <c r="K94" s="39">
        <f>'data entry Kudamm'!AA94</f>
        <v>0</v>
      </c>
      <c r="L94" s="39">
        <f>'data entry Kudamm'!AD94</f>
        <v>0</v>
      </c>
      <c r="M94" s="39">
        <f>'data entry Kudamm'!AG94</f>
        <v>0</v>
      </c>
      <c r="N94" s="39">
        <f>'data entry Kudamm'!AJ94</f>
        <v>0</v>
      </c>
      <c r="O94" s="39">
        <f>'data entry Kudamm'!AM94</f>
        <v>0</v>
      </c>
    </row>
    <row r="95" spans="2:15" ht="14" x14ac:dyDescent="0.15">
      <c r="B95" s="38" t="s">
        <v>64</v>
      </c>
      <c r="C95" s="39">
        <f>'data entry Kudamm'!C95</f>
        <v>0</v>
      </c>
      <c r="D95" s="39">
        <f>'data entry Kudamm'!F95</f>
        <v>0</v>
      </c>
      <c r="E95" s="39">
        <f>'data entry Kudamm'!I95</f>
        <v>0</v>
      </c>
      <c r="F95" s="39">
        <f>'data entry Kudamm'!L95</f>
        <v>0</v>
      </c>
      <c r="G95" s="39">
        <f>'data entry Kudamm'!O95</f>
        <v>0</v>
      </c>
      <c r="H95" s="39">
        <f>'data entry Kudamm'!R95</f>
        <v>0</v>
      </c>
      <c r="I95" s="39">
        <f>'data entry Kudamm'!U95</f>
        <v>0</v>
      </c>
      <c r="J95" s="39">
        <f>'data entry Kudamm'!X95</f>
        <v>0</v>
      </c>
      <c r="K95" s="39">
        <f>'data entry Kudamm'!AA95</f>
        <v>0</v>
      </c>
      <c r="L95" s="39">
        <f>'data entry Kudamm'!AD95</f>
        <v>0</v>
      </c>
      <c r="M95" s="39">
        <f>'data entry Kudamm'!AG95</f>
        <v>0</v>
      </c>
      <c r="N95" s="39">
        <f>'data entry Kudamm'!AJ95</f>
        <v>0</v>
      </c>
      <c r="O95" s="39">
        <f>'data entry Kudamm'!AM95</f>
        <v>0</v>
      </c>
    </row>
    <row r="96" spans="2:15" x14ac:dyDescent="0.15">
      <c r="B96" s="40"/>
      <c r="C96" s="39">
        <f>'data entry Kudamm'!C96</f>
        <v>0</v>
      </c>
      <c r="D96" s="39">
        <f>'data entry Kudamm'!F96</f>
        <v>0</v>
      </c>
      <c r="E96" s="39">
        <f>'data entry Kudamm'!I96</f>
        <v>0</v>
      </c>
      <c r="F96" s="39">
        <f>'data entry Kudamm'!L96</f>
        <v>0</v>
      </c>
      <c r="G96" s="39">
        <f>'data entry Kudamm'!O96</f>
        <v>0</v>
      </c>
      <c r="H96" s="39">
        <f>'data entry Kudamm'!R96</f>
        <v>0</v>
      </c>
      <c r="I96" s="39">
        <f>'data entry Kudamm'!U96</f>
        <v>0</v>
      </c>
      <c r="J96" s="39">
        <f>'data entry Kudamm'!X96</f>
        <v>0</v>
      </c>
      <c r="K96" s="39">
        <f>'data entry Kudamm'!AA96</f>
        <v>0</v>
      </c>
      <c r="L96" s="39">
        <f>'data entry Kudamm'!AD96</f>
        <v>0</v>
      </c>
      <c r="M96" s="39">
        <f>'data entry Kudamm'!AG96</f>
        <v>0</v>
      </c>
      <c r="N96" s="39">
        <f>'data entry Kudamm'!AJ96</f>
        <v>0</v>
      </c>
      <c r="O96" s="39">
        <f>'data entry Kudamm'!AM96</f>
        <v>0</v>
      </c>
    </row>
    <row r="97" spans="2:15" ht="14" x14ac:dyDescent="0.15">
      <c r="B97" s="42" t="s">
        <v>65</v>
      </c>
      <c r="C97" s="39">
        <f>'data entry Kudamm'!C97</f>
        <v>0</v>
      </c>
      <c r="D97" s="39">
        <f>'data entry Kudamm'!F97</f>
        <v>0</v>
      </c>
      <c r="E97" s="39">
        <f>'data entry Kudamm'!I97</f>
        <v>0</v>
      </c>
      <c r="F97" s="39">
        <f>'data entry Kudamm'!L97</f>
        <v>0</v>
      </c>
      <c r="G97" s="39">
        <f>'data entry Kudamm'!O97</f>
        <v>0</v>
      </c>
      <c r="H97" s="39">
        <f>'data entry Kudamm'!R97</f>
        <v>0</v>
      </c>
      <c r="I97" s="39">
        <f>'data entry Kudamm'!U97</f>
        <v>0</v>
      </c>
      <c r="J97" s="39">
        <f>'data entry Kudamm'!X97</f>
        <v>0</v>
      </c>
      <c r="K97" s="39">
        <f>'data entry Kudamm'!AA97</f>
        <v>0</v>
      </c>
      <c r="L97" s="39">
        <f>'data entry Kudamm'!AD97</f>
        <v>0</v>
      </c>
      <c r="M97" s="39">
        <f>'data entry Kudamm'!AG97</f>
        <v>0</v>
      </c>
      <c r="N97" s="39">
        <f>'data entry Kudamm'!AJ97</f>
        <v>0</v>
      </c>
      <c r="O97" s="39">
        <f>'data entry Kudamm'!AM97</f>
        <v>0</v>
      </c>
    </row>
    <row r="98" spans="2:15" ht="14" x14ac:dyDescent="0.15">
      <c r="B98" s="38" t="s">
        <v>66</v>
      </c>
      <c r="C98" s="39">
        <f>'data entry Kudamm'!C98</f>
        <v>0</v>
      </c>
      <c r="D98" s="39">
        <f>'data entry Kudamm'!F98</f>
        <v>0</v>
      </c>
      <c r="E98" s="39">
        <f>'data entry Kudamm'!I98</f>
        <v>0</v>
      </c>
      <c r="F98" s="39">
        <f>'data entry Kudamm'!L98</f>
        <v>0</v>
      </c>
      <c r="G98" s="39">
        <f>'data entry Kudamm'!O98</f>
        <v>0</v>
      </c>
      <c r="H98" s="39">
        <f>'data entry Kudamm'!R98</f>
        <v>0</v>
      </c>
      <c r="I98" s="39">
        <f>'data entry Kudamm'!U98</f>
        <v>0</v>
      </c>
      <c r="J98" s="39">
        <f>'data entry Kudamm'!X98</f>
        <v>0</v>
      </c>
      <c r="K98" s="39">
        <f>'data entry Kudamm'!AA98</f>
        <v>0</v>
      </c>
      <c r="L98" s="39">
        <f>'data entry Kudamm'!AD98</f>
        <v>0</v>
      </c>
      <c r="M98" s="39">
        <f>'data entry Kudamm'!AG98</f>
        <v>0</v>
      </c>
      <c r="N98" s="39">
        <f>'data entry Kudamm'!AJ98</f>
        <v>0</v>
      </c>
      <c r="O98" s="39">
        <f>'data entry Kudamm'!AM98</f>
        <v>0</v>
      </c>
    </row>
    <row r="99" spans="2:15" ht="14" x14ac:dyDescent="0.15">
      <c r="B99" s="38" t="s">
        <v>67</v>
      </c>
      <c r="C99" s="39">
        <f>'data entry Kudamm'!C99</f>
        <v>0</v>
      </c>
      <c r="D99" s="39">
        <f>'data entry Kudamm'!F99</f>
        <v>0</v>
      </c>
      <c r="E99" s="39">
        <f>'data entry Kudamm'!I99</f>
        <v>0</v>
      </c>
      <c r="F99" s="39">
        <f>'data entry Kudamm'!L99</f>
        <v>0</v>
      </c>
      <c r="G99" s="39">
        <f>'data entry Kudamm'!O99</f>
        <v>0</v>
      </c>
      <c r="H99" s="39">
        <f>'data entry Kudamm'!R99</f>
        <v>0</v>
      </c>
      <c r="I99" s="39">
        <f>'data entry Kudamm'!U99</f>
        <v>0</v>
      </c>
      <c r="J99" s="39">
        <f>'data entry Kudamm'!X99</f>
        <v>0</v>
      </c>
      <c r="K99" s="39">
        <f>'data entry Kudamm'!AA99</f>
        <v>0</v>
      </c>
      <c r="L99" s="39">
        <f>'data entry Kudamm'!AD99</f>
        <v>0</v>
      </c>
      <c r="M99" s="39">
        <f>'data entry Kudamm'!AG99</f>
        <v>0</v>
      </c>
      <c r="N99" s="39">
        <f>'data entry Kudamm'!AJ99</f>
        <v>0</v>
      </c>
      <c r="O99" s="39">
        <f>'data entry Kudamm'!AM99</f>
        <v>0</v>
      </c>
    </row>
    <row r="100" spans="2:15" x14ac:dyDescent="0.15">
      <c r="B100" s="40"/>
      <c r="C100" s="39">
        <f>'data entry Kudamm'!C100</f>
        <v>0</v>
      </c>
      <c r="D100" s="39">
        <f>'data entry Kudamm'!F100</f>
        <v>0</v>
      </c>
      <c r="E100" s="39">
        <f>'data entry Kudamm'!I100</f>
        <v>0</v>
      </c>
      <c r="F100" s="39">
        <f>'data entry Kudamm'!L100</f>
        <v>0</v>
      </c>
      <c r="G100" s="39">
        <f>'data entry Kudamm'!O100</f>
        <v>0</v>
      </c>
      <c r="H100" s="39">
        <f>'data entry Kudamm'!R100</f>
        <v>0</v>
      </c>
      <c r="I100" s="39">
        <f>'data entry Kudamm'!U100</f>
        <v>0</v>
      </c>
      <c r="J100" s="39">
        <f>'data entry Kudamm'!X100</f>
        <v>0</v>
      </c>
      <c r="K100" s="39">
        <f>'data entry Kudamm'!AA100</f>
        <v>0</v>
      </c>
      <c r="L100" s="39">
        <f>'data entry Kudamm'!AD100</f>
        <v>0</v>
      </c>
      <c r="M100" s="39">
        <f>'data entry Kudamm'!AG100</f>
        <v>0</v>
      </c>
      <c r="N100" s="39">
        <f>'data entry Kudamm'!AJ100</f>
        <v>0</v>
      </c>
      <c r="O100" s="39">
        <f>'data entry Kudamm'!AM100</f>
        <v>0</v>
      </c>
    </row>
    <row r="101" spans="2:15" ht="28" x14ac:dyDescent="0.15">
      <c r="B101" s="42" t="s">
        <v>68</v>
      </c>
      <c r="C101" s="39">
        <f>'data entry Kudamm'!C101</f>
        <v>0</v>
      </c>
      <c r="D101" s="39">
        <f>'data entry Kudamm'!F101</f>
        <v>0</v>
      </c>
      <c r="E101" s="39">
        <f>'data entry Kudamm'!I101</f>
        <v>0</v>
      </c>
      <c r="F101" s="39">
        <f>'data entry Kudamm'!L101</f>
        <v>0</v>
      </c>
      <c r="G101" s="39">
        <f>'data entry Kudamm'!O101</f>
        <v>0</v>
      </c>
      <c r="H101" s="39">
        <f>'data entry Kudamm'!R101</f>
        <v>0</v>
      </c>
      <c r="I101" s="39">
        <f>'data entry Kudamm'!U101</f>
        <v>0</v>
      </c>
      <c r="J101" s="39">
        <f>'data entry Kudamm'!X101</f>
        <v>0</v>
      </c>
      <c r="K101" s="39">
        <f>'data entry Kudamm'!AA101</f>
        <v>0</v>
      </c>
      <c r="L101" s="39">
        <f>'data entry Kudamm'!AD101</f>
        <v>0</v>
      </c>
      <c r="M101" s="39">
        <f>'data entry Kudamm'!AG101</f>
        <v>0</v>
      </c>
      <c r="N101" s="39">
        <f>'data entry Kudamm'!AJ101</f>
        <v>0</v>
      </c>
      <c r="O101" s="39">
        <f>'data entry Kudamm'!AM101</f>
        <v>0</v>
      </c>
    </row>
    <row r="102" spans="2:15" x14ac:dyDescent="0.15">
      <c r="B102" s="40"/>
      <c r="C102" s="39">
        <f>'data entry Kudamm'!C102</f>
        <v>0</v>
      </c>
      <c r="D102" s="39">
        <f>'data entry Kudamm'!F102</f>
        <v>0</v>
      </c>
      <c r="E102" s="39">
        <f>'data entry Kudamm'!I102</f>
        <v>0</v>
      </c>
      <c r="F102" s="39">
        <f>'data entry Kudamm'!L102</f>
        <v>0</v>
      </c>
      <c r="G102" s="39">
        <f>'data entry Kudamm'!O102</f>
        <v>0</v>
      </c>
      <c r="H102" s="39">
        <f>'data entry Kudamm'!R102</f>
        <v>0</v>
      </c>
      <c r="I102" s="39">
        <f>'data entry Kudamm'!U102</f>
        <v>0</v>
      </c>
      <c r="J102" s="39">
        <f>'data entry Kudamm'!X102</f>
        <v>0</v>
      </c>
      <c r="K102" s="39">
        <f>'data entry Kudamm'!AA102</f>
        <v>0</v>
      </c>
      <c r="L102" s="39">
        <f>'data entry Kudamm'!AD102</f>
        <v>0</v>
      </c>
      <c r="M102" s="39">
        <f>'data entry Kudamm'!AG102</f>
        <v>0</v>
      </c>
      <c r="N102" s="39">
        <f>'data entry Kudamm'!AJ102</f>
        <v>0</v>
      </c>
      <c r="O102" s="39">
        <f>'data entry Kudamm'!AM102</f>
        <v>0</v>
      </c>
    </row>
    <row r="103" spans="2:15" ht="14" x14ac:dyDescent="0.15">
      <c r="B103" s="42" t="s">
        <v>69</v>
      </c>
      <c r="C103" s="39">
        <f>'data entry Kudamm'!C103</f>
        <v>1548482.7171</v>
      </c>
      <c r="D103" s="39">
        <f>'data entry Kudamm'!F103</f>
        <v>-17055.05</v>
      </c>
      <c r="E103" s="39">
        <f>'data entry Kudamm'!I103</f>
        <v>111494.36</v>
      </c>
      <c r="F103" s="39">
        <f>'data entry Kudamm'!L103</f>
        <v>114274.56</v>
      </c>
      <c r="G103" s="39">
        <f>'data entry Kudamm'!O103</f>
        <v>26160.82</v>
      </c>
      <c r="H103" s="39">
        <f>'data entry Kudamm'!R103</f>
        <v>161857.965</v>
      </c>
      <c r="I103" s="39">
        <f>'data entry Kudamm'!U103</f>
        <v>173787.9546</v>
      </c>
      <c r="J103" s="39">
        <f>'data entry Kudamm'!X103</f>
        <v>112548.7426</v>
      </c>
      <c r="K103" s="39">
        <f>'data entry Kudamm'!AA103</f>
        <v>142779.37169999999</v>
      </c>
      <c r="L103" s="39">
        <f>'data entry Kudamm'!AD103</f>
        <v>287583.31439999997</v>
      </c>
      <c r="M103" s="39">
        <f>'data entry Kudamm'!AG103</f>
        <v>201371.5215</v>
      </c>
      <c r="N103" s="39">
        <f>'data entry Kudamm'!AJ103</f>
        <v>118280.0408</v>
      </c>
      <c r="O103" s="39">
        <f>'data entry Kudamm'!AM103</f>
        <v>115399.1165</v>
      </c>
    </row>
    <row r="104" spans="2:15" x14ac:dyDescent="0.15">
      <c r="B104" s="40"/>
      <c r="C104" s="39">
        <f>'data entry Kudamm'!C104</f>
        <v>0</v>
      </c>
      <c r="D104" s="39">
        <f>'data entry Kudamm'!F104</f>
        <v>0</v>
      </c>
      <c r="E104" s="39">
        <f>'data entry Kudamm'!I104</f>
        <v>0</v>
      </c>
      <c r="F104" s="39">
        <f>'data entry Kudamm'!L104</f>
        <v>0</v>
      </c>
      <c r="G104" s="39">
        <f>'data entry Kudamm'!O104</f>
        <v>0</v>
      </c>
      <c r="H104" s="39">
        <f>'data entry Kudamm'!R104</f>
        <v>0</v>
      </c>
      <c r="I104" s="39">
        <f>'data entry Kudamm'!U104</f>
        <v>0</v>
      </c>
      <c r="J104" s="39">
        <f>'data entry Kudamm'!X104</f>
        <v>0</v>
      </c>
      <c r="K104" s="39">
        <f>'data entry Kudamm'!AA104</f>
        <v>0</v>
      </c>
      <c r="L104" s="39">
        <f>'data entry Kudamm'!AD104</f>
        <v>0</v>
      </c>
      <c r="M104" s="39">
        <f>'data entry Kudamm'!AG104</f>
        <v>0</v>
      </c>
      <c r="N104" s="39">
        <f>'data entry Kudamm'!AJ104</f>
        <v>0</v>
      </c>
      <c r="O104" s="39">
        <f>'data entry Kudamm'!AM104</f>
        <v>0</v>
      </c>
    </row>
    <row r="105" spans="2:15" ht="14" x14ac:dyDescent="0.15">
      <c r="B105" s="42" t="s">
        <v>70</v>
      </c>
      <c r="C105" s="39">
        <f>'data entry Kudamm'!C105</f>
        <v>111355.34</v>
      </c>
      <c r="D105" s="39">
        <f>'data entry Kudamm'!F105</f>
        <v>10718.49</v>
      </c>
      <c r="E105" s="39">
        <f>'data entry Kudamm'!I105</f>
        <v>8799</v>
      </c>
      <c r="F105" s="39">
        <f>'data entry Kudamm'!L105</f>
        <v>8799</v>
      </c>
      <c r="G105" s="39">
        <f>'data entry Kudamm'!O105</f>
        <v>10218.85</v>
      </c>
      <c r="H105" s="39">
        <f>'data entry Kudamm'!R105</f>
        <v>9365</v>
      </c>
      <c r="I105" s="39">
        <f>'data entry Kudamm'!U105</f>
        <v>9065</v>
      </c>
      <c r="J105" s="39">
        <f>'data entry Kudamm'!X105</f>
        <v>9065</v>
      </c>
      <c r="K105" s="39">
        <f>'data entry Kudamm'!AA105</f>
        <v>9065</v>
      </c>
      <c r="L105" s="39">
        <f>'data entry Kudamm'!AD105</f>
        <v>9065</v>
      </c>
      <c r="M105" s="39">
        <f>'data entry Kudamm'!AG105</f>
        <v>9065</v>
      </c>
      <c r="N105" s="39">
        <f>'data entry Kudamm'!AJ105</f>
        <v>9065</v>
      </c>
      <c r="O105" s="39">
        <f>'data entry Kudamm'!AM105</f>
        <v>9065</v>
      </c>
    </row>
    <row r="106" spans="2:15" ht="14" x14ac:dyDescent="0.15">
      <c r="B106" s="38" t="s">
        <v>71</v>
      </c>
      <c r="C106" s="39">
        <f>'data entry Kudamm'!C106</f>
        <v>27927.34</v>
      </c>
      <c r="D106" s="39">
        <f>'data entry Kudamm'!F106</f>
        <v>3943.49</v>
      </c>
      <c r="E106" s="39">
        <f>'data entry Kudamm'!I106</f>
        <v>2024</v>
      </c>
      <c r="F106" s="39">
        <f>'data entry Kudamm'!L106</f>
        <v>2024</v>
      </c>
      <c r="G106" s="39">
        <f>'data entry Kudamm'!O106</f>
        <v>3443.85</v>
      </c>
      <c r="H106" s="39">
        <f>'data entry Kudamm'!R106</f>
        <v>2324</v>
      </c>
      <c r="I106" s="39">
        <f>'data entry Kudamm'!U106</f>
        <v>2024</v>
      </c>
      <c r="J106" s="39">
        <f>'data entry Kudamm'!X106</f>
        <v>2024</v>
      </c>
      <c r="K106" s="39">
        <f>'data entry Kudamm'!AA106</f>
        <v>2024</v>
      </c>
      <c r="L106" s="39">
        <f>'data entry Kudamm'!AD106</f>
        <v>2024</v>
      </c>
      <c r="M106" s="39">
        <f>'data entry Kudamm'!AG106</f>
        <v>2024</v>
      </c>
      <c r="N106" s="39">
        <f>'data entry Kudamm'!AJ106</f>
        <v>2024</v>
      </c>
      <c r="O106" s="39">
        <f>'data entry Kudamm'!AM106</f>
        <v>2024</v>
      </c>
    </row>
    <row r="107" spans="2:15" ht="14" x14ac:dyDescent="0.15">
      <c r="B107" s="38" t="s">
        <v>72</v>
      </c>
      <c r="C107" s="39">
        <f>'data entry Kudamm'!C107</f>
        <v>0</v>
      </c>
      <c r="D107" s="39">
        <f>'data entry Kudamm'!F107</f>
        <v>0</v>
      </c>
      <c r="E107" s="39">
        <f>'data entry Kudamm'!I107</f>
        <v>0</v>
      </c>
      <c r="F107" s="39">
        <f>'data entry Kudamm'!L107</f>
        <v>0</v>
      </c>
      <c r="G107" s="39">
        <f>'data entry Kudamm'!O107</f>
        <v>0</v>
      </c>
      <c r="H107" s="39">
        <f>'data entry Kudamm'!R107</f>
        <v>0</v>
      </c>
      <c r="I107" s="39">
        <f>'data entry Kudamm'!U107</f>
        <v>0</v>
      </c>
      <c r="J107" s="39">
        <f>'data entry Kudamm'!X107</f>
        <v>0</v>
      </c>
      <c r="K107" s="39">
        <f>'data entry Kudamm'!AA107</f>
        <v>0</v>
      </c>
      <c r="L107" s="39">
        <f>'data entry Kudamm'!AD107</f>
        <v>0</v>
      </c>
      <c r="M107" s="39">
        <f>'data entry Kudamm'!AG107</f>
        <v>0</v>
      </c>
      <c r="N107" s="39">
        <f>'data entry Kudamm'!AJ107</f>
        <v>0</v>
      </c>
      <c r="O107" s="39">
        <f>'data entry Kudamm'!AM107</f>
        <v>0</v>
      </c>
    </row>
    <row r="108" spans="2:15" ht="14" x14ac:dyDescent="0.15">
      <c r="B108" s="38" t="s">
        <v>73</v>
      </c>
      <c r="C108" s="39">
        <f>'data entry Kudamm'!C108</f>
        <v>17176</v>
      </c>
      <c r="D108" s="39">
        <f>'data entry Kudamm'!F108</f>
        <v>1250</v>
      </c>
      <c r="E108" s="39">
        <f>'data entry Kudamm'!I108</f>
        <v>1250</v>
      </c>
      <c r="F108" s="39">
        <f>'data entry Kudamm'!L108</f>
        <v>1250</v>
      </c>
      <c r="G108" s="39">
        <f>'data entry Kudamm'!O108</f>
        <v>1250</v>
      </c>
      <c r="H108" s="39">
        <f>'data entry Kudamm'!R108</f>
        <v>1522</v>
      </c>
      <c r="I108" s="39">
        <f>'data entry Kudamm'!U108</f>
        <v>1522</v>
      </c>
      <c r="J108" s="39">
        <f>'data entry Kudamm'!X108</f>
        <v>1522</v>
      </c>
      <c r="K108" s="39">
        <f>'data entry Kudamm'!AA108</f>
        <v>1522</v>
      </c>
      <c r="L108" s="39">
        <f>'data entry Kudamm'!AD108</f>
        <v>1522</v>
      </c>
      <c r="M108" s="39">
        <f>'data entry Kudamm'!AG108</f>
        <v>1522</v>
      </c>
      <c r="N108" s="39">
        <f>'data entry Kudamm'!AJ108</f>
        <v>1522</v>
      </c>
      <c r="O108" s="39">
        <f>'data entry Kudamm'!AM108</f>
        <v>1522</v>
      </c>
    </row>
    <row r="109" spans="2:15" ht="14" x14ac:dyDescent="0.15">
      <c r="B109" s="38" t="s">
        <v>74</v>
      </c>
      <c r="C109" s="39">
        <f>'data entry Kudamm'!C109</f>
        <v>1200</v>
      </c>
      <c r="D109" s="39">
        <f>'data entry Kudamm'!F109</f>
        <v>100</v>
      </c>
      <c r="E109" s="39">
        <f>'data entry Kudamm'!I109</f>
        <v>100</v>
      </c>
      <c r="F109" s="39">
        <f>'data entry Kudamm'!L109</f>
        <v>100</v>
      </c>
      <c r="G109" s="39">
        <f>'data entry Kudamm'!O109</f>
        <v>100</v>
      </c>
      <c r="H109" s="39">
        <f>'data entry Kudamm'!R109</f>
        <v>100</v>
      </c>
      <c r="I109" s="39">
        <f>'data entry Kudamm'!U109</f>
        <v>100</v>
      </c>
      <c r="J109" s="39">
        <f>'data entry Kudamm'!X109</f>
        <v>100</v>
      </c>
      <c r="K109" s="39">
        <f>'data entry Kudamm'!AA109</f>
        <v>100</v>
      </c>
      <c r="L109" s="39">
        <f>'data entry Kudamm'!AD109</f>
        <v>100</v>
      </c>
      <c r="M109" s="39">
        <f>'data entry Kudamm'!AG109</f>
        <v>100</v>
      </c>
      <c r="N109" s="39">
        <f>'data entry Kudamm'!AJ109</f>
        <v>100</v>
      </c>
      <c r="O109" s="39">
        <f>'data entry Kudamm'!AM109</f>
        <v>100</v>
      </c>
    </row>
    <row r="110" spans="2:15" ht="14" x14ac:dyDescent="0.15">
      <c r="B110" s="38" t="s">
        <v>75</v>
      </c>
      <c r="C110" s="39">
        <f>'data entry Kudamm'!C110</f>
        <v>65052</v>
      </c>
      <c r="D110" s="39">
        <f>'data entry Kudamm'!F110</f>
        <v>5425</v>
      </c>
      <c r="E110" s="39">
        <f>'data entry Kudamm'!I110</f>
        <v>5425</v>
      </c>
      <c r="F110" s="39">
        <f>'data entry Kudamm'!L110</f>
        <v>5425</v>
      </c>
      <c r="G110" s="39">
        <f>'data entry Kudamm'!O110</f>
        <v>5425</v>
      </c>
      <c r="H110" s="39">
        <f>'data entry Kudamm'!R110</f>
        <v>5419</v>
      </c>
      <c r="I110" s="39">
        <f>'data entry Kudamm'!U110</f>
        <v>5419</v>
      </c>
      <c r="J110" s="39">
        <f>'data entry Kudamm'!X110</f>
        <v>5419</v>
      </c>
      <c r="K110" s="39">
        <f>'data entry Kudamm'!AA110</f>
        <v>5419</v>
      </c>
      <c r="L110" s="39">
        <f>'data entry Kudamm'!AD110</f>
        <v>5419</v>
      </c>
      <c r="M110" s="39">
        <f>'data entry Kudamm'!AG110</f>
        <v>5419</v>
      </c>
      <c r="N110" s="39">
        <f>'data entry Kudamm'!AJ110</f>
        <v>5419</v>
      </c>
      <c r="O110" s="39">
        <f>'data entry Kudamm'!AM110</f>
        <v>5419</v>
      </c>
    </row>
    <row r="111" spans="2:15" ht="14" x14ac:dyDescent="0.15">
      <c r="B111" s="38" t="s">
        <v>76</v>
      </c>
      <c r="C111" s="39">
        <f>'data entry Kudamm'!C111</f>
        <v>0</v>
      </c>
      <c r="D111" s="39">
        <f>'data entry Kudamm'!F111</f>
        <v>0</v>
      </c>
      <c r="E111" s="39">
        <f>'data entry Kudamm'!I111</f>
        <v>0</v>
      </c>
      <c r="F111" s="39">
        <f>'data entry Kudamm'!L111</f>
        <v>0</v>
      </c>
      <c r="G111" s="39">
        <f>'data entry Kudamm'!O111</f>
        <v>0</v>
      </c>
      <c r="H111" s="39">
        <f>'data entry Kudamm'!R111</f>
        <v>0</v>
      </c>
      <c r="I111" s="39">
        <f>'data entry Kudamm'!U111</f>
        <v>0</v>
      </c>
      <c r="J111" s="39">
        <f>'data entry Kudamm'!X111</f>
        <v>0</v>
      </c>
      <c r="K111" s="39">
        <f>'data entry Kudamm'!AA111</f>
        <v>0</v>
      </c>
      <c r="L111" s="39">
        <f>'data entry Kudamm'!AD111</f>
        <v>0</v>
      </c>
      <c r="M111" s="39">
        <f>'data entry Kudamm'!AG111</f>
        <v>0</v>
      </c>
      <c r="N111" s="39">
        <f>'data entry Kudamm'!AJ111</f>
        <v>0</v>
      </c>
      <c r="O111" s="39">
        <f>'data entry Kudamm'!AM111</f>
        <v>0</v>
      </c>
    </row>
    <row r="112" spans="2:15" ht="14" x14ac:dyDescent="0.15">
      <c r="B112" s="38" t="s">
        <v>77</v>
      </c>
      <c r="C112" s="39">
        <f>'data entry Kudamm'!C112</f>
        <v>0</v>
      </c>
      <c r="D112" s="39">
        <f>'data entry Kudamm'!F112</f>
        <v>0</v>
      </c>
      <c r="E112" s="39">
        <f>'data entry Kudamm'!I112</f>
        <v>0</v>
      </c>
      <c r="F112" s="39">
        <f>'data entry Kudamm'!L112</f>
        <v>0</v>
      </c>
      <c r="G112" s="39">
        <f>'data entry Kudamm'!O112</f>
        <v>0</v>
      </c>
      <c r="H112" s="39">
        <f>'data entry Kudamm'!R112</f>
        <v>0</v>
      </c>
      <c r="I112" s="39">
        <f>'data entry Kudamm'!U112</f>
        <v>0</v>
      </c>
      <c r="J112" s="39">
        <f>'data entry Kudamm'!X112</f>
        <v>0</v>
      </c>
      <c r="K112" s="39">
        <f>'data entry Kudamm'!AA112</f>
        <v>0</v>
      </c>
      <c r="L112" s="39">
        <f>'data entry Kudamm'!AD112</f>
        <v>0</v>
      </c>
      <c r="M112" s="39">
        <f>'data entry Kudamm'!AG112</f>
        <v>0</v>
      </c>
      <c r="N112" s="39">
        <f>'data entry Kudamm'!AJ112</f>
        <v>0</v>
      </c>
      <c r="O112" s="39">
        <f>'data entry Kudamm'!AM112</f>
        <v>0</v>
      </c>
    </row>
    <row r="113" spans="2:15" ht="14" x14ac:dyDescent="0.15">
      <c r="B113" s="38" t="s">
        <v>78</v>
      </c>
      <c r="C113" s="39">
        <f>'data entry Kudamm'!C113</f>
        <v>0</v>
      </c>
      <c r="D113" s="39">
        <f>'data entry Kudamm'!F113</f>
        <v>0</v>
      </c>
      <c r="E113" s="39">
        <f>'data entry Kudamm'!I113</f>
        <v>0</v>
      </c>
      <c r="F113" s="39">
        <f>'data entry Kudamm'!L113</f>
        <v>0</v>
      </c>
      <c r="G113" s="39">
        <f>'data entry Kudamm'!O113</f>
        <v>0</v>
      </c>
      <c r="H113" s="39">
        <f>'data entry Kudamm'!R113</f>
        <v>0</v>
      </c>
      <c r="I113" s="39">
        <f>'data entry Kudamm'!U113</f>
        <v>0</v>
      </c>
      <c r="J113" s="39">
        <f>'data entry Kudamm'!X113</f>
        <v>0</v>
      </c>
      <c r="K113" s="39">
        <f>'data entry Kudamm'!AA113</f>
        <v>0</v>
      </c>
      <c r="L113" s="39">
        <f>'data entry Kudamm'!AD113</f>
        <v>0</v>
      </c>
      <c r="M113" s="39">
        <f>'data entry Kudamm'!AG113</f>
        <v>0</v>
      </c>
      <c r="N113" s="39">
        <f>'data entry Kudamm'!AJ113</f>
        <v>0</v>
      </c>
      <c r="O113" s="39">
        <f>'data entry Kudamm'!AM113</f>
        <v>0</v>
      </c>
    </row>
    <row r="114" spans="2:15" ht="14" x14ac:dyDescent="0.15">
      <c r="B114" s="38" t="s">
        <v>79</v>
      </c>
      <c r="C114" s="39">
        <f>'data entry Kudamm'!C114</f>
        <v>0</v>
      </c>
      <c r="D114" s="39">
        <f>'data entry Kudamm'!F114</f>
        <v>0</v>
      </c>
      <c r="E114" s="39">
        <f>'data entry Kudamm'!I114</f>
        <v>0</v>
      </c>
      <c r="F114" s="39">
        <f>'data entry Kudamm'!L114</f>
        <v>0</v>
      </c>
      <c r="G114" s="39">
        <f>'data entry Kudamm'!O114</f>
        <v>0</v>
      </c>
      <c r="H114" s="39">
        <f>'data entry Kudamm'!R114</f>
        <v>0</v>
      </c>
      <c r="I114" s="39">
        <f>'data entry Kudamm'!U114</f>
        <v>0</v>
      </c>
      <c r="J114" s="39">
        <f>'data entry Kudamm'!X114</f>
        <v>0</v>
      </c>
      <c r="K114" s="39">
        <f>'data entry Kudamm'!AA114</f>
        <v>0</v>
      </c>
      <c r="L114" s="39">
        <f>'data entry Kudamm'!AD114</f>
        <v>0</v>
      </c>
      <c r="M114" s="39">
        <f>'data entry Kudamm'!AG114</f>
        <v>0</v>
      </c>
      <c r="N114" s="39">
        <f>'data entry Kudamm'!AJ114</f>
        <v>0</v>
      </c>
      <c r="O114" s="39">
        <f>'data entry Kudamm'!AM114</f>
        <v>0</v>
      </c>
    </row>
    <row r="115" spans="2:15" ht="14" x14ac:dyDescent="0.15">
      <c r="B115" s="38" t="s">
        <v>80</v>
      </c>
      <c r="C115" s="39">
        <f>'data entry Kudamm'!C115</f>
        <v>0</v>
      </c>
      <c r="D115" s="39">
        <f>'data entry Kudamm'!F115</f>
        <v>0</v>
      </c>
      <c r="E115" s="39">
        <f>'data entry Kudamm'!I115</f>
        <v>0</v>
      </c>
      <c r="F115" s="39">
        <f>'data entry Kudamm'!L115</f>
        <v>0</v>
      </c>
      <c r="G115" s="39">
        <f>'data entry Kudamm'!O115</f>
        <v>0</v>
      </c>
      <c r="H115" s="39">
        <f>'data entry Kudamm'!R115</f>
        <v>0</v>
      </c>
      <c r="I115" s="39">
        <f>'data entry Kudamm'!U115</f>
        <v>0</v>
      </c>
      <c r="J115" s="39">
        <f>'data entry Kudamm'!X115</f>
        <v>0</v>
      </c>
      <c r="K115" s="39">
        <f>'data entry Kudamm'!AA115</f>
        <v>0</v>
      </c>
      <c r="L115" s="39">
        <f>'data entry Kudamm'!AD115</f>
        <v>0</v>
      </c>
      <c r="M115" s="39">
        <f>'data entry Kudamm'!AG115</f>
        <v>0</v>
      </c>
      <c r="N115" s="39">
        <f>'data entry Kudamm'!AJ115</f>
        <v>0</v>
      </c>
      <c r="O115" s="39">
        <f>'data entry Kudamm'!AM115</f>
        <v>0</v>
      </c>
    </row>
    <row r="116" spans="2:15" x14ac:dyDescent="0.15">
      <c r="B116" s="40"/>
      <c r="C116" s="39">
        <f>'data entry Kudamm'!C116</f>
        <v>0</v>
      </c>
      <c r="D116" s="39">
        <f>'data entry Kudamm'!F116</f>
        <v>0</v>
      </c>
      <c r="E116" s="39">
        <f>'data entry Kudamm'!I116</f>
        <v>0</v>
      </c>
      <c r="F116" s="39">
        <f>'data entry Kudamm'!L116</f>
        <v>0</v>
      </c>
      <c r="G116" s="39">
        <f>'data entry Kudamm'!O116</f>
        <v>0</v>
      </c>
      <c r="H116" s="39">
        <f>'data entry Kudamm'!R116</f>
        <v>0</v>
      </c>
      <c r="I116" s="39">
        <f>'data entry Kudamm'!U116</f>
        <v>0</v>
      </c>
      <c r="J116" s="39">
        <f>'data entry Kudamm'!X116</f>
        <v>0</v>
      </c>
      <c r="K116" s="39">
        <f>'data entry Kudamm'!AA116</f>
        <v>0</v>
      </c>
      <c r="L116" s="39">
        <f>'data entry Kudamm'!AD116</f>
        <v>0</v>
      </c>
      <c r="M116" s="39">
        <f>'data entry Kudamm'!AG116</f>
        <v>0</v>
      </c>
      <c r="N116" s="39">
        <f>'data entry Kudamm'!AJ116</f>
        <v>0</v>
      </c>
      <c r="O116" s="39">
        <f>'data entry Kudamm'!AM116</f>
        <v>0</v>
      </c>
    </row>
    <row r="117" spans="2:15" ht="14" x14ac:dyDescent="0.15">
      <c r="B117" s="42" t="s">
        <v>81</v>
      </c>
      <c r="C117" s="39">
        <f>'data entry Kudamm'!C117</f>
        <v>0</v>
      </c>
      <c r="D117" s="39">
        <f>'data entry Kudamm'!F117</f>
        <v>0</v>
      </c>
      <c r="E117" s="39">
        <f>'data entry Kudamm'!I117</f>
        <v>0</v>
      </c>
      <c r="F117" s="39">
        <f>'data entry Kudamm'!L117</f>
        <v>0</v>
      </c>
      <c r="G117" s="39">
        <f>'data entry Kudamm'!O117</f>
        <v>0</v>
      </c>
      <c r="H117" s="39">
        <f>'data entry Kudamm'!R117</f>
        <v>0</v>
      </c>
      <c r="I117" s="39">
        <f>'data entry Kudamm'!U117</f>
        <v>0</v>
      </c>
      <c r="J117" s="39">
        <f>'data entry Kudamm'!X117</f>
        <v>0</v>
      </c>
      <c r="K117" s="39">
        <f>'data entry Kudamm'!AA117</f>
        <v>0</v>
      </c>
      <c r="L117" s="39">
        <f>'data entry Kudamm'!AD117</f>
        <v>0</v>
      </c>
      <c r="M117" s="39">
        <f>'data entry Kudamm'!AG117</f>
        <v>0</v>
      </c>
      <c r="N117" s="39">
        <f>'data entry Kudamm'!AJ117</f>
        <v>0</v>
      </c>
      <c r="O117" s="39">
        <f>'data entry Kudamm'!AM117</f>
        <v>0</v>
      </c>
    </row>
    <row r="118" spans="2:15" ht="14" x14ac:dyDescent="0.15">
      <c r="B118" s="38" t="s">
        <v>82</v>
      </c>
      <c r="C118" s="39">
        <f>'data entry Kudamm'!C118</f>
        <v>0</v>
      </c>
      <c r="D118" s="39">
        <f>'data entry Kudamm'!F118</f>
        <v>0</v>
      </c>
      <c r="E118" s="39">
        <f>'data entry Kudamm'!I118</f>
        <v>0</v>
      </c>
      <c r="F118" s="39">
        <f>'data entry Kudamm'!L118</f>
        <v>0</v>
      </c>
      <c r="G118" s="39">
        <f>'data entry Kudamm'!O118</f>
        <v>0</v>
      </c>
      <c r="H118" s="39">
        <f>'data entry Kudamm'!R118</f>
        <v>0</v>
      </c>
      <c r="I118" s="39">
        <f>'data entry Kudamm'!U118</f>
        <v>0</v>
      </c>
      <c r="J118" s="39">
        <f>'data entry Kudamm'!X118</f>
        <v>0</v>
      </c>
      <c r="K118" s="39">
        <f>'data entry Kudamm'!AA118</f>
        <v>0</v>
      </c>
      <c r="L118" s="39">
        <f>'data entry Kudamm'!AD118</f>
        <v>0</v>
      </c>
      <c r="M118" s="39">
        <f>'data entry Kudamm'!AG118</f>
        <v>0</v>
      </c>
      <c r="N118" s="39">
        <f>'data entry Kudamm'!AJ118</f>
        <v>0</v>
      </c>
      <c r="O118" s="39">
        <f>'data entry Kudamm'!AM118</f>
        <v>0</v>
      </c>
    </row>
    <row r="119" spans="2:15" ht="14" x14ac:dyDescent="0.15">
      <c r="B119" s="38" t="s">
        <v>83</v>
      </c>
      <c r="C119" s="39">
        <f>'data entry Kudamm'!C119</f>
        <v>0</v>
      </c>
      <c r="D119" s="39">
        <f>'data entry Kudamm'!F119</f>
        <v>0</v>
      </c>
      <c r="E119" s="39">
        <f>'data entry Kudamm'!I119</f>
        <v>0</v>
      </c>
      <c r="F119" s="39">
        <f>'data entry Kudamm'!L119</f>
        <v>0</v>
      </c>
      <c r="G119" s="39">
        <f>'data entry Kudamm'!O119</f>
        <v>0</v>
      </c>
      <c r="H119" s="39">
        <f>'data entry Kudamm'!R119</f>
        <v>0</v>
      </c>
      <c r="I119" s="39">
        <f>'data entry Kudamm'!U119</f>
        <v>0</v>
      </c>
      <c r="J119" s="39">
        <f>'data entry Kudamm'!X119</f>
        <v>0</v>
      </c>
      <c r="K119" s="39">
        <f>'data entry Kudamm'!AA119</f>
        <v>0</v>
      </c>
      <c r="L119" s="39">
        <f>'data entry Kudamm'!AD119</f>
        <v>0</v>
      </c>
      <c r="M119" s="39">
        <f>'data entry Kudamm'!AG119</f>
        <v>0</v>
      </c>
      <c r="N119" s="39">
        <f>'data entry Kudamm'!AJ119</f>
        <v>0</v>
      </c>
      <c r="O119" s="39">
        <f>'data entry Kudamm'!AM119</f>
        <v>0</v>
      </c>
    </row>
    <row r="120" spans="2:15" x14ac:dyDescent="0.15">
      <c r="B120" s="40"/>
      <c r="C120" s="39">
        <f>'data entry Kudamm'!C120</f>
        <v>0</v>
      </c>
      <c r="D120" s="39">
        <f>'data entry Kudamm'!F120</f>
        <v>0</v>
      </c>
      <c r="E120" s="39">
        <f>'data entry Kudamm'!I120</f>
        <v>0</v>
      </c>
      <c r="F120" s="39">
        <f>'data entry Kudamm'!L120</f>
        <v>0</v>
      </c>
      <c r="G120" s="39">
        <f>'data entry Kudamm'!O120</f>
        <v>0</v>
      </c>
      <c r="H120" s="39">
        <f>'data entry Kudamm'!R120</f>
        <v>0</v>
      </c>
      <c r="I120" s="39">
        <f>'data entry Kudamm'!U120</f>
        <v>0</v>
      </c>
      <c r="J120" s="39">
        <f>'data entry Kudamm'!X120</f>
        <v>0</v>
      </c>
      <c r="K120" s="39">
        <f>'data entry Kudamm'!AA120</f>
        <v>0</v>
      </c>
      <c r="L120" s="39">
        <f>'data entry Kudamm'!AD120</f>
        <v>0</v>
      </c>
      <c r="M120" s="39">
        <f>'data entry Kudamm'!AG120</f>
        <v>0</v>
      </c>
      <c r="N120" s="39">
        <f>'data entry Kudamm'!AJ120</f>
        <v>0</v>
      </c>
      <c r="O120" s="39">
        <f>'data entry Kudamm'!AM120</f>
        <v>0</v>
      </c>
    </row>
    <row r="121" spans="2:15" ht="14" x14ac:dyDescent="0.15">
      <c r="B121" s="42" t="s">
        <v>84</v>
      </c>
      <c r="C121" s="39">
        <f>'data entry Kudamm'!C121</f>
        <v>1437127.3770999999</v>
      </c>
      <c r="D121" s="39">
        <f>'data entry Kudamm'!F121</f>
        <v>-27773.54</v>
      </c>
      <c r="E121" s="39">
        <f>'data entry Kudamm'!I121</f>
        <v>102695.36</v>
      </c>
      <c r="F121" s="39">
        <f>'data entry Kudamm'!L121</f>
        <v>105475.56</v>
      </c>
      <c r="G121" s="39">
        <f>'data entry Kudamm'!O121</f>
        <v>15941.97</v>
      </c>
      <c r="H121" s="39">
        <f>'data entry Kudamm'!R121</f>
        <v>152492.965</v>
      </c>
      <c r="I121" s="39">
        <f>'data entry Kudamm'!U121</f>
        <v>164722.9546</v>
      </c>
      <c r="J121" s="39">
        <f>'data entry Kudamm'!X121</f>
        <v>103483.7426</v>
      </c>
      <c r="K121" s="39">
        <f>'data entry Kudamm'!AA121</f>
        <v>133714.37169999999</v>
      </c>
      <c r="L121" s="39">
        <f>'data entry Kudamm'!AD121</f>
        <v>278518.31439999997</v>
      </c>
      <c r="M121" s="39">
        <f>'data entry Kudamm'!AG121</f>
        <v>192306.5215</v>
      </c>
      <c r="N121" s="39">
        <f>'data entry Kudamm'!AJ121</f>
        <v>109215.0408</v>
      </c>
      <c r="O121" s="39">
        <f>'data entry Kudamm'!AM121</f>
        <v>106334.1165</v>
      </c>
    </row>
    <row r="122" spans="2:15" ht="14" x14ac:dyDescent="0.15">
      <c r="B122" s="38" t="s">
        <v>85</v>
      </c>
      <c r="C122" s="39">
        <f>'data entry Kudamm'!C122</f>
        <v>0</v>
      </c>
      <c r="D122" s="39">
        <f>'data entry Kudamm'!F122</f>
        <v>0</v>
      </c>
      <c r="E122" s="39">
        <f>'data entry Kudamm'!I122</f>
        <v>0</v>
      </c>
      <c r="F122" s="39">
        <f>'data entry Kudamm'!L122</f>
        <v>0</v>
      </c>
      <c r="G122" s="39">
        <f>'data entry Kudamm'!O122</f>
        <v>0</v>
      </c>
      <c r="H122" s="39">
        <f>'data entry Kudamm'!R122</f>
        <v>0</v>
      </c>
      <c r="I122" s="39">
        <f>'data entry Kudamm'!U122</f>
        <v>0</v>
      </c>
      <c r="J122" s="39">
        <f>'data entry Kudamm'!X122</f>
        <v>0</v>
      </c>
      <c r="K122" s="39">
        <f>'data entry Kudamm'!AA122</f>
        <v>0</v>
      </c>
      <c r="L122" s="39">
        <f>'data entry Kudamm'!AD122</f>
        <v>0</v>
      </c>
      <c r="M122" s="39">
        <f>'data entry Kudamm'!AG122</f>
        <v>0</v>
      </c>
      <c r="N122" s="39">
        <f>'data entry Kudamm'!AJ122</f>
        <v>0</v>
      </c>
      <c r="O122" s="39">
        <f>'data entry Kudamm'!AM122</f>
        <v>0</v>
      </c>
    </row>
    <row r="123" spans="2:15" x14ac:dyDescent="0.15">
      <c r="B123" s="40"/>
      <c r="C123" s="39">
        <f>'data entry Kudamm'!C123</f>
        <v>0</v>
      </c>
      <c r="D123" s="39">
        <f>'data entry Kudamm'!F123</f>
        <v>0</v>
      </c>
      <c r="E123" s="39">
        <f>'data entry Kudamm'!I123</f>
        <v>0</v>
      </c>
      <c r="F123" s="39">
        <f>'data entry Kudamm'!L123</f>
        <v>0</v>
      </c>
      <c r="G123" s="39">
        <f>'data entry Kudamm'!O123</f>
        <v>0</v>
      </c>
      <c r="H123" s="39">
        <f>'data entry Kudamm'!R123</f>
        <v>0</v>
      </c>
      <c r="I123" s="39">
        <f>'data entry Kudamm'!U123</f>
        <v>0</v>
      </c>
      <c r="J123" s="39">
        <f>'data entry Kudamm'!X123</f>
        <v>0</v>
      </c>
      <c r="K123" s="39">
        <f>'data entry Kudamm'!AA123</f>
        <v>0</v>
      </c>
      <c r="L123" s="39">
        <f>'data entry Kudamm'!AD123</f>
        <v>0</v>
      </c>
      <c r="M123" s="39">
        <f>'data entry Kudamm'!AG123</f>
        <v>0</v>
      </c>
      <c r="N123" s="39">
        <f>'data entry Kudamm'!AJ123</f>
        <v>0</v>
      </c>
      <c r="O123" s="39">
        <f>'data entry Kudamm'!AM123</f>
        <v>0</v>
      </c>
    </row>
    <row r="124" spans="2:15" ht="14" x14ac:dyDescent="0.15">
      <c r="B124" s="42" t="s">
        <v>86</v>
      </c>
      <c r="C124" s="39">
        <f>'data entry Kudamm'!C124</f>
        <v>1437127.3770999999</v>
      </c>
      <c r="D124" s="39">
        <f>'data entry Kudamm'!F124</f>
        <v>-27773.54</v>
      </c>
      <c r="E124" s="39">
        <f>'data entry Kudamm'!I124</f>
        <v>102695.36</v>
      </c>
      <c r="F124" s="39">
        <f>'data entry Kudamm'!L124</f>
        <v>105475.56</v>
      </c>
      <c r="G124" s="39">
        <f>'data entry Kudamm'!O124</f>
        <v>15941.97</v>
      </c>
      <c r="H124" s="39">
        <f>'data entry Kudamm'!R124</f>
        <v>152492.965</v>
      </c>
      <c r="I124" s="39">
        <f>'data entry Kudamm'!U124</f>
        <v>164722.9546</v>
      </c>
      <c r="J124" s="39">
        <f>'data entry Kudamm'!X124</f>
        <v>103483.7426</v>
      </c>
      <c r="K124" s="39">
        <f>'data entry Kudamm'!AA124</f>
        <v>133714.37169999999</v>
      </c>
      <c r="L124" s="39">
        <f>'data entry Kudamm'!AD124</f>
        <v>278518.31439999997</v>
      </c>
      <c r="M124" s="39">
        <f>'data entry Kudamm'!AG124</f>
        <v>192306.5215</v>
      </c>
      <c r="N124" s="39">
        <f>'data entry Kudamm'!AJ124</f>
        <v>109215.0408</v>
      </c>
      <c r="O124" s="39">
        <f>'data entry Kudamm'!AM124</f>
        <v>106334.1165</v>
      </c>
    </row>
    <row r="125" spans="2:15" ht="14" x14ac:dyDescent="0.15">
      <c r="B125" s="38" t="s">
        <v>87</v>
      </c>
      <c r="C125" s="39">
        <f>'data entry Kudamm'!C125</f>
        <v>0</v>
      </c>
      <c r="D125" s="39">
        <f>'data entry Kudamm'!F125</f>
        <v>0</v>
      </c>
      <c r="E125" s="39">
        <f>'data entry Kudamm'!I125</f>
        <v>0</v>
      </c>
      <c r="F125" s="39">
        <f>'data entry Kudamm'!L125</f>
        <v>0</v>
      </c>
      <c r="G125" s="39">
        <f>'data entry Kudamm'!O125</f>
        <v>0</v>
      </c>
      <c r="H125" s="39">
        <f>'data entry Kudamm'!R125</f>
        <v>0</v>
      </c>
      <c r="I125" s="39">
        <f>'data entry Kudamm'!U125</f>
        <v>0</v>
      </c>
      <c r="J125" s="39">
        <f>'data entry Kudamm'!X125</f>
        <v>0</v>
      </c>
      <c r="K125" s="39">
        <f>'data entry Kudamm'!AA125</f>
        <v>0</v>
      </c>
      <c r="L125" s="39">
        <f>'data entry Kudamm'!AD125</f>
        <v>0</v>
      </c>
      <c r="M125" s="39">
        <f>'data entry Kudamm'!AG125</f>
        <v>0</v>
      </c>
      <c r="N125" s="39">
        <f>'data entry Kudamm'!AJ125</f>
        <v>0</v>
      </c>
      <c r="O125" s="39">
        <f>'data entry Kudamm'!AM125</f>
        <v>0</v>
      </c>
    </row>
    <row r="126" spans="2:15" x14ac:dyDescent="0.15">
      <c r="B126" s="40"/>
      <c r="C126" s="39">
        <f>'data entry Kudamm'!C126</f>
        <v>0</v>
      </c>
      <c r="D126" s="39">
        <f>'data entry Kudamm'!F126</f>
        <v>0</v>
      </c>
      <c r="E126" s="39">
        <f>'data entry Kudamm'!I126</f>
        <v>0</v>
      </c>
      <c r="F126" s="39">
        <f>'data entry Kudamm'!L126</f>
        <v>0</v>
      </c>
      <c r="G126" s="39">
        <f>'data entry Kudamm'!O126</f>
        <v>0</v>
      </c>
      <c r="H126" s="39">
        <f>'data entry Kudamm'!R126</f>
        <v>0</v>
      </c>
      <c r="I126" s="39">
        <f>'data entry Kudamm'!U126</f>
        <v>0</v>
      </c>
      <c r="J126" s="39">
        <f>'data entry Kudamm'!X126</f>
        <v>0</v>
      </c>
      <c r="K126" s="39">
        <f>'data entry Kudamm'!AA126</f>
        <v>0</v>
      </c>
      <c r="L126" s="39">
        <f>'data entry Kudamm'!AD126</f>
        <v>0</v>
      </c>
      <c r="M126" s="39">
        <f>'data entry Kudamm'!AG126</f>
        <v>0</v>
      </c>
      <c r="N126" s="39">
        <f>'data entry Kudamm'!AJ126</f>
        <v>0</v>
      </c>
      <c r="O126" s="39">
        <f>'data entry Kudamm'!AM126</f>
        <v>0</v>
      </c>
    </row>
    <row r="127" spans="2:15" ht="14" x14ac:dyDescent="0.15">
      <c r="B127" s="42" t="s">
        <v>88</v>
      </c>
      <c r="C127" s="39">
        <f>'data entry Kudamm'!C127</f>
        <v>1437127.3770999999</v>
      </c>
      <c r="D127" s="39">
        <f>'data entry Kudamm'!F127</f>
        <v>-27773.54</v>
      </c>
      <c r="E127" s="39">
        <f>'data entry Kudamm'!I127</f>
        <v>102695.36</v>
      </c>
      <c r="F127" s="39">
        <f>'data entry Kudamm'!L127</f>
        <v>105475.56</v>
      </c>
      <c r="G127" s="39">
        <f>'data entry Kudamm'!O127</f>
        <v>15941.97</v>
      </c>
      <c r="H127" s="39">
        <f>'data entry Kudamm'!R127</f>
        <v>152492.965</v>
      </c>
      <c r="I127" s="39">
        <f>'data entry Kudamm'!U127</f>
        <v>164722.9546</v>
      </c>
      <c r="J127" s="39">
        <f>'data entry Kudamm'!X127</f>
        <v>103483.7426</v>
      </c>
      <c r="K127" s="39">
        <f>'data entry Kudamm'!AA127</f>
        <v>133714.37169999999</v>
      </c>
      <c r="L127" s="39">
        <f>'data entry Kudamm'!AD127</f>
        <v>278518.31439999997</v>
      </c>
      <c r="M127" s="39">
        <f>'data entry Kudamm'!AG127</f>
        <v>192306.5215</v>
      </c>
      <c r="N127" s="39">
        <f>'data entry Kudamm'!AJ127</f>
        <v>109215.0408</v>
      </c>
      <c r="O127" s="39">
        <f>'data entry Kudamm'!AM127</f>
        <v>106334.1165</v>
      </c>
    </row>
    <row r="128" spans="2:15" x14ac:dyDescent="0.15">
      <c r="B128" s="40"/>
      <c r="C128" s="39">
        <f>'data entry Kudamm'!C128</f>
        <v>0</v>
      </c>
      <c r="D128" s="39">
        <f>'data entry Kudamm'!F128</f>
        <v>0</v>
      </c>
      <c r="E128" s="39">
        <f>'data entry Kudamm'!I128</f>
        <v>0</v>
      </c>
      <c r="F128" s="39">
        <f>'data entry Kudamm'!L128</f>
        <v>0</v>
      </c>
      <c r="G128" s="39">
        <f>'data entry Kudamm'!O128</f>
        <v>0</v>
      </c>
      <c r="H128" s="39">
        <f>'data entry Kudamm'!R128</f>
        <v>0</v>
      </c>
      <c r="I128" s="39">
        <f>'data entry Kudamm'!U128</f>
        <v>0</v>
      </c>
      <c r="J128" s="39">
        <f>'data entry Kudamm'!X128</f>
        <v>0</v>
      </c>
      <c r="K128" s="39">
        <f>'data entry Kudamm'!AA128</f>
        <v>0</v>
      </c>
      <c r="L128" s="39">
        <f>'data entry Kudamm'!AD128</f>
        <v>0</v>
      </c>
      <c r="M128" s="39">
        <f>'data entry Kudamm'!AG128</f>
        <v>0</v>
      </c>
      <c r="N128" s="39">
        <f>'data entry Kudamm'!AJ128</f>
        <v>0</v>
      </c>
      <c r="O128" s="39">
        <f>'data entry Kudamm'!AM128</f>
        <v>0</v>
      </c>
    </row>
    <row r="129" spans="2:15" ht="14" x14ac:dyDescent="0.15">
      <c r="B129" s="42" t="s">
        <v>89</v>
      </c>
      <c r="C129" s="39">
        <f>'data entry Kudamm'!C129</f>
        <v>149265.27559999999</v>
      </c>
      <c r="D129" s="39">
        <f>'data entry Kudamm'!F129</f>
        <v>6409.68</v>
      </c>
      <c r="E129" s="39">
        <f>'data entry Kudamm'!I129</f>
        <v>11205.42</v>
      </c>
      <c r="F129" s="39">
        <f>'data entry Kudamm'!L129</f>
        <v>7626.87</v>
      </c>
      <c r="G129" s="39">
        <f>'data entry Kudamm'!O129</f>
        <v>6077.25</v>
      </c>
      <c r="H129" s="39">
        <f>'data entry Kudamm'!R129</f>
        <v>14644.0949</v>
      </c>
      <c r="I129" s="39">
        <f>'data entry Kudamm'!U129</f>
        <v>15343.2569</v>
      </c>
      <c r="J129" s="39">
        <f>'data entry Kudamm'!X129</f>
        <v>13029.5008</v>
      </c>
      <c r="K129" s="39">
        <f>'data entry Kudamm'!AA129</f>
        <v>13698.923000000001</v>
      </c>
      <c r="L129" s="39">
        <f>'data entry Kudamm'!AD129</f>
        <v>19817.508699999998</v>
      </c>
      <c r="M129" s="39">
        <f>'data entry Kudamm'!AG129</f>
        <v>16472.594700000001</v>
      </c>
      <c r="N129" s="39">
        <f>'data entry Kudamm'!AJ129</f>
        <v>12863.689</v>
      </c>
      <c r="O129" s="39">
        <f>'data entry Kudamm'!AM129</f>
        <v>12076.4876</v>
      </c>
    </row>
    <row r="130" spans="2:15" ht="14" x14ac:dyDescent="0.15">
      <c r="B130" s="38" t="s">
        <v>90</v>
      </c>
      <c r="C130" s="39">
        <f>'data entry Kudamm'!C130</f>
        <v>149265.27559999999</v>
      </c>
      <c r="D130" s="39">
        <f>'data entry Kudamm'!F130</f>
        <v>6409.68</v>
      </c>
      <c r="E130" s="39">
        <f>'data entry Kudamm'!I130</f>
        <v>11205.42</v>
      </c>
      <c r="F130" s="39">
        <f>'data entry Kudamm'!L130</f>
        <v>7626.87</v>
      </c>
      <c r="G130" s="39">
        <f>'data entry Kudamm'!O130</f>
        <v>6077.25</v>
      </c>
      <c r="H130" s="39">
        <f>'data entry Kudamm'!R130</f>
        <v>14644.0949</v>
      </c>
      <c r="I130" s="39">
        <f>'data entry Kudamm'!U130</f>
        <v>15343.2569</v>
      </c>
      <c r="J130" s="39">
        <f>'data entry Kudamm'!X130</f>
        <v>13029.5008</v>
      </c>
      <c r="K130" s="39">
        <f>'data entry Kudamm'!AA130</f>
        <v>13698.923000000001</v>
      </c>
      <c r="L130" s="39">
        <f>'data entry Kudamm'!AD130</f>
        <v>19817.508699999998</v>
      </c>
      <c r="M130" s="39">
        <f>'data entry Kudamm'!AG130</f>
        <v>16472.594700000001</v>
      </c>
      <c r="N130" s="39">
        <f>'data entry Kudamm'!AJ130</f>
        <v>12863.689</v>
      </c>
      <c r="O130" s="39">
        <f>'data entry Kudamm'!AM130</f>
        <v>12076.4876</v>
      </c>
    </row>
    <row r="131" spans="2:15" ht="14" x14ac:dyDescent="0.15">
      <c r="B131" s="38" t="s">
        <v>91</v>
      </c>
      <c r="C131" s="39">
        <f>'data entry Kudamm'!C131</f>
        <v>0</v>
      </c>
      <c r="D131" s="39">
        <f>'data entry Kudamm'!F131</f>
        <v>0</v>
      </c>
      <c r="E131" s="39">
        <f>'data entry Kudamm'!I131</f>
        <v>0</v>
      </c>
      <c r="F131" s="39">
        <f>'data entry Kudamm'!L131</f>
        <v>0</v>
      </c>
      <c r="G131" s="39">
        <f>'data entry Kudamm'!O131</f>
        <v>0</v>
      </c>
      <c r="H131" s="39">
        <f>'data entry Kudamm'!R131</f>
        <v>0</v>
      </c>
      <c r="I131" s="39">
        <f>'data entry Kudamm'!U131</f>
        <v>0</v>
      </c>
      <c r="J131" s="39">
        <f>'data entry Kudamm'!X131</f>
        <v>0</v>
      </c>
      <c r="K131" s="39">
        <f>'data entry Kudamm'!AA131</f>
        <v>0</v>
      </c>
      <c r="L131" s="39">
        <f>'data entry Kudamm'!AD131</f>
        <v>0</v>
      </c>
      <c r="M131" s="39">
        <f>'data entry Kudamm'!AG131</f>
        <v>0</v>
      </c>
      <c r="N131" s="39">
        <f>'data entry Kudamm'!AJ131</f>
        <v>0</v>
      </c>
      <c r="O131" s="39">
        <f>'data entry Kudamm'!AM131</f>
        <v>0</v>
      </c>
    </row>
    <row r="132" spans="2:15" ht="14" x14ac:dyDescent="0.15">
      <c r="B132" s="38" t="s">
        <v>92</v>
      </c>
      <c r="C132" s="39">
        <f>'data entry Kudamm'!C132</f>
        <v>0</v>
      </c>
      <c r="D132" s="39">
        <f>'data entry Kudamm'!F132</f>
        <v>0</v>
      </c>
      <c r="E132" s="39">
        <f>'data entry Kudamm'!I132</f>
        <v>0</v>
      </c>
      <c r="F132" s="39">
        <f>'data entry Kudamm'!L132</f>
        <v>0</v>
      </c>
      <c r="G132" s="39">
        <f>'data entry Kudamm'!O132</f>
        <v>0</v>
      </c>
      <c r="H132" s="39">
        <f>'data entry Kudamm'!R132</f>
        <v>0</v>
      </c>
      <c r="I132" s="39">
        <f>'data entry Kudamm'!U132</f>
        <v>0</v>
      </c>
      <c r="J132" s="39">
        <f>'data entry Kudamm'!X132</f>
        <v>0</v>
      </c>
      <c r="K132" s="39">
        <f>'data entry Kudamm'!AA132</f>
        <v>0</v>
      </c>
      <c r="L132" s="39">
        <f>'data entry Kudamm'!AD132</f>
        <v>0</v>
      </c>
      <c r="M132" s="39">
        <f>'data entry Kudamm'!AG132</f>
        <v>0</v>
      </c>
      <c r="N132" s="39">
        <f>'data entry Kudamm'!AJ132</f>
        <v>0</v>
      </c>
      <c r="O132" s="39">
        <f>'data entry Kudamm'!AM132</f>
        <v>0</v>
      </c>
    </row>
    <row r="133" spans="2:15" x14ac:dyDescent="0.15">
      <c r="B133" s="40"/>
      <c r="C133" s="39">
        <f>'data entry Kudamm'!C133</f>
        <v>0</v>
      </c>
      <c r="D133" s="39">
        <f>'data entry Kudamm'!F133</f>
        <v>0</v>
      </c>
      <c r="E133" s="39">
        <f>'data entry Kudamm'!I133</f>
        <v>0</v>
      </c>
      <c r="F133" s="39">
        <f>'data entry Kudamm'!L133</f>
        <v>0</v>
      </c>
      <c r="G133" s="39">
        <f>'data entry Kudamm'!O133</f>
        <v>0</v>
      </c>
      <c r="H133" s="39">
        <f>'data entry Kudamm'!R133</f>
        <v>0</v>
      </c>
      <c r="I133" s="39">
        <f>'data entry Kudamm'!U133</f>
        <v>0</v>
      </c>
      <c r="J133" s="39">
        <f>'data entry Kudamm'!X133</f>
        <v>0</v>
      </c>
      <c r="K133" s="39">
        <f>'data entry Kudamm'!AA133</f>
        <v>0</v>
      </c>
      <c r="L133" s="39">
        <f>'data entry Kudamm'!AD133</f>
        <v>0</v>
      </c>
      <c r="M133" s="39">
        <f>'data entry Kudamm'!AG133</f>
        <v>0</v>
      </c>
      <c r="N133" s="39">
        <f>'data entry Kudamm'!AJ133</f>
        <v>0</v>
      </c>
      <c r="O133" s="39">
        <f>'data entry Kudamm'!AM133</f>
        <v>0</v>
      </c>
    </row>
    <row r="134" spans="2:15" ht="14" x14ac:dyDescent="0.15">
      <c r="B134" s="42" t="s">
        <v>93</v>
      </c>
      <c r="C134" s="39">
        <f>'data entry Kudamm'!C134</f>
        <v>1287862.1015000001</v>
      </c>
      <c r="D134" s="39">
        <f>'data entry Kudamm'!F134</f>
        <v>-34183.22</v>
      </c>
      <c r="E134" s="39">
        <f>'data entry Kudamm'!I134</f>
        <v>91489.94</v>
      </c>
      <c r="F134" s="39">
        <f>'data entry Kudamm'!L134</f>
        <v>97848.69</v>
      </c>
      <c r="G134" s="39">
        <f>'data entry Kudamm'!O134</f>
        <v>9864.7199999999993</v>
      </c>
      <c r="H134" s="39">
        <f>'data entry Kudamm'!R134</f>
        <v>137848.8701</v>
      </c>
      <c r="I134" s="39">
        <f>'data entry Kudamm'!U134</f>
        <v>149379.69769999999</v>
      </c>
      <c r="J134" s="39">
        <f>'data entry Kudamm'!X134</f>
        <v>90454.241800000003</v>
      </c>
      <c r="K134" s="39">
        <f>'data entry Kudamm'!AA134</f>
        <v>120015.44869999999</v>
      </c>
      <c r="L134" s="39">
        <f>'data entry Kudamm'!AD134</f>
        <v>258700.8057</v>
      </c>
      <c r="M134" s="39">
        <f>'data entry Kudamm'!AG134</f>
        <v>175833.92679999999</v>
      </c>
      <c r="N134" s="39">
        <f>'data entry Kudamm'!AJ134</f>
        <v>96351.351800000004</v>
      </c>
      <c r="O134" s="39">
        <f>'data entry Kudamm'!AM134</f>
        <v>94257.628899999996</v>
      </c>
    </row>
    <row r="135" spans="2:15" x14ac:dyDescent="0.15">
      <c r="B135" s="40"/>
      <c r="C135" s="39">
        <f>'data entry Kudamm'!C135</f>
        <v>0</v>
      </c>
      <c r="D135" s="39">
        <f>'data entry Kudamm'!F135</f>
        <v>0</v>
      </c>
      <c r="E135" s="39">
        <f>'data entry Kudamm'!I135</f>
        <v>0</v>
      </c>
      <c r="F135" s="39">
        <f>'data entry Kudamm'!L135</f>
        <v>0</v>
      </c>
      <c r="G135" s="39">
        <f>'data entry Kudamm'!O135</f>
        <v>0</v>
      </c>
      <c r="H135" s="39">
        <f>'data entry Kudamm'!R135</f>
        <v>0</v>
      </c>
      <c r="I135" s="39">
        <f>'data entry Kudamm'!U135</f>
        <v>0</v>
      </c>
      <c r="J135" s="39">
        <f>'data entry Kudamm'!X135</f>
        <v>0</v>
      </c>
      <c r="K135" s="39">
        <f>'data entry Kudamm'!AA135</f>
        <v>0</v>
      </c>
      <c r="L135" s="39">
        <f>'data entry Kudamm'!AD135</f>
        <v>0</v>
      </c>
      <c r="M135" s="39">
        <f>'data entry Kudamm'!AG135</f>
        <v>0</v>
      </c>
      <c r="N135" s="39">
        <f>'data entry Kudamm'!AJ135</f>
        <v>0</v>
      </c>
      <c r="O135" s="39">
        <f>'data entry Kudamm'!AM135</f>
        <v>0</v>
      </c>
    </row>
    <row r="136" spans="2:15" ht="14" x14ac:dyDescent="0.15">
      <c r="B136" s="42" t="s">
        <v>94</v>
      </c>
      <c r="C136" s="39">
        <f>'data entry Kudamm'!C136</f>
        <v>2368787.16</v>
      </c>
      <c r="D136" s="39">
        <f>'data entry Kudamm'!F136</f>
        <v>194545.59</v>
      </c>
      <c r="E136" s="39">
        <f>'data entry Kudamm'!I136</f>
        <v>194545.59</v>
      </c>
      <c r="F136" s="39">
        <f>'data entry Kudamm'!L136</f>
        <v>194545.59</v>
      </c>
      <c r="G136" s="39">
        <f>'data entry Kudamm'!O136</f>
        <v>194545.59</v>
      </c>
      <c r="H136" s="39">
        <f>'data entry Kudamm'!R136</f>
        <v>198825.60000000001</v>
      </c>
      <c r="I136" s="39">
        <f>'data entry Kudamm'!U136</f>
        <v>198825.60000000001</v>
      </c>
      <c r="J136" s="39">
        <f>'data entry Kudamm'!X136</f>
        <v>198825.60000000001</v>
      </c>
      <c r="K136" s="39">
        <f>'data entry Kudamm'!AA136</f>
        <v>198825.60000000001</v>
      </c>
      <c r="L136" s="39">
        <f>'data entry Kudamm'!AD136</f>
        <v>198825.60000000001</v>
      </c>
      <c r="M136" s="39">
        <f>'data entry Kudamm'!AG136</f>
        <v>198825.60000000001</v>
      </c>
      <c r="N136" s="39">
        <f>'data entry Kudamm'!AJ136</f>
        <v>198825.60000000001</v>
      </c>
      <c r="O136" s="39">
        <f>'data entry Kudamm'!AM136</f>
        <v>198825.60000000001</v>
      </c>
    </row>
    <row r="137" spans="2:15" ht="14" x14ac:dyDescent="0.15">
      <c r="B137" s="38" t="s">
        <v>95</v>
      </c>
      <c r="C137" s="39">
        <f>'data entry Kudamm'!C137</f>
        <v>2368787.16</v>
      </c>
      <c r="D137" s="39">
        <f>'data entry Kudamm'!F137</f>
        <v>194545.59</v>
      </c>
      <c r="E137" s="39">
        <f>'data entry Kudamm'!I137</f>
        <v>194545.59</v>
      </c>
      <c r="F137" s="39">
        <f>'data entry Kudamm'!L137</f>
        <v>194545.59</v>
      </c>
      <c r="G137" s="39">
        <f>'data entry Kudamm'!O137</f>
        <v>194545.59</v>
      </c>
      <c r="H137" s="39">
        <f>'data entry Kudamm'!R137</f>
        <v>198825.60000000001</v>
      </c>
      <c r="I137" s="39">
        <f>'data entry Kudamm'!U137</f>
        <v>198825.60000000001</v>
      </c>
      <c r="J137" s="39">
        <f>'data entry Kudamm'!X137</f>
        <v>198825.60000000001</v>
      </c>
      <c r="K137" s="39">
        <f>'data entry Kudamm'!AA137</f>
        <v>198825.60000000001</v>
      </c>
      <c r="L137" s="39">
        <f>'data entry Kudamm'!AD137</f>
        <v>198825.60000000001</v>
      </c>
      <c r="M137" s="39">
        <f>'data entry Kudamm'!AG137</f>
        <v>198825.60000000001</v>
      </c>
      <c r="N137" s="39">
        <f>'data entry Kudamm'!AJ137</f>
        <v>198825.60000000001</v>
      </c>
      <c r="O137" s="39">
        <f>'data entry Kudamm'!AM137</f>
        <v>198825.60000000001</v>
      </c>
    </row>
    <row r="138" spans="2:15" ht="14" x14ac:dyDescent="0.15">
      <c r="B138" s="38" t="s">
        <v>96</v>
      </c>
      <c r="C138" s="39">
        <f>'data entry Kudamm'!C138</f>
        <v>0</v>
      </c>
      <c r="D138" s="39">
        <f>'data entry Kudamm'!F138</f>
        <v>0</v>
      </c>
      <c r="E138" s="39">
        <f>'data entry Kudamm'!I138</f>
        <v>0</v>
      </c>
      <c r="F138" s="39">
        <f>'data entry Kudamm'!L138</f>
        <v>0</v>
      </c>
      <c r="G138" s="39">
        <f>'data entry Kudamm'!O138</f>
        <v>0</v>
      </c>
      <c r="H138" s="39">
        <f>'data entry Kudamm'!R138</f>
        <v>0</v>
      </c>
      <c r="I138" s="39">
        <f>'data entry Kudamm'!U138</f>
        <v>0</v>
      </c>
      <c r="J138" s="39">
        <f>'data entry Kudamm'!X138</f>
        <v>0</v>
      </c>
      <c r="K138" s="39">
        <f>'data entry Kudamm'!AA138</f>
        <v>0</v>
      </c>
      <c r="L138" s="39">
        <f>'data entry Kudamm'!AD138</f>
        <v>0</v>
      </c>
      <c r="M138" s="39">
        <f>'data entry Kudamm'!AG138</f>
        <v>0</v>
      </c>
      <c r="N138" s="39">
        <f>'data entry Kudamm'!AJ138</f>
        <v>0</v>
      </c>
      <c r="O138" s="39">
        <f>'data entry Kudamm'!AM138</f>
        <v>0</v>
      </c>
    </row>
    <row r="139" spans="2:15" ht="14" x14ac:dyDescent="0.15">
      <c r="B139" s="38" t="s">
        <v>97</v>
      </c>
      <c r="C139" s="39">
        <f>'data entry Kudamm'!C139</f>
        <v>0</v>
      </c>
      <c r="D139" s="39">
        <f>'data entry Kudamm'!F139</f>
        <v>0</v>
      </c>
      <c r="E139" s="39">
        <f>'data entry Kudamm'!I139</f>
        <v>0</v>
      </c>
      <c r="F139" s="39">
        <f>'data entry Kudamm'!L139</f>
        <v>0</v>
      </c>
      <c r="G139" s="39">
        <f>'data entry Kudamm'!O139</f>
        <v>0</v>
      </c>
      <c r="H139" s="39">
        <f>'data entry Kudamm'!R139</f>
        <v>0</v>
      </c>
      <c r="I139" s="39">
        <f>'data entry Kudamm'!U139</f>
        <v>0</v>
      </c>
      <c r="J139" s="39">
        <f>'data entry Kudamm'!X139</f>
        <v>0</v>
      </c>
      <c r="K139" s="39">
        <f>'data entry Kudamm'!AA139</f>
        <v>0</v>
      </c>
      <c r="L139" s="39">
        <f>'data entry Kudamm'!AD139</f>
        <v>0</v>
      </c>
      <c r="M139" s="39">
        <f>'data entry Kudamm'!AG139</f>
        <v>0</v>
      </c>
      <c r="N139" s="39">
        <f>'data entry Kudamm'!AJ139</f>
        <v>0</v>
      </c>
      <c r="O139" s="39">
        <f>'data entry Kudamm'!AM139</f>
        <v>0</v>
      </c>
    </row>
    <row r="140" spans="2:15" x14ac:dyDescent="0.15">
      <c r="B140" s="40"/>
      <c r="C140" s="39">
        <f>'data entry Kudamm'!C140</f>
        <v>0</v>
      </c>
      <c r="D140" s="39">
        <f>'data entry Kudamm'!F140</f>
        <v>0</v>
      </c>
      <c r="E140" s="39">
        <f>'data entry Kudamm'!I140</f>
        <v>0</v>
      </c>
      <c r="F140" s="39">
        <f>'data entry Kudamm'!L140</f>
        <v>0</v>
      </c>
      <c r="G140" s="39">
        <f>'data entry Kudamm'!O140</f>
        <v>0</v>
      </c>
      <c r="H140" s="39">
        <f>'data entry Kudamm'!R140</f>
        <v>0</v>
      </c>
      <c r="I140" s="39">
        <f>'data entry Kudamm'!U140</f>
        <v>0</v>
      </c>
      <c r="J140" s="39">
        <f>'data entry Kudamm'!X140</f>
        <v>0</v>
      </c>
      <c r="K140" s="39">
        <f>'data entry Kudamm'!AA140</f>
        <v>0</v>
      </c>
      <c r="L140" s="39">
        <f>'data entry Kudamm'!AD140</f>
        <v>0</v>
      </c>
      <c r="M140" s="39">
        <f>'data entry Kudamm'!AG140</f>
        <v>0</v>
      </c>
      <c r="N140" s="39">
        <f>'data entry Kudamm'!AJ140</f>
        <v>0</v>
      </c>
      <c r="O140" s="39">
        <f>'data entry Kudamm'!AM140</f>
        <v>0</v>
      </c>
    </row>
    <row r="141" spans="2:15" ht="28" x14ac:dyDescent="0.15">
      <c r="B141" s="42" t="s">
        <v>98</v>
      </c>
      <c r="C141" s="39">
        <f>'data entry Kudamm'!C141</f>
        <v>-1080925.0585</v>
      </c>
      <c r="D141" s="39">
        <f>'data entry Kudamm'!F141</f>
        <v>-228728.81</v>
      </c>
      <c r="E141" s="39">
        <f>'data entry Kudamm'!I141</f>
        <v>-103055.65</v>
      </c>
      <c r="F141" s="39">
        <f>'data entry Kudamm'!L141</f>
        <v>-96696.9</v>
      </c>
      <c r="G141" s="39">
        <f>'data entry Kudamm'!O141</f>
        <v>-184680.87</v>
      </c>
      <c r="H141" s="39">
        <f>'data entry Kudamm'!R141</f>
        <v>-60976.729899999998</v>
      </c>
      <c r="I141" s="39">
        <f>'data entry Kudamm'!U141</f>
        <v>-49445.902300000002</v>
      </c>
      <c r="J141" s="39">
        <f>'data entry Kudamm'!X141</f>
        <v>-108371.3582</v>
      </c>
      <c r="K141" s="39">
        <f>'data entry Kudamm'!AA141</f>
        <v>-78810.151299999998</v>
      </c>
      <c r="L141" s="39">
        <f>'data entry Kudamm'!AD141</f>
        <v>59875.205699999999</v>
      </c>
      <c r="M141" s="39">
        <f>'data entry Kudamm'!AG141</f>
        <v>-22991.673200000001</v>
      </c>
      <c r="N141" s="39">
        <f>'data entry Kudamm'!AJ141</f>
        <v>-102474.2482</v>
      </c>
      <c r="O141" s="39">
        <f>'data entry Kudamm'!AM141</f>
        <v>-104567.9711</v>
      </c>
    </row>
    <row r="142" spans="2:15" ht="14" x14ac:dyDescent="0.15">
      <c r="B142" s="38" t="s">
        <v>99</v>
      </c>
      <c r="C142" s="39">
        <f>'data entry Kudamm'!C142</f>
        <v>0</v>
      </c>
      <c r="D142" s="39">
        <f>'data entry Kudamm'!F142</f>
        <v>0</v>
      </c>
      <c r="E142" s="39">
        <f>'data entry Kudamm'!I142</f>
        <v>0</v>
      </c>
      <c r="F142" s="39">
        <f>'data entry Kudamm'!L142</f>
        <v>0</v>
      </c>
      <c r="G142" s="39">
        <f>'data entry Kudamm'!O142</f>
        <v>0</v>
      </c>
      <c r="H142" s="39">
        <f>'data entry Kudamm'!R142</f>
        <v>0</v>
      </c>
      <c r="I142" s="39">
        <f>'data entry Kudamm'!U142</f>
        <v>0</v>
      </c>
      <c r="J142" s="39">
        <f>'data entry Kudamm'!X142</f>
        <v>0</v>
      </c>
      <c r="K142" s="39">
        <f>'data entry Kudamm'!AA142</f>
        <v>0</v>
      </c>
      <c r="L142" s="39">
        <f>'data entry Kudamm'!AD142</f>
        <v>0</v>
      </c>
      <c r="M142" s="39">
        <f>'data entry Kudamm'!AG142</f>
        <v>0</v>
      </c>
      <c r="N142" s="39">
        <f>'data entry Kudamm'!AJ142</f>
        <v>0</v>
      </c>
      <c r="O142" s="39">
        <f>'data entry Kudamm'!AM142</f>
        <v>0</v>
      </c>
    </row>
    <row r="143" spans="2:15" x14ac:dyDescent="0.15">
      <c r="B143" s="40"/>
      <c r="C143" s="39">
        <f>'data entry Kudamm'!C143</f>
        <v>0</v>
      </c>
      <c r="D143" s="39">
        <f>'data entry Kudamm'!F143</f>
        <v>0</v>
      </c>
      <c r="E143" s="39">
        <f>'data entry Kudamm'!I143</f>
        <v>0</v>
      </c>
      <c r="F143" s="39">
        <f>'data entry Kudamm'!L143</f>
        <v>0</v>
      </c>
      <c r="G143" s="39">
        <f>'data entry Kudamm'!O143</f>
        <v>0</v>
      </c>
      <c r="H143" s="39">
        <f>'data entry Kudamm'!R143</f>
        <v>0</v>
      </c>
      <c r="I143" s="39">
        <f>'data entry Kudamm'!U143</f>
        <v>0</v>
      </c>
      <c r="J143" s="39">
        <f>'data entry Kudamm'!X143</f>
        <v>0</v>
      </c>
      <c r="K143" s="39">
        <f>'data entry Kudamm'!AA143</f>
        <v>0</v>
      </c>
      <c r="L143" s="39">
        <f>'data entry Kudamm'!AD143</f>
        <v>0</v>
      </c>
      <c r="M143" s="39">
        <f>'data entry Kudamm'!AG143</f>
        <v>0</v>
      </c>
      <c r="N143" s="39">
        <f>'data entry Kudamm'!AJ143</f>
        <v>0</v>
      </c>
      <c r="O143" s="39">
        <f>'data entry Kudamm'!AM143</f>
        <v>0</v>
      </c>
    </row>
    <row r="144" spans="2:15" ht="14" x14ac:dyDescent="0.15">
      <c r="B144" s="42" t="s">
        <v>100</v>
      </c>
      <c r="C144" s="39">
        <f>'data entry Kudamm'!C144</f>
        <v>-1080925.0585</v>
      </c>
      <c r="D144" s="39">
        <f>'data entry Kudamm'!F144</f>
        <v>-228728.81</v>
      </c>
      <c r="E144" s="39">
        <f>'data entry Kudamm'!I144</f>
        <v>-103055.65</v>
      </c>
      <c r="F144" s="39">
        <f>'data entry Kudamm'!L144</f>
        <v>-96696.9</v>
      </c>
      <c r="G144" s="39">
        <f>'data entry Kudamm'!O144</f>
        <v>-184680.87</v>
      </c>
      <c r="H144" s="39">
        <f>'data entry Kudamm'!R144</f>
        <v>-60976.729899999998</v>
      </c>
      <c r="I144" s="39">
        <f>'data entry Kudamm'!U144</f>
        <v>-49445.902300000002</v>
      </c>
      <c r="J144" s="39">
        <f>'data entry Kudamm'!X144</f>
        <v>-108371.3582</v>
      </c>
      <c r="K144" s="39">
        <f>'data entry Kudamm'!AA144</f>
        <v>-78810.151299999998</v>
      </c>
      <c r="L144" s="39">
        <f>'data entry Kudamm'!AD144</f>
        <v>59875.205699999999</v>
      </c>
      <c r="M144" s="39">
        <f>'data entry Kudamm'!AG144</f>
        <v>-22991.673200000001</v>
      </c>
      <c r="N144" s="39">
        <f>'data entry Kudamm'!AJ144</f>
        <v>-102474.2482</v>
      </c>
      <c r="O144" s="39">
        <f>'data entry Kudamm'!AM144</f>
        <v>-104567.9711</v>
      </c>
    </row>
    <row r="145" spans="2:15" ht="14" x14ac:dyDescent="0.15">
      <c r="B145" s="38" t="s">
        <v>101</v>
      </c>
      <c r="C145" s="39">
        <f>'data entry Kudamm'!C145</f>
        <v>0</v>
      </c>
      <c r="D145" s="39">
        <f>'data entry Kudamm'!F145</f>
        <v>0</v>
      </c>
      <c r="E145" s="39">
        <f>'data entry Kudamm'!I145</f>
        <v>0</v>
      </c>
      <c r="F145" s="39">
        <f>'data entry Kudamm'!L145</f>
        <v>0</v>
      </c>
      <c r="G145" s="39">
        <f>'data entry Kudamm'!O145</f>
        <v>0</v>
      </c>
      <c r="H145" s="39">
        <f>'data entry Kudamm'!R145</f>
        <v>0</v>
      </c>
      <c r="I145" s="39">
        <f>'data entry Kudamm'!U145</f>
        <v>0</v>
      </c>
      <c r="J145" s="39">
        <f>'data entry Kudamm'!X145</f>
        <v>0</v>
      </c>
      <c r="K145" s="39">
        <f>'data entry Kudamm'!AA145</f>
        <v>0</v>
      </c>
      <c r="L145" s="39">
        <f>'data entry Kudamm'!AD145</f>
        <v>0</v>
      </c>
      <c r="M145" s="39">
        <f>'data entry Kudamm'!AG145</f>
        <v>0</v>
      </c>
      <c r="N145" s="39">
        <f>'data entry Kudamm'!AJ145</f>
        <v>0</v>
      </c>
      <c r="O145" s="39">
        <f>'data entry Kudamm'!AM145</f>
        <v>0</v>
      </c>
    </row>
    <row r="146" spans="2:15" x14ac:dyDescent="0.15">
      <c r="B146" s="40"/>
      <c r="C146" s="39">
        <f>'data entry Kudamm'!C146</f>
        <v>0</v>
      </c>
      <c r="D146" s="39">
        <f>'data entry Kudamm'!F146</f>
        <v>0</v>
      </c>
      <c r="E146" s="39">
        <f>'data entry Kudamm'!I146</f>
        <v>0</v>
      </c>
      <c r="F146" s="39">
        <f>'data entry Kudamm'!L146</f>
        <v>0</v>
      </c>
      <c r="G146" s="39">
        <f>'data entry Kudamm'!O146</f>
        <v>0</v>
      </c>
      <c r="H146" s="39">
        <f>'data entry Kudamm'!R146</f>
        <v>0</v>
      </c>
      <c r="I146" s="39">
        <f>'data entry Kudamm'!U146</f>
        <v>0</v>
      </c>
      <c r="J146" s="39">
        <f>'data entry Kudamm'!X146</f>
        <v>0</v>
      </c>
      <c r="K146" s="39">
        <f>'data entry Kudamm'!AA146</f>
        <v>0</v>
      </c>
      <c r="L146" s="39">
        <f>'data entry Kudamm'!AD146</f>
        <v>0</v>
      </c>
      <c r="M146" s="39">
        <f>'data entry Kudamm'!AG146</f>
        <v>0</v>
      </c>
      <c r="N146" s="39">
        <f>'data entry Kudamm'!AJ146</f>
        <v>0</v>
      </c>
      <c r="O146" s="39">
        <f>'data entry Kudamm'!AM146</f>
        <v>0</v>
      </c>
    </row>
    <row r="147" spans="2:15" ht="28" x14ac:dyDescent="0.15">
      <c r="B147" s="42" t="s">
        <v>102</v>
      </c>
      <c r="C147" s="39">
        <f>'data entry Kudamm'!C147</f>
        <v>-1080925.0585</v>
      </c>
      <c r="D147" s="39">
        <f>'data entry Kudamm'!F147</f>
        <v>-228728.81</v>
      </c>
      <c r="E147" s="39">
        <f>'data entry Kudamm'!I147</f>
        <v>-103055.65</v>
      </c>
      <c r="F147" s="39">
        <f>'data entry Kudamm'!L147</f>
        <v>-96696.9</v>
      </c>
      <c r="G147" s="39">
        <f>'data entry Kudamm'!O147</f>
        <v>-184680.87</v>
      </c>
      <c r="H147" s="39">
        <f>'data entry Kudamm'!R147</f>
        <v>-60976.729899999998</v>
      </c>
      <c r="I147" s="39">
        <f>'data entry Kudamm'!U147</f>
        <v>-49445.902300000002</v>
      </c>
      <c r="J147" s="39">
        <f>'data entry Kudamm'!X147</f>
        <v>-108371.3582</v>
      </c>
      <c r="K147" s="39">
        <f>'data entry Kudamm'!AA147</f>
        <v>-78810.151299999998</v>
      </c>
      <c r="L147" s="39">
        <f>'data entry Kudamm'!AD147</f>
        <v>59875.205699999999</v>
      </c>
      <c r="M147" s="39">
        <f>'data entry Kudamm'!AG147</f>
        <v>-22991.673200000001</v>
      </c>
      <c r="N147" s="39">
        <f>'data entry Kudamm'!AJ147</f>
        <v>-102474.2482</v>
      </c>
      <c r="O147" s="39">
        <f>'data entry Kudamm'!AM147</f>
        <v>-104567.9711</v>
      </c>
    </row>
    <row r="148" spans="2:15" ht="14" x14ac:dyDescent="0.15">
      <c r="B148" s="38" t="s">
        <v>103</v>
      </c>
      <c r="C148" s="39">
        <f>'data entry Kudamm'!C148</f>
        <v>0</v>
      </c>
      <c r="D148" s="39">
        <f>'data entry Kudamm'!F148</f>
        <v>0</v>
      </c>
      <c r="E148" s="39">
        <f>'data entry Kudamm'!I148</f>
        <v>0</v>
      </c>
      <c r="F148" s="39">
        <f>'data entry Kudamm'!L148</f>
        <v>0</v>
      </c>
      <c r="G148" s="39">
        <f>'data entry Kudamm'!O148</f>
        <v>0</v>
      </c>
      <c r="H148" s="39">
        <f>'data entry Kudamm'!R148</f>
        <v>0</v>
      </c>
      <c r="I148" s="39">
        <f>'data entry Kudamm'!U148</f>
        <v>0</v>
      </c>
      <c r="J148" s="39">
        <f>'data entry Kudamm'!X148</f>
        <v>0</v>
      </c>
      <c r="K148" s="39">
        <f>'data entry Kudamm'!AA148</f>
        <v>0</v>
      </c>
      <c r="L148" s="39">
        <f>'data entry Kudamm'!AD148</f>
        <v>0</v>
      </c>
      <c r="M148" s="39">
        <f>'data entry Kudamm'!AG148</f>
        <v>0</v>
      </c>
      <c r="N148" s="39">
        <f>'data entry Kudamm'!AJ148</f>
        <v>0</v>
      </c>
      <c r="O148" s="39">
        <f>'data entry Kudamm'!AM148</f>
        <v>0</v>
      </c>
    </row>
    <row r="149" spans="2:15" x14ac:dyDescent="0.15">
      <c r="B149" s="40"/>
      <c r="C149" s="39">
        <f>'data entry Kudamm'!C149</f>
        <v>0</v>
      </c>
      <c r="D149" s="39">
        <f>'data entry Kudamm'!F149</f>
        <v>0</v>
      </c>
      <c r="E149" s="39">
        <f>'data entry Kudamm'!I149</f>
        <v>0</v>
      </c>
      <c r="F149" s="39">
        <f>'data entry Kudamm'!L149</f>
        <v>0</v>
      </c>
      <c r="G149" s="39">
        <f>'data entry Kudamm'!O149</f>
        <v>0</v>
      </c>
      <c r="H149" s="39">
        <f>'data entry Kudamm'!R149</f>
        <v>0</v>
      </c>
      <c r="I149" s="39">
        <f>'data entry Kudamm'!U149</f>
        <v>0</v>
      </c>
      <c r="J149" s="39">
        <f>'data entry Kudamm'!X149</f>
        <v>0</v>
      </c>
      <c r="K149" s="39">
        <f>'data entry Kudamm'!AA149</f>
        <v>0</v>
      </c>
      <c r="L149" s="39">
        <f>'data entry Kudamm'!AD149</f>
        <v>0</v>
      </c>
      <c r="M149" s="39">
        <f>'data entry Kudamm'!AG149</f>
        <v>0</v>
      </c>
      <c r="N149" s="39">
        <f>'data entry Kudamm'!AJ149</f>
        <v>0</v>
      </c>
      <c r="O149" s="39">
        <f>'data entry Kudamm'!AM149</f>
        <v>0</v>
      </c>
    </row>
    <row r="150" spans="2:15" ht="14" x14ac:dyDescent="0.15">
      <c r="B150" s="42" t="s">
        <v>104</v>
      </c>
      <c r="C150" s="39">
        <f>'data entry Kudamm'!C150</f>
        <v>-1080925.0585</v>
      </c>
      <c r="D150" s="39">
        <f>'data entry Kudamm'!F150</f>
        <v>-228728.81</v>
      </c>
      <c r="E150" s="39">
        <f>'data entry Kudamm'!I150</f>
        <v>-103055.65</v>
      </c>
      <c r="F150" s="39">
        <f>'data entry Kudamm'!L150</f>
        <v>-96696.9</v>
      </c>
      <c r="G150" s="39">
        <f>'data entry Kudamm'!O150</f>
        <v>-184680.87</v>
      </c>
      <c r="H150" s="39">
        <f>'data entry Kudamm'!R150</f>
        <v>-60976.729899999998</v>
      </c>
      <c r="I150" s="39">
        <f>'data entry Kudamm'!U150</f>
        <v>-49445.902300000002</v>
      </c>
      <c r="J150" s="39">
        <f>'data entry Kudamm'!X150</f>
        <v>-108371.3582</v>
      </c>
      <c r="K150" s="39">
        <f>'data entry Kudamm'!AA150</f>
        <v>-78810.151299999998</v>
      </c>
      <c r="L150" s="39">
        <f>'data entry Kudamm'!AD150</f>
        <v>59875.205699999999</v>
      </c>
      <c r="M150" s="39">
        <f>'data entry Kudamm'!AG150</f>
        <v>-22991.673200000001</v>
      </c>
      <c r="N150" s="39">
        <f>'data entry Kudamm'!AJ150</f>
        <v>-102474.2482</v>
      </c>
      <c r="O150" s="39">
        <f>'data entry Kudamm'!AM150</f>
        <v>-104567.9711</v>
      </c>
    </row>
    <row r="151" spans="2:15" x14ac:dyDescent="0.15">
      <c r="B151" s="40"/>
      <c r="C151" s="39">
        <f>'data entry Kudamm'!C151</f>
        <v>0</v>
      </c>
      <c r="D151" s="39">
        <f>'data entry Kudamm'!F151</f>
        <v>0</v>
      </c>
      <c r="E151" s="39">
        <f>'data entry Kudamm'!I151</f>
        <v>0</v>
      </c>
      <c r="F151" s="39">
        <f>'data entry Kudamm'!L151</f>
        <v>0</v>
      </c>
      <c r="G151" s="39">
        <f>'data entry Kudamm'!O151</f>
        <v>0</v>
      </c>
      <c r="H151" s="39">
        <f>'data entry Kudamm'!R151</f>
        <v>0</v>
      </c>
      <c r="I151" s="39">
        <f>'data entry Kudamm'!U151</f>
        <v>0</v>
      </c>
      <c r="J151" s="39">
        <f>'data entry Kudamm'!X151</f>
        <v>0</v>
      </c>
      <c r="K151" s="39">
        <f>'data entry Kudamm'!AA151</f>
        <v>0</v>
      </c>
      <c r="L151" s="39">
        <f>'data entry Kudamm'!AD151</f>
        <v>0</v>
      </c>
      <c r="M151" s="39">
        <f>'data entry Kudamm'!AG151</f>
        <v>0</v>
      </c>
      <c r="N151" s="39">
        <f>'data entry Kudamm'!AJ151</f>
        <v>0</v>
      </c>
      <c r="O151" s="39">
        <f>'data entry Kudamm'!AM151</f>
        <v>0</v>
      </c>
    </row>
    <row r="152" spans="2:15" ht="14" x14ac:dyDescent="0.15">
      <c r="B152" s="44" t="s">
        <v>105</v>
      </c>
      <c r="C152" s="39">
        <f>'data entry Kudamm'!C152</f>
        <v>0</v>
      </c>
      <c r="D152" s="39">
        <f>'data entry Kudamm'!F152</f>
        <v>0</v>
      </c>
      <c r="E152" s="39">
        <f>'data entry Kudamm'!I152</f>
        <v>0</v>
      </c>
      <c r="F152" s="39">
        <f>'data entry Kudamm'!L152</f>
        <v>0</v>
      </c>
      <c r="G152" s="39">
        <f>'data entry Kudamm'!O152</f>
        <v>0</v>
      </c>
      <c r="H152" s="39">
        <f>'data entry Kudamm'!R152</f>
        <v>0</v>
      </c>
      <c r="I152" s="39">
        <f>'data entry Kudamm'!U152</f>
        <v>0</v>
      </c>
      <c r="J152" s="39">
        <f>'data entry Kudamm'!X152</f>
        <v>0</v>
      </c>
      <c r="K152" s="39">
        <f>'data entry Kudamm'!AA152</f>
        <v>0</v>
      </c>
      <c r="L152" s="39">
        <f>'data entry Kudamm'!AD152</f>
        <v>0</v>
      </c>
      <c r="M152" s="39">
        <f>'data entry Kudamm'!AG152</f>
        <v>0</v>
      </c>
      <c r="N152" s="39">
        <f>'data entry Kudamm'!AJ152</f>
        <v>0</v>
      </c>
      <c r="O152" s="39">
        <f>'data entry Kudamm'!AM152</f>
        <v>0</v>
      </c>
    </row>
    <row r="153" spans="2:15" ht="14" x14ac:dyDescent="0.15">
      <c r="B153" s="38" t="s">
        <v>106</v>
      </c>
      <c r="C153" s="39">
        <f>'data entry Kudamm'!C153</f>
        <v>-1063749.0585</v>
      </c>
      <c r="D153" s="39">
        <f>'data entry Kudamm'!F153</f>
        <v>-227478.81</v>
      </c>
      <c r="E153" s="39">
        <f>'data entry Kudamm'!I153</f>
        <v>-101805.65</v>
      </c>
      <c r="F153" s="39">
        <f>'data entry Kudamm'!L153</f>
        <v>-95446.9</v>
      </c>
      <c r="G153" s="39">
        <f>'data entry Kudamm'!O153</f>
        <v>-183430.87</v>
      </c>
      <c r="H153" s="39">
        <f>'data entry Kudamm'!R153</f>
        <v>-59454.729899999998</v>
      </c>
      <c r="I153" s="39">
        <f>'data entry Kudamm'!U153</f>
        <v>-47923.902300000002</v>
      </c>
      <c r="J153" s="39">
        <f>'data entry Kudamm'!X153</f>
        <v>-106849.3582</v>
      </c>
      <c r="K153" s="39">
        <f>'data entry Kudamm'!AA153</f>
        <v>-77288.151299999998</v>
      </c>
      <c r="L153" s="39">
        <f>'data entry Kudamm'!AD153</f>
        <v>61397.205699999999</v>
      </c>
      <c r="M153" s="39">
        <f>'data entry Kudamm'!AG153</f>
        <v>-21469.673200000001</v>
      </c>
      <c r="N153" s="39">
        <f>'data entry Kudamm'!AJ153</f>
        <v>-100952.2482</v>
      </c>
      <c r="O153" s="39">
        <f>'data entry Kudamm'!AM153</f>
        <v>-103045.9711</v>
      </c>
    </row>
    <row r="154" spans="2:15" ht="14" x14ac:dyDescent="0.15">
      <c r="B154" s="38" t="s">
        <v>107</v>
      </c>
      <c r="C154" s="39">
        <f>'data entry Kudamm'!C154</f>
        <v>-1080925.0585</v>
      </c>
      <c r="D154" s="39">
        <f>'data entry Kudamm'!F154</f>
        <v>-228728.81</v>
      </c>
      <c r="E154" s="39">
        <f>'data entry Kudamm'!I154</f>
        <v>-103055.65</v>
      </c>
      <c r="F154" s="39">
        <f>'data entry Kudamm'!L154</f>
        <v>-96696.9</v>
      </c>
      <c r="G154" s="39">
        <f>'data entry Kudamm'!O154</f>
        <v>-184680.87</v>
      </c>
      <c r="H154" s="39">
        <f>'data entry Kudamm'!R154</f>
        <v>-60976.729899999998</v>
      </c>
      <c r="I154" s="39">
        <f>'data entry Kudamm'!U154</f>
        <v>-49445.902300000002</v>
      </c>
      <c r="J154" s="39">
        <f>'data entry Kudamm'!X154</f>
        <v>-108371.3582</v>
      </c>
      <c r="K154" s="39">
        <f>'data entry Kudamm'!AA154</f>
        <v>-78810.151299999998</v>
      </c>
      <c r="L154" s="39">
        <f>'data entry Kudamm'!AD154</f>
        <v>59875.205699999999</v>
      </c>
      <c r="M154" s="39">
        <f>'data entry Kudamm'!AG154</f>
        <v>-22991.673200000001</v>
      </c>
      <c r="N154" s="39">
        <f>'data entry Kudamm'!AJ154</f>
        <v>-102474.2482</v>
      </c>
      <c r="O154" s="39">
        <f>'data entry Kudamm'!AM154</f>
        <v>-104567.9711</v>
      </c>
    </row>
    <row r="155" spans="2:15" ht="14" x14ac:dyDescent="0.15">
      <c r="B155" s="42" t="s">
        <v>108</v>
      </c>
      <c r="C155" s="39">
        <f>'data entry Kudamm'!C155</f>
        <v>214028.14739999999</v>
      </c>
      <c r="D155" s="39">
        <f>'data entry Kudamm'!F155</f>
        <v>10682.8</v>
      </c>
      <c r="E155" s="39">
        <f>'data entry Kudamm'!I155</f>
        <v>18675.7</v>
      </c>
      <c r="F155" s="39">
        <f>'data entry Kudamm'!L155</f>
        <v>15253.73</v>
      </c>
      <c r="G155" s="39">
        <f>'data entry Kudamm'!O155</f>
        <v>12154.51</v>
      </c>
      <c r="H155" s="39">
        <f>'data entry Kudamm'!R155</f>
        <v>19525.459900000002</v>
      </c>
      <c r="I155" s="39">
        <f>'data entry Kudamm'!U155</f>
        <v>20457.675899999998</v>
      </c>
      <c r="J155" s="39">
        <f>'data entry Kudamm'!X155</f>
        <v>17372.667700000002</v>
      </c>
      <c r="K155" s="39">
        <f>'data entry Kudamm'!AA155</f>
        <v>18265.230599999999</v>
      </c>
      <c r="L155" s="39">
        <f>'data entry Kudamm'!AD155</f>
        <v>26423.3449</v>
      </c>
      <c r="M155" s="39">
        <f>'data entry Kudamm'!AG155</f>
        <v>21963.459599999998</v>
      </c>
      <c r="N155" s="39">
        <f>'data entry Kudamm'!AJ155</f>
        <v>17151.5854</v>
      </c>
      <c r="O155" s="39">
        <f>'data entry Kudamm'!AM155</f>
        <v>16101.983399999999</v>
      </c>
    </row>
    <row r="156" spans="2:15" ht="14" x14ac:dyDescent="0.15">
      <c r="B156" s="38" t="s">
        <v>109</v>
      </c>
      <c r="C156" s="39">
        <f>'data entry Kudamm'!C156</f>
        <v>0</v>
      </c>
      <c r="D156" s="39">
        <f>'data entry Kudamm'!F156</f>
        <v>0</v>
      </c>
      <c r="E156" s="39">
        <f>'data entry Kudamm'!I156</f>
        <v>0</v>
      </c>
      <c r="F156" s="39">
        <f>'data entry Kudamm'!L156</f>
        <v>0</v>
      </c>
      <c r="G156" s="39">
        <f>'data entry Kudamm'!O156</f>
        <v>0</v>
      </c>
      <c r="H156" s="39">
        <f>'data entry Kudamm'!R156</f>
        <v>0</v>
      </c>
      <c r="I156" s="39">
        <f>'data entry Kudamm'!U156</f>
        <v>0</v>
      </c>
      <c r="J156" s="39">
        <f>'data entry Kudamm'!X156</f>
        <v>0</v>
      </c>
      <c r="K156" s="39">
        <f>'data entry Kudamm'!AA156</f>
        <v>0</v>
      </c>
      <c r="L156" s="39">
        <f>'data entry Kudamm'!AD156</f>
        <v>0</v>
      </c>
      <c r="M156" s="39">
        <f>'data entry Kudamm'!AG156</f>
        <v>0</v>
      </c>
      <c r="N156" s="39">
        <f>'data entry Kudamm'!AJ156</f>
        <v>0</v>
      </c>
      <c r="O156" s="39">
        <f>'data entry Kudamm'!AM156</f>
        <v>0</v>
      </c>
    </row>
    <row r="157" spans="2:15" ht="14" x14ac:dyDescent="0.15">
      <c r="B157" s="38" t="s">
        <v>110</v>
      </c>
      <c r="C157" s="39">
        <f>'data entry Kudamm'!C157</f>
        <v>0</v>
      </c>
      <c r="D157" s="39">
        <f>'data entry Kudamm'!F157</f>
        <v>0</v>
      </c>
      <c r="E157" s="39">
        <f>'data entry Kudamm'!I157</f>
        <v>0</v>
      </c>
      <c r="F157" s="39">
        <f>'data entry Kudamm'!L157</f>
        <v>0</v>
      </c>
      <c r="G157" s="39">
        <f>'data entry Kudamm'!O157</f>
        <v>0</v>
      </c>
      <c r="H157" s="39">
        <f>'data entry Kudamm'!R157</f>
        <v>0</v>
      </c>
      <c r="I157" s="39">
        <f>'data entry Kudamm'!U157</f>
        <v>0</v>
      </c>
      <c r="J157" s="39">
        <f>'data entry Kudamm'!X157</f>
        <v>0</v>
      </c>
      <c r="K157" s="39">
        <f>'data entry Kudamm'!AA157</f>
        <v>0</v>
      </c>
      <c r="L157" s="39">
        <f>'data entry Kudamm'!AD157</f>
        <v>0</v>
      </c>
      <c r="M157" s="39">
        <f>'data entry Kudamm'!AG157</f>
        <v>0</v>
      </c>
      <c r="N157" s="39">
        <f>'data entry Kudamm'!AJ157</f>
        <v>0</v>
      </c>
      <c r="O157" s="39">
        <f>'data entry Kudamm'!AM157</f>
        <v>0</v>
      </c>
    </row>
    <row r="158" spans="2:15" ht="14" x14ac:dyDescent="0.15">
      <c r="B158" s="38" t="s">
        <v>111</v>
      </c>
      <c r="C158" s="39">
        <f>'data entry Kudamm'!C158</f>
        <v>52039.111900000004</v>
      </c>
      <c r="D158" s="39">
        <f>'data entry Kudamm'!F158</f>
        <v>2136.56</v>
      </c>
      <c r="E158" s="39">
        <f>'data entry Kudamm'!I158</f>
        <v>3735.14</v>
      </c>
      <c r="F158" s="39">
        <f>'data entry Kudamm'!L158</f>
        <v>3813.43</v>
      </c>
      <c r="G158" s="39">
        <f>'data entry Kudamm'!O158</f>
        <v>3038.63</v>
      </c>
      <c r="H158" s="39">
        <f>'data entry Kudamm'!R158</f>
        <v>4881.3649999999998</v>
      </c>
      <c r="I158" s="39">
        <f>'data entry Kudamm'!U158</f>
        <v>5114.4189999999999</v>
      </c>
      <c r="J158" s="39">
        <f>'data entry Kudamm'!X158</f>
        <v>4343.1669000000002</v>
      </c>
      <c r="K158" s="39">
        <f>'data entry Kudamm'!AA158</f>
        <v>4566.3077000000003</v>
      </c>
      <c r="L158" s="39">
        <f>'data entry Kudamm'!AD158</f>
        <v>6605.8361999999997</v>
      </c>
      <c r="M158" s="39">
        <f>'data entry Kudamm'!AG158</f>
        <v>5490.8648999999996</v>
      </c>
      <c r="N158" s="39">
        <f>'data entry Kudamm'!AJ158</f>
        <v>4287.8963000000003</v>
      </c>
      <c r="O158" s="39">
        <f>'data entry Kudamm'!AM158</f>
        <v>4025.4958999999999</v>
      </c>
    </row>
    <row r="159" spans="2:15" ht="14" x14ac:dyDescent="0.15">
      <c r="B159" s="38" t="s">
        <v>112</v>
      </c>
      <c r="C159" s="39">
        <f>'data entry Kudamm'!C159</f>
        <v>89217.903600000005</v>
      </c>
      <c r="D159" s="39">
        <f>'data entry Kudamm'!F159</f>
        <v>0.41</v>
      </c>
      <c r="E159" s="39">
        <f>'data entry Kudamm'!I159</f>
        <v>3734.73</v>
      </c>
      <c r="F159" s="39">
        <f>'data entry Kudamm'!L159</f>
        <v>3813.43</v>
      </c>
      <c r="G159" s="39">
        <f>'data entry Kudamm'!O159</f>
        <v>3038.63</v>
      </c>
      <c r="H159" s="39">
        <f>'data entry Kudamm'!R159</f>
        <v>9762.7299000000003</v>
      </c>
      <c r="I159" s="39">
        <f>'data entry Kudamm'!U159</f>
        <v>10228.838</v>
      </c>
      <c r="J159" s="39">
        <f>'data entry Kudamm'!X159</f>
        <v>8686.3338000000003</v>
      </c>
      <c r="K159" s="39">
        <f>'data entry Kudamm'!AA159</f>
        <v>9132.6152999999995</v>
      </c>
      <c r="L159" s="39">
        <f>'data entry Kudamm'!AD159</f>
        <v>13211.672399999999</v>
      </c>
      <c r="M159" s="39">
        <f>'data entry Kudamm'!AG159</f>
        <v>10981.729799999999</v>
      </c>
      <c r="N159" s="39">
        <f>'data entry Kudamm'!AJ159</f>
        <v>8575.7927</v>
      </c>
      <c r="O159" s="39">
        <f>'data entry Kudamm'!AM159</f>
        <v>8050.9916999999996</v>
      </c>
    </row>
    <row r="160" spans="2:15" ht="14" x14ac:dyDescent="0.15">
      <c r="B160" s="38" t="s">
        <v>113</v>
      </c>
      <c r="C160" s="39">
        <f>'data entry Kudamm'!C160</f>
        <v>149265.27559999999</v>
      </c>
      <c r="D160" s="39">
        <f>'data entry Kudamm'!F160</f>
        <v>6409.68</v>
      </c>
      <c r="E160" s="39">
        <f>'data entry Kudamm'!I160</f>
        <v>11205.42</v>
      </c>
      <c r="F160" s="39">
        <f>'data entry Kudamm'!L160</f>
        <v>7626.87</v>
      </c>
      <c r="G160" s="39">
        <f>'data entry Kudamm'!O160</f>
        <v>6077.25</v>
      </c>
      <c r="H160" s="39">
        <f>'data entry Kudamm'!R160</f>
        <v>14644.0949</v>
      </c>
      <c r="I160" s="39">
        <f>'data entry Kudamm'!U160</f>
        <v>15343.2569</v>
      </c>
      <c r="J160" s="39">
        <f>'data entry Kudamm'!X160</f>
        <v>13029.5008</v>
      </c>
      <c r="K160" s="39">
        <f>'data entry Kudamm'!AA160</f>
        <v>13698.923000000001</v>
      </c>
      <c r="L160" s="39">
        <f>'data entry Kudamm'!AD160</f>
        <v>19817.508699999998</v>
      </c>
      <c r="M160" s="39">
        <f>'data entry Kudamm'!AG160</f>
        <v>16472.594700000001</v>
      </c>
      <c r="N160" s="39">
        <f>'data entry Kudamm'!AJ160</f>
        <v>12863.689</v>
      </c>
      <c r="O160" s="39">
        <f>'data entry Kudamm'!AM160</f>
        <v>12076.4876</v>
      </c>
    </row>
    <row r="161" spans="2:15" ht="14" x14ac:dyDescent="0.15">
      <c r="B161" s="38" t="s">
        <v>114</v>
      </c>
      <c r="C161" s="39">
        <f>'data entry Kudamm'!C161</f>
        <v>12723.76</v>
      </c>
      <c r="D161" s="39">
        <f>'data entry Kudamm'!F161</f>
        <v>2136.56</v>
      </c>
      <c r="E161" s="39">
        <f>'data entry Kudamm'!I161</f>
        <v>3735.14</v>
      </c>
      <c r="F161" s="39">
        <f>'data entry Kudamm'!L161</f>
        <v>3813.43</v>
      </c>
      <c r="G161" s="39">
        <f>'data entry Kudamm'!O161</f>
        <v>3038.63</v>
      </c>
      <c r="H161" s="39">
        <f>'data entry Kudamm'!R161</f>
        <v>0</v>
      </c>
      <c r="I161" s="39">
        <f>'data entry Kudamm'!U161</f>
        <v>0</v>
      </c>
      <c r="J161" s="39">
        <f>'data entry Kudamm'!X161</f>
        <v>0</v>
      </c>
      <c r="K161" s="39">
        <f>'data entry Kudamm'!AA161</f>
        <v>0</v>
      </c>
      <c r="L161" s="39">
        <f>'data entry Kudamm'!AD161</f>
        <v>0</v>
      </c>
      <c r="M161" s="39">
        <f>'data entry Kudamm'!AG161</f>
        <v>0</v>
      </c>
      <c r="N161" s="39">
        <f>'data entry Kudamm'!AJ161</f>
        <v>0</v>
      </c>
      <c r="O161" s="39">
        <f>'data entry Kudamm'!AM161</f>
        <v>0</v>
      </c>
    </row>
    <row r="162" spans="2:15" ht="14" x14ac:dyDescent="0.15">
      <c r="B162" s="42" t="s">
        <v>115</v>
      </c>
      <c r="C162" s="39">
        <f>'data entry Kudamm'!C162</f>
        <v>390338.52519999997</v>
      </c>
      <c r="D162" s="39">
        <f>'data entry Kudamm'!F162</f>
        <v>18489.57</v>
      </c>
      <c r="E162" s="39">
        <f>'data entry Kudamm'!I162</f>
        <v>23840.21</v>
      </c>
      <c r="F162" s="39">
        <f>'data entry Kudamm'!L162</f>
        <v>27633.8</v>
      </c>
      <c r="G162" s="39">
        <f>'data entry Kudamm'!O162</f>
        <v>21028.93</v>
      </c>
      <c r="H162" s="39">
        <f>'data entry Kudamm'!R162</f>
        <v>37181.572999999997</v>
      </c>
      <c r="I162" s="39">
        <f>'data entry Kudamm'!U162</f>
        <v>38677.853000000003</v>
      </c>
      <c r="J162" s="39">
        <f>'data entry Kudamm'!X162</f>
        <v>33854.080000000002</v>
      </c>
      <c r="K162" s="39">
        <f>'data entry Kudamm'!AA162</f>
        <v>35357.705199999997</v>
      </c>
      <c r="L162" s="39">
        <f>'data entry Kudamm'!AD162</f>
        <v>48044.45</v>
      </c>
      <c r="M162" s="39">
        <f>'data entry Kudamm'!AG162</f>
        <v>40973.370000000003</v>
      </c>
      <c r="N162" s="39">
        <f>'data entry Kudamm'!AJ162</f>
        <v>33600</v>
      </c>
      <c r="O162" s="39">
        <f>'data entry Kudamm'!AM162</f>
        <v>31656.984</v>
      </c>
    </row>
    <row r="163" spans="2:15" ht="14" x14ac:dyDescent="0.15">
      <c r="B163" s="38" t="s">
        <v>116</v>
      </c>
      <c r="C163" s="39">
        <f>'data entry Kudamm'!C163</f>
        <v>162809.53760000001</v>
      </c>
      <c r="D163" s="39">
        <f>'data entry Kudamm'!F163</f>
        <v>6256.31</v>
      </c>
      <c r="E163" s="39">
        <f>'data entry Kudamm'!I163</f>
        <v>11494.61</v>
      </c>
      <c r="F163" s="39">
        <f>'data entry Kudamm'!L163</f>
        <v>11885.37</v>
      </c>
      <c r="G163" s="39">
        <f>'data entry Kudamm'!O163</f>
        <v>8520.49</v>
      </c>
      <c r="H163" s="39">
        <f>'data entry Kudamm'!R163</f>
        <v>15496.0365</v>
      </c>
      <c r="I163" s="39">
        <f>'data entry Kudamm'!U163</f>
        <v>16292.4265</v>
      </c>
      <c r="J163" s="39">
        <f>'data entry Kudamm'!X163</f>
        <v>13630.54</v>
      </c>
      <c r="K163" s="39">
        <f>'data entry Kudamm'!AA163</f>
        <v>14382.3526</v>
      </c>
      <c r="L163" s="39">
        <f>'data entry Kudamm'!AD163</f>
        <v>21025.724999999999</v>
      </c>
      <c r="M163" s="39">
        <f>'data entry Kudamm'!AG163</f>
        <v>17440.185000000001</v>
      </c>
      <c r="N163" s="39">
        <f>'data entry Kudamm'!AJ163</f>
        <v>13653.5</v>
      </c>
      <c r="O163" s="39">
        <f>'data entry Kudamm'!AM163</f>
        <v>12731.992</v>
      </c>
    </row>
    <row r="164" spans="2:15" ht="14" x14ac:dyDescent="0.15">
      <c r="B164" s="38" t="s">
        <v>117</v>
      </c>
      <c r="C164" s="39">
        <f>'data entry Kudamm'!C164</f>
        <v>116880.974</v>
      </c>
      <c r="D164" s="39">
        <f>'data entry Kudamm'!F164</f>
        <v>4461.78</v>
      </c>
      <c r="E164" s="39">
        <f>'data entry Kudamm'!I164</f>
        <v>8339.7900000000009</v>
      </c>
      <c r="F164" s="39">
        <f>'data entry Kudamm'!L164</f>
        <v>8486.6299999999992</v>
      </c>
      <c r="G164" s="39">
        <f>'data entry Kudamm'!O164</f>
        <v>6597.59</v>
      </c>
      <c r="H164" s="39">
        <f>'data entry Kudamm'!R164</f>
        <v>11061.0975</v>
      </c>
      <c r="I164" s="39">
        <f>'data entry Kudamm'!U164</f>
        <v>11632.4475</v>
      </c>
      <c r="J164" s="39">
        <f>'data entry Kudamm'!X164</f>
        <v>9731.1</v>
      </c>
      <c r="K164" s="39">
        <f>'data entry Kudamm'!AA164</f>
        <v>10268.109</v>
      </c>
      <c r="L164" s="39">
        <f>'data entry Kudamm'!AD164</f>
        <v>15013.375</v>
      </c>
      <c r="M164" s="39">
        <f>'data entry Kudamm'!AG164</f>
        <v>12452.275</v>
      </c>
      <c r="N164" s="39">
        <f>'data entry Kudamm'!AJ164</f>
        <v>9747.5</v>
      </c>
      <c r="O164" s="39">
        <f>'data entry Kudamm'!AM164</f>
        <v>9089.2800000000007</v>
      </c>
    </row>
    <row r="165" spans="2:15" ht="14" x14ac:dyDescent="0.15">
      <c r="B165" s="38" t="s">
        <v>118</v>
      </c>
      <c r="C165" s="39">
        <f>'data entry Kudamm'!C165</f>
        <v>62905.99</v>
      </c>
      <c r="D165" s="39">
        <f>'data entry Kudamm'!F165</f>
        <v>5857</v>
      </c>
      <c r="E165" s="39">
        <f>'data entry Kudamm'!I165</f>
        <v>-29.01</v>
      </c>
      <c r="F165" s="39">
        <f>'data entry Kudamm'!L165</f>
        <v>3867.15</v>
      </c>
      <c r="G165" s="39">
        <f>'data entry Kudamm'!O165</f>
        <v>3110.85</v>
      </c>
      <c r="H165" s="39">
        <f>'data entry Kudamm'!R165</f>
        <v>6200</v>
      </c>
      <c r="I165" s="39">
        <f>'data entry Kudamm'!U165</f>
        <v>6100</v>
      </c>
      <c r="J165" s="39">
        <f>'data entry Kudamm'!X165</f>
        <v>6600</v>
      </c>
      <c r="K165" s="39">
        <f>'data entry Kudamm'!AA165</f>
        <v>6600</v>
      </c>
      <c r="L165" s="39">
        <f>'data entry Kudamm'!AD165</f>
        <v>6000</v>
      </c>
      <c r="M165" s="39">
        <f>'data entry Kudamm'!AG165</f>
        <v>6100</v>
      </c>
      <c r="N165" s="39">
        <f>'data entry Kudamm'!AJ165</f>
        <v>6300</v>
      </c>
      <c r="O165" s="39">
        <f>'data entry Kudamm'!AM165</f>
        <v>6200</v>
      </c>
    </row>
    <row r="166" spans="2:15" ht="14" x14ac:dyDescent="0.15">
      <c r="B166" s="38" t="s">
        <v>119</v>
      </c>
      <c r="C166" s="39">
        <f>'data entry Kudamm'!C166</f>
        <v>47742.0236</v>
      </c>
      <c r="D166" s="39">
        <f>'data entry Kudamm'!F166</f>
        <v>1914.48</v>
      </c>
      <c r="E166" s="39">
        <f>'data entry Kudamm'!I166</f>
        <v>4034.82</v>
      </c>
      <c r="F166" s="39">
        <f>'data entry Kudamm'!L166</f>
        <v>3394.65</v>
      </c>
      <c r="G166" s="39">
        <f>'data entry Kudamm'!O166</f>
        <v>2800</v>
      </c>
      <c r="H166" s="39">
        <f>'data entry Kudamm'!R166</f>
        <v>4424.4390000000003</v>
      </c>
      <c r="I166" s="39">
        <f>'data entry Kudamm'!U166</f>
        <v>4652.9790000000003</v>
      </c>
      <c r="J166" s="39">
        <f>'data entry Kudamm'!X166</f>
        <v>3892.44</v>
      </c>
      <c r="K166" s="39">
        <f>'data entry Kudamm'!AA166</f>
        <v>4107.2435999999998</v>
      </c>
      <c r="L166" s="39">
        <f>'data entry Kudamm'!AD166</f>
        <v>6005.35</v>
      </c>
      <c r="M166" s="39">
        <f>'data entry Kudamm'!AG166</f>
        <v>4980.91</v>
      </c>
      <c r="N166" s="39">
        <f>'data entry Kudamm'!AJ166</f>
        <v>3899</v>
      </c>
      <c r="O166" s="39">
        <f>'data entry Kudamm'!AM166</f>
        <v>3635.712</v>
      </c>
    </row>
    <row r="168" spans="2:15" ht="14" x14ac:dyDescent="0.15">
      <c r="B168" s="33" t="s">
        <v>136</v>
      </c>
    </row>
    <row r="171" spans="2:15" customFormat="1" ht="14" x14ac:dyDescent="0.15">
      <c r="B171" s="180" t="s">
        <v>331</v>
      </c>
      <c r="C171" s="21">
        <f t="shared" ref="C171:H171" si="0">+C11</f>
        <v>5200028.4957999997</v>
      </c>
      <c r="D171" s="21">
        <f t="shared" si="0"/>
        <v>212740.55</v>
      </c>
      <c r="E171" s="21">
        <f t="shared" si="0"/>
        <v>372392.58</v>
      </c>
      <c r="F171" s="21">
        <f t="shared" si="0"/>
        <v>380798.35</v>
      </c>
      <c r="G171" s="21">
        <f t="shared" si="0"/>
        <v>302561.83</v>
      </c>
      <c r="H171" s="21">
        <f t="shared" si="0"/>
        <v>488136.49699999997</v>
      </c>
    </row>
    <row r="172" spans="2:15" customFormat="1" ht="14" x14ac:dyDescent="0.15">
      <c r="B172" s="180" t="s">
        <v>106</v>
      </c>
      <c r="C172" s="21">
        <f t="shared" ref="C172:H172" si="1">+C153</f>
        <v>-1063749.0585</v>
      </c>
      <c r="D172" s="21">
        <f t="shared" si="1"/>
        <v>-227478.81</v>
      </c>
      <c r="E172" s="21">
        <f t="shared" si="1"/>
        <v>-101805.65</v>
      </c>
      <c r="F172" s="21">
        <f t="shared" si="1"/>
        <v>-95446.9</v>
      </c>
      <c r="G172" s="21">
        <f t="shared" si="1"/>
        <v>-183430.87</v>
      </c>
      <c r="H172" s="21">
        <f t="shared" si="1"/>
        <v>-59454.729899999998</v>
      </c>
    </row>
    <row r="173" spans="2:15" customFormat="1" ht="14" x14ac:dyDescent="0.15">
      <c r="B173" s="180" t="s">
        <v>317</v>
      </c>
      <c r="C173" s="22">
        <f t="shared" ref="C173:H173" si="2">+C171-C172</f>
        <v>6263777.5543</v>
      </c>
      <c r="D173" s="22">
        <f t="shared" si="2"/>
        <v>440219.36</v>
      </c>
      <c r="E173" s="22">
        <f t="shared" si="2"/>
        <v>474198.23</v>
      </c>
      <c r="F173" s="22">
        <f t="shared" si="2"/>
        <v>476245.25</v>
      </c>
      <c r="G173" s="22">
        <f t="shared" si="2"/>
        <v>485992.7</v>
      </c>
      <c r="H173" s="22">
        <f t="shared" si="2"/>
        <v>547591.22690000001</v>
      </c>
    </row>
    <row r="174" spans="2:15" customFormat="1" ht="14" x14ac:dyDescent="0.15">
      <c r="B174" s="180" t="s">
        <v>178</v>
      </c>
      <c r="C174" s="22">
        <f t="shared" ref="C174:H174" si="3">-C12*(1-$D$7)</f>
        <v>-1611374.2836</v>
      </c>
      <c r="D174" s="22">
        <f t="shared" si="3"/>
        <v>-112829.1</v>
      </c>
      <c r="E174" s="22">
        <f t="shared" si="3"/>
        <v>-121553.12</v>
      </c>
      <c r="F174" s="22">
        <f t="shared" si="3"/>
        <v>-126390.39999999999</v>
      </c>
      <c r="G174" s="22">
        <f t="shared" si="3"/>
        <v>-128766.25</v>
      </c>
      <c r="H174" s="22">
        <f t="shared" si="3"/>
        <v>-135081.04459999999</v>
      </c>
    </row>
    <row r="175" spans="2:15" customFormat="1" ht="14" x14ac:dyDescent="0.15">
      <c r="B175" s="180" t="s">
        <v>94</v>
      </c>
      <c r="C175" s="22">
        <f t="shared" ref="C175:H175" si="4">-C136</f>
        <v>-2368787.16</v>
      </c>
      <c r="D175" s="22">
        <f t="shared" si="4"/>
        <v>-194545.59</v>
      </c>
      <c r="E175" s="22">
        <f t="shared" si="4"/>
        <v>-194545.59</v>
      </c>
      <c r="F175" s="22">
        <f t="shared" si="4"/>
        <v>-194545.59</v>
      </c>
      <c r="G175" s="22">
        <f t="shared" si="4"/>
        <v>-194545.59</v>
      </c>
      <c r="H175" s="22">
        <f t="shared" si="4"/>
        <v>-198825.60000000001</v>
      </c>
    </row>
    <row r="176" spans="2:15" customFormat="1" ht="14" x14ac:dyDescent="0.15">
      <c r="B176" s="180" t="s">
        <v>318</v>
      </c>
      <c r="C176" s="22">
        <f t="shared" ref="C176:H176" si="5">SUM(C173:C175)</f>
        <v>2283616.1107000001</v>
      </c>
      <c r="D176" s="22">
        <f t="shared" si="5"/>
        <v>132844.67000000001</v>
      </c>
      <c r="E176" s="22">
        <f t="shared" si="5"/>
        <v>158099.51999999999</v>
      </c>
      <c r="F176" s="22">
        <f t="shared" si="5"/>
        <v>155309.25999999998</v>
      </c>
      <c r="G176" s="22">
        <f t="shared" si="5"/>
        <v>162680.86000000002</v>
      </c>
      <c r="H176" s="22">
        <f t="shared" si="5"/>
        <v>213684.58229999998</v>
      </c>
    </row>
    <row r="177" customFormat="1" x14ac:dyDescent="0.15"/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FFC9-F56F-46CF-88C6-D63ABBD0E359}">
  <sheetPr>
    <pageSetUpPr fitToPage="1"/>
  </sheetPr>
  <dimension ref="B2:AN168"/>
  <sheetViews>
    <sheetView zoomScale="80" zoomScaleNormal="80" workbookViewId="0">
      <pane xSplit="2" ySplit="10" topLeftCell="C11" activePane="bottomRight" state="frozen"/>
      <selection activeCell="O153" sqref="O153"/>
      <selection pane="topRight" activeCell="O153" sqref="O153"/>
      <selection pane="bottomLeft" activeCell="O153" sqref="O153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135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5200028.4957999997</v>
      </c>
      <c r="D11" s="7">
        <v>1</v>
      </c>
      <c r="E11"/>
      <c r="F11" s="6">
        <v>212740.55</v>
      </c>
      <c r="G11" s="7">
        <v>1</v>
      </c>
      <c r="H11"/>
      <c r="I11" s="6">
        <v>372392.58</v>
      </c>
      <c r="J11" s="7">
        <v>1</v>
      </c>
      <c r="K11"/>
      <c r="L11" s="6">
        <v>380798.35</v>
      </c>
      <c r="M11" s="7">
        <v>1</v>
      </c>
      <c r="N11"/>
      <c r="O11" s="6">
        <v>302561.83</v>
      </c>
      <c r="P11" s="7">
        <v>1</v>
      </c>
      <c r="Q11"/>
      <c r="R11" s="6">
        <v>488136.49699999997</v>
      </c>
      <c r="S11" s="7">
        <v>1</v>
      </c>
      <c r="T11"/>
      <c r="U11" s="6">
        <v>511441.89809999999</v>
      </c>
      <c r="V11" s="7">
        <v>1</v>
      </c>
      <c r="W11"/>
      <c r="X11" s="6">
        <v>434316.6923</v>
      </c>
      <c r="Y11" s="7">
        <v>1</v>
      </c>
      <c r="Z11"/>
      <c r="AA11" s="6">
        <v>456630.766</v>
      </c>
      <c r="AB11" s="7">
        <v>1</v>
      </c>
      <c r="AC11"/>
      <c r="AD11" s="6">
        <v>660583.62210000004</v>
      </c>
      <c r="AE11" s="7">
        <v>1</v>
      </c>
      <c r="AF11"/>
      <c r="AG11" s="6">
        <v>549086.48979999998</v>
      </c>
      <c r="AH11" s="7">
        <v>1</v>
      </c>
      <c r="AI11"/>
      <c r="AJ11" s="6">
        <v>428789.63439999998</v>
      </c>
      <c r="AK11" s="7">
        <v>1</v>
      </c>
      <c r="AL11"/>
      <c r="AM11" s="6">
        <v>402549.58610000001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1611374.2836</v>
      </c>
      <c r="D12" s="7">
        <v>0.30987797</v>
      </c>
      <c r="E12"/>
      <c r="F12" s="6">
        <v>112829.1</v>
      </c>
      <c r="G12" s="7">
        <v>0.5303601</v>
      </c>
      <c r="H12"/>
      <c r="I12" s="6">
        <v>121553.12</v>
      </c>
      <c r="J12" s="7">
        <v>0.32641123</v>
      </c>
      <c r="K12"/>
      <c r="L12" s="6">
        <v>126390.39999999999</v>
      </c>
      <c r="M12" s="7">
        <v>0.33190900000000001</v>
      </c>
      <c r="N12"/>
      <c r="O12" s="6">
        <v>128766.25</v>
      </c>
      <c r="P12" s="7">
        <v>0.42558656999999989</v>
      </c>
      <c r="Q12"/>
      <c r="R12" s="6">
        <v>135081.04459999999</v>
      </c>
      <c r="S12" s="7">
        <v>0.27672802000000002</v>
      </c>
      <c r="T12"/>
      <c r="U12" s="6">
        <v>142868.4529</v>
      </c>
      <c r="V12" s="7">
        <v>0.27934444000000003</v>
      </c>
      <c r="W12"/>
      <c r="X12" s="6">
        <v>136694.24530000001</v>
      </c>
      <c r="Y12" s="7">
        <v>0.31473403999999999</v>
      </c>
      <c r="Z12"/>
      <c r="AA12" s="6">
        <v>140326.62650000001</v>
      </c>
      <c r="AB12" s="7">
        <v>0.30730874000000002</v>
      </c>
      <c r="AC12"/>
      <c r="AD12" s="6">
        <v>145475.60879999999</v>
      </c>
      <c r="AE12" s="7">
        <v>0.22022285</v>
      </c>
      <c r="AF12"/>
      <c r="AG12" s="6">
        <v>148990.1581</v>
      </c>
      <c r="AH12" s="7">
        <v>0.27134187999999998</v>
      </c>
      <c r="AI12"/>
      <c r="AJ12" s="6">
        <v>145125.97070000001</v>
      </c>
      <c r="AK12" s="7">
        <v>0.33845493999999998</v>
      </c>
      <c r="AL12"/>
      <c r="AM12" s="6">
        <v>127273.3067</v>
      </c>
      <c r="AN12" s="7">
        <v>0.31616801999999999</v>
      </c>
    </row>
    <row r="13" spans="2:40" s="314" customFormat="1" ht="12.75" customHeight="1" x14ac:dyDescent="0.15">
      <c r="B13" s="5" t="s">
        <v>23</v>
      </c>
      <c r="C13" s="6">
        <v>1548482.7171</v>
      </c>
      <c r="D13" s="7">
        <v>0</v>
      </c>
      <c r="E13"/>
      <c r="F13" s="6">
        <v>-17055.05</v>
      </c>
      <c r="G13" s="7">
        <v>0</v>
      </c>
      <c r="H13"/>
      <c r="I13" s="6">
        <v>111494.36</v>
      </c>
      <c r="J13" s="7">
        <v>0</v>
      </c>
      <c r="K13"/>
      <c r="L13" s="6">
        <v>114274.56</v>
      </c>
      <c r="M13" s="7">
        <v>0</v>
      </c>
      <c r="N13"/>
      <c r="O13" s="6">
        <v>26160.82</v>
      </c>
      <c r="P13" s="7">
        <v>0</v>
      </c>
      <c r="Q13"/>
      <c r="R13" s="6">
        <v>161857.965</v>
      </c>
      <c r="S13" s="7">
        <v>0</v>
      </c>
      <c r="T13"/>
      <c r="U13" s="6">
        <v>173787.9546</v>
      </c>
      <c r="V13" s="7">
        <v>0</v>
      </c>
      <c r="W13"/>
      <c r="X13" s="6">
        <v>112548.7426</v>
      </c>
      <c r="Y13" s="7">
        <v>0</v>
      </c>
      <c r="Z13"/>
      <c r="AA13" s="6">
        <v>142779.37169999999</v>
      </c>
      <c r="AB13" s="7">
        <v>0</v>
      </c>
      <c r="AC13"/>
      <c r="AD13" s="6">
        <v>287583.31439999997</v>
      </c>
      <c r="AE13" s="7">
        <v>0</v>
      </c>
      <c r="AF13"/>
      <c r="AG13" s="6">
        <v>201371.5215</v>
      </c>
      <c r="AH13" s="7">
        <v>0</v>
      </c>
      <c r="AI13"/>
      <c r="AJ13" s="6">
        <v>118280.0408</v>
      </c>
      <c r="AK13" s="7">
        <v>0</v>
      </c>
      <c r="AL13"/>
      <c r="AM13" s="6">
        <v>115399.1165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53290</v>
      </c>
      <c r="D14" s="7">
        <v>0</v>
      </c>
      <c r="E14"/>
      <c r="F14" s="8">
        <v>4526</v>
      </c>
      <c r="G14" s="7">
        <v>0</v>
      </c>
      <c r="H14"/>
      <c r="I14" s="8">
        <v>4088</v>
      </c>
      <c r="J14" s="7">
        <v>0</v>
      </c>
      <c r="K14"/>
      <c r="L14" s="8">
        <v>4526</v>
      </c>
      <c r="M14" s="7">
        <v>0</v>
      </c>
      <c r="N14"/>
      <c r="O14" s="8">
        <v>4380</v>
      </c>
      <c r="P14" s="7">
        <v>0</v>
      </c>
      <c r="Q14"/>
      <c r="R14" s="8">
        <v>4526</v>
      </c>
      <c r="S14" s="7">
        <v>0</v>
      </c>
      <c r="T14"/>
      <c r="U14" s="8">
        <v>4380</v>
      </c>
      <c r="V14" s="7">
        <v>0</v>
      </c>
      <c r="W14"/>
      <c r="X14" s="8">
        <v>4526</v>
      </c>
      <c r="Y14" s="7">
        <v>0</v>
      </c>
      <c r="Z14"/>
      <c r="AA14" s="8">
        <v>4526</v>
      </c>
      <c r="AB14" s="7">
        <v>0</v>
      </c>
      <c r="AC14"/>
      <c r="AD14" s="8">
        <v>4380</v>
      </c>
      <c r="AE14" s="7">
        <v>0</v>
      </c>
      <c r="AF14"/>
      <c r="AG14" s="8">
        <v>4526</v>
      </c>
      <c r="AH14" s="7">
        <v>0</v>
      </c>
      <c r="AI14"/>
      <c r="AJ14" s="8">
        <v>4380</v>
      </c>
      <c r="AK14" s="7">
        <v>0</v>
      </c>
      <c r="AL14"/>
      <c r="AM14" s="8">
        <v>4526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37346</v>
      </c>
      <c r="D15" s="7">
        <v>0</v>
      </c>
      <c r="E15"/>
      <c r="F15" s="9">
        <v>1846</v>
      </c>
      <c r="G15" s="7">
        <v>0</v>
      </c>
      <c r="H15"/>
      <c r="I15" s="9">
        <v>2460</v>
      </c>
      <c r="J15" s="7">
        <v>0</v>
      </c>
      <c r="K15"/>
      <c r="L15" s="9">
        <v>2996</v>
      </c>
      <c r="M15" s="7">
        <v>0</v>
      </c>
      <c r="N15"/>
      <c r="O15" s="9">
        <v>2571</v>
      </c>
      <c r="P15" s="7">
        <v>0</v>
      </c>
      <c r="Q15"/>
      <c r="R15" s="9">
        <v>3542</v>
      </c>
      <c r="S15" s="7">
        <v>0</v>
      </c>
      <c r="T15"/>
      <c r="U15" s="9">
        <v>3670</v>
      </c>
      <c r="V15" s="7">
        <v>0</v>
      </c>
      <c r="W15"/>
      <c r="X15" s="9">
        <v>3213</v>
      </c>
      <c r="Y15" s="7">
        <v>0</v>
      </c>
      <c r="Z15"/>
      <c r="AA15" s="9">
        <v>3403</v>
      </c>
      <c r="AB15" s="7">
        <v>0</v>
      </c>
      <c r="AC15"/>
      <c r="AD15" s="9">
        <v>3785</v>
      </c>
      <c r="AE15" s="7">
        <v>0</v>
      </c>
      <c r="AF15"/>
      <c r="AG15" s="9">
        <v>3495</v>
      </c>
      <c r="AH15" s="7">
        <v>0</v>
      </c>
      <c r="AI15"/>
      <c r="AJ15" s="9">
        <v>3155</v>
      </c>
      <c r="AK15" s="7">
        <v>0</v>
      </c>
      <c r="AL15"/>
      <c r="AM15" s="9">
        <v>3210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70.273972602740002</v>
      </c>
      <c r="D16" s="7">
        <v>0</v>
      </c>
      <c r="E16"/>
      <c r="F16" s="8">
        <v>41.029606716747999</v>
      </c>
      <c r="G16" s="7">
        <v>0</v>
      </c>
      <c r="H16"/>
      <c r="I16" s="8">
        <v>60.543052837573001</v>
      </c>
      <c r="J16" s="7">
        <v>0</v>
      </c>
      <c r="K16"/>
      <c r="L16" s="8">
        <v>66.261599646486999</v>
      </c>
      <c r="M16" s="7">
        <v>0</v>
      </c>
      <c r="N16"/>
      <c r="O16" s="8">
        <v>58.767123287670998</v>
      </c>
      <c r="P16" s="7">
        <v>0</v>
      </c>
      <c r="Q16"/>
      <c r="R16" s="8">
        <v>78.369421122404006</v>
      </c>
      <c r="S16" s="7">
        <v>0</v>
      </c>
      <c r="T16"/>
      <c r="U16" s="8">
        <v>83.926940639269006</v>
      </c>
      <c r="V16" s="7">
        <v>0</v>
      </c>
      <c r="W16"/>
      <c r="X16" s="8">
        <v>71.210782147591999</v>
      </c>
      <c r="Y16" s="7">
        <v>0</v>
      </c>
      <c r="Z16"/>
      <c r="AA16" s="8">
        <v>75.364560318162006</v>
      </c>
      <c r="AB16" s="7">
        <v>0</v>
      </c>
      <c r="AC16"/>
      <c r="AD16" s="8">
        <v>86.757990867580006</v>
      </c>
      <c r="AE16" s="7">
        <v>0</v>
      </c>
      <c r="AF16"/>
      <c r="AG16" s="8">
        <v>77.485638532921001</v>
      </c>
      <c r="AH16" s="7">
        <v>0</v>
      </c>
      <c r="AI16"/>
      <c r="AJ16" s="8">
        <v>72.260273972603002</v>
      </c>
      <c r="AK16" s="7">
        <v>0</v>
      </c>
      <c r="AL16"/>
      <c r="AM16" s="8">
        <v>71.034025629694995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124.76815080598</v>
      </c>
      <c r="D17" s="7">
        <v>0</v>
      </c>
      <c r="E17"/>
      <c r="F17" s="9">
        <v>96.831868905741999</v>
      </c>
      <c r="G17" s="7">
        <v>0</v>
      </c>
      <c r="H17"/>
      <c r="I17" s="9">
        <v>129.58584146340999</v>
      </c>
      <c r="J17" s="7">
        <v>0</v>
      </c>
      <c r="K17"/>
      <c r="L17" s="9">
        <v>113.34515687583</v>
      </c>
      <c r="M17" s="7">
        <v>0</v>
      </c>
      <c r="N17"/>
      <c r="O17" s="9">
        <v>101.50490470634</v>
      </c>
      <c r="P17" s="7">
        <v>0</v>
      </c>
      <c r="Q17"/>
      <c r="R17" s="9">
        <v>124.99827780915</v>
      </c>
      <c r="S17" s="7">
        <v>0</v>
      </c>
      <c r="T17"/>
      <c r="U17" s="9">
        <v>126.83866485014001</v>
      </c>
      <c r="V17" s="7">
        <v>0</v>
      </c>
      <c r="W17"/>
      <c r="X17" s="9">
        <v>121.20883909119</v>
      </c>
      <c r="Y17" s="7">
        <v>0</v>
      </c>
      <c r="Z17"/>
      <c r="AA17" s="9">
        <v>120.75355862473999</v>
      </c>
      <c r="AB17" s="7">
        <v>0</v>
      </c>
      <c r="AC17"/>
      <c r="AD17" s="9">
        <v>158.71466314399001</v>
      </c>
      <c r="AE17" s="7">
        <v>0</v>
      </c>
      <c r="AF17"/>
      <c r="AG17" s="9">
        <v>142.57253218884</v>
      </c>
      <c r="AH17" s="7">
        <v>0</v>
      </c>
      <c r="AI17"/>
      <c r="AJ17" s="9">
        <v>123.64500792393</v>
      </c>
      <c r="AK17" s="7">
        <v>0</v>
      </c>
      <c r="AL17"/>
      <c r="AM17" s="9">
        <v>113.32436137072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87.385540626758996</v>
      </c>
      <c r="D18" s="7">
        <v>0</v>
      </c>
      <c r="E18"/>
      <c r="F18" s="6">
        <v>39.432454706142003</v>
      </c>
      <c r="G18" s="7">
        <v>0</v>
      </c>
      <c r="H18"/>
      <c r="I18" s="6">
        <v>77.916729452054994</v>
      </c>
      <c r="J18" s="7">
        <v>0</v>
      </c>
      <c r="K18"/>
      <c r="L18" s="6">
        <v>75.003378258948004</v>
      </c>
      <c r="M18" s="7">
        <v>0</v>
      </c>
      <c r="N18"/>
      <c r="O18" s="6">
        <v>59.476696347031996</v>
      </c>
      <c r="P18" s="7">
        <v>0</v>
      </c>
      <c r="Q18"/>
      <c r="R18" s="6">
        <v>97.756053910738004</v>
      </c>
      <c r="S18" s="7">
        <v>0</v>
      </c>
      <c r="T18"/>
      <c r="U18" s="6">
        <v>106.23239726027001</v>
      </c>
      <c r="V18" s="7">
        <v>0</v>
      </c>
      <c r="W18"/>
      <c r="X18" s="6">
        <v>86.001767565178994</v>
      </c>
      <c r="Y18" s="7">
        <v>0</v>
      </c>
      <c r="Z18"/>
      <c r="AA18" s="6">
        <v>90.747759611136004</v>
      </c>
      <c r="AB18" s="7">
        <v>0</v>
      </c>
      <c r="AC18"/>
      <c r="AD18" s="6">
        <v>137.10844748858</v>
      </c>
      <c r="AE18" s="7">
        <v>0</v>
      </c>
      <c r="AF18"/>
      <c r="AG18" s="6">
        <v>110.05103844454</v>
      </c>
      <c r="AH18" s="7">
        <v>0</v>
      </c>
      <c r="AI18"/>
      <c r="AJ18" s="6">
        <v>89.018264840182994</v>
      </c>
      <c r="AK18" s="7">
        <v>0</v>
      </c>
      <c r="AL18"/>
      <c r="AM18" s="6">
        <v>80.329474149359001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97.579817898292006</v>
      </c>
      <c r="D19" s="7">
        <v>0</v>
      </c>
      <c r="E19"/>
      <c r="F19" s="9">
        <v>47.004098541758999</v>
      </c>
      <c r="G19" s="7">
        <v>0</v>
      </c>
      <c r="H19"/>
      <c r="I19" s="9">
        <v>91.094075342465999</v>
      </c>
      <c r="J19" s="7">
        <v>0</v>
      </c>
      <c r="K19"/>
      <c r="L19" s="9">
        <v>84.135737958462002</v>
      </c>
      <c r="M19" s="7">
        <v>0</v>
      </c>
      <c r="N19"/>
      <c r="O19" s="9">
        <v>69.078043378995005</v>
      </c>
      <c r="P19" s="7">
        <v>0</v>
      </c>
      <c r="Q19"/>
      <c r="R19" s="9">
        <v>107.85163433495001</v>
      </c>
      <c r="S19" s="7">
        <v>0</v>
      </c>
      <c r="T19"/>
      <c r="U19" s="9">
        <v>116.76755664384</v>
      </c>
      <c r="V19" s="7">
        <v>0</v>
      </c>
      <c r="W19"/>
      <c r="X19" s="9">
        <v>95.960382744144994</v>
      </c>
      <c r="Y19" s="7">
        <v>0</v>
      </c>
      <c r="Z19"/>
      <c r="AA19" s="9">
        <v>100.89058020327001</v>
      </c>
      <c r="AB19" s="7">
        <v>0</v>
      </c>
      <c r="AC19"/>
      <c r="AD19" s="9">
        <v>150.81817856164</v>
      </c>
      <c r="AE19" s="7">
        <v>0</v>
      </c>
      <c r="AF19"/>
      <c r="AG19" s="9">
        <v>121.31826995138999</v>
      </c>
      <c r="AH19" s="7">
        <v>0</v>
      </c>
      <c r="AI19"/>
      <c r="AJ19" s="9">
        <v>97.897176803652997</v>
      </c>
      <c r="AK19" s="7">
        <v>0</v>
      </c>
      <c r="AL19"/>
      <c r="AM19" s="9">
        <v>88.941578899690995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52521.33</v>
      </c>
      <c r="D20" s="7">
        <v>0</v>
      </c>
      <c r="E20"/>
      <c r="F20" s="8">
        <v>2349</v>
      </c>
      <c r="G20" s="7">
        <v>0</v>
      </c>
      <c r="H20"/>
      <c r="I20" s="8">
        <v>3145</v>
      </c>
      <c r="J20" s="7">
        <v>0</v>
      </c>
      <c r="K20"/>
      <c r="L20" s="8">
        <v>3788</v>
      </c>
      <c r="M20" s="7">
        <v>0</v>
      </c>
      <c r="N20"/>
      <c r="O20" s="8">
        <v>3792</v>
      </c>
      <c r="P20" s="7">
        <v>0</v>
      </c>
      <c r="Q20"/>
      <c r="R20" s="8">
        <v>5107.68</v>
      </c>
      <c r="S20" s="7">
        <v>0</v>
      </c>
      <c r="T20"/>
      <c r="U20" s="8">
        <v>5366.96</v>
      </c>
      <c r="V20" s="7">
        <v>0</v>
      </c>
      <c r="W20"/>
      <c r="X20" s="8">
        <v>4834.5</v>
      </c>
      <c r="Y20" s="7">
        <v>0</v>
      </c>
      <c r="Z20"/>
      <c r="AA20" s="8">
        <v>5218.83</v>
      </c>
      <c r="AB20" s="7">
        <v>0</v>
      </c>
      <c r="AC20"/>
      <c r="AD20" s="8">
        <v>5206</v>
      </c>
      <c r="AE20" s="7">
        <v>0</v>
      </c>
      <c r="AF20"/>
      <c r="AG20" s="8">
        <v>4839.66</v>
      </c>
      <c r="AH20" s="7">
        <v>0</v>
      </c>
      <c r="AI20"/>
      <c r="AJ20" s="8">
        <v>4051.2</v>
      </c>
      <c r="AK20" s="7">
        <v>0</v>
      </c>
      <c r="AL20"/>
      <c r="AM20" s="8">
        <v>4822.5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1.4024761675879001</v>
      </c>
      <c r="D21" s="7">
        <v>0</v>
      </c>
      <c r="E21"/>
      <c r="F21" s="9">
        <v>1.2649434571889999</v>
      </c>
      <c r="G21" s="7">
        <v>0</v>
      </c>
      <c r="H21"/>
      <c r="I21" s="9">
        <v>1.2707070707071</v>
      </c>
      <c r="J21" s="7">
        <v>0</v>
      </c>
      <c r="K21"/>
      <c r="L21" s="9">
        <v>1.2630876958985999</v>
      </c>
      <c r="M21" s="7">
        <v>0</v>
      </c>
      <c r="N21"/>
      <c r="O21" s="9">
        <v>1.4731934731934999</v>
      </c>
      <c r="P21" s="7">
        <v>0</v>
      </c>
      <c r="Q21"/>
      <c r="R21" s="9">
        <v>1.44</v>
      </c>
      <c r="S21" s="7">
        <v>0</v>
      </c>
      <c r="T21"/>
      <c r="U21" s="9">
        <v>1.46</v>
      </c>
      <c r="V21" s="7">
        <v>0</v>
      </c>
      <c r="W21"/>
      <c r="X21" s="9">
        <v>1.5</v>
      </c>
      <c r="Y21" s="7">
        <v>0</v>
      </c>
      <c r="Z21"/>
      <c r="AA21" s="9">
        <v>1.53</v>
      </c>
      <c r="AB21" s="7">
        <v>0</v>
      </c>
      <c r="AC21"/>
      <c r="AD21" s="9">
        <v>1.37</v>
      </c>
      <c r="AE21" s="7">
        <v>0</v>
      </c>
      <c r="AF21"/>
      <c r="AG21" s="9">
        <v>1.38</v>
      </c>
      <c r="AH21" s="7">
        <v>0</v>
      </c>
      <c r="AI21"/>
      <c r="AJ21" s="9">
        <v>1.28</v>
      </c>
      <c r="AK21" s="7">
        <v>0</v>
      </c>
      <c r="AL21"/>
      <c r="AM21" s="9">
        <v>1.5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25414.2696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2911.3775999999998</v>
      </c>
      <c r="S22" s="7">
        <v>0</v>
      </c>
      <c r="T22"/>
      <c r="U22" s="8">
        <v>3756.8719999999998</v>
      </c>
      <c r="V22" s="7">
        <v>0</v>
      </c>
      <c r="W22"/>
      <c r="X22" s="8">
        <v>3142.4250000000002</v>
      </c>
      <c r="Y22" s="7">
        <v>0</v>
      </c>
      <c r="Z22"/>
      <c r="AA22" s="8">
        <v>4175.0640000000003</v>
      </c>
      <c r="AB22" s="7">
        <v>0</v>
      </c>
      <c r="AC22"/>
      <c r="AD22" s="8">
        <v>3644.2</v>
      </c>
      <c r="AE22" s="7">
        <v>0</v>
      </c>
      <c r="AF22"/>
      <c r="AG22" s="8">
        <v>2903.7959999999998</v>
      </c>
      <c r="AH22" s="7">
        <v>0</v>
      </c>
      <c r="AI22"/>
      <c r="AJ22" s="8">
        <v>2228.16</v>
      </c>
      <c r="AK22" s="7">
        <v>0</v>
      </c>
      <c r="AL22"/>
      <c r="AM22" s="8">
        <v>2652.375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22.1767</v>
      </c>
      <c r="D23" s="7">
        <v>0</v>
      </c>
      <c r="E23"/>
      <c r="F23" s="8">
        <v>23.48</v>
      </c>
      <c r="G23" s="7">
        <v>0</v>
      </c>
      <c r="H23"/>
      <c r="I23" s="8">
        <v>22.98</v>
      </c>
      <c r="J23" s="7">
        <v>0</v>
      </c>
      <c r="K23"/>
      <c r="L23" s="8">
        <v>22.98</v>
      </c>
      <c r="M23" s="7">
        <v>0</v>
      </c>
      <c r="N23"/>
      <c r="O23" s="8">
        <v>22.18</v>
      </c>
      <c r="P23" s="7">
        <v>0</v>
      </c>
      <c r="Q23"/>
      <c r="R23" s="8">
        <v>21.27</v>
      </c>
      <c r="S23" s="7">
        <v>0</v>
      </c>
      <c r="T23"/>
      <c r="U23" s="8">
        <v>21.27</v>
      </c>
      <c r="V23" s="7">
        <v>0</v>
      </c>
      <c r="W23"/>
      <c r="X23" s="8">
        <v>20.61</v>
      </c>
      <c r="Y23" s="7">
        <v>0</v>
      </c>
      <c r="Z23"/>
      <c r="AA23" s="8">
        <v>22.27</v>
      </c>
      <c r="AB23" s="7">
        <v>0</v>
      </c>
      <c r="AC23"/>
      <c r="AD23" s="8">
        <v>22.27</v>
      </c>
      <c r="AE23" s="7">
        <v>0</v>
      </c>
      <c r="AF23"/>
      <c r="AG23" s="8">
        <v>22.27</v>
      </c>
      <c r="AH23" s="7">
        <v>0</v>
      </c>
      <c r="AI23"/>
      <c r="AJ23" s="8">
        <v>22.27</v>
      </c>
      <c r="AK23" s="7">
        <v>0</v>
      </c>
      <c r="AL23"/>
      <c r="AM23" s="8">
        <v>22.27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5200028.4957999997</v>
      </c>
      <c r="D27" s="327">
        <v>1</v>
      </c>
      <c r="E27"/>
      <c r="F27" s="326">
        <v>212740.55</v>
      </c>
      <c r="G27" s="327">
        <v>1</v>
      </c>
      <c r="H27"/>
      <c r="I27" s="326">
        <v>372392.58</v>
      </c>
      <c r="J27" s="327">
        <v>1</v>
      </c>
      <c r="K27"/>
      <c r="L27" s="326">
        <v>380798.35</v>
      </c>
      <c r="M27" s="327">
        <v>1</v>
      </c>
      <c r="N27"/>
      <c r="O27" s="326">
        <v>302561.83</v>
      </c>
      <c r="P27" s="327">
        <v>1</v>
      </c>
      <c r="Q27"/>
      <c r="R27" s="326">
        <v>488136.49699999997</v>
      </c>
      <c r="S27" s="327">
        <v>1</v>
      </c>
      <c r="T27"/>
      <c r="U27" s="326">
        <v>511441.89809999999</v>
      </c>
      <c r="V27" s="327">
        <v>1</v>
      </c>
      <c r="W27"/>
      <c r="X27" s="326">
        <v>434316.6923</v>
      </c>
      <c r="Y27" s="327">
        <v>1</v>
      </c>
      <c r="Z27"/>
      <c r="AA27" s="326">
        <v>456630.766</v>
      </c>
      <c r="AB27" s="327">
        <v>1</v>
      </c>
      <c r="AC27"/>
      <c r="AD27" s="326">
        <v>660583.62210000004</v>
      </c>
      <c r="AE27" s="327">
        <v>1</v>
      </c>
      <c r="AF27"/>
      <c r="AG27" s="326">
        <v>549086.48979999998</v>
      </c>
      <c r="AH27" s="327">
        <v>1</v>
      </c>
      <c r="AI27"/>
      <c r="AJ27" s="326">
        <v>428789.63439999998</v>
      </c>
      <c r="AK27" s="327">
        <v>1</v>
      </c>
      <c r="AL27"/>
      <c r="AM27" s="326">
        <v>402549.58610000001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4659591.3600000003</v>
      </c>
      <c r="D28" s="7">
        <v>0.89607035000000002</v>
      </c>
      <c r="E28"/>
      <c r="F28" s="8">
        <v>178751.63</v>
      </c>
      <c r="G28" s="7">
        <v>0.84023300000000001</v>
      </c>
      <c r="H28"/>
      <c r="I28" s="8">
        <v>318781.17</v>
      </c>
      <c r="J28" s="7">
        <v>0.85603523999999998</v>
      </c>
      <c r="K28"/>
      <c r="L28" s="8">
        <v>339582.09</v>
      </c>
      <c r="M28" s="7">
        <v>0.89176354999999996</v>
      </c>
      <c r="N28"/>
      <c r="O28" s="8">
        <v>260969.11</v>
      </c>
      <c r="P28" s="7">
        <v>0.86253150000000001</v>
      </c>
      <c r="Q28"/>
      <c r="R28" s="8">
        <v>442743.9</v>
      </c>
      <c r="S28" s="7">
        <v>0.90700839</v>
      </c>
      <c r="T28"/>
      <c r="U28" s="8">
        <v>465497.9</v>
      </c>
      <c r="V28" s="7">
        <v>0.91016771000000007</v>
      </c>
      <c r="W28"/>
      <c r="X28" s="8">
        <v>389444</v>
      </c>
      <c r="Y28" s="7">
        <v>0.8966820900000001</v>
      </c>
      <c r="Z28"/>
      <c r="AA28" s="8">
        <v>410924.36</v>
      </c>
      <c r="AB28" s="7">
        <v>0.89990510999999995</v>
      </c>
      <c r="AC28"/>
      <c r="AD28" s="8">
        <v>600735</v>
      </c>
      <c r="AE28" s="7">
        <v>0.90940038000000001</v>
      </c>
      <c r="AF28"/>
      <c r="AG28" s="8">
        <v>498291</v>
      </c>
      <c r="AH28" s="7">
        <v>0.90749091000000004</v>
      </c>
      <c r="AI28"/>
      <c r="AJ28" s="8">
        <v>390100</v>
      </c>
      <c r="AK28" s="7">
        <v>0.90977012999999995</v>
      </c>
      <c r="AL28"/>
      <c r="AM28" s="8">
        <v>363771.2</v>
      </c>
      <c r="AN28" s="7">
        <v>0.90366804999999994</v>
      </c>
    </row>
    <row r="29" spans="2:40" s="314" customFormat="1" ht="12.75" customHeight="1" x14ac:dyDescent="0.15">
      <c r="B29" s="5" t="s">
        <v>36</v>
      </c>
      <c r="C29" s="8">
        <v>480816.3726</v>
      </c>
      <c r="D29" s="7">
        <v>9.2464180000000007E-2</v>
      </c>
      <c r="E29"/>
      <c r="F29" s="8">
        <v>32058.639999999999</v>
      </c>
      <c r="G29" s="7">
        <v>0.15069360000000001</v>
      </c>
      <c r="H29"/>
      <c r="I29" s="8">
        <v>39792.019999999997</v>
      </c>
      <c r="J29" s="7">
        <v>0.10685503</v>
      </c>
      <c r="K29"/>
      <c r="L29" s="8">
        <v>36216.18</v>
      </c>
      <c r="M29" s="7">
        <v>9.5105930000000005E-2</v>
      </c>
      <c r="N29"/>
      <c r="O29" s="8">
        <v>39508.67</v>
      </c>
      <c r="P29" s="7">
        <v>0.13058048</v>
      </c>
      <c r="Q29"/>
      <c r="R29" s="8">
        <v>42786.063999999998</v>
      </c>
      <c r="S29" s="7">
        <v>8.7651839999999995E-2</v>
      </c>
      <c r="T29"/>
      <c r="U29" s="8">
        <v>43437.067999999999</v>
      </c>
      <c r="V29" s="7">
        <v>8.4930599999999995E-2</v>
      </c>
      <c r="W29"/>
      <c r="X29" s="8">
        <v>41433.224999999999</v>
      </c>
      <c r="Y29" s="7">
        <v>9.5398650000000002E-2</v>
      </c>
      <c r="Z29"/>
      <c r="AA29" s="8">
        <v>44206.874000000003</v>
      </c>
      <c r="AB29" s="7">
        <v>9.6810980000000005E-2</v>
      </c>
      <c r="AC29"/>
      <c r="AD29" s="8">
        <v>44951.360000000001</v>
      </c>
      <c r="AE29" s="7">
        <v>6.804795000000001E-2</v>
      </c>
      <c r="AF29"/>
      <c r="AG29" s="8">
        <v>42948.169600000001</v>
      </c>
      <c r="AH29" s="7">
        <v>7.8217490000000001E-2</v>
      </c>
      <c r="AI29"/>
      <c r="AJ29" s="8">
        <v>36196.351999999999</v>
      </c>
      <c r="AK29" s="7">
        <v>8.4415169999999998E-2</v>
      </c>
      <c r="AL29"/>
      <c r="AM29" s="8">
        <v>37281.75</v>
      </c>
      <c r="AN29" s="7">
        <v>9.2614059999999998E-2</v>
      </c>
    </row>
    <row r="30" spans="2:40" s="314" customFormat="1" ht="12.75" customHeight="1" x14ac:dyDescent="0.15">
      <c r="B30" s="5" t="s">
        <v>37</v>
      </c>
      <c r="C30" s="8">
        <v>16687.893199999999</v>
      </c>
      <c r="D30" s="7">
        <v>3.2091899999999998E-3</v>
      </c>
      <c r="E30"/>
      <c r="F30" s="8">
        <v>121.91</v>
      </c>
      <c r="G30" s="7">
        <v>5.7304999999999997E-4</v>
      </c>
      <c r="H30"/>
      <c r="I30" s="8">
        <v>8586.52</v>
      </c>
      <c r="J30" s="7">
        <v>2.3057709999999999E-2</v>
      </c>
      <c r="K30"/>
      <c r="L30" s="8">
        <v>1236.6500000000001</v>
      </c>
      <c r="M30" s="7">
        <v>3.2475199999999998E-3</v>
      </c>
      <c r="N30"/>
      <c r="O30" s="8">
        <v>255.85</v>
      </c>
      <c r="P30" s="7">
        <v>8.4561E-4</v>
      </c>
      <c r="Q30"/>
      <c r="R30" s="8">
        <v>1106.5329999999999</v>
      </c>
      <c r="S30" s="7">
        <v>2.2668499999999999E-3</v>
      </c>
      <c r="T30"/>
      <c r="U30" s="8">
        <v>1006.9301</v>
      </c>
      <c r="V30" s="7">
        <v>1.9688100000000001E-3</v>
      </c>
      <c r="W30"/>
      <c r="X30" s="8">
        <v>939.46730000000002</v>
      </c>
      <c r="Y30" s="7">
        <v>2.1630899999999999E-3</v>
      </c>
      <c r="Z30"/>
      <c r="AA30" s="8">
        <v>699.53200000000004</v>
      </c>
      <c r="AB30" s="7">
        <v>1.5319400000000001E-3</v>
      </c>
      <c r="AC30"/>
      <c r="AD30" s="8">
        <v>897.26210000000003</v>
      </c>
      <c r="AE30" s="7">
        <v>1.3582900000000001E-3</v>
      </c>
      <c r="AF30"/>
      <c r="AG30" s="8">
        <v>847.3202</v>
      </c>
      <c r="AH30" s="7">
        <v>1.5431500000000001E-3</v>
      </c>
      <c r="AI30"/>
      <c r="AJ30" s="8">
        <v>493.2824</v>
      </c>
      <c r="AK30" s="7">
        <v>1.1504099999999999E-3</v>
      </c>
      <c r="AL30"/>
      <c r="AM30" s="8">
        <v>496.6361</v>
      </c>
      <c r="AN30" s="7">
        <v>1.2337299999999999E-3</v>
      </c>
    </row>
    <row r="31" spans="2:40" s="314" customFormat="1" ht="12.75" customHeight="1" x14ac:dyDescent="0.15">
      <c r="B31" s="5" t="s">
        <v>38</v>
      </c>
      <c r="C31" s="8">
        <v>42932.87</v>
      </c>
      <c r="D31" s="7">
        <v>8.2562799999999995E-3</v>
      </c>
      <c r="E31"/>
      <c r="F31" s="8">
        <v>1808.37</v>
      </c>
      <c r="G31" s="7">
        <v>8.5003500000000003E-3</v>
      </c>
      <c r="H31"/>
      <c r="I31" s="8">
        <v>5232.87</v>
      </c>
      <c r="J31" s="7">
        <v>1.405203E-2</v>
      </c>
      <c r="K31"/>
      <c r="L31" s="8">
        <v>3763.43</v>
      </c>
      <c r="M31" s="7">
        <v>9.8829999999999994E-3</v>
      </c>
      <c r="N31"/>
      <c r="O31" s="8">
        <v>1828.2</v>
      </c>
      <c r="P31" s="7">
        <v>6.0423999999999999E-3</v>
      </c>
      <c r="Q31"/>
      <c r="R31" s="8">
        <v>1500</v>
      </c>
      <c r="S31" s="7">
        <v>3.0729099999999999E-3</v>
      </c>
      <c r="T31"/>
      <c r="U31" s="8">
        <v>1500</v>
      </c>
      <c r="V31" s="7">
        <v>2.9328800000000001E-3</v>
      </c>
      <c r="W31"/>
      <c r="X31" s="8">
        <v>2500</v>
      </c>
      <c r="Y31" s="7">
        <v>5.7561700000000014E-3</v>
      </c>
      <c r="Z31"/>
      <c r="AA31" s="8">
        <v>800</v>
      </c>
      <c r="AB31" s="7">
        <v>1.7519600000000001E-3</v>
      </c>
      <c r="AC31"/>
      <c r="AD31" s="8">
        <v>14000</v>
      </c>
      <c r="AE31" s="7">
        <v>2.1193380000000001E-2</v>
      </c>
      <c r="AF31"/>
      <c r="AG31" s="8">
        <v>7000</v>
      </c>
      <c r="AH31" s="7">
        <v>1.274845E-2</v>
      </c>
      <c r="AI31"/>
      <c r="AJ31" s="8">
        <v>2000</v>
      </c>
      <c r="AK31" s="7">
        <v>4.6642899999999998E-3</v>
      </c>
      <c r="AL31"/>
      <c r="AM31" s="8">
        <v>1000</v>
      </c>
      <c r="AN31" s="7">
        <v>2.48417E-3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4659591.3600000003</v>
      </c>
      <c r="D34" s="327">
        <v>1</v>
      </c>
      <c r="E34"/>
      <c r="F34" s="326">
        <v>178751.63</v>
      </c>
      <c r="G34" s="327">
        <v>1</v>
      </c>
      <c r="H34"/>
      <c r="I34" s="326">
        <v>318781.17</v>
      </c>
      <c r="J34" s="327">
        <v>1</v>
      </c>
      <c r="K34"/>
      <c r="L34" s="326">
        <v>339582.09</v>
      </c>
      <c r="M34" s="327">
        <v>1</v>
      </c>
      <c r="N34"/>
      <c r="O34" s="326">
        <v>260969.11</v>
      </c>
      <c r="P34" s="327">
        <v>1</v>
      </c>
      <c r="Q34"/>
      <c r="R34" s="326">
        <v>442743.9</v>
      </c>
      <c r="S34" s="327">
        <v>1</v>
      </c>
      <c r="T34"/>
      <c r="U34" s="326">
        <v>465497.9</v>
      </c>
      <c r="V34" s="327">
        <v>1</v>
      </c>
      <c r="W34"/>
      <c r="X34" s="326">
        <v>389444</v>
      </c>
      <c r="Y34" s="327">
        <v>1</v>
      </c>
      <c r="Z34"/>
      <c r="AA34" s="326">
        <v>410924.36</v>
      </c>
      <c r="AB34" s="327">
        <v>1</v>
      </c>
      <c r="AC34"/>
      <c r="AD34" s="326">
        <v>600735</v>
      </c>
      <c r="AE34" s="327">
        <v>1</v>
      </c>
      <c r="AF34"/>
      <c r="AG34" s="326">
        <v>498291</v>
      </c>
      <c r="AH34" s="327">
        <v>1</v>
      </c>
      <c r="AI34"/>
      <c r="AJ34" s="326">
        <v>390100</v>
      </c>
      <c r="AK34" s="327">
        <v>1</v>
      </c>
      <c r="AL34"/>
      <c r="AM34" s="326">
        <v>363771.2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986141.37230000005</v>
      </c>
      <c r="D35" s="7">
        <v>0.21163688</v>
      </c>
      <c r="E35"/>
      <c r="F35" s="8">
        <v>64985.99</v>
      </c>
      <c r="G35" s="7">
        <v>0.36355467000000002</v>
      </c>
      <c r="H35"/>
      <c r="I35" s="8">
        <v>70716.23</v>
      </c>
      <c r="J35" s="7">
        <v>0.22183315000000001</v>
      </c>
      <c r="K35"/>
      <c r="L35" s="8">
        <v>78492.56</v>
      </c>
      <c r="M35" s="7">
        <v>0.23114457999999999</v>
      </c>
      <c r="N35"/>
      <c r="O35" s="8">
        <v>77566.39</v>
      </c>
      <c r="P35" s="7">
        <v>0.29722440999999999</v>
      </c>
      <c r="Q35"/>
      <c r="R35" s="8">
        <v>84143.563200000004</v>
      </c>
      <c r="S35" s="7">
        <v>0.19005019000000001</v>
      </c>
      <c r="T35"/>
      <c r="U35" s="8">
        <v>87782.396200000003</v>
      </c>
      <c r="V35" s="7">
        <v>0.18857742999999999</v>
      </c>
      <c r="W35"/>
      <c r="X35" s="8">
        <v>81403.532800000001</v>
      </c>
      <c r="Y35" s="7">
        <v>0.20902499999999999</v>
      </c>
      <c r="Z35"/>
      <c r="AA35" s="8">
        <v>87321.215599999996</v>
      </c>
      <c r="AB35" s="7">
        <v>0.21249949000000001</v>
      </c>
      <c r="AC35"/>
      <c r="AD35" s="8">
        <v>90135.155400000003</v>
      </c>
      <c r="AE35" s="7">
        <v>0.15004145999999999</v>
      </c>
      <c r="AF35"/>
      <c r="AG35" s="8">
        <v>90937.882800000007</v>
      </c>
      <c r="AH35" s="7">
        <v>0.18249955000000001</v>
      </c>
      <c r="AI35"/>
      <c r="AJ35" s="8">
        <v>88700.082399999999</v>
      </c>
      <c r="AK35" s="7">
        <v>0.22737781000000001</v>
      </c>
      <c r="AL35"/>
      <c r="AM35" s="8">
        <v>83956.373900000006</v>
      </c>
      <c r="AN35" s="7">
        <v>0.23079445000000001</v>
      </c>
    </row>
    <row r="36" spans="2:40" s="314" customFormat="1" ht="12.75" customHeight="1" x14ac:dyDescent="0.15">
      <c r="B36" s="5" t="s">
        <v>40</v>
      </c>
      <c r="C36" s="8">
        <v>762535.54819999996</v>
      </c>
      <c r="D36" s="7">
        <v>0.16364859000000001</v>
      </c>
      <c r="E36"/>
      <c r="F36" s="8">
        <v>34278.660000000003</v>
      </c>
      <c r="G36" s="7">
        <v>0.19176698</v>
      </c>
      <c r="H36"/>
      <c r="I36" s="8">
        <v>53852.71</v>
      </c>
      <c r="J36" s="7">
        <v>0.16893316</v>
      </c>
      <c r="K36"/>
      <c r="L36" s="8">
        <v>51053.29</v>
      </c>
      <c r="M36" s="7">
        <v>0.15034153</v>
      </c>
      <c r="N36"/>
      <c r="O36" s="8">
        <v>52703.94</v>
      </c>
      <c r="P36" s="7">
        <v>0.20195471000000001</v>
      </c>
      <c r="Q36"/>
      <c r="R36" s="8">
        <v>75362.852700000003</v>
      </c>
      <c r="S36" s="7">
        <v>0.17021770999999999</v>
      </c>
      <c r="T36"/>
      <c r="U36" s="8">
        <v>72932.203599999993</v>
      </c>
      <c r="V36" s="7">
        <v>0.15667569000000001</v>
      </c>
      <c r="W36"/>
      <c r="X36" s="8">
        <v>65490.370999999999</v>
      </c>
      <c r="Y36" s="7">
        <v>0.16816376999999999</v>
      </c>
      <c r="Z36"/>
      <c r="AA36" s="8">
        <v>67177.013099999996</v>
      </c>
      <c r="AB36" s="7">
        <v>0.16347781</v>
      </c>
      <c r="AC36"/>
      <c r="AD36" s="8">
        <v>89318.65</v>
      </c>
      <c r="AE36" s="7">
        <v>0.14868228</v>
      </c>
      <c r="AF36"/>
      <c r="AG36" s="8">
        <v>76705.760800000004</v>
      </c>
      <c r="AH36" s="7">
        <v>0.15393767999999999</v>
      </c>
      <c r="AI36"/>
      <c r="AJ36" s="8">
        <v>63755.726000000002</v>
      </c>
      <c r="AK36" s="7">
        <v>0.16343431</v>
      </c>
      <c r="AL36"/>
      <c r="AM36" s="8">
        <v>59904.370999999999</v>
      </c>
      <c r="AN36" s="7">
        <v>0.16467596000000001</v>
      </c>
    </row>
    <row r="37" spans="2:40" s="314" customFormat="1" ht="12.75" customHeight="1" x14ac:dyDescent="0.15">
      <c r="B37" s="325" t="s">
        <v>41</v>
      </c>
      <c r="C37" s="326">
        <v>2910914.4394999999</v>
      </c>
      <c r="D37" s="327">
        <v>0.62471452999999999</v>
      </c>
      <c r="E37"/>
      <c r="F37" s="326">
        <v>79486.98</v>
      </c>
      <c r="G37" s="327">
        <v>0.44467835</v>
      </c>
      <c r="H37"/>
      <c r="I37" s="326">
        <v>194212.23</v>
      </c>
      <c r="J37" s="327">
        <v>0.60923369000000005</v>
      </c>
      <c r="K37"/>
      <c r="L37" s="326">
        <v>210036.24</v>
      </c>
      <c r="M37" s="327">
        <v>0.61851389000000001</v>
      </c>
      <c r="N37"/>
      <c r="O37" s="326">
        <v>130698.78</v>
      </c>
      <c r="P37" s="327">
        <v>0.50082088000000002</v>
      </c>
      <c r="Q37"/>
      <c r="R37" s="326">
        <v>283237.4841</v>
      </c>
      <c r="S37" s="327">
        <v>0.63973210000000003</v>
      </c>
      <c r="T37"/>
      <c r="U37" s="326">
        <v>304783.3002</v>
      </c>
      <c r="V37" s="327">
        <v>0.65474688999999997</v>
      </c>
      <c r="W37"/>
      <c r="X37" s="326">
        <v>242550.0962</v>
      </c>
      <c r="Y37" s="327">
        <v>0.62281123000000005</v>
      </c>
      <c r="Z37"/>
      <c r="AA37" s="326">
        <v>256426.13130000001</v>
      </c>
      <c r="AB37" s="327">
        <v>0.62402270999999998</v>
      </c>
      <c r="AC37"/>
      <c r="AD37" s="326">
        <v>421281.19459999999</v>
      </c>
      <c r="AE37" s="327">
        <v>0.7012762600000001</v>
      </c>
      <c r="AF37"/>
      <c r="AG37" s="326">
        <v>330647.35639999999</v>
      </c>
      <c r="AH37" s="327">
        <v>0.66356277000000008</v>
      </c>
      <c r="AI37"/>
      <c r="AJ37" s="326">
        <v>237644.19159999999</v>
      </c>
      <c r="AK37" s="327">
        <v>0.60918788000000001</v>
      </c>
      <c r="AL37"/>
      <c r="AM37" s="326">
        <v>219910.45509999999</v>
      </c>
      <c r="AN37" s="327">
        <v>0.60452958999999995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365114.717</v>
      </c>
      <c r="D40" s="7">
        <v>0.75936415000000002</v>
      </c>
      <c r="E40"/>
      <c r="F40" s="8">
        <v>22695.16</v>
      </c>
      <c r="G40" s="7">
        <v>0.70792646999999997</v>
      </c>
      <c r="H40"/>
      <c r="I40" s="8">
        <v>30574.42</v>
      </c>
      <c r="J40" s="7">
        <v>0.76835555999999994</v>
      </c>
      <c r="K40"/>
      <c r="L40" s="8">
        <v>28178.44</v>
      </c>
      <c r="M40" s="7">
        <v>0.77806218000000005</v>
      </c>
      <c r="N40"/>
      <c r="O40" s="8">
        <v>30581.279999999999</v>
      </c>
      <c r="P40" s="7">
        <v>0.77403971999999999</v>
      </c>
      <c r="Q40"/>
      <c r="R40" s="8">
        <v>33067.616000000002</v>
      </c>
      <c r="S40" s="7">
        <v>0.77285950000000003</v>
      </c>
      <c r="T40"/>
      <c r="U40" s="8">
        <v>33601.760000000002</v>
      </c>
      <c r="V40" s="7">
        <v>0.77357338999999992</v>
      </c>
      <c r="W40"/>
      <c r="X40" s="8">
        <v>32007</v>
      </c>
      <c r="Y40" s="7">
        <v>0.77249599000000002</v>
      </c>
      <c r="Z40"/>
      <c r="AA40" s="8">
        <v>34822.394999999997</v>
      </c>
      <c r="AB40" s="7">
        <v>0.78771449000000004</v>
      </c>
      <c r="AC40"/>
      <c r="AD40" s="8">
        <v>33453.599999999999</v>
      </c>
      <c r="AE40" s="7">
        <v>0.74421775000000001</v>
      </c>
      <c r="AF40"/>
      <c r="AG40" s="8">
        <v>30402.096000000001</v>
      </c>
      <c r="AH40" s="7">
        <v>0.70787874000000006</v>
      </c>
      <c r="AI40"/>
      <c r="AJ40" s="8">
        <v>27407.200000000001</v>
      </c>
      <c r="AK40" s="7">
        <v>0.75718127999999996</v>
      </c>
      <c r="AL40"/>
      <c r="AM40" s="8">
        <v>28323.75</v>
      </c>
      <c r="AN40" s="7">
        <v>0.7597215799999999</v>
      </c>
    </row>
    <row r="41" spans="2:40" s="314" customFormat="1" ht="12.75" customHeight="1" x14ac:dyDescent="0.15">
      <c r="B41" s="5" t="s">
        <v>44</v>
      </c>
      <c r="C41" s="8">
        <v>86306.055600000007</v>
      </c>
      <c r="D41" s="7">
        <v>0.17949899</v>
      </c>
      <c r="E41"/>
      <c r="F41" s="8">
        <v>6146.1</v>
      </c>
      <c r="G41" s="7">
        <v>0.19171431</v>
      </c>
      <c r="H41"/>
      <c r="I41" s="8">
        <v>7515.84</v>
      </c>
      <c r="J41" s="7">
        <v>0.18887807000000001</v>
      </c>
      <c r="K41"/>
      <c r="L41" s="8">
        <v>7319.69</v>
      </c>
      <c r="M41" s="7">
        <v>0.20211104999999999</v>
      </c>
      <c r="N41"/>
      <c r="O41" s="8">
        <v>7568.98</v>
      </c>
      <c r="P41" s="7">
        <v>0.19157769999999999</v>
      </c>
      <c r="Q41"/>
      <c r="R41" s="8">
        <v>7718.4480000000003</v>
      </c>
      <c r="S41" s="7">
        <v>0.18039631</v>
      </c>
      <c r="T41"/>
      <c r="U41" s="8">
        <v>7435.308</v>
      </c>
      <c r="V41" s="7">
        <v>0.17117425999999999</v>
      </c>
      <c r="W41"/>
      <c r="X41" s="8">
        <v>7126.2250000000004</v>
      </c>
      <c r="Y41" s="7">
        <v>0.17199301</v>
      </c>
      <c r="Z41"/>
      <c r="AA41" s="8">
        <v>7884.4790000000003</v>
      </c>
      <c r="AB41" s="7">
        <v>0.17835413999999999</v>
      </c>
      <c r="AC41"/>
      <c r="AD41" s="8">
        <v>8297.76</v>
      </c>
      <c r="AE41" s="7">
        <v>0.18459418999999999</v>
      </c>
      <c r="AF41"/>
      <c r="AG41" s="8">
        <v>7546.0735999999997</v>
      </c>
      <c r="AH41" s="7">
        <v>0.17570187000000001</v>
      </c>
      <c r="AI41"/>
      <c r="AJ41" s="8">
        <v>5789.152</v>
      </c>
      <c r="AK41" s="7">
        <v>0.15993743999999999</v>
      </c>
      <c r="AL41"/>
      <c r="AM41" s="8">
        <v>5958</v>
      </c>
      <c r="AN41" s="7">
        <v>0.15981008999999999</v>
      </c>
    </row>
    <row r="42" spans="2:40" s="314" customFormat="1" ht="12.75" customHeight="1" x14ac:dyDescent="0.15">
      <c r="B42" s="5" t="s">
        <v>45</v>
      </c>
      <c r="C42" s="8">
        <v>29395.599999999999</v>
      </c>
      <c r="D42" s="7">
        <v>6.113685E-2</v>
      </c>
      <c r="E42"/>
      <c r="F42" s="8">
        <v>3217.38</v>
      </c>
      <c r="G42" s="7">
        <v>0.10035922</v>
      </c>
      <c r="H42"/>
      <c r="I42" s="8">
        <v>1701.76</v>
      </c>
      <c r="J42" s="7">
        <v>4.2766360000000003E-2</v>
      </c>
      <c r="K42"/>
      <c r="L42" s="8">
        <v>718.05</v>
      </c>
      <c r="M42" s="7">
        <v>1.9826770000000001E-2</v>
      </c>
      <c r="N42"/>
      <c r="O42" s="8">
        <v>1358.41</v>
      </c>
      <c r="P42" s="7">
        <v>3.4382580000000003E-2</v>
      </c>
      <c r="Q42"/>
      <c r="R42" s="8">
        <v>2000</v>
      </c>
      <c r="S42" s="7">
        <v>4.6744189999999998E-2</v>
      </c>
      <c r="T42"/>
      <c r="U42" s="8">
        <v>2400</v>
      </c>
      <c r="V42" s="7">
        <v>5.5252350000000013E-2</v>
      </c>
      <c r="W42"/>
      <c r="X42" s="8">
        <v>2300</v>
      </c>
      <c r="Y42" s="7">
        <v>5.551101E-2</v>
      </c>
      <c r="Z42"/>
      <c r="AA42" s="8">
        <v>1500</v>
      </c>
      <c r="AB42" s="7">
        <v>3.3931370000000002E-2</v>
      </c>
      <c r="AC42"/>
      <c r="AD42" s="8">
        <v>3200</v>
      </c>
      <c r="AE42" s="7">
        <v>7.1188059999999997E-2</v>
      </c>
      <c r="AF42"/>
      <c r="AG42" s="8">
        <v>5000</v>
      </c>
      <c r="AH42" s="7">
        <v>0.11641940000000001</v>
      </c>
      <c r="AI42"/>
      <c r="AJ42" s="8">
        <v>3000</v>
      </c>
      <c r="AK42" s="7">
        <v>8.2881280000000002E-2</v>
      </c>
      <c r="AL42"/>
      <c r="AM42" s="8">
        <v>3000</v>
      </c>
      <c r="AN42" s="7">
        <v>8.0468329999999991E-2</v>
      </c>
    </row>
    <row r="43" spans="2:40" s="314" customFormat="1" ht="12.75" customHeight="1" x14ac:dyDescent="0.15">
      <c r="B43" s="325" t="s">
        <v>36</v>
      </c>
      <c r="C43" s="326">
        <v>480816.3726</v>
      </c>
      <c r="D43" s="327">
        <v>1</v>
      </c>
      <c r="E43"/>
      <c r="F43" s="326">
        <v>32058.639999999999</v>
      </c>
      <c r="G43" s="327">
        <v>1</v>
      </c>
      <c r="H43"/>
      <c r="I43" s="326">
        <v>39792.019999999997</v>
      </c>
      <c r="J43" s="327">
        <v>1</v>
      </c>
      <c r="K43"/>
      <c r="L43" s="326">
        <v>36216.18</v>
      </c>
      <c r="M43" s="327">
        <v>1</v>
      </c>
      <c r="N43"/>
      <c r="O43" s="326">
        <v>39508.67</v>
      </c>
      <c r="P43" s="327">
        <v>1</v>
      </c>
      <c r="Q43"/>
      <c r="R43" s="326">
        <v>42786.063999999998</v>
      </c>
      <c r="S43" s="327">
        <v>1</v>
      </c>
      <c r="T43"/>
      <c r="U43" s="326">
        <v>43437.067999999999</v>
      </c>
      <c r="V43" s="327">
        <v>1</v>
      </c>
      <c r="W43"/>
      <c r="X43" s="326">
        <v>41433.224999999999</v>
      </c>
      <c r="Y43" s="327">
        <v>1</v>
      </c>
      <c r="Z43"/>
      <c r="AA43" s="326">
        <v>44206.874000000003</v>
      </c>
      <c r="AB43" s="327">
        <v>1</v>
      </c>
      <c r="AC43"/>
      <c r="AD43" s="326">
        <v>44951.360000000001</v>
      </c>
      <c r="AE43" s="327">
        <v>1</v>
      </c>
      <c r="AF43"/>
      <c r="AG43" s="326">
        <v>42948.169600000001</v>
      </c>
      <c r="AH43" s="327">
        <v>1</v>
      </c>
      <c r="AI43"/>
      <c r="AJ43" s="326">
        <v>36196.351999999999</v>
      </c>
      <c r="AK43" s="327">
        <v>1</v>
      </c>
      <c r="AL43"/>
      <c r="AM43" s="326">
        <v>37281.75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123352.5583</v>
      </c>
      <c r="D44" s="7">
        <v>0.33784603000000002</v>
      </c>
      <c r="E44"/>
      <c r="F44" s="8">
        <v>8468.2999999999993</v>
      </c>
      <c r="G44" s="7">
        <v>0.37313242000000002</v>
      </c>
      <c r="H44"/>
      <c r="I44" s="8">
        <v>12554.72</v>
      </c>
      <c r="J44" s="7">
        <v>0.41062822999999998</v>
      </c>
      <c r="K44"/>
      <c r="L44" s="8">
        <v>10356.719999999999</v>
      </c>
      <c r="M44" s="7">
        <v>0.36754057000000001</v>
      </c>
      <c r="N44"/>
      <c r="O44" s="8">
        <v>11017.71</v>
      </c>
      <c r="P44" s="7">
        <v>0.36027629</v>
      </c>
      <c r="Q44"/>
      <c r="R44" s="8">
        <v>9936.2847999999994</v>
      </c>
      <c r="S44" s="7">
        <v>0.30048385999999999</v>
      </c>
      <c r="T44"/>
      <c r="U44" s="8">
        <v>10092.528</v>
      </c>
      <c r="V44" s="7">
        <v>0.30035711999999998</v>
      </c>
      <c r="W44"/>
      <c r="X44" s="8">
        <v>11151.45</v>
      </c>
      <c r="Y44" s="7">
        <v>0.34840660000000001</v>
      </c>
      <c r="Z44"/>
      <c r="AA44" s="8">
        <v>12169.838299999999</v>
      </c>
      <c r="AB44" s="7">
        <v>0.34948309</v>
      </c>
      <c r="AC44"/>
      <c r="AD44" s="8">
        <v>10096.08</v>
      </c>
      <c r="AE44" s="7">
        <v>0.30179352999999998</v>
      </c>
      <c r="AF44"/>
      <c r="AG44" s="8">
        <v>9728.6707000000006</v>
      </c>
      <c r="AH44" s="7">
        <v>0.32</v>
      </c>
      <c r="AI44"/>
      <c r="AJ44" s="8">
        <v>8770.3040000000001</v>
      </c>
      <c r="AK44" s="7">
        <v>0.32</v>
      </c>
      <c r="AL44"/>
      <c r="AM44" s="8">
        <v>9009.9524999999994</v>
      </c>
      <c r="AN44" s="7">
        <v>0.31810591999999999</v>
      </c>
    </row>
    <row r="45" spans="2:40" s="314" customFormat="1" ht="12.75" customHeight="1" x14ac:dyDescent="0.15">
      <c r="B45" s="5" t="s">
        <v>47</v>
      </c>
      <c r="C45" s="8">
        <v>16613.427800000001</v>
      </c>
      <c r="D45" s="7">
        <v>0.19249435000000001</v>
      </c>
      <c r="E45"/>
      <c r="F45" s="8">
        <v>1573.81</v>
      </c>
      <c r="G45" s="7">
        <v>0.25606645</v>
      </c>
      <c r="H45"/>
      <c r="I45" s="8">
        <v>1065.3800000000001</v>
      </c>
      <c r="J45" s="7">
        <v>0.14175129</v>
      </c>
      <c r="K45"/>
      <c r="L45" s="8">
        <v>1382.26</v>
      </c>
      <c r="M45" s="7">
        <v>0.18884133</v>
      </c>
      <c r="N45"/>
      <c r="O45" s="8">
        <v>2014.53</v>
      </c>
      <c r="P45" s="7">
        <v>0.26615607000000002</v>
      </c>
      <c r="Q45"/>
      <c r="R45" s="8">
        <v>1670.0586000000001</v>
      </c>
      <c r="S45" s="7">
        <v>0.21637233</v>
      </c>
      <c r="T45"/>
      <c r="U45" s="8">
        <v>1619.7678000000001</v>
      </c>
      <c r="V45" s="7">
        <v>0.21784811000000001</v>
      </c>
      <c r="W45"/>
      <c r="X45" s="8">
        <v>1094.4337</v>
      </c>
      <c r="Y45" s="7">
        <v>0.15357833000000001</v>
      </c>
      <c r="Z45"/>
      <c r="AA45" s="8">
        <v>1197.6719000000001</v>
      </c>
      <c r="AB45" s="7">
        <v>0.15190248000000001</v>
      </c>
      <c r="AC45"/>
      <c r="AD45" s="8">
        <v>1493.5968</v>
      </c>
      <c r="AE45" s="7">
        <v>0.18</v>
      </c>
      <c r="AF45"/>
      <c r="AG45" s="8">
        <v>1477.2147</v>
      </c>
      <c r="AH45" s="7">
        <v>0.19575938000000001</v>
      </c>
      <c r="AI45"/>
      <c r="AJ45" s="8">
        <v>952.26430000000005</v>
      </c>
      <c r="AK45" s="7">
        <v>0.16449116</v>
      </c>
      <c r="AL45"/>
      <c r="AM45" s="8">
        <v>1072.44</v>
      </c>
      <c r="AN45" s="7">
        <v>0.18</v>
      </c>
    </row>
    <row r="46" spans="2:40" s="314" customFormat="1" ht="12.75" customHeight="1" x14ac:dyDescent="0.15">
      <c r="B46" s="5" t="s">
        <v>48</v>
      </c>
      <c r="C46" s="8">
        <v>-164.7</v>
      </c>
      <c r="D46" s="7">
        <v>-5.6028800000000002E-3</v>
      </c>
      <c r="E46"/>
      <c r="F46" s="8">
        <v>-330.89</v>
      </c>
      <c r="G46" s="7">
        <v>-0.10284455000000001</v>
      </c>
      <c r="H46"/>
      <c r="I46" s="8">
        <v>149.96</v>
      </c>
      <c r="J46" s="7">
        <v>8.8120530000000002E-2</v>
      </c>
      <c r="K46"/>
      <c r="L46" s="8">
        <v>5.48</v>
      </c>
      <c r="M46" s="7">
        <v>7.6317800000000003E-3</v>
      </c>
      <c r="N46"/>
      <c r="O46" s="8">
        <v>10.75</v>
      </c>
      <c r="P46" s="7">
        <v>7.9136599999999994E-3</v>
      </c>
      <c r="Q46"/>
      <c r="R46" s="8">
        <v>0</v>
      </c>
      <c r="S46" s="7">
        <v>0</v>
      </c>
      <c r="T46"/>
      <c r="U46" s="8">
        <v>0</v>
      </c>
      <c r="V46" s="7">
        <v>0</v>
      </c>
      <c r="W46"/>
      <c r="X46" s="8">
        <v>0</v>
      </c>
      <c r="Y46" s="7">
        <v>0</v>
      </c>
      <c r="Z46"/>
      <c r="AA46" s="8">
        <v>0</v>
      </c>
      <c r="AB46" s="7">
        <v>0</v>
      </c>
      <c r="AC46"/>
      <c r="AD46" s="8">
        <v>0</v>
      </c>
      <c r="AE46" s="7">
        <v>0</v>
      </c>
      <c r="AF46"/>
      <c r="AG46" s="8">
        <v>0</v>
      </c>
      <c r="AH46" s="7">
        <v>0</v>
      </c>
      <c r="AI46"/>
      <c r="AJ46" s="8">
        <v>0</v>
      </c>
      <c r="AK46" s="7">
        <v>0</v>
      </c>
      <c r="AL46"/>
      <c r="AM46" s="8">
        <v>0</v>
      </c>
      <c r="AN46" s="7">
        <v>0</v>
      </c>
    </row>
    <row r="47" spans="2:40" s="314" customFormat="1" ht="12.75" customHeight="1" x14ac:dyDescent="0.15">
      <c r="B47" s="325" t="s">
        <v>49</v>
      </c>
      <c r="C47" s="326">
        <v>139801.28599999999</v>
      </c>
      <c r="D47" s="327">
        <v>0.29075815999999999</v>
      </c>
      <c r="E47"/>
      <c r="F47" s="326">
        <v>9711.2199999999993</v>
      </c>
      <c r="G47" s="327">
        <v>0.30292052000000003</v>
      </c>
      <c r="H47"/>
      <c r="I47" s="326">
        <v>13770.06</v>
      </c>
      <c r="J47" s="327">
        <v>0.34605079000000011</v>
      </c>
      <c r="K47"/>
      <c r="L47" s="326">
        <v>11744.46</v>
      </c>
      <c r="M47" s="327">
        <v>0.32428764999999998</v>
      </c>
      <c r="N47"/>
      <c r="O47" s="326">
        <v>13042.99</v>
      </c>
      <c r="P47" s="327">
        <v>0.33012982000000002</v>
      </c>
      <c r="Q47"/>
      <c r="R47" s="326">
        <v>11606.3434</v>
      </c>
      <c r="S47" s="327">
        <v>0.27126456999999998</v>
      </c>
      <c r="T47"/>
      <c r="U47" s="326">
        <v>11712.2958</v>
      </c>
      <c r="V47" s="327">
        <v>0.26963827000000001</v>
      </c>
      <c r="W47"/>
      <c r="X47" s="326">
        <v>12245.8837</v>
      </c>
      <c r="Y47" s="327">
        <v>0.29555710000000002</v>
      </c>
      <c r="Z47"/>
      <c r="AA47" s="326">
        <v>13367.5101</v>
      </c>
      <c r="AB47" s="327">
        <v>0.30238533000000001</v>
      </c>
      <c r="AC47"/>
      <c r="AD47" s="326">
        <v>11589.676799999999</v>
      </c>
      <c r="AE47" s="327">
        <v>0.25782706</v>
      </c>
      <c r="AF47"/>
      <c r="AG47" s="326">
        <v>11205.885399999999</v>
      </c>
      <c r="AH47" s="327">
        <v>0.26091648000000001</v>
      </c>
      <c r="AI47"/>
      <c r="AJ47" s="326">
        <v>9722.5683000000008</v>
      </c>
      <c r="AK47" s="327">
        <v>0.26860630000000002</v>
      </c>
      <c r="AL47"/>
      <c r="AM47" s="326">
        <v>10082.3925</v>
      </c>
      <c r="AN47" s="327">
        <v>0.27043774999999998</v>
      </c>
    </row>
    <row r="48" spans="2:40" s="314" customFormat="1" ht="12.75" customHeight="1" x14ac:dyDescent="0.15">
      <c r="B48" s="5" t="s">
        <v>22</v>
      </c>
      <c r="C48" s="8">
        <v>278659.016</v>
      </c>
      <c r="D48" s="7">
        <v>0.57955392999999999</v>
      </c>
      <c r="E48"/>
      <c r="F48" s="8">
        <v>20192.98</v>
      </c>
      <c r="G48" s="7">
        <v>0.62987638000000001</v>
      </c>
      <c r="H48"/>
      <c r="I48" s="8">
        <v>20143.900000000001</v>
      </c>
      <c r="J48" s="7">
        <v>0.50622964000000004</v>
      </c>
      <c r="K48"/>
      <c r="L48" s="8">
        <v>21319.35</v>
      </c>
      <c r="M48" s="7">
        <v>0.58866920999999994</v>
      </c>
      <c r="N48"/>
      <c r="O48" s="8">
        <v>22851</v>
      </c>
      <c r="P48" s="7">
        <v>0.57837938</v>
      </c>
      <c r="Q48"/>
      <c r="R48" s="8">
        <v>23036.32</v>
      </c>
      <c r="S48" s="7">
        <v>0.53840708999999998</v>
      </c>
      <c r="T48"/>
      <c r="U48" s="8">
        <v>24375.161499999998</v>
      </c>
      <c r="V48" s="7">
        <v>0.56116038000000001</v>
      </c>
      <c r="W48"/>
      <c r="X48" s="8">
        <v>24563.1561</v>
      </c>
      <c r="Y48" s="7">
        <v>0.59283717999999996</v>
      </c>
      <c r="Z48"/>
      <c r="AA48" s="8">
        <v>23041.072800000002</v>
      </c>
      <c r="AB48" s="7">
        <v>0.52121017999999997</v>
      </c>
      <c r="AC48"/>
      <c r="AD48" s="8">
        <v>26416.806400000001</v>
      </c>
      <c r="AE48" s="7">
        <v>0.58767535000000004</v>
      </c>
      <c r="AF48"/>
      <c r="AG48" s="8">
        <v>25485.0062</v>
      </c>
      <c r="AH48" s="7">
        <v>0.59338981000000002</v>
      </c>
      <c r="AI48"/>
      <c r="AJ48" s="8">
        <v>25105.5468</v>
      </c>
      <c r="AK48" s="7">
        <v>0.69359329000000003</v>
      </c>
      <c r="AL48"/>
      <c r="AM48" s="8">
        <v>22128.716199999999</v>
      </c>
      <c r="AN48" s="7">
        <v>0.59355358000000003</v>
      </c>
    </row>
    <row r="49" spans="2:40" s="314" customFormat="1" ht="12.75" customHeight="1" x14ac:dyDescent="0.15">
      <c r="B49" s="5" t="s">
        <v>40</v>
      </c>
      <c r="C49" s="8">
        <v>15715.66</v>
      </c>
      <c r="D49" s="7">
        <v>3.2685369999999998E-2</v>
      </c>
      <c r="E49"/>
      <c r="F49" s="8">
        <v>353.15</v>
      </c>
      <c r="G49" s="7">
        <v>1.101575E-2</v>
      </c>
      <c r="H49"/>
      <c r="I49" s="8">
        <v>256.2</v>
      </c>
      <c r="J49" s="7">
        <v>6.4384799999999999E-3</v>
      </c>
      <c r="K49"/>
      <c r="L49" s="8">
        <v>1740.64</v>
      </c>
      <c r="M49" s="7">
        <v>4.8062500000000001E-2</v>
      </c>
      <c r="N49"/>
      <c r="O49" s="8">
        <v>387.67</v>
      </c>
      <c r="P49" s="7">
        <v>9.8122799999999996E-3</v>
      </c>
      <c r="Q49"/>
      <c r="R49" s="8">
        <v>2190</v>
      </c>
      <c r="S49" s="7">
        <v>5.1184889999999997E-2</v>
      </c>
      <c r="T49"/>
      <c r="U49" s="8">
        <v>2860</v>
      </c>
      <c r="V49" s="7">
        <v>6.5842380000000006E-2</v>
      </c>
      <c r="W49"/>
      <c r="X49" s="8">
        <v>1224</v>
      </c>
      <c r="Y49" s="7">
        <v>2.954151E-2</v>
      </c>
      <c r="Z49"/>
      <c r="AA49" s="8">
        <v>280</v>
      </c>
      <c r="AB49" s="7">
        <v>6.3338600000000002E-3</v>
      </c>
      <c r="AC49"/>
      <c r="AD49" s="8">
        <v>3600</v>
      </c>
      <c r="AE49" s="7">
        <v>8.0086560000000001E-2</v>
      </c>
      <c r="AF49"/>
      <c r="AG49" s="8">
        <v>2014</v>
      </c>
      <c r="AH49" s="7">
        <v>4.6893729999999988E-2</v>
      </c>
      <c r="AI49"/>
      <c r="AJ49" s="8">
        <v>330</v>
      </c>
      <c r="AK49" s="7">
        <v>9.1169400000000005E-3</v>
      </c>
      <c r="AL49"/>
      <c r="AM49" s="8">
        <v>480</v>
      </c>
      <c r="AN49" s="7">
        <v>1.287493E-2</v>
      </c>
    </row>
    <row r="50" spans="2:40" s="314" customFormat="1" ht="12.75" customHeight="1" x14ac:dyDescent="0.15">
      <c r="B50" s="325" t="s">
        <v>41</v>
      </c>
      <c r="C50" s="326">
        <v>46640.410499999998</v>
      </c>
      <c r="D50" s="327">
        <v>9.7002539999999998E-2</v>
      </c>
      <c r="E50"/>
      <c r="F50" s="326">
        <v>1801.29</v>
      </c>
      <c r="G50" s="327">
        <v>5.6187349999999997E-2</v>
      </c>
      <c r="H50"/>
      <c r="I50" s="326">
        <v>5621.86</v>
      </c>
      <c r="J50" s="327">
        <v>0.14128109</v>
      </c>
      <c r="K50"/>
      <c r="L50" s="326">
        <v>1411.73</v>
      </c>
      <c r="M50" s="327">
        <v>3.8980639999999997E-2</v>
      </c>
      <c r="N50"/>
      <c r="O50" s="326">
        <v>3227.01</v>
      </c>
      <c r="P50" s="327">
        <v>8.1678529999999985E-2</v>
      </c>
      <c r="Q50"/>
      <c r="R50" s="326">
        <v>5953.4005999999999</v>
      </c>
      <c r="S50" s="327">
        <v>0.13914345</v>
      </c>
      <c r="T50"/>
      <c r="U50" s="326">
        <v>4489.6107000000002</v>
      </c>
      <c r="V50" s="327">
        <v>0.10335896999999999</v>
      </c>
      <c r="W50"/>
      <c r="X50" s="326">
        <v>3400.1851000000001</v>
      </c>
      <c r="Y50" s="327">
        <v>8.2064219999999993E-2</v>
      </c>
      <c r="Z50"/>
      <c r="AA50" s="326">
        <v>7518.2911000000004</v>
      </c>
      <c r="AB50" s="327">
        <v>0.17007063</v>
      </c>
      <c r="AC50"/>
      <c r="AD50" s="326">
        <v>3344.8768</v>
      </c>
      <c r="AE50" s="327">
        <v>7.4411030000000003E-2</v>
      </c>
      <c r="AF50"/>
      <c r="AG50" s="326">
        <v>4243.2780000000002</v>
      </c>
      <c r="AH50" s="327">
        <v>9.8799970000000001E-2</v>
      </c>
      <c r="AI50"/>
      <c r="AJ50" s="326">
        <v>1038.2369000000001</v>
      </c>
      <c r="AK50" s="327">
        <v>2.8683469999999999E-2</v>
      </c>
      <c r="AL50"/>
      <c r="AM50" s="326">
        <v>4590.6413000000002</v>
      </c>
      <c r="AN50" s="327">
        <v>0.12313374000000001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16687.893199999999</v>
      </c>
      <c r="D53" s="7">
        <v>1</v>
      </c>
      <c r="E53"/>
      <c r="F53" s="8">
        <v>121.91</v>
      </c>
      <c r="G53" s="7">
        <v>1</v>
      </c>
      <c r="H53"/>
      <c r="I53" s="8">
        <v>8586.52</v>
      </c>
      <c r="J53" s="7">
        <v>1</v>
      </c>
      <c r="K53"/>
      <c r="L53" s="8">
        <v>1236.6500000000001</v>
      </c>
      <c r="M53" s="7">
        <v>1</v>
      </c>
      <c r="N53"/>
      <c r="O53" s="8">
        <v>255.85</v>
      </c>
      <c r="P53" s="7">
        <v>1</v>
      </c>
      <c r="Q53"/>
      <c r="R53" s="8">
        <v>1106.5329999999999</v>
      </c>
      <c r="S53" s="7">
        <v>1</v>
      </c>
      <c r="T53"/>
      <c r="U53" s="8">
        <v>1006.9301</v>
      </c>
      <c r="V53" s="7">
        <v>1</v>
      </c>
      <c r="W53"/>
      <c r="X53" s="8">
        <v>939.46730000000002</v>
      </c>
      <c r="Y53" s="7">
        <v>1</v>
      </c>
      <c r="Z53"/>
      <c r="AA53" s="8">
        <v>699.53200000000004</v>
      </c>
      <c r="AB53" s="7">
        <v>1</v>
      </c>
      <c r="AC53"/>
      <c r="AD53" s="8">
        <v>897.26210000000003</v>
      </c>
      <c r="AE53" s="7">
        <v>1</v>
      </c>
      <c r="AF53"/>
      <c r="AG53" s="8">
        <v>847.3202</v>
      </c>
      <c r="AH53" s="7">
        <v>1</v>
      </c>
      <c r="AI53"/>
      <c r="AJ53" s="8">
        <v>493.2824</v>
      </c>
      <c r="AK53" s="7">
        <v>1</v>
      </c>
      <c r="AL53"/>
      <c r="AM53" s="8">
        <v>496.6361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7305.9106000000002</v>
      </c>
      <c r="D54" s="7">
        <v>0.43779706000000002</v>
      </c>
      <c r="E54"/>
      <c r="F54" s="8">
        <v>203.07</v>
      </c>
      <c r="G54" s="7">
        <v>1.6657370199999999</v>
      </c>
      <c r="H54"/>
      <c r="I54" s="8">
        <v>426.68</v>
      </c>
      <c r="J54" s="7">
        <v>4.9691840000000001E-2</v>
      </c>
      <c r="K54"/>
      <c r="L54" s="8">
        <v>353.61</v>
      </c>
      <c r="M54" s="7">
        <v>0.28594185999999999</v>
      </c>
      <c r="N54"/>
      <c r="O54" s="8">
        <v>702.98</v>
      </c>
      <c r="P54" s="7">
        <v>2.7476255599999999</v>
      </c>
      <c r="Q54"/>
      <c r="R54" s="8">
        <v>955.22640000000001</v>
      </c>
      <c r="S54" s="7">
        <v>0.86326064999999996</v>
      </c>
      <c r="T54"/>
      <c r="U54" s="8">
        <v>875.54409999999996</v>
      </c>
      <c r="V54" s="7">
        <v>0.86951825000000005</v>
      </c>
      <c r="W54"/>
      <c r="X54" s="8">
        <v>811.57389999999998</v>
      </c>
      <c r="Y54" s="7">
        <v>0.86386604</v>
      </c>
      <c r="Z54"/>
      <c r="AA54" s="8">
        <v>609.62559999999996</v>
      </c>
      <c r="AB54" s="7">
        <v>0.87147636000000006</v>
      </c>
      <c r="AC54"/>
      <c r="AD54" s="8">
        <v>777.80960000000005</v>
      </c>
      <c r="AE54" s="7">
        <v>0.86687000000000003</v>
      </c>
      <c r="AF54"/>
      <c r="AG54" s="8">
        <v>737.85609999999997</v>
      </c>
      <c r="AH54" s="7">
        <v>0.87081141000000006</v>
      </c>
      <c r="AI54"/>
      <c r="AJ54" s="8">
        <v>424.62599999999998</v>
      </c>
      <c r="AK54" s="7">
        <v>0.86081725000000009</v>
      </c>
      <c r="AL54"/>
      <c r="AM54" s="8">
        <v>427.30889999999999</v>
      </c>
      <c r="AN54" s="7">
        <v>0.86040643999999999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111.73</v>
      </c>
      <c r="D56" s="7">
        <v>6.6952699999999997E-3</v>
      </c>
      <c r="E56"/>
      <c r="F56" s="8">
        <v>111.73</v>
      </c>
      <c r="G56" s="7">
        <v>0.91649578000000009</v>
      </c>
      <c r="H56"/>
      <c r="I56" s="8">
        <v>0</v>
      </c>
      <c r="J56" s="7">
        <v>0</v>
      </c>
      <c r="K56"/>
      <c r="L56" s="8">
        <v>119.55</v>
      </c>
      <c r="M56" s="7">
        <v>9.6672460000000002E-2</v>
      </c>
      <c r="N56"/>
      <c r="O56" s="8">
        <v>-119.55</v>
      </c>
      <c r="P56" s="7">
        <v>-0.46726598000000003</v>
      </c>
      <c r="Q56"/>
      <c r="R56" s="8">
        <v>0</v>
      </c>
      <c r="S56" s="7">
        <v>0</v>
      </c>
      <c r="T56"/>
      <c r="U56" s="8">
        <v>0</v>
      </c>
      <c r="V56" s="7">
        <v>0</v>
      </c>
      <c r="W56"/>
      <c r="X56" s="8">
        <v>0</v>
      </c>
      <c r="Y56" s="7">
        <v>0</v>
      </c>
      <c r="Z56"/>
      <c r="AA56" s="8">
        <v>0</v>
      </c>
      <c r="AB56" s="7">
        <v>0</v>
      </c>
      <c r="AC56"/>
      <c r="AD56" s="8">
        <v>0</v>
      </c>
      <c r="AE56" s="7">
        <v>0</v>
      </c>
      <c r="AF56"/>
      <c r="AG56" s="8">
        <v>0</v>
      </c>
      <c r="AH56" s="7">
        <v>0</v>
      </c>
      <c r="AI56"/>
      <c r="AJ56" s="8">
        <v>0</v>
      </c>
      <c r="AK56" s="7">
        <v>0</v>
      </c>
      <c r="AL56"/>
      <c r="AM56" s="8">
        <v>0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9270.2525999999998</v>
      </c>
      <c r="D57" s="327">
        <v>0.55550767000000001</v>
      </c>
      <c r="E57"/>
      <c r="F57" s="326">
        <v>-192.89</v>
      </c>
      <c r="G57" s="327">
        <v>-1.5822327899999999</v>
      </c>
      <c r="H57"/>
      <c r="I57" s="326">
        <v>8159.84</v>
      </c>
      <c r="J57" s="327">
        <v>0.95030816000000007</v>
      </c>
      <c r="K57"/>
      <c r="L57" s="326">
        <v>763.49</v>
      </c>
      <c r="M57" s="327">
        <v>0.61738568000000005</v>
      </c>
      <c r="N57"/>
      <c r="O57" s="326">
        <v>-327.58</v>
      </c>
      <c r="P57" s="327">
        <v>-1.28035959</v>
      </c>
      <c r="Q57"/>
      <c r="R57" s="326">
        <v>151.3066</v>
      </c>
      <c r="S57" s="327">
        <v>0.13673935000000001</v>
      </c>
      <c r="T57"/>
      <c r="U57" s="326">
        <v>131.386</v>
      </c>
      <c r="V57" s="327">
        <v>0.13048175000000001</v>
      </c>
      <c r="W57"/>
      <c r="X57" s="326">
        <v>127.8935</v>
      </c>
      <c r="Y57" s="327">
        <v>0.13613406</v>
      </c>
      <c r="Z57"/>
      <c r="AA57" s="326">
        <v>89.906400000000005</v>
      </c>
      <c r="AB57" s="327">
        <v>0.12852363999999999</v>
      </c>
      <c r="AC57"/>
      <c r="AD57" s="326">
        <v>119.4524</v>
      </c>
      <c r="AE57" s="327">
        <v>0.13312988000000001</v>
      </c>
      <c r="AF57"/>
      <c r="AG57" s="326">
        <v>109.464</v>
      </c>
      <c r="AH57" s="327">
        <v>0.12918847</v>
      </c>
      <c r="AI57"/>
      <c r="AJ57" s="326">
        <v>68.656499999999994</v>
      </c>
      <c r="AK57" s="327">
        <v>0.13918295</v>
      </c>
      <c r="AL57"/>
      <c r="AM57" s="326">
        <v>69.327200000000005</v>
      </c>
      <c r="AN57" s="327">
        <v>0.13959356000000001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42932.87</v>
      </c>
      <c r="D60" s="327">
        <v>2.5726956400000001</v>
      </c>
      <c r="E60"/>
      <c r="F60" s="326">
        <v>1808.37</v>
      </c>
      <c r="G60" s="327">
        <v>14.833647770000001</v>
      </c>
      <c r="H60"/>
      <c r="I60" s="326">
        <v>5232.87</v>
      </c>
      <c r="J60" s="327">
        <v>0.60942850000000004</v>
      </c>
      <c r="K60"/>
      <c r="L60" s="326">
        <v>3763.43</v>
      </c>
      <c r="M60" s="327">
        <v>3.0432458699999998</v>
      </c>
      <c r="N60"/>
      <c r="O60" s="326">
        <v>1828.2</v>
      </c>
      <c r="P60" s="327">
        <v>7.14559312</v>
      </c>
      <c r="Q60"/>
      <c r="R60" s="326">
        <v>1500</v>
      </c>
      <c r="S60" s="327">
        <v>1.3555854199999999</v>
      </c>
      <c r="T60"/>
      <c r="U60" s="326">
        <v>1500</v>
      </c>
      <c r="V60" s="327">
        <v>1.4896763900000001</v>
      </c>
      <c r="W60"/>
      <c r="X60" s="326">
        <v>2500</v>
      </c>
      <c r="Y60" s="327">
        <v>2.66108251</v>
      </c>
      <c r="Z60"/>
      <c r="AA60" s="326">
        <v>800</v>
      </c>
      <c r="AB60" s="327">
        <v>1.1436217399999999</v>
      </c>
      <c r="AC60"/>
      <c r="AD60" s="326">
        <v>14000</v>
      </c>
      <c r="AE60" s="327">
        <v>15.603021679999999</v>
      </c>
      <c r="AF60"/>
      <c r="AG60" s="326">
        <v>7000</v>
      </c>
      <c r="AH60" s="327">
        <v>8.2613396899999998</v>
      </c>
      <c r="AI60"/>
      <c r="AJ60" s="326">
        <v>2000</v>
      </c>
      <c r="AK60" s="327">
        <v>4.0544726500000001</v>
      </c>
      <c r="AL60"/>
      <c r="AM60" s="326">
        <v>1000</v>
      </c>
      <c r="AN60" s="327">
        <v>2.0135467399999998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3009757.9726</v>
      </c>
      <c r="D63" s="327">
        <v>0.57879643999999997</v>
      </c>
      <c r="E63"/>
      <c r="F63" s="326">
        <v>82903.75</v>
      </c>
      <c r="G63" s="327">
        <v>0.38969416000000001</v>
      </c>
      <c r="H63"/>
      <c r="I63" s="326">
        <v>213226.8</v>
      </c>
      <c r="J63" s="327">
        <v>0.57258606000000001</v>
      </c>
      <c r="K63"/>
      <c r="L63" s="326">
        <v>215974.89</v>
      </c>
      <c r="M63" s="327">
        <v>0.56716341000000003</v>
      </c>
      <c r="N63"/>
      <c r="O63" s="326">
        <v>135426.41</v>
      </c>
      <c r="P63" s="327">
        <v>0.44759912000000002</v>
      </c>
      <c r="Q63"/>
      <c r="R63" s="326">
        <v>290842.19140000001</v>
      </c>
      <c r="S63" s="327">
        <v>0.59582144000000004</v>
      </c>
      <c r="T63"/>
      <c r="U63" s="326">
        <v>310904.29690000002</v>
      </c>
      <c r="V63" s="327">
        <v>0.60789758999999999</v>
      </c>
      <c r="W63"/>
      <c r="X63" s="326">
        <v>248578.17480000001</v>
      </c>
      <c r="Y63" s="327">
        <v>0.57234313000000003</v>
      </c>
      <c r="Z63"/>
      <c r="AA63" s="326">
        <v>264834.32880000002</v>
      </c>
      <c r="AB63" s="327">
        <v>0.57997478000000002</v>
      </c>
      <c r="AC63"/>
      <c r="AD63" s="326">
        <v>438745.52370000002</v>
      </c>
      <c r="AE63" s="327">
        <v>0.66417862999999999</v>
      </c>
      <c r="AF63"/>
      <c r="AG63" s="326">
        <v>342000.09840000002</v>
      </c>
      <c r="AH63" s="327">
        <v>0.62285287</v>
      </c>
      <c r="AI63"/>
      <c r="AJ63" s="326">
        <v>240751.08499999999</v>
      </c>
      <c r="AK63" s="327">
        <v>0.56146666000000001</v>
      </c>
      <c r="AL63"/>
      <c r="AM63" s="326">
        <v>225570.42360000001</v>
      </c>
      <c r="AN63" s="327">
        <v>0.56035438000000004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180775.8388</v>
      </c>
      <c r="D66" s="7">
        <v>3.4764389999999999E-2</v>
      </c>
      <c r="E66"/>
      <c r="F66" s="8">
        <v>15382.93</v>
      </c>
      <c r="G66" s="7">
        <v>7.2308410000000004E-2</v>
      </c>
      <c r="H66"/>
      <c r="I66" s="8">
        <v>16986.02</v>
      </c>
      <c r="J66" s="7">
        <v>4.5613210000000001E-2</v>
      </c>
      <c r="K66"/>
      <c r="L66" s="8">
        <v>14998.26</v>
      </c>
      <c r="M66" s="7">
        <v>3.9386360000000002E-2</v>
      </c>
      <c r="N66"/>
      <c r="O66" s="8">
        <v>15159.36</v>
      </c>
      <c r="P66" s="7">
        <v>5.0103349999999998E-2</v>
      </c>
      <c r="Q66"/>
      <c r="R66" s="8">
        <v>13161.5602</v>
      </c>
      <c r="S66" s="7">
        <v>2.696287E-2</v>
      </c>
      <c r="T66"/>
      <c r="U66" s="8">
        <v>16284.7971</v>
      </c>
      <c r="V66" s="7">
        <v>3.184095E-2</v>
      </c>
      <c r="W66"/>
      <c r="X66" s="8">
        <v>15958.2785</v>
      </c>
      <c r="Y66" s="7">
        <v>3.6743419999999999E-2</v>
      </c>
      <c r="Z66"/>
      <c r="AA66" s="8">
        <v>16572.1669</v>
      </c>
      <c r="AB66" s="7">
        <v>3.6292270000000001E-2</v>
      </c>
      <c r="AC66"/>
      <c r="AD66" s="8">
        <v>14487.507</v>
      </c>
      <c r="AE66" s="7">
        <v>2.1931369999999999E-2</v>
      </c>
      <c r="AF66"/>
      <c r="AG66" s="8">
        <v>17322.1669</v>
      </c>
      <c r="AH66" s="7">
        <v>3.1547249999999999E-2</v>
      </c>
      <c r="AI66"/>
      <c r="AJ66" s="8">
        <v>16572.615900000001</v>
      </c>
      <c r="AK66" s="7">
        <v>3.8649759999999998E-2</v>
      </c>
      <c r="AL66"/>
      <c r="AM66" s="8">
        <v>7890.1763000000001</v>
      </c>
      <c r="AN66" s="7">
        <v>1.9600510000000002E-2</v>
      </c>
    </row>
    <row r="67" spans="2:40" s="314" customFormat="1" ht="12.75" customHeight="1" x14ac:dyDescent="0.15">
      <c r="B67" s="5" t="s">
        <v>40</v>
      </c>
      <c r="C67" s="8">
        <v>157819.75090000001</v>
      </c>
      <c r="D67" s="7">
        <v>3.0349790000000001E-2</v>
      </c>
      <c r="E67"/>
      <c r="F67" s="8">
        <v>4743.3100000000004</v>
      </c>
      <c r="G67" s="7">
        <v>2.2296219999999999E-2</v>
      </c>
      <c r="H67"/>
      <c r="I67" s="8">
        <v>14591.96</v>
      </c>
      <c r="J67" s="7">
        <v>3.918435E-2</v>
      </c>
      <c r="K67"/>
      <c r="L67" s="8">
        <v>10888.68</v>
      </c>
      <c r="M67" s="7">
        <v>2.8594350000000001E-2</v>
      </c>
      <c r="N67"/>
      <c r="O67" s="8">
        <v>12945.15</v>
      </c>
      <c r="P67" s="7">
        <v>4.2785140000000013E-2</v>
      </c>
      <c r="Q67"/>
      <c r="R67" s="8">
        <v>16301.8735</v>
      </c>
      <c r="S67" s="7">
        <v>3.3396139999999998E-2</v>
      </c>
      <c r="T67"/>
      <c r="U67" s="8">
        <v>13337.0417</v>
      </c>
      <c r="V67" s="7">
        <v>2.6077329999999999E-2</v>
      </c>
      <c r="W67"/>
      <c r="X67" s="8">
        <v>15453.4089</v>
      </c>
      <c r="Y67" s="7">
        <v>3.5580970000000003E-2</v>
      </c>
      <c r="Z67"/>
      <c r="AA67" s="8">
        <v>12872.198700000001</v>
      </c>
      <c r="AB67" s="7">
        <v>2.8189510000000001E-2</v>
      </c>
      <c r="AC67"/>
      <c r="AD67" s="8">
        <v>16796.641199999998</v>
      </c>
      <c r="AE67" s="7">
        <v>2.542697E-2</v>
      </c>
      <c r="AF67"/>
      <c r="AG67" s="8">
        <v>14429.7979</v>
      </c>
      <c r="AH67" s="7">
        <v>2.627964E-2</v>
      </c>
      <c r="AI67"/>
      <c r="AJ67" s="8">
        <v>14210.4463</v>
      </c>
      <c r="AK67" s="7">
        <v>3.3140830000000003E-2</v>
      </c>
      <c r="AL67"/>
      <c r="AM67" s="8">
        <v>11249.242700000001</v>
      </c>
      <c r="AN67" s="7">
        <v>2.7944989999999999E-2</v>
      </c>
    </row>
    <row r="68" spans="2:40" s="314" customFormat="1" ht="12.75" customHeight="1" x14ac:dyDescent="0.15">
      <c r="B68" s="325" t="s">
        <v>41</v>
      </c>
      <c r="C68" s="326">
        <v>-338595.58960000001</v>
      </c>
      <c r="D68" s="327">
        <v>-6.5114179999999994E-2</v>
      </c>
      <c r="E68"/>
      <c r="F68" s="326">
        <v>-20126.240000000002</v>
      </c>
      <c r="G68" s="327">
        <v>-9.4604630000000009E-2</v>
      </c>
      <c r="H68"/>
      <c r="I68" s="326">
        <v>-31577.98</v>
      </c>
      <c r="J68" s="327">
        <v>-8.4797550000000013E-2</v>
      </c>
      <c r="K68"/>
      <c r="L68" s="326">
        <v>-25886.94</v>
      </c>
      <c r="M68" s="327">
        <v>-6.7980700000000005E-2</v>
      </c>
      <c r="N68"/>
      <c r="O68" s="326">
        <v>-28104.51</v>
      </c>
      <c r="P68" s="327">
        <v>-9.2888479999999995E-2</v>
      </c>
      <c r="Q68"/>
      <c r="R68" s="326">
        <v>-29463.4336</v>
      </c>
      <c r="S68" s="327">
        <v>-6.0359009999999998E-2</v>
      </c>
      <c r="T68"/>
      <c r="U68" s="326">
        <v>-29621.838800000001</v>
      </c>
      <c r="V68" s="327">
        <v>-5.7918289999999997E-2</v>
      </c>
      <c r="W68"/>
      <c r="X68" s="326">
        <v>-31411.687399999999</v>
      </c>
      <c r="Y68" s="327">
        <v>-7.2324380000000008E-2</v>
      </c>
      <c r="Z68"/>
      <c r="AA68" s="326">
        <v>-29444.365600000001</v>
      </c>
      <c r="AB68" s="327">
        <v>-6.4481780000000002E-2</v>
      </c>
      <c r="AC68"/>
      <c r="AD68" s="326">
        <v>-31284.1482</v>
      </c>
      <c r="AE68" s="327">
        <v>-4.735835E-2</v>
      </c>
      <c r="AF68"/>
      <c r="AG68" s="326">
        <v>-31751.964800000002</v>
      </c>
      <c r="AH68" s="327">
        <v>-5.7826890000000013E-2</v>
      </c>
      <c r="AI68"/>
      <c r="AJ68" s="326">
        <v>-30783.0622</v>
      </c>
      <c r="AK68" s="327">
        <v>-7.1790590000000001E-2</v>
      </c>
      <c r="AL68"/>
      <c r="AM68" s="326">
        <v>-19139.419000000002</v>
      </c>
      <c r="AN68" s="327">
        <v>-4.7545490000000003E-2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19331.740000000002</v>
      </c>
      <c r="D71" s="7">
        <v>3.71762E-3</v>
      </c>
      <c r="E71"/>
      <c r="F71" s="8">
        <v>1988.32</v>
      </c>
      <c r="G71" s="7">
        <v>9.3462199999999988E-3</v>
      </c>
      <c r="H71"/>
      <c r="I71" s="8">
        <v>1832.31</v>
      </c>
      <c r="J71" s="7">
        <v>4.9203700000000003E-3</v>
      </c>
      <c r="K71"/>
      <c r="L71" s="8">
        <v>1631.45</v>
      </c>
      <c r="M71" s="7">
        <v>4.2842899999999996E-3</v>
      </c>
      <c r="N71"/>
      <c r="O71" s="8">
        <v>1223.6600000000001</v>
      </c>
      <c r="P71" s="7">
        <v>4.0443299999999996E-3</v>
      </c>
      <c r="Q71"/>
      <c r="R71" s="8">
        <v>1573</v>
      </c>
      <c r="S71" s="7">
        <v>3.2224599999999999E-3</v>
      </c>
      <c r="T71"/>
      <c r="U71" s="8">
        <v>1609</v>
      </c>
      <c r="V71" s="7">
        <v>3.1460099999999999E-3</v>
      </c>
      <c r="W71"/>
      <c r="X71" s="8">
        <v>1609</v>
      </c>
      <c r="Y71" s="7">
        <v>3.7046700000000002E-3</v>
      </c>
      <c r="Z71"/>
      <c r="AA71" s="8">
        <v>1573</v>
      </c>
      <c r="AB71" s="7">
        <v>3.4448E-3</v>
      </c>
      <c r="AC71"/>
      <c r="AD71" s="8">
        <v>1573</v>
      </c>
      <c r="AE71" s="7">
        <v>2.3812299999999998E-3</v>
      </c>
      <c r="AF71"/>
      <c r="AG71" s="8">
        <v>1573</v>
      </c>
      <c r="AH71" s="7">
        <v>2.86476E-3</v>
      </c>
      <c r="AI71"/>
      <c r="AJ71" s="8">
        <v>1573</v>
      </c>
      <c r="AK71" s="7">
        <v>3.6684700000000001E-3</v>
      </c>
      <c r="AL71"/>
      <c r="AM71" s="8">
        <v>1573</v>
      </c>
      <c r="AN71" s="7">
        <v>3.9075899999999998E-3</v>
      </c>
    </row>
    <row r="72" spans="2:40" s="314" customFormat="1" ht="12.75" customHeight="1" x14ac:dyDescent="0.15">
      <c r="B72" s="5" t="s">
        <v>56</v>
      </c>
      <c r="C72" s="8">
        <v>106123.12</v>
      </c>
      <c r="D72" s="7">
        <v>2.0408180000000001E-2</v>
      </c>
      <c r="E72"/>
      <c r="F72" s="8">
        <v>9940.76</v>
      </c>
      <c r="G72" s="7">
        <v>4.6727150000000002E-2</v>
      </c>
      <c r="H72"/>
      <c r="I72" s="8">
        <v>9122.4</v>
      </c>
      <c r="J72" s="7">
        <v>2.4496730000000001E-2</v>
      </c>
      <c r="K72"/>
      <c r="L72" s="8">
        <v>10303.700000000001</v>
      </c>
      <c r="M72" s="7">
        <v>2.705815E-2</v>
      </c>
      <c r="N72"/>
      <c r="O72" s="8">
        <v>9508.74</v>
      </c>
      <c r="P72" s="7">
        <v>3.1427429999999999E-2</v>
      </c>
      <c r="Q72"/>
      <c r="R72" s="8">
        <v>8407.69</v>
      </c>
      <c r="S72" s="7">
        <v>1.7224059999999999E-2</v>
      </c>
      <c r="T72"/>
      <c r="U72" s="8">
        <v>8281.69</v>
      </c>
      <c r="V72" s="7">
        <v>1.6192829999999998E-2</v>
      </c>
      <c r="W72"/>
      <c r="X72" s="8">
        <v>8465.69</v>
      </c>
      <c r="Y72" s="7">
        <v>1.9491970000000001E-2</v>
      </c>
      <c r="Z72"/>
      <c r="AA72" s="8">
        <v>8281.69</v>
      </c>
      <c r="AB72" s="7">
        <v>1.8136510000000002E-2</v>
      </c>
      <c r="AC72"/>
      <c r="AD72" s="8">
        <v>8781.69</v>
      </c>
      <c r="AE72" s="7">
        <v>1.3293839999999999E-2</v>
      </c>
      <c r="AF72"/>
      <c r="AG72" s="8">
        <v>8465.69</v>
      </c>
      <c r="AH72" s="7">
        <v>1.5417770000000001E-2</v>
      </c>
      <c r="AI72"/>
      <c r="AJ72" s="8">
        <v>8281.69</v>
      </c>
      <c r="AK72" s="7">
        <v>1.9314109999999999E-2</v>
      </c>
      <c r="AL72"/>
      <c r="AM72" s="8">
        <v>8281.69</v>
      </c>
      <c r="AN72" s="7">
        <v>2.0573089999999999E-2</v>
      </c>
    </row>
    <row r="73" spans="2:40" s="314" customFormat="1" ht="12.75" customHeight="1" x14ac:dyDescent="0.15">
      <c r="B73" s="5" t="s">
        <v>40</v>
      </c>
      <c r="C73" s="8">
        <v>3804</v>
      </c>
      <c r="D73" s="7">
        <v>7.3152999999999998E-4</v>
      </c>
      <c r="E73"/>
      <c r="F73" s="8">
        <v>317</v>
      </c>
      <c r="G73" s="7">
        <v>1.49008E-3</v>
      </c>
      <c r="H73"/>
      <c r="I73" s="8">
        <v>316</v>
      </c>
      <c r="J73" s="7">
        <v>8.4856999999999999E-4</v>
      </c>
      <c r="K73"/>
      <c r="L73" s="8">
        <v>317.5</v>
      </c>
      <c r="M73" s="7">
        <v>8.3377000000000006E-4</v>
      </c>
      <c r="N73"/>
      <c r="O73" s="8">
        <v>317.5</v>
      </c>
      <c r="P73" s="7">
        <v>1.04937E-3</v>
      </c>
      <c r="Q73"/>
      <c r="R73" s="8">
        <v>317</v>
      </c>
      <c r="S73" s="7">
        <v>6.4941E-4</v>
      </c>
      <c r="T73"/>
      <c r="U73" s="8">
        <v>317</v>
      </c>
      <c r="V73" s="7">
        <v>6.1981999999999998E-4</v>
      </c>
      <c r="W73"/>
      <c r="X73" s="8">
        <v>317</v>
      </c>
      <c r="Y73" s="7">
        <v>7.2988000000000003E-4</v>
      </c>
      <c r="Z73"/>
      <c r="AA73" s="8">
        <v>317</v>
      </c>
      <c r="AB73" s="7">
        <v>6.9421999999999995E-4</v>
      </c>
      <c r="AC73"/>
      <c r="AD73" s="8">
        <v>317</v>
      </c>
      <c r="AE73" s="7">
        <v>4.7988000000000002E-4</v>
      </c>
      <c r="AF73"/>
      <c r="AG73" s="8">
        <v>317</v>
      </c>
      <c r="AH73" s="7">
        <v>5.7731999999999998E-4</v>
      </c>
      <c r="AI73"/>
      <c r="AJ73" s="8">
        <v>317</v>
      </c>
      <c r="AK73" s="7">
        <v>7.3928999999999998E-4</v>
      </c>
      <c r="AL73"/>
      <c r="AM73" s="8">
        <v>317</v>
      </c>
      <c r="AN73" s="7">
        <v>7.8748000000000002E-4</v>
      </c>
    </row>
    <row r="74" spans="2:40" s="314" customFormat="1" ht="12.75" customHeight="1" x14ac:dyDescent="0.15">
      <c r="B74" s="325" t="s">
        <v>41</v>
      </c>
      <c r="C74" s="326">
        <v>-129258.86</v>
      </c>
      <c r="D74" s="327">
        <v>-2.4857339999999999E-2</v>
      </c>
      <c r="E74"/>
      <c r="F74" s="326">
        <v>-12246.08</v>
      </c>
      <c r="G74" s="327">
        <v>-5.7563450000000002E-2</v>
      </c>
      <c r="H74"/>
      <c r="I74" s="326">
        <v>-11270.71</v>
      </c>
      <c r="J74" s="327">
        <v>-3.0265670000000001E-2</v>
      </c>
      <c r="K74"/>
      <c r="L74" s="326">
        <v>-12252.65</v>
      </c>
      <c r="M74" s="327">
        <v>-3.2176219999999998E-2</v>
      </c>
      <c r="N74"/>
      <c r="O74" s="326">
        <v>-11049.9</v>
      </c>
      <c r="P74" s="327">
        <v>-3.6521129999999999E-2</v>
      </c>
      <c r="Q74"/>
      <c r="R74" s="326">
        <v>-10297.69</v>
      </c>
      <c r="S74" s="327">
        <v>-2.1095920000000001E-2</v>
      </c>
      <c r="T74"/>
      <c r="U74" s="326">
        <v>-10207.69</v>
      </c>
      <c r="V74" s="327">
        <v>-1.9958650000000001E-2</v>
      </c>
      <c r="W74"/>
      <c r="X74" s="326">
        <v>-10391.69</v>
      </c>
      <c r="Y74" s="327">
        <v>-2.3926530000000001E-2</v>
      </c>
      <c r="Z74"/>
      <c r="AA74" s="326">
        <v>-10171.69</v>
      </c>
      <c r="AB74" s="327">
        <v>-2.227552E-2</v>
      </c>
      <c r="AC74"/>
      <c r="AD74" s="326">
        <v>-10671.69</v>
      </c>
      <c r="AE74" s="327">
        <v>-1.615494E-2</v>
      </c>
      <c r="AF74"/>
      <c r="AG74" s="326">
        <v>-10355.69</v>
      </c>
      <c r="AH74" s="327">
        <v>-1.8859850000000001E-2</v>
      </c>
      <c r="AI74"/>
      <c r="AJ74" s="326">
        <v>-10171.69</v>
      </c>
      <c r="AK74" s="327">
        <v>-2.3721869999999999E-2</v>
      </c>
      <c r="AL74"/>
      <c r="AM74" s="326">
        <v>-10171.69</v>
      </c>
      <c r="AN74" s="327">
        <v>-2.526817E-2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52029.551899999999</v>
      </c>
      <c r="D77" s="7">
        <v>1.000563E-2</v>
      </c>
      <c r="E77"/>
      <c r="F77" s="8">
        <v>2127.41</v>
      </c>
      <c r="G77" s="7">
        <v>1.000002E-2</v>
      </c>
      <c r="H77"/>
      <c r="I77" s="8">
        <v>3734.73</v>
      </c>
      <c r="J77" s="7">
        <v>1.002901E-2</v>
      </c>
      <c r="K77"/>
      <c r="L77" s="8">
        <v>3813.43</v>
      </c>
      <c r="M77" s="7">
        <v>1.00143E-2</v>
      </c>
      <c r="N77"/>
      <c r="O77" s="8">
        <v>3038.63</v>
      </c>
      <c r="P77" s="7">
        <v>1.004301E-2</v>
      </c>
      <c r="Q77"/>
      <c r="R77" s="8">
        <v>4881.3649999999998</v>
      </c>
      <c r="S77" s="7">
        <v>0.01</v>
      </c>
      <c r="T77"/>
      <c r="U77" s="8">
        <v>5114.4189999999999</v>
      </c>
      <c r="V77" s="7">
        <v>0.01</v>
      </c>
      <c r="W77"/>
      <c r="X77" s="8">
        <v>4343.1669000000002</v>
      </c>
      <c r="Y77" s="7">
        <v>0.01</v>
      </c>
      <c r="Z77"/>
      <c r="AA77" s="8">
        <v>4566.3077000000003</v>
      </c>
      <c r="AB77" s="7">
        <v>0.01</v>
      </c>
      <c r="AC77"/>
      <c r="AD77" s="8">
        <v>6605.8361999999997</v>
      </c>
      <c r="AE77" s="7">
        <v>0.01</v>
      </c>
      <c r="AF77"/>
      <c r="AG77" s="8">
        <v>5490.8648999999996</v>
      </c>
      <c r="AH77" s="7">
        <v>0.01</v>
      </c>
      <c r="AI77"/>
      <c r="AJ77" s="8">
        <v>4287.8963000000003</v>
      </c>
      <c r="AK77" s="7">
        <v>0.01</v>
      </c>
      <c r="AL77"/>
      <c r="AM77" s="8">
        <v>4025.4958999999999</v>
      </c>
      <c r="AN77" s="7">
        <v>0.01</v>
      </c>
    </row>
    <row r="78" spans="2:40" s="314" customFormat="1" ht="12.75" customHeight="1" x14ac:dyDescent="0.15">
      <c r="B78" s="5" t="s">
        <v>40</v>
      </c>
      <c r="C78" s="8">
        <v>321278.97950000002</v>
      </c>
      <c r="D78" s="7">
        <v>6.1784079999999998E-2</v>
      </c>
      <c r="E78"/>
      <c r="F78" s="8">
        <v>20001.89</v>
      </c>
      <c r="G78" s="7">
        <v>9.4020110000000004E-2</v>
      </c>
      <c r="H78"/>
      <c r="I78" s="8">
        <v>16204.54</v>
      </c>
      <c r="J78" s="7">
        <v>4.3514670000000012E-2</v>
      </c>
      <c r="K78"/>
      <c r="L78" s="8">
        <v>23180.240000000002</v>
      </c>
      <c r="M78" s="7">
        <v>6.0872740000000002E-2</v>
      </c>
      <c r="N78"/>
      <c r="O78" s="8">
        <v>18145.7</v>
      </c>
      <c r="P78" s="7">
        <v>5.9973529999999997E-2</v>
      </c>
      <c r="Q78"/>
      <c r="R78" s="8">
        <v>29191.9015</v>
      </c>
      <c r="S78" s="7">
        <v>5.9802739999999993E-2</v>
      </c>
      <c r="T78"/>
      <c r="U78" s="8">
        <v>33524.845500000003</v>
      </c>
      <c r="V78" s="7">
        <v>6.5549670000000004E-2</v>
      </c>
      <c r="W78"/>
      <c r="X78" s="8">
        <v>29560.706900000001</v>
      </c>
      <c r="Y78" s="7">
        <v>6.8062560000000008E-2</v>
      </c>
      <c r="Z78"/>
      <c r="AA78" s="8">
        <v>28616.6603</v>
      </c>
      <c r="AB78" s="7">
        <v>6.2669150000000007E-2</v>
      </c>
      <c r="AC78"/>
      <c r="AD78" s="8">
        <v>37599.561199999996</v>
      </c>
      <c r="AE78" s="7">
        <v>5.6918700000000003E-2</v>
      </c>
      <c r="AF78"/>
      <c r="AG78" s="8">
        <v>32618.049900000002</v>
      </c>
      <c r="AH78" s="7">
        <v>5.9404209999999999E-2</v>
      </c>
      <c r="AI78"/>
      <c r="AJ78" s="8">
        <v>26609.3963</v>
      </c>
      <c r="AK78" s="7">
        <v>6.2057000000000001E-2</v>
      </c>
      <c r="AL78"/>
      <c r="AM78" s="8">
        <v>26025.4879</v>
      </c>
      <c r="AN78" s="7">
        <v>6.4651630000000002E-2</v>
      </c>
    </row>
    <row r="79" spans="2:40" s="314" customFormat="1" ht="12.75" customHeight="1" x14ac:dyDescent="0.15">
      <c r="B79" s="325" t="s">
        <v>41</v>
      </c>
      <c r="C79" s="326">
        <v>-373308.53120000003</v>
      </c>
      <c r="D79" s="327">
        <v>-7.1789709999999993E-2</v>
      </c>
      <c r="E79"/>
      <c r="F79" s="326">
        <v>-22129.3</v>
      </c>
      <c r="G79" s="327">
        <v>-0.10402013</v>
      </c>
      <c r="H79"/>
      <c r="I79" s="326">
        <v>-19939.27</v>
      </c>
      <c r="J79" s="327">
        <v>-5.3543680000000003E-2</v>
      </c>
      <c r="K79"/>
      <c r="L79" s="326">
        <v>-26993.67</v>
      </c>
      <c r="M79" s="327">
        <v>-7.0887050000000007E-2</v>
      </c>
      <c r="N79"/>
      <c r="O79" s="326">
        <v>-21184.33</v>
      </c>
      <c r="P79" s="327">
        <v>-7.0016530000000007E-2</v>
      </c>
      <c r="Q79"/>
      <c r="R79" s="326">
        <v>-34073.2664</v>
      </c>
      <c r="S79" s="327">
        <v>-6.9802740000000002E-2</v>
      </c>
      <c r="T79"/>
      <c r="U79" s="326">
        <v>-38639.264499999997</v>
      </c>
      <c r="V79" s="327">
        <v>-7.5549669999999999E-2</v>
      </c>
      <c r="W79"/>
      <c r="X79" s="326">
        <v>-33903.873800000001</v>
      </c>
      <c r="Y79" s="327">
        <v>-7.8062560000000003E-2</v>
      </c>
      <c r="Z79"/>
      <c r="AA79" s="326">
        <v>-33182.967900000003</v>
      </c>
      <c r="AB79" s="327">
        <v>-7.2669150000000002E-2</v>
      </c>
      <c r="AC79"/>
      <c r="AD79" s="326">
        <v>-44205.397400000002</v>
      </c>
      <c r="AE79" s="327">
        <v>-6.6918699999999998E-2</v>
      </c>
      <c r="AF79"/>
      <c r="AG79" s="326">
        <v>-38108.914799999999</v>
      </c>
      <c r="AH79" s="327">
        <v>-6.9404209999999994E-2</v>
      </c>
      <c r="AI79"/>
      <c r="AJ79" s="326">
        <v>-30897.292700000002</v>
      </c>
      <c r="AK79" s="327">
        <v>-7.2056999999999996E-2</v>
      </c>
      <c r="AL79"/>
      <c r="AM79" s="326">
        <v>-30050.983700000001</v>
      </c>
      <c r="AN79" s="327">
        <v>-7.465163000000001E-2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113768.5046</v>
      </c>
      <c r="D82" s="7">
        <v>2.1878439999999999E-2</v>
      </c>
      <c r="E82"/>
      <c r="F82" s="8">
        <v>10139.790000000001</v>
      </c>
      <c r="G82" s="7">
        <v>4.7662700000000002E-2</v>
      </c>
      <c r="H82"/>
      <c r="I82" s="8">
        <v>9972.24</v>
      </c>
      <c r="J82" s="7">
        <v>2.6778840000000002E-2</v>
      </c>
      <c r="K82"/>
      <c r="L82" s="8">
        <v>7766.8</v>
      </c>
      <c r="M82" s="7">
        <v>2.03961E-2</v>
      </c>
      <c r="N82"/>
      <c r="O82" s="8">
        <v>10150.870000000001</v>
      </c>
      <c r="P82" s="7">
        <v>3.3549740000000002E-2</v>
      </c>
      <c r="Q82"/>
      <c r="R82" s="8">
        <v>9858.2363000000005</v>
      </c>
      <c r="S82" s="7">
        <v>2.0195660000000001E-2</v>
      </c>
      <c r="T82"/>
      <c r="U82" s="8">
        <v>9311.6790000000001</v>
      </c>
      <c r="V82" s="7">
        <v>1.8206719999999999E-2</v>
      </c>
      <c r="W82"/>
      <c r="X82" s="8">
        <v>10426.1109</v>
      </c>
      <c r="Y82" s="7">
        <v>2.4005780000000001E-2</v>
      </c>
      <c r="Z82"/>
      <c r="AA82" s="8">
        <v>8825.8636000000006</v>
      </c>
      <c r="AB82" s="7">
        <v>1.9328229999999998E-2</v>
      </c>
      <c r="AC82"/>
      <c r="AD82" s="8">
        <v>7830.3037000000004</v>
      </c>
      <c r="AE82" s="7">
        <v>1.1853610000000001E-2</v>
      </c>
      <c r="AF82"/>
      <c r="AG82" s="8">
        <v>9754.2374</v>
      </c>
      <c r="AH82" s="7">
        <v>1.7764479999999999E-2</v>
      </c>
      <c r="AI82"/>
      <c r="AJ82" s="8">
        <v>10459.829299999999</v>
      </c>
      <c r="AK82" s="7">
        <v>2.4393850000000002E-2</v>
      </c>
      <c r="AL82"/>
      <c r="AM82" s="8">
        <v>9272.5444000000007</v>
      </c>
      <c r="AN82" s="7">
        <v>2.3034539999999999E-2</v>
      </c>
    </row>
    <row r="83" spans="2:40" s="314" customFormat="1" ht="12.75" customHeight="1" x14ac:dyDescent="0.15">
      <c r="B83" s="5" t="s">
        <v>40</v>
      </c>
      <c r="C83" s="8">
        <v>254838.38</v>
      </c>
      <c r="D83" s="7">
        <v>4.900711E-2</v>
      </c>
      <c r="E83"/>
      <c r="F83" s="8">
        <v>21172.74</v>
      </c>
      <c r="G83" s="7">
        <v>9.9523759999999989E-2</v>
      </c>
      <c r="H83"/>
      <c r="I83" s="8">
        <v>14564.82</v>
      </c>
      <c r="J83" s="7">
        <v>3.9111470000000002E-2</v>
      </c>
      <c r="K83"/>
      <c r="L83" s="8">
        <v>14249.93</v>
      </c>
      <c r="M83" s="7">
        <v>3.7421200000000002E-2</v>
      </c>
      <c r="N83"/>
      <c r="O83" s="8">
        <v>25003.53</v>
      </c>
      <c r="P83" s="7">
        <v>8.263941000000001E-2</v>
      </c>
      <c r="Q83"/>
      <c r="R83" s="8">
        <v>21238.67</v>
      </c>
      <c r="S83" s="7">
        <v>4.3509689999999997E-2</v>
      </c>
      <c r="T83"/>
      <c r="U83" s="8">
        <v>24118.67</v>
      </c>
      <c r="V83" s="7">
        <v>4.7158179999999987E-2</v>
      </c>
      <c r="W83"/>
      <c r="X83" s="8">
        <v>26006.67</v>
      </c>
      <c r="Y83" s="7">
        <v>5.9879509999999997E-2</v>
      </c>
      <c r="Z83"/>
      <c r="AA83" s="8">
        <v>16138.67</v>
      </c>
      <c r="AB83" s="7">
        <v>3.5342930000000002E-2</v>
      </c>
      <c r="AC83"/>
      <c r="AD83" s="8">
        <v>30860.67</v>
      </c>
      <c r="AE83" s="7">
        <v>4.671728E-2</v>
      </c>
      <c r="AF83"/>
      <c r="AG83" s="8">
        <v>26006.67</v>
      </c>
      <c r="AH83" s="7">
        <v>4.7363519999999999E-2</v>
      </c>
      <c r="AI83"/>
      <c r="AJ83" s="8">
        <v>16438.669999999998</v>
      </c>
      <c r="AK83" s="7">
        <v>3.8337379999999997E-2</v>
      </c>
      <c r="AL83"/>
      <c r="AM83" s="8">
        <v>19038.669999999998</v>
      </c>
      <c r="AN83" s="7">
        <v>4.7295219999999999E-2</v>
      </c>
    </row>
    <row r="84" spans="2:40" s="314" customFormat="1" ht="12.75" customHeight="1" x14ac:dyDescent="0.15">
      <c r="B84" s="325" t="s">
        <v>41</v>
      </c>
      <c r="C84" s="326">
        <v>-368606.88459999999</v>
      </c>
      <c r="D84" s="327">
        <v>-7.0885550000000005E-2</v>
      </c>
      <c r="E84"/>
      <c r="F84" s="326">
        <v>-31312.53</v>
      </c>
      <c r="G84" s="327">
        <v>-0.14718647000000001</v>
      </c>
      <c r="H84"/>
      <c r="I84" s="326">
        <v>-24537.06</v>
      </c>
      <c r="J84" s="327">
        <v>-6.5890299999999999E-2</v>
      </c>
      <c r="K84"/>
      <c r="L84" s="326">
        <v>-22016.73</v>
      </c>
      <c r="M84" s="327">
        <v>-5.781729E-2</v>
      </c>
      <c r="N84"/>
      <c r="O84" s="326">
        <v>-35154.400000000001</v>
      </c>
      <c r="P84" s="327">
        <v>-0.11618914</v>
      </c>
      <c r="Q84"/>
      <c r="R84" s="326">
        <v>-31096.906299999999</v>
      </c>
      <c r="S84" s="327">
        <v>-6.3705350000000008E-2</v>
      </c>
      <c r="T84"/>
      <c r="U84" s="326">
        <v>-33430.349000000002</v>
      </c>
      <c r="V84" s="327">
        <v>-6.5364900000000004E-2</v>
      </c>
      <c r="W84"/>
      <c r="X84" s="326">
        <v>-36432.780899999998</v>
      </c>
      <c r="Y84" s="327">
        <v>-8.3885290000000001E-2</v>
      </c>
      <c r="Z84"/>
      <c r="AA84" s="326">
        <v>-24964.533599999999</v>
      </c>
      <c r="AB84" s="327">
        <v>-5.4671160000000003E-2</v>
      </c>
      <c r="AC84"/>
      <c r="AD84" s="326">
        <v>-38690.973700000002</v>
      </c>
      <c r="AE84" s="327">
        <v>-5.857089E-2</v>
      </c>
      <c r="AF84"/>
      <c r="AG84" s="326">
        <v>-35760.907399999996</v>
      </c>
      <c r="AH84" s="327">
        <v>-6.5128000000000005E-2</v>
      </c>
      <c r="AI84"/>
      <c r="AJ84" s="326">
        <v>-26898.499299999999</v>
      </c>
      <c r="AK84" s="327">
        <v>-6.2731229999999999E-2</v>
      </c>
      <c r="AL84"/>
      <c r="AM84" s="326">
        <v>-28311.214400000001</v>
      </c>
      <c r="AN84" s="327">
        <v>-7.0329759999999991E-2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-251505.39</v>
      </c>
      <c r="D87" s="327">
        <v>-4.8366160000000012E-2</v>
      </c>
      <c r="E87"/>
      <c r="F87" s="326">
        <v>-14144.65</v>
      </c>
      <c r="G87" s="327">
        <v>-6.6487790000000005E-2</v>
      </c>
      <c r="H87"/>
      <c r="I87" s="326">
        <v>-14407.42</v>
      </c>
      <c r="J87" s="327">
        <v>-3.8688790000000001E-2</v>
      </c>
      <c r="K87"/>
      <c r="L87" s="326">
        <v>-14550.34</v>
      </c>
      <c r="M87" s="327">
        <v>-3.8210090000000002E-2</v>
      </c>
      <c r="N87"/>
      <c r="O87" s="326">
        <v>-13772.45</v>
      </c>
      <c r="P87" s="327">
        <v>-4.5519459999999998E-2</v>
      </c>
      <c r="Q87"/>
      <c r="R87" s="326">
        <v>-24052.93</v>
      </c>
      <c r="S87" s="327">
        <v>-4.9275010000000001E-2</v>
      </c>
      <c r="T87"/>
      <c r="U87" s="326">
        <v>-25217.200000000001</v>
      </c>
      <c r="V87" s="327">
        <v>-4.9306089999999997E-2</v>
      </c>
      <c r="W87"/>
      <c r="X87" s="326">
        <v>-23889.4</v>
      </c>
      <c r="Y87" s="327">
        <v>-5.5004560000000001E-2</v>
      </c>
      <c r="Z87"/>
      <c r="AA87" s="326">
        <v>-24291.4</v>
      </c>
      <c r="AB87" s="327">
        <v>-5.3197029999999999E-2</v>
      </c>
      <c r="AC87"/>
      <c r="AD87" s="326">
        <v>-26310</v>
      </c>
      <c r="AE87" s="327">
        <v>-3.9828420000000003E-2</v>
      </c>
      <c r="AF87"/>
      <c r="AG87" s="326">
        <v>-24651.1</v>
      </c>
      <c r="AH87" s="327">
        <v>-4.4894749999999997E-2</v>
      </c>
      <c r="AI87"/>
      <c r="AJ87" s="326">
        <v>-23720.5</v>
      </c>
      <c r="AK87" s="327">
        <v>-5.5319670000000001E-2</v>
      </c>
      <c r="AL87"/>
      <c r="AM87" s="326">
        <v>-22498</v>
      </c>
      <c r="AN87" s="327">
        <v>-5.5888769999999997E-2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1548482.7171</v>
      </c>
      <c r="D89" s="327">
        <v>0.29778350999999997</v>
      </c>
      <c r="E89"/>
      <c r="F89" s="326">
        <v>-17055.05</v>
      </c>
      <c r="G89" s="327">
        <v>-8.0168309999999993E-2</v>
      </c>
      <c r="H89"/>
      <c r="I89" s="326">
        <v>111494.36</v>
      </c>
      <c r="J89" s="327">
        <v>0.29940006000000002</v>
      </c>
      <c r="K89"/>
      <c r="L89" s="326">
        <v>114274.56</v>
      </c>
      <c r="M89" s="327">
        <v>0.30009205999999999</v>
      </c>
      <c r="N89"/>
      <c r="O89" s="326">
        <v>26160.82</v>
      </c>
      <c r="P89" s="327">
        <v>8.6464379999999993E-2</v>
      </c>
      <c r="Q89"/>
      <c r="R89" s="326">
        <v>161857.965</v>
      </c>
      <c r="S89" s="327">
        <v>0.33158341000000002</v>
      </c>
      <c r="T89"/>
      <c r="U89" s="326">
        <v>173787.9546</v>
      </c>
      <c r="V89" s="327">
        <v>0.33979999999999999</v>
      </c>
      <c r="W89"/>
      <c r="X89" s="326">
        <v>112548.7426</v>
      </c>
      <c r="Y89" s="327">
        <v>0.25913979999999998</v>
      </c>
      <c r="Z89"/>
      <c r="AA89" s="326">
        <v>142779.37169999999</v>
      </c>
      <c r="AB89" s="327">
        <v>0.31268014</v>
      </c>
      <c r="AC89"/>
      <c r="AD89" s="326">
        <v>287583.31439999997</v>
      </c>
      <c r="AE89" s="327">
        <v>0.43534732999999998</v>
      </c>
      <c r="AF89"/>
      <c r="AG89" s="326">
        <v>201371.5215</v>
      </c>
      <c r="AH89" s="327">
        <v>0.36673917</v>
      </c>
      <c r="AI89"/>
      <c r="AJ89" s="326">
        <v>118280.0408</v>
      </c>
      <c r="AK89" s="327">
        <v>0.27584631999999998</v>
      </c>
      <c r="AL89"/>
      <c r="AM89" s="326">
        <v>115399.1165</v>
      </c>
      <c r="AN89" s="327">
        <v>0.28667056000000002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0</v>
      </c>
      <c r="D97" s="327">
        <v>0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0</v>
      </c>
      <c r="D99" s="7">
        <v>0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0</v>
      </c>
      <c r="D101" s="327">
        <v>0</v>
      </c>
      <c r="E101"/>
      <c r="F101" s="326">
        <v>0</v>
      </c>
      <c r="G101" s="327">
        <v>0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1548482.7171</v>
      </c>
      <c r="D103" s="327">
        <v>0.29778350999999997</v>
      </c>
      <c r="E103"/>
      <c r="F103" s="326">
        <v>-17055.05</v>
      </c>
      <c r="G103" s="327">
        <v>-8.0168309999999993E-2</v>
      </c>
      <c r="H103"/>
      <c r="I103" s="326">
        <v>111494.36</v>
      </c>
      <c r="J103" s="327">
        <v>0.29940006000000002</v>
      </c>
      <c r="K103"/>
      <c r="L103" s="326">
        <v>114274.56</v>
      </c>
      <c r="M103" s="327">
        <v>0.30009205999999999</v>
      </c>
      <c r="N103"/>
      <c r="O103" s="326">
        <v>26160.82</v>
      </c>
      <c r="P103" s="327">
        <v>8.6464379999999993E-2</v>
      </c>
      <c r="Q103"/>
      <c r="R103" s="326">
        <v>161857.965</v>
      </c>
      <c r="S103" s="327">
        <v>0.33158341000000002</v>
      </c>
      <c r="T103"/>
      <c r="U103" s="326">
        <v>173787.9546</v>
      </c>
      <c r="V103" s="327">
        <v>0.33979999999999999</v>
      </c>
      <c r="W103"/>
      <c r="X103" s="326">
        <v>112548.7426</v>
      </c>
      <c r="Y103" s="327">
        <v>0.25913979999999998</v>
      </c>
      <c r="Z103"/>
      <c r="AA103" s="326">
        <v>142779.37169999999</v>
      </c>
      <c r="AB103" s="327">
        <v>0.31268014</v>
      </c>
      <c r="AC103"/>
      <c r="AD103" s="326">
        <v>287583.31439999997</v>
      </c>
      <c r="AE103" s="327">
        <v>0.43534732999999998</v>
      </c>
      <c r="AF103"/>
      <c r="AG103" s="326">
        <v>201371.5215</v>
      </c>
      <c r="AH103" s="327">
        <v>0.36673917</v>
      </c>
      <c r="AI103"/>
      <c r="AJ103" s="326">
        <v>118280.0408</v>
      </c>
      <c r="AK103" s="327">
        <v>0.27584631999999998</v>
      </c>
      <c r="AL103"/>
      <c r="AM103" s="326">
        <v>115399.1165</v>
      </c>
      <c r="AN103" s="327">
        <v>0.28667056000000002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111355.34</v>
      </c>
      <c r="D105" s="327">
        <v>2.1414369999999999E-2</v>
      </c>
      <c r="E105"/>
      <c r="F105" s="326">
        <v>10718.49</v>
      </c>
      <c r="G105" s="327">
        <v>5.0382919999999998E-2</v>
      </c>
      <c r="H105"/>
      <c r="I105" s="326">
        <v>8799</v>
      </c>
      <c r="J105" s="327">
        <v>2.362829E-2</v>
      </c>
      <c r="K105"/>
      <c r="L105" s="326">
        <v>8799</v>
      </c>
      <c r="M105" s="327">
        <v>2.3106720000000001E-2</v>
      </c>
      <c r="N105"/>
      <c r="O105" s="326">
        <v>10218.85</v>
      </c>
      <c r="P105" s="327">
        <v>3.3774419999999999E-2</v>
      </c>
      <c r="Q105"/>
      <c r="R105" s="326">
        <v>9365</v>
      </c>
      <c r="S105" s="327">
        <v>1.9185210000000001E-2</v>
      </c>
      <c r="T105"/>
      <c r="U105" s="326">
        <v>9065</v>
      </c>
      <c r="V105" s="327">
        <v>1.7724400000000001E-2</v>
      </c>
      <c r="W105"/>
      <c r="X105" s="326">
        <v>9065</v>
      </c>
      <c r="Y105" s="327">
        <v>2.0871870000000001E-2</v>
      </c>
      <c r="Z105"/>
      <c r="AA105" s="326">
        <v>9065</v>
      </c>
      <c r="AB105" s="327">
        <v>1.985193E-2</v>
      </c>
      <c r="AC105"/>
      <c r="AD105" s="326">
        <v>9065</v>
      </c>
      <c r="AE105" s="327">
        <v>1.3722710000000001E-2</v>
      </c>
      <c r="AF105"/>
      <c r="AG105" s="326">
        <v>9065</v>
      </c>
      <c r="AH105" s="327">
        <v>1.6509240000000001E-2</v>
      </c>
      <c r="AI105"/>
      <c r="AJ105" s="326">
        <v>9065</v>
      </c>
      <c r="AK105" s="327">
        <v>2.1140900000000001E-2</v>
      </c>
      <c r="AL105"/>
      <c r="AM105" s="326">
        <v>9065</v>
      </c>
      <c r="AN105" s="327">
        <v>2.2518960000000001E-2</v>
      </c>
    </row>
    <row r="106" spans="2:40" s="314" customFormat="1" ht="12.75" customHeight="1" x14ac:dyDescent="0.15">
      <c r="B106" s="5" t="s">
        <v>71</v>
      </c>
      <c r="C106" s="8">
        <v>27927.34</v>
      </c>
      <c r="D106" s="7">
        <v>5.3706099999999996E-3</v>
      </c>
      <c r="E106"/>
      <c r="F106" s="8">
        <v>3943.49</v>
      </c>
      <c r="G106" s="7">
        <v>1.853662E-2</v>
      </c>
      <c r="H106"/>
      <c r="I106" s="8">
        <v>2024</v>
      </c>
      <c r="J106" s="7">
        <v>5.4351199999999999E-3</v>
      </c>
      <c r="K106"/>
      <c r="L106" s="8">
        <v>2024</v>
      </c>
      <c r="M106" s="7">
        <v>5.3151499999999994E-3</v>
      </c>
      <c r="N106"/>
      <c r="O106" s="8">
        <v>3443.85</v>
      </c>
      <c r="P106" s="7">
        <v>1.13823E-2</v>
      </c>
      <c r="Q106"/>
      <c r="R106" s="8">
        <v>2324</v>
      </c>
      <c r="S106" s="7">
        <v>4.7609599999999998E-3</v>
      </c>
      <c r="T106"/>
      <c r="U106" s="8">
        <v>2024</v>
      </c>
      <c r="V106" s="7">
        <v>3.9574399999999996E-3</v>
      </c>
      <c r="W106"/>
      <c r="X106" s="8">
        <v>2024</v>
      </c>
      <c r="Y106" s="7">
        <v>4.6601899999999998E-3</v>
      </c>
      <c r="Z106"/>
      <c r="AA106" s="8">
        <v>2024</v>
      </c>
      <c r="AB106" s="7">
        <v>4.43247E-3</v>
      </c>
      <c r="AC106"/>
      <c r="AD106" s="8">
        <v>2024</v>
      </c>
      <c r="AE106" s="7">
        <v>3.0639600000000001E-3</v>
      </c>
      <c r="AF106"/>
      <c r="AG106" s="8">
        <v>2024</v>
      </c>
      <c r="AH106" s="7">
        <v>3.6861200000000002E-3</v>
      </c>
      <c r="AI106"/>
      <c r="AJ106" s="8">
        <v>2024</v>
      </c>
      <c r="AK106" s="7">
        <v>4.7202600000000004E-3</v>
      </c>
      <c r="AL106"/>
      <c r="AM106" s="8">
        <v>2024</v>
      </c>
      <c r="AN106" s="7">
        <v>5.0279499999999998E-3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17176</v>
      </c>
      <c r="D108" s="7">
        <v>3.30306E-3</v>
      </c>
      <c r="E108"/>
      <c r="F108" s="8">
        <v>1250</v>
      </c>
      <c r="G108" s="7">
        <v>5.8757000000000002E-3</v>
      </c>
      <c r="H108"/>
      <c r="I108" s="8">
        <v>1250</v>
      </c>
      <c r="J108" s="7">
        <v>3.35667E-3</v>
      </c>
      <c r="K108"/>
      <c r="L108" s="8">
        <v>1250</v>
      </c>
      <c r="M108" s="7">
        <v>3.2825799999999998E-3</v>
      </c>
      <c r="N108"/>
      <c r="O108" s="8">
        <v>1250</v>
      </c>
      <c r="P108" s="7">
        <v>4.1313900000000004E-3</v>
      </c>
      <c r="Q108"/>
      <c r="R108" s="8">
        <v>1522</v>
      </c>
      <c r="S108" s="7">
        <v>3.1179799999999998E-3</v>
      </c>
      <c r="T108"/>
      <c r="U108" s="8">
        <v>1522</v>
      </c>
      <c r="V108" s="7">
        <v>2.9759000000000001E-3</v>
      </c>
      <c r="W108"/>
      <c r="X108" s="8">
        <v>1522</v>
      </c>
      <c r="Y108" s="7">
        <v>3.5043600000000002E-3</v>
      </c>
      <c r="Z108"/>
      <c r="AA108" s="8">
        <v>1522</v>
      </c>
      <c r="AB108" s="7">
        <v>3.3331099999999998E-3</v>
      </c>
      <c r="AC108"/>
      <c r="AD108" s="8">
        <v>1522</v>
      </c>
      <c r="AE108" s="7">
        <v>2.3040199999999999E-3</v>
      </c>
      <c r="AF108"/>
      <c r="AG108" s="8">
        <v>1522</v>
      </c>
      <c r="AH108" s="7">
        <v>2.77188E-3</v>
      </c>
      <c r="AI108"/>
      <c r="AJ108" s="8">
        <v>1522</v>
      </c>
      <c r="AK108" s="7">
        <v>3.54953E-3</v>
      </c>
      <c r="AL108"/>
      <c r="AM108" s="8">
        <v>1522</v>
      </c>
      <c r="AN108" s="7">
        <v>3.7808999999999998E-3</v>
      </c>
    </row>
    <row r="109" spans="2:40" s="314" customFormat="1" ht="12.75" customHeight="1" x14ac:dyDescent="0.15">
      <c r="B109" s="5" t="s">
        <v>74</v>
      </c>
      <c r="C109" s="8">
        <v>1200</v>
      </c>
      <c r="D109" s="7">
        <v>2.3076999999999999E-4</v>
      </c>
      <c r="E109"/>
      <c r="F109" s="8">
        <v>100</v>
      </c>
      <c r="G109" s="7">
        <v>4.7006000000000001E-4</v>
      </c>
      <c r="H109"/>
      <c r="I109" s="8">
        <v>100</v>
      </c>
      <c r="J109" s="7">
        <v>2.6853000000000001E-4</v>
      </c>
      <c r="K109"/>
      <c r="L109" s="8">
        <v>100</v>
      </c>
      <c r="M109" s="7">
        <v>2.6260999999999998E-4</v>
      </c>
      <c r="N109"/>
      <c r="O109" s="8">
        <v>100</v>
      </c>
      <c r="P109" s="7">
        <v>3.3051000000000001E-4</v>
      </c>
      <c r="Q109"/>
      <c r="R109" s="8">
        <v>100</v>
      </c>
      <c r="S109" s="7">
        <v>2.0485999999999999E-4</v>
      </c>
      <c r="T109"/>
      <c r="U109" s="8">
        <v>100</v>
      </c>
      <c r="V109" s="7">
        <v>1.9552999999999999E-4</v>
      </c>
      <c r="W109"/>
      <c r="X109" s="8">
        <v>100</v>
      </c>
      <c r="Y109" s="7">
        <v>2.3025000000000001E-4</v>
      </c>
      <c r="Z109"/>
      <c r="AA109" s="8">
        <v>100</v>
      </c>
      <c r="AB109" s="7">
        <v>2.1900000000000001E-4</v>
      </c>
      <c r="AC109"/>
      <c r="AD109" s="8">
        <v>100</v>
      </c>
      <c r="AE109" s="7">
        <v>1.5138E-4</v>
      </c>
      <c r="AF109"/>
      <c r="AG109" s="8">
        <v>100</v>
      </c>
      <c r="AH109" s="7">
        <v>1.8212E-4</v>
      </c>
      <c r="AI109"/>
      <c r="AJ109" s="8">
        <v>100</v>
      </c>
      <c r="AK109" s="7">
        <v>2.3321E-4</v>
      </c>
      <c r="AL109"/>
      <c r="AM109" s="8">
        <v>100</v>
      </c>
      <c r="AN109" s="7">
        <v>2.4842000000000001E-4</v>
      </c>
    </row>
    <row r="110" spans="2:40" s="314" customFormat="1" ht="12.75" customHeight="1" x14ac:dyDescent="0.15">
      <c r="B110" s="5" t="s">
        <v>75</v>
      </c>
      <c r="C110" s="8">
        <v>65052</v>
      </c>
      <c r="D110" s="7">
        <v>1.2509930000000001E-2</v>
      </c>
      <c r="E110"/>
      <c r="F110" s="8">
        <v>5425</v>
      </c>
      <c r="G110" s="7">
        <v>2.550055E-2</v>
      </c>
      <c r="H110"/>
      <c r="I110" s="8">
        <v>5425</v>
      </c>
      <c r="J110" s="7">
        <v>1.456796E-2</v>
      </c>
      <c r="K110"/>
      <c r="L110" s="8">
        <v>5425</v>
      </c>
      <c r="M110" s="7">
        <v>1.4246389999999999E-2</v>
      </c>
      <c r="N110"/>
      <c r="O110" s="8">
        <v>5425</v>
      </c>
      <c r="P110" s="7">
        <v>1.793022E-2</v>
      </c>
      <c r="Q110"/>
      <c r="R110" s="8">
        <v>5419</v>
      </c>
      <c r="S110" s="7">
        <v>1.1101400000000001E-2</v>
      </c>
      <c r="T110"/>
      <c r="U110" s="8">
        <v>5419</v>
      </c>
      <c r="V110" s="7">
        <v>1.0595530000000001E-2</v>
      </c>
      <c r="W110"/>
      <c r="X110" s="8">
        <v>5419</v>
      </c>
      <c r="Y110" s="7">
        <v>1.247707E-2</v>
      </c>
      <c r="Z110"/>
      <c r="AA110" s="8">
        <v>5419</v>
      </c>
      <c r="AB110" s="7">
        <v>1.186736E-2</v>
      </c>
      <c r="AC110"/>
      <c r="AD110" s="8">
        <v>5419</v>
      </c>
      <c r="AE110" s="7">
        <v>8.2033499999999999E-3</v>
      </c>
      <c r="AF110"/>
      <c r="AG110" s="8">
        <v>5419</v>
      </c>
      <c r="AH110" s="7">
        <v>9.8691200000000003E-3</v>
      </c>
      <c r="AI110"/>
      <c r="AJ110" s="8">
        <v>5419</v>
      </c>
      <c r="AK110" s="7">
        <v>1.2637900000000001E-2</v>
      </c>
      <c r="AL110"/>
      <c r="AM110" s="8">
        <v>5419</v>
      </c>
      <c r="AN110" s="7">
        <v>1.34617E-2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1437127.3770999999</v>
      </c>
      <c r="D121" s="327">
        <v>0.27636913000000002</v>
      </c>
      <c r="E121"/>
      <c r="F121" s="326">
        <v>-27773.54</v>
      </c>
      <c r="G121" s="327">
        <v>-0.13055122999999999</v>
      </c>
      <c r="H121"/>
      <c r="I121" s="326">
        <v>102695.36</v>
      </c>
      <c r="J121" s="327">
        <v>0.27577177000000003</v>
      </c>
      <c r="K121"/>
      <c r="L121" s="326">
        <v>105475.56</v>
      </c>
      <c r="M121" s="327">
        <v>0.27698534000000002</v>
      </c>
      <c r="N121"/>
      <c r="O121" s="326">
        <v>15941.97</v>
      </c>
      <c r="P121" s="327">
        <v>5.2689959999999987E-2</v>
      </c>
      <c r="Q121"/>
      <c r="R121" s="326">
        <v>152492.965</v>
      </c>
      <c r="S121" s="327">
        <v>0.31239820000000001</v>
      </c>
      <c r="T121"/>
      <c r="U121" s="326">
        <v>164722.9546</v>
      </c>
      <c r="V121" s="327">
        <v>0.32207560000000002</v>
      </c>
      <c r="W121"/>
      <c r="X121" s="326">
        <v>103483.7426</v>
      </c>
      <c r="Y121" s="327">
        <v>0.23826794000000001</v>
      </c>
      <c r="Z121"/>
      <c r="AA121" s="326">
        <v>133714.37169999999</v>
      </c>
      <c r="AB121" s="327">
        <v>0.29282820999999998</v>
      </c>
      <c r="AC121"/>
      <c r="AD121" s="326">
        <v>278518.31439999997</v>
      </c>
      <c r="AE121" s="327">
        <v>0.42162461000000001</v>
      </c>
      <c r="AF121"/>
      <c r="AG121" s="326">
        <v>192306.5215</v>
      </c>
      <c r="AH121" s="327">
        <v>0.35022993000000002</v>
      </c>
      <c r="AI121"/>
      <c r="AJ121" s="326">
        <v>109215.0408</v>
      </c>
      <c r="AK121" s="327">
        <v>0.25470541000000002</v>
      </c>
      <c r="AL121"/>
      <c r="AM121" s="326">
        <v>106334.1165</v>
      </c>
      <c r="AN121" s="327">
        <v>0.26415159999999999</v>
      </c>
    </row>
    <row r="122" spans="2:40" s="314" customFormat="1" ht="12.75" customHeight="1" x14ac:dyDescent="0.15">
      <c r="B122" s="5" t="s">
        <v>85</v>
      </c>
      <c r="C122" s="8">
        <v>0</v>
      </c>
      <c r="D122" s="7">
        <v>0</v>
      </c>
      <c r="E122"/>
      <c r="F122" s="8">
        <v>0</v>
      </c>
      <c r="G122" s="7">
        <v>0</v>
      </c>
      <c r="H122"/>
      <c r="I122" s="8">
        <v>0</v>
      </c>
      <c r="J122" s="7">
        <v>0</v>
      </c>
      <c r="K122"/>
      <c r="L122" s="8">
        <v>0</v>
      </c>
      <c r="M122" s="7">
        <v>0</v>
      </c>
      <c r="N122"/>
      <c r="O122" s="8">
        <v>0</v>
      </c>
      <c r="P122" s="7">
        <v>0</v>
      </c>
      <c r="Q122"/>
      <c r="R122" s="8">
        <v>0</v>
      </c>
      <c r="S122" s="7">
        <v>0</v>
      </c>
      <c r="T122"/>
      <c r="U122" s="8">
        <v>0</v>
      </c>
      <c r="V122" s="7">
        <v>0</v>
      </c>
      <c r="W122"/>
      <c r="X122" s="8">
        <v>0</v>
      </c>
      <c r="Y122" s="7">
        <v>0</v>
      </c>
      <c r="Z122"/>
      <c r="AA122" s="8">
        <v>0</v>
      </c>
      <c r="AB122" s="7">
        <v>0</v>
      </c>
      <c r="AC122"/>
      <c r="AD122" s="8">
        <v>0</v>
      </c>
      <c r="AE122" s="7">
        <v>0</v>
      </c>
      <c r="AF122"/>
      <c r="AG122" s="8">
        <v>0</v>
      </c>
      <c r="AH122" s="7">
        <v>0</v>
      </c>
      <c r="AI122"/>
      <c r="AJ122" s="8">
        <v>0</v>
      </c>
      <c r="AK122" s="7">
        <v>0</v>
      </c>
      <c r="AL122"/>
      <c r="AM122" s="8">
        <v>0</v>
      </c>
      <c r="AN122" s="7">
        <v>0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1437127.3770999999</v>
      </c>
      <c r="D124" s="327">
        <v>0.27636913000000002</v>
      </c>
      <c r="E124"/>
      <c r="F124" s="326">
        <v>-27773.54</v>
      </c>
      <c r="G124" s="327">
        <v>-0.13055122999999999</v>
      </c>
      <c r="H124"/>
      <c r="I124" s="326">
        <v>102695.36</v>
      </c>
      <c r="J124" s="327">
        <v>0.27577177000000003</v>
      </c>
      <c r="K124"/>
      <c r="L124" s="326">
        <v>105475.56</v>
      </c>
      <c r="M124" s="327">
        <v>0.27698534000000002</v>
      </c>
      <c r="N124"/>
      <c r="O124" s="326">
        <v>15941.97</v>
      </c>
      <c r="P124" s="327">
        <v>5.2689959999999987E-2</v>
      </c>
      <c r="Q124"/>
      <c r="R124" s="326">
        <v>152492.965</v>
      </c>
      <c r="S124" s="327">
        <v>0.31239820000000001</v>
      </c>
      <c r="T124"/>
      <c r="U124" s="326">
        <v>164722.9546</v>
      </c>
      <c r="V124" s="327">
        <v>0.32207560000000002</v>
      </c>
      <c r="W124"/>
      <c r="X124" s="326">
        <v>103483.7426</v>
      </c>
      <c r="Y124" s="327">
        <v>0.23826794000000001</v>
      </c>
      <c r="Z124"/>
      <c r="AA124" s="326">
        <v>133714.37169999999</v>
      </c>
      <c r="AB124" s="327">
        <v>0.29282820999999998</v>
      </c>
      <c r="AC124"/>
      <c r="AD124" s="326">
        <v>278518.31439999997</v>
      </c>
      <c r="AE124" s="327">
        <v>0.42162461000000001</v>
      </c>
      <c r="AF124"/>
      <c r="AG124" s="326">
        <v>192306.5215</v>
      </c>
      <c r="AH124" s="327">
        <v>0.35022993000000002</v>
      </c>
      <c r="AI124"/>
      <c r="AJ124" s="326">
        <v>109215.0408</v>
      </c>
      <c r="AK124" s="327">
        <v>0.25470541000000002</v>
      </c>
      <c r="AL124"/>
      <c r="AM124" s="326">
        <v>106334.1165</v>
      </c>
      <c r="AN124" s="327">
        <v>0.26415159999999999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1437127.3770999999</v>
      </c>
      <c r="D127" s="327">
        <v>0.27636913000000002</v>
      </c>
      <c r="E127"/>
      <c r="F127" s="326">
        <v>-27773.54</v>
      </c>
      <c r="G127" s="327">
        <v>-0.13055122999999999</v>
      </c>
      <c r="H127"/>
      <c r="I127" s="326">
        <v>102695.36</v>
      </c>
      <c r="J127" s="327">
        <v>0.27577177000000003</v>
      </c>
      <c r="K127"/>
      <c r="L127" s="326">
        <v>105475.56</v>
      </c>
      <c r="M127" s="327">
        <v>0.27698534000000002</v>
      </c>
      <c r="N127"/>
      <c r="O127" s="326">
        <v>15941.97</v>
      </c>
      <c r="P127" s="327">
        <v>5.2689959999999987E-2</v>
      </c>
      <c r="Q127"/>
      <c r="R127" s="326">
        <v>152492.965</v>
      </c>
      <c r="S127" s="327">
        <v>0.31239820000000001</v>
      </c>
      <c r="T127"/>
      <c r="U127" s="326">
        <v>164722.9546</v>
      </c>
      <c r="V127" s="327">
        <v>0.32207560000000002</v>
      </c>
      <c r="W127"/>
      <c r="X127" s="326">
        <v>103483.7426</v>
      </c>
      <c r="Y127" s="327">
        <v>0.23826794000000001</v>
      </c>
      <c r="Z127"/>
      <c r="AA127" s="326">
        <v>133714.37169999999</v>
      </c>
      <c r="AB127" s="327">
        <v>0.29282820999999998</v>
      </c>
      <c r="AC127"/>
      <c r="AD127" s="326">
        <v>278518.31439999997</v>
      </c>
      <c r="AE127" s="327">
        <v>0.42162461000000001</v>
      </c>
      <c r="AF127"/>
      <c r="AG127" s="326">
        <v>192306.5215</v>
      </c>
      <c r="AH127" s="327">
        <v>0.35022993000000002</v>
      </c>
      <c r="AI127"/>
      <c r="AJ127" s="326">
        <v>109215.0408</v>
      </c>
      <c r="AK127" s="327">
        <v>0.25470541000000002</v>
      </c>
      <c r="AL127"/>
      <c r="AM127" s="326">
        <v>106334.1165</v>
      </c>
      <c r="AN127" s="327">
        <v>0.26415159999999999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149265.27559999999</v>
      </c>
      <c r="D129" s="327">
        <v>2.87047E-2</v>
      </c>
      <c r="E129"/>
      <c r="F129" s="326">
        <v>6409.68</v>
      </c>
      <c r="G129" s="327">
        <v>3.0129090000000001E-2</v>
      </c>
      <c r="H129"/>
      <c r="I129" s="326">
        <v>11205.42</v>
      </c>
      <c r="J129" s="327">
        <v>3.009034E-2</v>
      </c>
      <c r="K129"/>
      <c r="L129" s="326">
        <v>7626.87</v>
      </c>
      <c r="M129" s="327">
        <v>2.0028629999999999E-2</v>
      </c>
      <c r="N129"/>
      <c r="O129" s="326">
        <v>6077.25</v>
      </c>
      <c r="P129" s="327">
        <v>2.008598E-2</v>
      </c>
      <c r="Q129"/>
      <c r="R129" s="326">
        <v>14644.0949</v>
      </c>
      <c r="S129" s="327">
        <v>0.03</v>
      </c>
      <c r="T129"/>
      <c r="U129" s="326">
        <v>15343.2569</v>
      </c>
      <c r="V129" s="327">
        <v>0.03</v>
      </c>
      <c r="W129"/>
      <c r="X129" s="326">
        <v>13029.5008</v>
      </c>
      <c r="Y129" s="327">
        <v>0.03</v>
      </c>
      <c r="Z129"/>
      <c r="AA129" s="326">
        <v>13698.923000000001</v>
      </c>
      <c r="AB129" s="327">
        <v>0.03</v>
      </c>
      <c r="AC129"/>
      <c r="AD129" s="326">
        <v>19817.508699999998</v>
      </c>
      <c r="AE129" s="327">
        <v>0.03</v>
      </c>
      <c r="AF129"/>
      <c r="AG129" s="326">
        <v>16472.594700000001</v>
      </c>
      <c r="AH129" s="327">
        <v>0.03</v>
      </c>
      <c r="AI129"/>
      <c r="AJ129" s="326">
        <v>12863.689</v>
      </c>
      <c r="AK129" s="327">
        <v>0.03</v>
      </c>
      <c r="AL129"/>
      <c r="AM129" s="326">
        <v>12076.4876</v>
      </c>
      <c r="AN129" s="327">
        <v>0.03</v>
      </c>
    </row>
    <row r="130" spans="2:40" s="314" customFormat="1" ht="12.75" customHeight="1" x14ac:dyDescent="0.15">
      <c r="B130" s="5" t="s">
        <v>90</v>
      </c>
      <c r="C130" s="8">
        <v>149265.27559999999</v>
      </c>
      <c r="D130" s="7">
        <v>2.87047E-2</v>
      </c>
      <c r="E130"/>
      <c r="F130" s="8">
        <v>6409.68</v>
      </c>
      <c r="G130" s="7">
        <v>3.0129090000000001E-2</v>
      </c>
      <c r="H130"/>
      <c r="I130" s="8">
        <v>11205.42</v>
      </c>
      <c r="J130" s="7">
        <v>3.009034E-2</v>
      </c>
      <c r="K130"/>
      <c r="L130" s="8">
        <v>7626.87</v>
      </c>
      <c r="M130" s="7">
        <v>2.0028629999999999E-2</v>
      </c>
      <c r="N130"/>
      <c r="O130" s="8">
        <v>6077.25</v>
      </c>
      <c r="P130" s="7">
        <v>2.008598E-2</v>
      </c>
      <c r="Q130"/>
      <c r="R130" s="8">
        <v>14644.0949</v>
      </c>
      <c r="S130" s="7">
        <v>0.03</v>
      </c>
      <c r="T130"/>
      <c r="U130" s="8">
        <v>15343.2569</v>
      </c>
      <c r="V130" s="7">
        <v>0.03</v>
      </c>
      <c r="W130"/>
      <c r="X130" s="8">
        <v>13029.5008</v>
      </c>
      <c r="Y130" s="7">
        <v>0.03</v>
      </c>
      <c r="Z130"/>
      <c r="AA130" s="8">
        <v>13698.923000000001</v>
      </c>
      <c r="AB130" s="7">
        <v>0.03</v>
      </c>
      <c r="AC130"/>
      <c r="AD130" s="8">
        <v>19817.508699999998</v>
      </c>
      <c r="AE130" s="7">
        <v>0.03</v>
      </c>
      <c r="AF130"/>
      <c r="AG130" s="8">
        <v>16472.594700000001</v>
      </c>
      <c r="AH130" s="7">
        <v>0.03</v>
      </c>
      <c r="AI130"/>
      <c r="AJ130" s="8">
        <v>12863.689</v>
      </c>
      <c r="AK130" s="7">
        <v>0.03</v>
      </c>
      <c r="AL130"/>
      <c r="AM130" s="8">
        <v>12076.4876</v>
      </c>
      <c r="AN130" s="7">
        <v>0.03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1287862.1015000001</v>
      </c>
      <c r="D134" s="327">
        <v>0.24766442999999999</v>
      </c>
      <c r="E134"/>
      <c r="F134" s="326">
        <v>-34183.22</v>
      </c>
      <c r="G134" s="327">
        <v>-0.16068031999999999</v>
      </c>
      <c r="H134"/>
      <c r="I134" s="326">
        <v>91489.94</v>
      </c>
      <c r="J134" s="327">
        <v>0.24568143000000001</v>
      </c>
      <c r="K134"/>
      <c r="L134" s="326">
        <v>97848.69</v>
      </c>
      <c r="M134" s="327">
        <v>0.25695670999999998</v>
      </c>
      <c r="N134"/>
      <c r="O134" s="326">
        <v>9864.7199999999993</v>
      </c>
      <c r="P134" s="327">
        <v>3.2603979999999998E-2</v>
      </c>
      <c r="Q134"/>
      <c r="R134" s="326">
        <v>137848.8701</v>
      </c>
      <c r="S134" s="327">
        <v>0.28239819999999999</v>
      </c>
      <c r="T134"/>
      <c r="U134" s="326">
        <v>149379.69769999999</v>
      </c>
      <c r="V134" s="327">
        <v>0.29207559999999999</v>
      </c>
      <c r="W134"/>
      <c r="X134" s="326">
        <v>90454.241800000003</v>
      </c>
      <c r="Y134" s="327">
        <v>0.20826794000000001</v>
      </c>
      <c r="Z134"/>
      <c r="AA134" s="326">
        <v>120015.44869999999</v>
      </c>
      <c r="AB134" s="327">
        <v>0.26282821000000001</v>
      </c>
      <c r="AC134"/>
      <c r="AD134" s="326">
        <v>258700.8057</v>
      </c>
      <c r="AE134" s="327">
        <v>0.39162460999999998</v>
      </c>
      <c r="AF134"/>
      <c r="AG134" s="326">
        <v>175833.92679999999</v>
      </c>
      <c r="AH134" s="327">
        <v>0.32022993</v>
      </c>
      <c r="AI134"/>
      <c r="AJ134" s="326">
        <v>96351.351800000004</v>
      </c>
      <c r="AK134" s="327">
        <v>0.22470540999999999</v>
      </c>
      <c r="AL134"/>
      <c r="AM134" s="326">
        <v>94257.628899999996</v>
      </c>
      <c r="AN134" s="327">
        <v>0.23415159999999999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2368787.16</v>
      </c>
      <c r="D136" s="327">
        <v>0.45553349999999998</v>
      </c>
      <c r="E136"/>
      <c r="F136" s="326">
        <v>194545.59</v>
      </c>
      <c r="G136" s="327">
        <v>0.9144734699999999</v>
      </c>
      <c r="H136"/>
      <c r="I136" s="326">
        <v>194545.59</v>
      </c>
      <c r="J136" s="327">
        <v>0.52242069000000002</v>
      </c>
      <c r="K136"/>
      <c r="L136" s="326">
        <v>194545.59</v>
      </c>
      <c r="M136" s="327">
        <v>0.51088873999999995</v>
      </c>
      <c r="N136"/>
      <c r="O136" s="326">
        <v>194545.59</v>
      </c>
      <c r="P136" s="327">
        <v>0.64299448999999997</v>
      </c>
      <c r="Q136"/>
      <c r="R136" s="326">
        <v>198825.60000000001</v>
      </c>
      <c r="S136" s="327">
        <v>0.40731558000000001</v>
      </c>
      <c r="T136"/>
      <c r="U136" s="326">
        <v>198825.60000000001</v>
      </c>
      <c r="V136" s="327">
        <v>0.38875501000000001</v>
      </c>
      <c r="W136"/>
      <c r="X136" s="326">
        <v>198825.60000000001</v>
      </c>
      <c r="Y136" s="327">
        <v>0.45778944999999999</v>
      </c>
      <c r="Z136"/>
      <c r="AA136" s="326">
        <v>198825.60000000001</v>
      </c>
      <c r="AB136" s="327">
        <v>0.43541876000000002</v>
      </c>
      <c r="AC136"/>
      <c r="AD136" s="326">
        <v>198825.60000000001</v>
      </c>
      <c r="AE136" s="327">
        <v>0.30098476000000002</v>
      </c>
      <c r="AF136"/>
      <c r="AG136" s="326">
        <v>198825.60000000001</v>
      </c>
      <c r="AH136" s="327">
        <v>0.36210251999999998</v>
      </c>
      <c r="AI136"/>
      <c r="AJ136" s="326">
        <v>198825.60000000001</v>
      </c>
      <c r="AK136" s="327">
        <v>0.46369030999999999</v>
      </c>
      <c r="AL136"/>
      <c r="AM136" s="326">
        <v>198825.60000000001</v>
      </c>
      <c r="AN136" s="327">
        <v>0.49391580000000002</v>
      </c>
    </row>
    <row r="137" spans="2:40" s="314" customFormat="1" ht="12.75" customHeight="1" x14ac:dyDescent="0.15">
      <c r="B137" s="5" t="s">
        <v>95</v>
      </c>
      <c r="C137" s="8">
        <v>2368787.16</v>
      </c>
      <c r="D137" s="7">
        <v>0.45553349999999998</v>
      </c>
      <c r="E137"/>
      <c r="F137" s="8">
        <v>194545.59</v>
      </c>
      <c r="G137" s="7">
        <v>0.9144734699999999</v>
      </c>
      <c r="H137"/>
      <c r="I137" s="8">
        <v>194545.59</v>
      </c>
      <c r="J137" s="7">
        <v>0.52242069000000002</v>
      </c>
      <c r="K137"/>
      <c r="L137" s="8">
        <v>194545.59</v>
      </c>
      <c r="M137" s="7">
        <v>0.51088873999999995</v>
      </c>
      <c r="N137"/>
      <c r="O137" s="8">
        <v>194545.59</v>
      </c>
      <c r="P137" s="7">
        <v>0.64299448999999997</v>
      </c>
      <c r="Q137"/>
      <c r="R137" s="8">
        <v>198825.60000000001</v>
      </c>
      <c r="S137" s="7">
        <v>0.40731558000000001</v>
      </c>
      <c r="T137"/>
      <c r="U137" s="8">
        <v>198825.60000000001</v>
      </c>
      <c r="V137" s="7">
        <v>0.38875501000000001</v>
      </c>
      <c r="W137"/>
      <c r="X137" s="8">
        <v>198825.60000000001</v>
      </c>
      <c r="Y137" s="7">
        <v>0.45778944999999999</v>
      </c>
      <c r="Z137"/>
      <c r="AA137" s="8">
        <v>198825.60000000001</v>
      </c>
      <c r="AB137" s="7">
        <v>0.43541876000000002</v>
      </c>
      <c r="AC137"/>
      <c r="AD137" s="8">
        <v>198825.60000000001</v>
      </c>
      <c r="AE137" s="7">
        <v>0.30098476000000002</v>
      </c>
      <c r="AF137"/>
      <c r="AG137" s="8">
        <v>198825.60000000001</v>
      </c>
      <c r="AH137" s="7">
        <v>0.36210251999999998</v>
      </c>
      <c r="AI137"/>
      <c r="AJ137" s="8">
        <v>198825.60000000001</v>
      </c>
      <c r="AK137" s="7">
        <v>0.46369030999999999</v>
      </c>
      <c r="AL137"/>
      <c r="AM137" s="8">
        <v>198825.60000000001</v>
      </c>
      <c r="AN137" s="7">
        <v>0.49391580000000002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-1080925.0585</v>
      </c>
      <c r="D141" s="327">
        <v>-0.20786905999999999</v>
      </c>
      <c r="E141"/>
      <c r="F141" s="326">
        <v>-228728.81</v>
      </c>
      <c r="G141" s="327">
        <v>-1.0751538</v>
      </c>
      <c r="H141"/>
      <c r="I141" s="326">
        <v>-103055.65</v>
      </c>
      <c r="J141" s="327">
        <v>-0.27673926999999998</v>
      </c>
      <c r="K141"/>
      <c r="L141" s="326">
        <v>-96696.9</v>
      </c>
      <c r="M141" s="327">
        <v>-0.25393204000000003</v>
      </c>
      <c r="N141"/>
      <c r="O141" s="326">
        <v>-184680.87</v>
      </c>
      <c r="P141" s="327">
        <v>-0.61039051</v>
      </c>
      <c r="Q141"/>
      <c r="R141" s="326">
        <v>-60976.729899999998</v>
      </c>
      <c r="S141" s="327">
        <v>-0.12491737999999999</v>
      </c>
      <c r="T141"/>
      <c r="U141" s="326">
        <v>-49445.902300000002</v>
      </c>
      <c r="V141" s="327">
        <v>-9.6679410000000007E-2</v>
      </c>
      <c r="W141"/>
      <c r="X141" s="326">
        <v>-108371.3582</v>
      </c>
      <c r="Y141" s="327">
        <v>-0.24952151</v>
      </c>
      <c r="Z141"/>
      <c r="AA141" s="326">
        <v>-78810.151299999998</v>
      </c>
      <c r="AB141" s="327">
        <v>-0.17259053999999999</v>
      </c>
      <c r="AC141"/>
      <c r="AD141" s="326">
        <v>59875.205699999999</v>
      </c>
      <c r="AE141" s="327">
        <v>9.0639860000000003E-2</v>
      </c>
      <c r="AF141"/>
      <c r="AG141" s="326">
        <v>-22991.673200000001</v>
      </c>
      <c r="AH141" s="327">
        <v>-4.1872590000000001E-2</v>
      </c>
      <c r="AI141"/>
      <c r="AJ141" s="326">
        <v>-102474.2482</v>
      </c>
      <c r="AK141" s="327">
        <v>-0.2389849</v>
      </c>
      <c r="AL141"/>
      <c r="AM141" s="326">
        <v>-104567.9711</v>
      </c>
      <c r="AN141" s="327">
        <v>-0.2597642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-1080925.0585</v>
      </c>
      <c r="D144" s="327">
        <v>-0.20786905999999999</v>
      </c>
      <c r="E144"/>
      <c r="F144" s="326">
        <v>-228728.81</v>
      </c>
      <c r="G144" s="327">
        <v>-1.0751538</v>
      </c>
      <c r="H144"/>
      <c r="I144" s="326">
        <v>-103055.65</v>
      </c>
      <c r="J144" s="327">
        <v>-0.27673926999999998</v>
      </c>
      <c r="K144"/>
      <c r="L144" s="326">
        <v>-96696.9</v>
      </c>
      <c r="M144" s="327">
        <v>-0.25393204000000003</v>
      </c>
      <c r="N144"/>
      <c r="O144" s="326">
        <v>-184680.87</v>
      </c>
      <c r="P144" s="327">
        <v>-0.61039051</v>
      </c>
      <c r="Q144"/>
      <c r="R144" s="326">
        <v>-60976.729899999998</v>
      </c>
      <c r="S144" s="327">
        <v>-0.12491737999999999</v>
      </c>
      <c r="T144"/>
      <c r="U144" s="326">
        <v>-49445.902300000002</v>
      </c>
      <c r="V144" s="327">
        <v>-9.6679410000000007E-2</v>
      </c>
      <c r="W144"/>
      <c r="X144" s="326">
        <v>-108371.3582</v>
      </c>
      <c r="Y144" s="327">
        <v>-0.24952151</v>
      </c>
      <c r="Z144"/>
      <c r="AA144" s="326">
        <v>-78810.151299999998</v>
      </c>
      <c r="AB144" s="327">
        <v>-0.17259053999999999</v>
      </c>
      <c r="AC144"/>
      <c r="AD144" s="326">
        <v>59875.205699999999</v>
      </c>
      <c r="AE144" s="327">
        <v>9.0639860000000003E-2</v>
      </c>
      <c r="AF144"/>
      <c r="AG144" s="326">
        <v>-22991.673200000001</v>
      </c>
      <c r="AH144" s="327">
        <v>-4.1872590000000001E-2</v>
      </c>
      <c r="AI144"/>
      <c r="AJ144" s="326">
        <v>-102474.2482</v>
      </c>
      <c r="AK144" s="327">
        <v>-0.2389849</v>
      </c>
      <c r="AL144"/>
      <c r="AM144" s="326">
        <v>-104567.9711</v>
      </c>
      <c r="AN144" s="327">
        <v>-0.2597642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-1080925.0585</v>
      </c>
      <c r="D147" s="327">
        <v>-0.20786905999999999</v>
      </c>
      <c r="E147"/>
      <c r="F147" s="326">
        <v>-228728.81</v>
      </c>
      <c r="G147" s="327">
        <v>-1.0751538</v>
      </c>
      <c r="H147"/>
      <c r="I147" s="326">
        <v>-103055.65</v>
      </c>
      <c r="J147" s="327">
        <v>-0.27673926999999998</v>
      </c>
      <c r="K147"/>
      <c r="L147" s="326">
        <v>-96696.9</v>
      </c>
      <c r="M147" s="327">
        <v>-0.25393204000000003</v>
      </c>
      <c r="N147"/>
      <c r="O147" s="326">
        <v>-184680.87</v>
      </c>
      <c r="P147" s="327">
        <v>-0.61039051</v>
      </c>
      <c r="Q147"/>
      <c r="R147" s="326">
        <v>-60976.729899999998</v>
      </c>
      <c r="S147" s="327">
        <v>-0.12491737999999999</v>
      </c>
      <c r="T147"/>
      <c r="U147" s="326">
        <v>-49445.902300000002</v>
      </c>
      <c r="V147" s="327">
        <v>-9.6679410000000007E-2</v>
      </c>
      <c r="W147"/>
      <c r="X147" s="326">
        <v>-108371.3582</v>
      </c>
      <c r="Y147" s="327">
        <v>-0.24952151</v>
      </c>
      <c r="Z147"/>
      <c r="AA147" s="326">
        <v>-78810.151299999998</v>
      </c>
      <c r="AB147" s="327">
        <v>-0.17259053999999999</v>
      </c>
      <c r="AC147"/>
      <c r="AD147" s="326">
        <v>59875.205699999999</v>
      </c>
      <c r="AE147" s="327">
        <v>9.0639860000000003E-2</v>
      </c>
      <c r="AF147"/>
      <c r="AG147" s="326">
        <v>-22991.673200000001</v>
      </c>
      <c r="AH147" s="327">
        <v>-4.1872590000000001E-2</v>
      </c>
      <c r="AI147"/>
      <c r="AJ147" s="326">
        <v>-102474.2482</v>
      </c>
      <c r="AK147" s="327">
        <v>-0.2389849</v>
      </c>
      <c r="AL147"/>
      <c r="AM147" s="326">
        <v>-104567.9711</v>
      </c>
      <c r="AN147" s="327">
        <v>-0.2597642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-1080925.0585</v>
      </c>
      <c r="D150" s="327">
        <v>-0.20786905999999999</v>
      </c>
      <c r="E150"/>
      <c r="F150" s="326">
        <v>-228728.81</v>
      </c>
      <c r="G150" s="327">
        <v>-1.0751538</v>
      </c>
      <c r="H150"/>
      <c r="I150" s="326">
        <v>-103055.65</v>
      </c>
      <c r="J150" s="327">
        <v>-0.27673926999999998</v>
      </c>
      <c r="K150"/>
      <c r="L150" s="326">
        <v>-96696.9</v>
      </c>
      <c r="M150" s="327">
        <v>-0.25393204000000003</v>
      </c>
      <c r="N150"/>
      <c r="O150" s="326">
        <v>-184680.87</v>
      </c>
      <c r="P150" s="327">
        <v>-0.61039051</v>
      </c>
      <c r="Q150"/>
      <c r="R150" s="326">
        <v>-60976.729899999998</v>
      </c>
      <c r="S150" s="327">
        <v>-0.12491737999999999</v>
      </c>
      <c r="T150"/>
      <c r="U150" s="326">
        <v>-49445.902300000002</v>
      </c>
      <c r="V150" s="327">
        <v>-9.6679410000000007E-2</v>
      </c>
      <c r="W150"/>
      <c r="X150" s="326">
        <v>-108371.3582</v>
      </c>
      <c r="Y150" s="327">
        <v>-0.24952151</v>
      </c>
      <c r="Z150"/>
      <c r="AA150" s="326">
        <v>-78810.151299999998</v>
      </c>
      <c r="AB150" s="327">
        <v>-0.17259053999999999</v>
      </c>
      <c r="AC150"/>
      <c r="AD150" s="326">
        <v>59875.205699999999</v>
      </c>
      <c r="AE150" s="327">
        <v>9.0639860000000003E-2</v>
      </c>
      <c r="AF150"/>
      <c r="AG150" s="326">
        <v>-22991.673200000001</v>
      </c>
      <c r="AH150" s="327">
        <v>-4.1872590000000001E-2</v>
      </c>
      <c r="AI150"/>
      <c r="AJ150" s="326">
        <v>-102474.2482</v>
      </c>
      <c r="AK150" s="327">
        <v>-0.2389849</v>
      </c>
      <c r="AL150"/>
      <c r="AM150" s="326">
        <v>-104567.9711</v>
      </c>
      <c r="AN150" s="327">
        <v>-0.2597642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-1063749.0585</v>
      </c>
      <c r="D153" s="7">
        <v>-0.20456600999999999</v>
      </c>
      <c r="E153"/>
      <c r="F153" s="8">
        <v>-227478.81</v>
      </c>
      <c r="G153" s="7">
        <v>-1.0692780900000001</v>
      </c>
      <c r="H153"/>
      <c r="I153" s="8">
        <v>-101805.65</v>
      </c>
      <c r="J153" s="7">
        <v>-0.27338259999999998</v>
      </c>
      <c r="K153"/>
      <c r="L153" s="8">
        <v>-95446.9</v>
      </c>
      <c r="M153" s="7">
        <v>-0.25064945999999999</v>
      </c>
      <c r="N153"/>
      <c r="O153" s="8">
        <v>-183430.87</v>
      </c>
      <c r="P153" s="7">
        <v>-0.60625912000000004</v>
      </c>
      <c r="Q153"/>
      <c r="R153" s="8">
        <v>-59454.729899999998</v>
      </c>
      <c r="S153" s="7">
        <v>-0.12179938999999999</v>
      </c>
      <c r="T153"/>
      <c r="U153" s="8">
        <v>-47923.902300000002</v>
      </c>
      <c r="V153" s="7">
        <v>-9.370350999999999E-2</v>
      </c>
      <c r="W153"/>
      <c r="X153" s="8">
        <v>-106849.3582</v>
      </c>
      <c r="Y153" s="7">
        <v>-0.24601716000000001</v>
      </c>
      <c r="Z153"/>
      <c r="AA153" s="8">
        <v>-77288.151299999998</v>
      </c>
      <c r="AB153" s="7">
        <v>-0.16925742999999999</v>
      </c>
      <c r="AC153"/>
      <c r="AD153" s="8">
        <v>61397.205699999999</v>
      </c>
      <c r="AE153" s="7">
        <v>9.2943879999999993E-2</v>
      </c>
      <c r="AF153"/>
      <c r="AG153" s="8">
        <v>-21469.673200000001</v>
      </c>
      <c r="AH153" s="7">
        <v>-3.9100709999999997E-2</v>
      </c>
      <c r="AI153"/>
      <c r="AJ153" s="8">
        <v>-100952.2482</v>
      </c>
      <c r="AK153" s="7">
        <v>-0.23543537</v>
      </c>
      <c r="AL153"/>
      <c r="AM153" s="8">
        <v>-103045.9711</v>
      </c>
      <c r="AN153" s="7">
        <v>-0.25598330000000002</v>
      </c>
    </row>
    <row r="154" spans="2:40" s="314" customFormat="1" ht="12.75" customHeight="1" x14ac:dyDescent="0.15">
      <c r="B154" s="5" t="s">
        <v>107</v>
      </c>
      <c r="C154" s="6">
        <v>-1080925.0585</v>
      </c>
      <c r="D154" s="7">
        <v>-0.20786905999999999</v>
      </c>
      <c r="E154"/>
      <c r="F154" s="8">
        <v>-228728.81</v>
      </c>
      <c r="G154" s="7">
        <v>-1.0751538</v>
      </c>
      <c r="H154"/>
      <c r="I154" s="8">
        <v>-103055.65</v>
      </c>
      <c r="J154" s="7">
        <v>-0.27673926999999998</v>
      </c>
      <c r="K154"/>
      <c r="L154" s="8">
        <v>-96696.9</v>
      </c>
      <c r="M154" s="7">
        <v>-0.25393204000000003</v>
      </c>
      <c r="N154"/>
      <c r="O154" s="8">
        <v>-184680.87</v>
      </c>
      <c r="P154" s="7">
        <v>-0.61039051</v>
      </c>
      <c r="Q154"/>
      <c r="R154" s="8">
        <v>-60976.729899999998</v>
      </c>
      <c r="S154" s="7">
        <v>-0.12491737999999999</v>
      </c>
      <c r="T154"/>
      <c r="U154" s="8">
        <v>-49445.902300000002</v>
      </c>
      <c r="V154" s="7">
        <v>-9.6679410000000007E-2</v>
      </c>
      <c r="W154"/>
      <c r="X154" s="8">
        <v>-108371.3582</v>
      </c>
      <c r="Y154" s="7">
        <v>-0.24952151</v>
      </c>
      <c r="Z154"/>
      <c r="AA154" s="8">
        <v>-78810.151299999998</v>
      </c>
      <c r="AB154" s="7">
        <v>-0.17259053999999999</v>
      </c>
      <c r="AC154"/>
      <c r="AD154" s="8">
        <v>59875.205699999999</v>
      </c>
      <c r="AE154" s="7">
        <v>9.0639860000000003E-2</v>
      </c>
      <c r="AF154"/>
      <c r="AG154" s="8">
        <v>-22991.673200000001</v>
      </c>
      <c r="AH154" s="7">
        <v>-4.1872590000000001E-2</v>
      </c>
      <c r="AI154"/>
      <c r="AJ154" s="8">
        <v>-102474.2482</v>
      </c>
      <c r="AK154" s="7">
        <v>-0.2389849</v>
      </c>
      <c r="AL154"/>
      <c r="AM154" s="8">
        <v>-104567.9711</v>
      </c>
      <c r="AN154" s="7">
        <v>-0.2597642</v>
      </c>
    </row>
    <row r="155" spans="2:40" s="314" customFormat="1" ht="12.75" customHeight="1" x14ac:dyDescent="0.15">
      <c r="B155" s="325" t="s">
        <v>108</v>
      </c>
      <c r="C155" s="330">
        <v>214028.14739999999</v>
      </c>
      <c r="D155" s="327">
        <v>4.1159030000000013E-2</v>
      </c>
      <c r="E155"/>
      <c r="F155" s="326">
        <v>10682.8</v>
      </c>
      <c r="G155" s="327">
        <v>5.0215160000000002E-2</v>
      </c>
      <c r="H155"/>
      <c r="I155" s="326">
        <v>18675.7</v>
      </c>
      <c r="J155" s="327">
        <v>5.0150569999999998E-2</v>
      </c>
      <c r="K155"/>
      <c r="L155" s="326">
        <v>15253.73</v>
      </c>
      <c r="M155" s="327">
        <v>4.0057240000000001E-2</v>
      </c>
      <c r="N155"/>
      <c r="O155" s="326">
        <v>12154.51</v>
      </c>
      <c r="P155" s="327">
        <v>4.0171989999999998E-2</v>
      </c>
      <c r="Q155"/>
      <c r="R155" s="326">
        <v>19525.459900000002</v>
      </c>
      <c r="S155" s="327">
        <v>0.04</v>
      </c>
      <c r="T155"/>
      <c r="U155" s="326">
        <v>20457.675899999998</v>
      </c>
      <c r="V155" s="327">
        <v>0.04</v>
      </c>
      <c r="W155"/>
      <c r="X155" s="326">
        <v>17372.667700000002</v>
      </c>
      <c r="Y155" s="327">
        <v>0.04</v>
      </c>
      <c r="Z155"/>
      <c r="AA155" s="326">
        <v>18265.230599999999</v>
      </c>
      <c r="AB155" s="327">
        <v>0.04</v>
      </c>
      <c r="AC155"/>
      <c r="AD155" s="326">
        <v>26423.3449</v>
      </c>
      <c r="AE155" s="327">
        <v>0.04</v>
      </c>
      <c r="AF155"/>
      <c r="AG155" s="326">
        <v>21963.459599999998</v>
      </c>
      <c r="AH155" s="327">
        <v>0.04</v>
      </c>
      <c r="AI155"/>
      <c r="AJ155" s="326">
        <v>17151.5854</v>
      </c>
      <c r="AK155" s="327">
        <v>0.04</v>
      </c>
      <c r="AL155"/>
      <c r="AM155" s="326">
        <v>16101.983399999999</v>
      </c>
      <c r="AN155" s="327">
        <v>0.04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52039.111900000004</v>
      </c>
      <c r="D158" s="7">
        <v>1.0007469999999999E-2</v>
      </c>
      <c r="E158"/>
      <c r="F158" s="8">
        <v>2136.56</v>
      </c>
      <c r="G158" s="7">
        <v>1.004303E-2</v>
      </c>
      <c r="H158"/>
      <c r="I158" s="8">
        <v>3735.14</v>
      </c>
      <c r="J158" s="7">
        <v>1.003011E-2</v>
      </c>
      <c r="K158"/>
      <c r="L158" s="8">
        <v>3813.43</v>
      </c>
      <c r="M158" s="7">
        <v>1.00143E-2</v>
      </c>
      <c r="N158"/>
      <c r="O158" s="8">
        <v>3038.63</v>
      </c>
      <c r="P158" s="7">
        <v>1.004301E-2</v>
      </c>
      <c r="Q158"/>
      <c r="R158" s="8">
        <v>4881.3649999999998</v>
      </c>
      <c r="S158" s="7">
        <v>0.01</v>
      </c>
      <c r="T158"/>
      <c r="U158" s="8">
        <v>5114.4189999999999</v>
      </c>
      <c r="V158" s="7">
        <v>0.01</v>
      </c>
      <c r="W158"/>
      <c r="X158" s="8">
        <v>4343.1669000000002</v>
      </c>
      <c r="Y158" s="7">
        <v>0.01</v>
      </c>
      <c r="Z158"/>
      <c r="AA158" s="8">
        <v>4566.3077000000003</v>
      </c>
      <c r="AB158" s="7">
        <v>0.01</v>
      </c>
      <c r="AC158"/>
      <c r="AD158" s="8">
        <v>6605.8361999999997</v>
      </c>
      <c r="AE158" s="7">
        <v>0.01</v>
      </c>
      <c r="AF158"/>
      <c r="AG158" s="8">
        <v>5490.8648999999996</v>
      </c>
      <c r="AH158" s="7">
        <v>0.01</v>
      </c>
      <c r="AI158"/>
      <c r="AJ158" s="8">
        <v>4287.8963000000003</v>
      </c>
      <c r="AK158" s="7">
        <v>0.01</v>
      </c>
      <c r="AL158"/>
      <c r="AM158" s="8">
        <v>4025.4958999999999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89217.903600000005</v>
      </c>
      <c r="D159" s="7">
        <v>1.7157200000000001E-2</v>
      </c>
      <c r="E159"/>
      <c r="F159" s="8">
        <v>0.41</v>
      </c>
      <c r="G159" s="7">
        <v>1.9300000000000002E-6</v>
      </c>
      <c r="H159"/>
      <c r="I159" s="8">
        <v>3734.73</v>
      </c>
      <c r="J159" s="7">
        <v>1.002901E-2</v>
      </c>
      <c r="K159"/>
      <c r="L159" s="8">
        <v>3813.43</v>
      </c>
      <c r="M159" s="7">
        <v>1.00143E-2</v>
      </c>
      <c r="N159"/>
      <c r="O159" s="8">
        <v>3038.63</v>
      </c>
      <c r="P159" s="7">
        <v>1.004301E-2</v>
      </c>
      <c r="Q159"/>
      <c r="R159" s="8">
        <v>9762.7299000000003</v>
      </c>
      <c r="S159" s="7">
        <v>0.02</v>
      </c>
      <c r="T159"/>
      <c r="U159" s="8">
        <v>10228.838</v>
      </c>
      <c r="V159" s="7">
        <v>0.02</v>
      </c>
      <c r="W159"/>
      <c r="X159" s="8">
        <v>8686.3338000000003</v>
      </c>
      <c r="Y159" s="7">
        <v>0.02</v>
      </c>
      <c r="Z159"/>
      <c r="AA159" s="8">
        <v>9132.6152999999995</v>
      </c>
      <c r="AB159" s="7">
        <v>0.02</v>
      </c>
      <c r="AC159"/>
      <c r="AD159" s="8">
        <v>13211.672399999999</v>
      </c>
      <c r="AE159" s="7">
        <v>0.02</v>
      </c>
      <c r="AF159"/>
      <c r="AG159" s="8">
        <v>10981.729799999999</v>
      </c>
      <c r="AH159" s="7">
        <v>0.02</v>
      </c>
      <c r="AI159"/>
      <c r="AJ159" s="8">
        <v>8575.7927</v>
      </c>
      <c r="AK159" s="7">
        <v>0.02</v>
      </c>
      <c r="AL159"/>
      <c r="AM159" s="8">
        <v>8050.9916999999996</v>
      </c>
      <c r="AN159" s="7">
        <v>0.02</v>
      </c>
    </row>
    <row r="160" spans="2:40" s="314" customFormat="1" ht="12.75" customHeight="1" x14ac:dyDescent="0.15">
      <c r="B160" s="5" t="s">
        <v>113</v>
      </c>
      <c r="C160" s="6">
        <v>149265.27559999999</v>
      </c>
      <c r="D160" s="7">
        <v>2.87047E-2</v>
      </c>
      <c r="E160"/>
      <c r="F160" s="8">
        <v>6409.68</v>
      </c>
      <c r="G160" s="7">
        <v>3.0129090000000001E-2</v>
      </c>
      <c r="H160"/>
      <c r="I160" s="8">
        <v>11205.42</v>
      </c>
      <c r="J160" s="7">
        <v>3.009034E-2</v>
      </c>
      <c r="K160"/>
      <c r="L160" s="8">
        <v>7626.87</v>
      </c>
      <c r="M160" s="7">
        <v>2.0028629999999999E-2</v>
      </c>
      <c r="N160"/>
      <c r="O160" s="8">
        <v>6077.25</v>
      </c>
      <c r="P160" s="7">
        <v>2.008598E-2</v>
      </c>
      <c r="Q160"/>
      <c r="R160" s="8">
        <v>14644.0949</v>
      </c>
      <c r="S160" s="7">
        <v>0.03</v>
      </c>
      <c r="T160"/>
      <c r="U160" s="8">
        <v>15343.2569</v>
      </c>
      <c r="V160" s="7">
        <v>0.03</v>
      </c>
      <c r="W160"/>
      <c r="X160" s="8">
        <v>13029.5008</v>
      </c>
      <c r="Y160" s="7">
        <v>0.03</v>
      </c>
      <c r="Z160"/>
      <c r="AA160" s="8">
        <v>13698.923000000001</v>
      </c>
      <c r="AB160" s="7">
        <v>0.03</v>
      </c>
      <c r="AC160"/>
      <c r="AD160" s="8">
        <v>19817.508699999998</v>
      </c>
      <c r="AE160" s="7">
        <v>0.03</v>
      </c>
      <c r="AF160"/>
      <c r="AG160" s="8">
        <v>16472.594700000001</v>
      </c>
      <c r="AH160" s="7">
        <v>0.03</v>
      </c>
      <c r="AI160"/>
      <c r="AJ160" s="8">
        <v>12863.689</v>
      </c>
      <c r="AK160" s="7">
        <v>0.03</v>
      </c>
      <c r="AL160"/>
      <c r="AM160" s="8">
        <v>12076.4876</v>
      </c>
      <c r="AN160" s="7">
        <v>0.03</v>
      </c>
    </row>
    <row r="161" spans="2:40" s="314" customFormat="1" ht="12.75" customHeight="1" x14ac:dyDescent="0.15">
      <c r="B161" s="5" t="s">
        <v>114</v>
      </c>
      <c r="C161" s="6">
        <v>12723.76</v>
      </c>
      <c r="D161" s="7">
        <v>2.4468599999999999E-3</v>
      </c>
      <c r="E161"/>
      <c r="F161" s="8">
        <v>2136.56</v>
      </c>
      <c r="G161" s="7">
        <v>1.004303E-2</v>
      </c>
      <c r="H161"/>
      <c r="I161" s="8">
        <v>3735.14</v>
      </c>
      <c r="J161" s="7">
        <v>1.003011E-2</v>
      </c>
      <c r="K161"/>
      <c r="L161" s="8">
        <v>3813.43</v>
      </c>
      <c r="M161" s="7">
        <v>1.00143E-2</v>
      </c>
      <c r="N161"/>
      <c r="O161" s="8">
        <v>3038.63</v>
      </c>
      <c r="P161" s="7">
        <v>1.004301E-2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390338.52519999997</v>
      </c>
      <c r="D162" s="327">
        <v>7.5064690000000003E-2</v>
      </c>
      <c r="E162"/>
      <c r="F162" s="326">
        <v>18489.57</v>
      </c>
      <c r="G162" s="327">
        <v>8.6911360000000007E-2</v>
      </c>
      <c r="H162"/>
      <c r="I162" s="326">
        <v>23840.21</v>
      </c>
      <c r="J162" s="327">
        <v>6.4019030000000005E-2</v>
      </c>
      <c r="K162"/>
      <c r="L162" s="326">
        <v>27633.8</v>
      </c>
      <c r="M162" s="327">
        <v>7.2568069999999998E-2</v>
      </c>
      <c r="N162"/>
      <c r="O162" s="326">
        <v>21028.93</v>
      </c>
      <c r="P162" s="327">
        <v>6.9502919999999996E-2</v>
      </c>
      <c r="Q162"/>
      <c r="R162" s="326">
        <v>37181.572999999997</v>
      </c>
      <c r="S162" s="327">
        <v>7.6170440000000006E-2</v>
      </c>
      <c r="T162"/>
      <c r="U162" s="326">
        <v>38677.853000000003</v>
      </c>
      <c r="V162" s="327">
        <v>7.5625120000000004E-2</v>
      </c>
      <c r="W162"/>
      <c r="X162" s="326">
        <v>33854.080000000002</v>
      </c>
      <c r="Y162" s="327">
        <v>7.7947909999999995E-2</v>
      </c>
      <c r="Z162"/>
      <c r="AA162" s="326">
        <v>35357.705199999997</v>
      </c>
      <c r="AB162" s="327">
        <v>7.7431720000000009E-2</v>
      </c>
      <c r="AC162"/>
      <c r="AD162" s="326">
        <v>48044.45</v>
      </c>
      <c r="AE162" s="327">
        <v>7.2730309999999992E-2</v>
      </c>
      <c r="AF162"/>
      <c r="AG162" s="326">
        <v>40973.370000000003</v>
      </c>
      <c r="AH162" s="327">
        <v>7.4620980000000003E-2</v>
      </c>
      <c r="AI162"/>
      <c r="AJ162" s="326">
        <v>33600</v>
      </c>
      <c r="AK162" s="327">
        <v>7.8360100000000002E-2</v>
      </c>
      <c r="AL162"/>
      <c r="AM162" s="326">
        <v>31656.984</v>
      </c>
      <c r="AN162" s="327">
        <v>7.8641199999999994E-2</v>
      </c>
    </row>
    <row r="163" spans="2:40" s="314" customFormat="1" ht="12.75" customHeight="1" x14ac:dyDescent="0.15">
      <c r="B163" s="5" t="s">
        <v>116</v>
      </c>
      <c r="C163" s="6">
        <v>162809.53760000001</v>
      </c>
      <c r="D163" s="7">
        <v>3.130935E-2</v>
      </c>
      <c r="E163"/>
      <c r="F163" s="8">
        <v>6256.31</v>
      </c>
      <c r="G163" s="7">
        <v>2.9408170000000001E-2</v>
      </c>
      <c r="H163"/>
      <c r="I163" s="8">
        <v>11494.61</v>
      </c>
      <c r="J163" s="7">
        <v>3.0866910000000001E-2</v>
      </c>
      <c r="K163"/>
      <c r="L163" s="8">
        <v>11885.37</v>
      </c>
      <c r="M163" s="7">
        <v>3.1211719999999998E-2</v>
      </c>
      <c r="N163"/>
      <c r="O163" s="8">
        <v>8520.49</v>
      </c>
      <c r="P163" s="7">
        <v>2.8161149999999999E-2</v>
      </c>
      <c r="Q163"/>
      <c r="R163" s="8">
        <v>15496.0365</v>
      </c>
      <c r="S163" s="7">
        <v>3.1745290000000002E-2</v>
      </c>
      <c r="T163"/>
      <c r="U163" s="8">
        <v>16292.4265</v>
      </c>
      <c r="V163" s="7">
        <v>3.1855870000000001E-2</v>
      </c>
      <c r="W163"/>
      <c r="X163" s="8">
        <v>13630.54</v>
      </c>
      <c r="Y163" s="7">
        <v>3.1383870000000001E-2</v>
      </c>
      <c r="Z163"/>
      <c r="AA163" s="8">
        <v>14382.3526</v>
      </c>
      <c r="AB163" s="7">
        <v>3.1496679999999999E-2</v>
      </c>
      <c r="AC163"/>
      <c r="AD163" s="8">
        <v>21025.724999999999</v>
      </c>
      <c r="AE163" s="7">
        <v>3.1829009999999998E-2</v>
      </c>
      <c r="AF163"/>
      <c r="AG163" s="8">
        <v>17440.185000000001</v>
      </c>
      <c r="AH163" s="7">
        <v>3.1762180000000001E-2</v>
      </c>
      <c r="AI163"/>
      <c r="AJ163" s="8">
        <v>13653.5</v>
      </c>
      <c r="AK163" s="7">
        <v>3.1841950000000001E-2</v>
      </c>
      <c r="AL163"/>
      <c r="AM163" s="8">
        <v>12731.992</v>
      </c>
      <c r="AN163" s="7">
        <v>3.1628379999999998E-2</v>
      </c>
    </row>
    <row r="164" spans="2:40" s="314" customFormat="1" ht="12.75" customHeight="1" x14ac:dyDescent="0.15">
      <c r="B164" s="5" t="s">
        <v>117</v>
      </c>
      <c r="C164" s="6">
        <v>116880.974</v>
      </c>
      <c r="D164" s="7">
        <v>2.2476989999999999E-2</v>
      </c>
      <c r="E164"/>
      <c r="F164" s="8">
        <v>4461.78</v>
      </c>
      <c r="G164" s="7">
        <v>2.0972870000000001E-2</v>
      </c>
      <c r="H164"/>
      <c r="I164" s="8">
        <v>8339.7900000000009</v>
      </c>
      <c r="J164" s="7">
        <v>2.2395160000000001E-2</v>
      </c>
      <c r="K164"/>
      <c r="L164" s="8">
        <v>8486.6299999999992</v>
      </c>
      <c r="M164" s="7">
        <v>2.228641E-2</v>
      </c>
      <c r="N164"/>
      <c r="O164" s="8">
        <v>6597.59</v>
      </c>
      <c r="P164" s="7">
        <v>2.180576E-2</v>
      </c>
      <c r="Q164"/>
      <c r="R164" s="8">
        <v>11061.0975</v>
      </c>
      <c r="S164" s="7">
        <v>2.2659849999999999E-2</v>
      </c>
      <c r="T164"/>
      <c r="U164" s="8">
        <v>11632.4475</v>
      </c>
      <c r="V164" s="7">
        <v>2.2744420000000001E-2</v>
      </c>
      <c r="W164"/>
      <c r="X164" s="8">
        <v>9731.1</v>
      </c>
      <c r="Y164" s="7">
        <v>2.2405540000000002E-2</v>
      </c>
      <c r="Z164"/>
      <c r="AA164" s="8">
        <v>10268.109</v>
      </c>
      <c r="AB164" s="7">
        <v>2.2486679999999998E-2</v>
      </c>
      <c r="AC164"/>
      <c r="AD164" s="8">
        <v>15013.375</v>
      </c>
      <c r="AE164" s="7">
        <v>2.2727440000000002E-2</v>
      </c>
      <c r="AF164"/>
      <c r="AG164" s="8">
        <v>12452.275</v>
      </c>
      <c r="AH164" s="7">
        <v>2.2678170000000001E-2</v>
      </c>
      <c r="AI164"/>
      <c r="AJ164" s="8">
        <v>9747.5</v>
      </c>
      <c r="AK164" s="7">
        <v>2.273259E-2</v>
      </c>
      <c r="AL164"/>
      <c r="AM164" s="8">
        <v>9089.2800000000007</v>
      </c>
      <c r="AN164" s="7">
        <v>2.257928E-2</v>
      </c>
    </row>
    <row r="165" spans="2:40" s="314" customFormat="1" ht="12.75" customHeight="1" x14ac:dyDescent="0.15">
      <c r="B165" s="5" t="s">
        <v>118</v>
      </c>
      <c r="C165" s="6">
        <v>62905.99</v>
      </c>
      <c r="D165" s="7">
        <v>1.209724E-2</v>
      </c>
      <c r="E165"/>
      <c r="F165" s="8">
        <v>5857</v>
      </c>
      <c r="G165" s="7">
        <v>2.7531190000000001E-2</v>
      </c>
      <c r="H165"/>
      <c r="I165" s="8">
        <v>-29.01</v>
      </c>
      <c r="J165" s="7">
        <v>-7.7899999999999996E-5</v>
      </c>
      <c r="K165"/>
      <c r="L165" s="8">
        <v>3867.15</v>
      </c>
      <c r="M165" s="7">
        <v>1.015537E-2</v>
      </c>
      <c r="N165"/>
      <c r="O165" s="8">
        <v>3110.85</v>
      </c>
      <c r="P165" s="7">
        <v>1.02817E-2</v>
      </c>
      <c r="Q165"/>
      <c r="R165" s="8">
        <v>6200</v>
      </c>
      <c r="S165" s="7">
        <v>1.270137E-2</v>
      </c>
      <c r="T165"/>
      <c r="U165" s="8">
        <v>6100</v>
      </c>
      <c r="V165" s="7">
        <v>1.192706E-2</v>
      </c>
      <c r="W165"/>
      <c r="X165" s="8">
        <v>6600</v>
      </c>
      <c r="Y165" s="7">
        <v>1.519628E-2</v>
      </c>
      <c r="Z165"/>
      <c r="AA165" s="8">
        <v>6600</v>
      </c>
      <c r="AB165" s="7">
        <v>1.445369E-2</v>
      </c>
      <c r="AC165"/>
      <c r="AD165" s="8">
        <v>6000</v>
      </c>
      <c r="AE165" s="7">
        <v>9.0828799999999998E-3</v>
      </c>
      <c r="AF165"/>
      <c r="AG165" s="8">
        <v>6100</v>
      </c>
      <c r="AH165" s="7">
        <v>1.110936E-2</v>
      </c>
      <c r="AI165"/>
      <c r="AJ165" s="8">
        <v>6300</v>
      </c>
      <c r="AK165" s="7">
        <v>1.4692520000000001E-2</v>
      </c>
      <c r="AL165"/>
      <c r="AM165" s="8">
        <v>6200</v>
      </c>
      <c r="AN165" s="7">
        <v>1.540183E-2</v>
      </c>
    </row>
    <row r="166" spans="2:40" s="314" customFormat="1" ht="12.75" customHeight="1" x14ac:dyDescent="0.15">
      <c r="B166" s="5" t="s">
        <v>119</v>
      </c>
      <c r="C166" s="6">
        <v>47742.0236</v>
      </c>
      <c r="D166" s="7">
        <v>9.1811099999999993E-3</v>
      </c>
      <c r="E166"/>
      <c r="F166" s="8">
        <v>1914.48</v>
      </c>
      <c r="G166" s="7">
        <v>8.9991299999999993E-3</v>
      </c>
      <c r="H166"/>
      <c r="I166" s="8">
        <v>4034.82</v>
      </c>
      <c r="J166" s="7">
        <v>1.083486E-2</v>
      </c>
      <c r="K166"/>
      <c r="L166" s="8">
        <v>3394.65</v>
      </c>
      <c r="M166" s="7">
        <v>8.9145600000000002E-3</v>
      </c>
      <c r="N166"/>
      <c r="O166" s="8">
        <v>2800</v>
      </c>
      <c r="P166" s="7">
        <v>9.25431E-3</v>
      </c>
      <c r="Q166"/>
      <c r="R166" s="8">
        <v>4424.4390000000003</v>
      </c>
      <c r="S166" s="7">
        <v>9.0639399999999995E-3</v>
      </c>
      <c r="T166"/>
      <c r="U166" s="8">
        <v>4652.9790000000003</v>
      </c>
      <c r="V166" s="7">
        <v>9.0977699999999998E-3</v>
      </c>
      <c r="W166"/>
      <c r="X166" s="8">
        <v>3892.44</v>
      </c>
      <c r="Y166" s="7">
        <v>8.9622199999999999E-3</v>
      </c>
      <c r="Z166"/>
      <c r="AA166" s="8">
        <v>4107.2435999999998</v>
      </c>
      <c r="AB166" s="7">
        <v>8.9946699999999997E-3</v>
      </c>
      <c r="AC166"/>
      <c r="AD166" s="8">
        <v>6005.35</v>
      </c>
      <c r="AE166" s="7">
        <v>9.0909800000000002E-3</v>
      </c>
      <c r="AF166"/>
      <c r="AG166" s="8">
        <v>4980.91</v>
      </c>
      <c r="AH166" s="7">
        <v>9.0712699999999993E-3</v>
      </c>
      <c r="AI166"/>
      <c r="AJ166" s="8">
        <v>3899</v>
      </c>
      <c r="AK166" s="7">
        <v>9.0930400000000002E-3</v>
      </c>
      <c r="AL166"/>
      <c r="AM166" s="8">
        <v>3635.712</v>
      </c>
      <c r="AN166" s="7">
        <v>9.0317100000000001E-3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596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1F03-FE4A-4852-A6AD-22ACB63FDFB6}">
  <sheetPr>
    <pageSetUpPr fitToPage="1"/>
  </sheetPr>
  <dimension ref="B2:O177"/>
  <sheetViews>
    <sheetView workbookViewId="0">
      <pane xSplit="2" ySplit="10" topLeftCell="E134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M175" sqref="M175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137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Airport'!C11</f>
        <v>6650731.4430999998</v>
      </c>
      <c r="D11" s="39">
        <f>'data entry Airport'!F11</f>
        <v>389776.76</v>
      </c>
      <c r="E11" s="39">
        <f>'data entry Airport'!I11</f>
        <v>420480.24</v>
      </c>
      <c r="F11" s="39">
        <f>'data entry Airport'!L11</f>
        <v>579458.43000000005</v>
      </c>
      <c r="G11" s="39">
        <f>'data entry Airport'!O11</f>
        <v>319362</v>
      </c>
      <c r="H11" s="39">
        <f>'data entry Airport'!R11</f>
        <v>549034.98759999999</v>
      </c>
      <c r="I11" s="39">
        <f>'data entry Airport'!U11</f>
        <v>484786.47889999999</v>
      </c>
      <c r="J11" s="39">
        <f>'data entry Airport'!X11</f>
        <v>342952.15659999999</v>
      </c>
      <c r="K11" s="39">
        <f>'data entry Airport'!AA11</f>
        <v>459404.32</v>
      </c>
      <c r="L11" s="39">
        <f>'data entry Airport'!AD11</f>
        <v>799187.24</v>
      </c>
      <c r="M11" s="39">
        <f>'data entry Airport'!AG11</f>
        <v>873586.14</v>
      </c>
      <c r="N11" s="39">
        <f>'data entry Airport'!AJ11</f>
        <v>898429.52</v>
      </c>
      <c r="O11" s="39">
        <f>'data entry Airport'!AM11</f>
        <v>534273.17000000004</v>
      </c>
    </row>
    <row r="12" spans="2:15" ht="14" x14ac:dyDescent="0.15">
      <c r="B12" s="38" t="s">
        <v>22</v>
      </c>
      <c r="C12" s="39">
        <f>'data entry Airport'!C12</f>
        <v>2436991.9108000002</v>
      </c>
      <c r="D12" s="39">
        <f>'data entry Airport'!F12</f>
        <v>176910.98</v>
      </c>
      <c r="E12" s="39">
        <f>'data entry Airport'!I12</f>
        <v>205214.38</v>
      </c>
      <c r="F12" s="39">
        <f>'data entry Airport'!L12</f>
        <v>205737.2</v>
      </c>
      <c r="G12" s="39">
        <f>'data entry Airport'!O12</f>
        <v>172769.81</v>
      </c>
      <c r="H12" s="39">
        <f>'data entry Airport'!R12</f>
        <v>207098.5766</v>
      </c>
      <c r="I12" s="39">
        <f>'data entry Airport'!U12</f>
        <v>218640.25469999999</v>
      </c>
      <c r="J12" s="39">
        <f>'data entry Airport'!X12</f>
        <v>182461.304</v>
      </c>
      <c r="K12" s="39">
        <f>'data entry Airport'!AA12</f>
        <v>186740.65890000001</v>
      </c>
      <c r="L12" s="39">
        <f>'data entry Airport'!AD12</f>
        <v>218821.2665</v>
      </c>
      <c r="M12" s="39">
        <f>'data entry Airport'!AG12</f>
        <v>223089.77480000001</v>
      </c>
      <c r="N12" s="39">
        <f>'data entry Airport'!AJ12</f>
        <v>236159.29430000001</v>
      </c>
      <c r="O12" s="39">
        <f>'data entry Airport'!AM12</f>
        <v>203348.41099999999</v>
      </c>
    </row>
    <row r="13" spans="2:15" ht="14" x14ac:dyDescent="0.15">
      <c r="B13" s="38" t="s">
        <v>23</v>
      </c>
      <c r="C13" s="39">
        <f>'data entry Airport'!C13</f>
        <v>1573452.8291</v>
      </c>
      <c r="D13" s="39">
        <f>'data entry Airport'!F13</f>
        <v>47570.66</v>
      </c>
      <c r="E13" s="39">
        <f>'data entry Airport'!I13</f>
        <v>47026.81</v>
      </c>
      <c r="F13" s="39">
        <f>'data entry Airport'!L13</f>
        <v>191587.05</v>
      </c>
      <c r="G13" s="39">
        <f>'data entry Airport'!O13</f>
        <v>-20564.599999999999</v>
      </c>
      <c r="H13" s="39">
        <f>'data entry Airport'!R13</f>
        <v>107123.1802</v>
      </c>
      <c r="I13" s="39">
        <f>'data entry Airport'!U13</f>
        <v>46467.598700000002</v>
      </c>
      <c r="J13" s="39">
        <f>'data entry Airport'!X13</f>
        <v>-24339.417099999999</v>
      </c>
      <c r="K13" s="39">
        <f>'data entry Airport'!AA13</f>
        <v>56048.392</v>
      </c>
      <c r="L13" s="39">
        <f>'data entry Airport'!AD13</f>
        <v>277483.1593</v>
      </c>
      <c r="M13" s="39">
        <f>'data entry Airport'!AG13</f>
        <v>364324.4118</v>
      </c>
      <c r="N13" s="39">
        <f>'data entry Airport'!AJ13</f>
        <v>366096.53529999999</v>
      </c>
      <c r="O13" s="39">
        <f>'data entry Airport'!AM13</f>
        <v>114629.04889999999</v>
      </c>
    </row>
    <row r="14" spans="2:15" ht="14" x14ac:dyDescent="0.15">
      <c r="B14" s="38" t="s">
        <v>24</v>
      </c>
      <c r="C14" s="39">
        <f>'data entry Airport'!C14</f>
        <v>87965</v>
      </c>
      <c r="D14" s="39">
        <f>'data entry Airport'!F14</f>
        <v>7471</v>
      </c>
      <c r="E14" s="39">
        <f>'data entry Airport'!I14</f>
        <v>6748</v>
      </c>
      <c r="F14" s="39">
        <f>'data entry Airport'!L14</f>
        <v>7471</v>
      </c>
      <c r="G14" s="39">
        <f>'data entry Airport'!O14</f>
        <v>7230</v>
      </c>
      <c r="H14" s="39">
        <f>'data entry Airport'!R14</f>
        <v>7471</v>
      </c>
      <c r="I14" s="39">
        <f>'data entry Airport'!U14</f>
        <v>7230</v>
      </c>
      <c r="J14" s="39">
        <f>'data entry Airport'!X14</f>
        <v>7471</v>
      </c>
      <c r="K14" s="39">
        <f>'data entry Airport'!AA14</f>
        <v>7471</v>
      </c>
      <c r="L14" s="39">
        <f>'data entry Airport'!AD14</f>
        <v>7230</v>
      </c>
      <c r="M14" s="39">
        <f>'data entry Airport'!AG14</f>
        <v>7471</v>
      </c>
      <c r="N14" s="39">
        <f>'data entry Airport'!AJ14</f>
        <v>7230</v>
      </c>
      <c r="O14" s="39">
        <f>'data entry Airport'!AM14</f>
        <v>7471</v>
      </c>
    </row>
    <row r="15" spans="2:15" ht="14" x14ac:dyDescent="0.15">
      <c r="B15" s="38" t="s">
        <v>25</v>
      </c>
      <c r="C15" s="39">
        <f>'data entry Airport'!C15</f>
        <v>42014</v>
      </c>
      <c r="D15" s="39">
        <f>'data entry Airport'!F15</f>
        <v>2836</v>
      </c>
      <c r="E15" s="39">
        <f>'data entry Airport'!I15</f>
        <v>2688</v>
      </c>
      <c r="F15" s="39">
        <f>'data entry Airport'!L15</f>
        <v>3093</v>
      </c>
      <c r="G15" s="39">
        <f>'data entry Airport'!O15</f>
        <v>2665</v>
      </c>
      <c r="H15" s="39">
        <f>'data entry Airport'!R15</f>
        <v>3862</v>
      </c>
      <c r="I15" s="39">
        <f>'data entry Airport'!U15</f>
        <v>3300</v>
      </c>
      <c r="J15" s="39">
        <f>'data entry Airport'!X15</f>
        <v>2470</v>
      </c>
      <c r="K15" s="39">
        <f>'data entry Airport'!AA15</f>
        <v>3400</v>
      </c>
      <c r="L15" s="39">
        <f>'data entry Airport'!AD15</f>
        <v>4900</v>
      </c>
      <c r="M15" s="39">
        <f>'data entry Airport'!AG15</f>
        <v>4200</v>
      </c>
      <c r="N15" s="39">
        <f>'data entry Airport'!AJ15</f>
        <v>4850</v>
      </c>
      <c r="O15" s="39">
        <f>'data entry Airport'!AM15</f>
        <v>3750</v>
      </c>
    </row>
    <row r="16" spans="2:15" ht="14" x14ac:dyDescent="0.15">
      <c r="B16" s="38" t="s">
        <v>26</v>
      </c>
      <c r="C16" s="39">
        <f>'data entry Airport'!C16</f>
        <v>47.797419428182003</v>
      </c>
      <c r="D16" s="39">
        <f>'data entry Airport'!F16</f>
        <v>37.986882612769001</v>
      </c>
      <c r="E16" s="39">
        <f>'data entry Airport'!I16</f>
        <v>39.878482513336998</v>
      </c>
      <c r="F16" s="39">
        <f>'data entry Airport'!L16</f>
        <v>41.600856645697</v>
      </c>
      <c r="G16" s="39">
        <f>'data entry Airport'!O16</f>
        <v>37.012448132780001</v>
      </c>
      <c r="H16" s="39">
        <f>'data entry Airport'!R16</f>
        <v>51.693213759872002</v>
      </c>
      <c r="I16" s="39">
        <f>'data entry Airport'!U16</f>
        <v>45.643153526970998</v>
      </c>
      <c r="J16" s="39">
        <f>'data entry Airport'!X16</f>
        <v>33.061169856779998</v>
      </c>
      <c r="K16" s="39">
        <f>'data entry Airport'!AA16</f>
        <v>45.509302636862998</v>
      </c>
      <c r="L16" s="39">
        <f>'data entry Airport'!AD16</f>
        <v>67.773167358229998</v>
      </c>
      <c r="M16" s="39">
        <f>'data entry Airport'!AG16</f>
        <v>56.217373845536002</v>
      </c>
      <c r="N16" s="39">
        <f>'data entry Airport'!AJ16</f>
        <v>67.081604426002997</v>
      </c>
      <c r="O16" s="39">
        <f>'data entry Airport'!AM16</f>
        <v>50.194083790656997</v>
      </c>
    </row>
    <row r="17" spans="2:15" ht="14" x14ac:dyDescent="0.15">
      <c r="B17" s="38" t="s">
        <v>27</v>
      </c>
      <c r="C17" s="39">
        <f>'data entry Airport'!C17</f>
        <v>108.059146713</v>
      </c>
      <c r="D17" s="39">
        <f>'data entry Airport'!F17</f>
        <v>94.201287023977002</v>
      </c>
      <c r="E17" s="39">
        <f>'data entry Airport'!I17</f>
        <v>97.580606398810005</v>
      </c>
      <c r="F17" s="39">
        <f>'data entry Airport'!L17</f>
        <v>134.40671839638</v>
      </c>
      <c r="G17" s="39">
        <f>'data entry Airport'!O17</f>
        <v>82.840660412757998</v>
      </c>
      <c r="H17" s="39">
        <f>'data entry Airport'!R17</f>
        <v>97.403223718280998</v>
      </c>
      <c r="I17" s="39">
        <f>'data entry Airport'!U17</f>
        <v>93.328448484847996</v>
      </c>
      <c r="J17" s="39">
        <f>'data entry Airport'!X17</f>
        <v>88.016194331983996</v>
      </c>
      <c r="K17" s="39">
        <f>'data entry Airport'!AA17</f>
        <v>93.014705882352999</v>
      </c>
      <c r="L17" s="39">
        <f>'data entry Airport'!AD17</f>
        <v>108.42857142857</v>
      </c>
      <c r="M17" s="39">
        <f>'data entry Airport'!AG17</f>
        <v>149.05952380951999</v>
      </c>
      <c r="N17" s="39">
        <f>'data entry Airport'!AJ17</f>
        <v>131.42268041237</v>
      </c>
      <c r="O17" s="39">
        <f>'data entry Airport'!AM17</f>
        <v>96.4</v>
      </c>
    </row>
    <row r="18" spans="2:15" ht="14" x14ac:dyDescent="0.15">
      <c r="B18" s="38" t="s">
        <v>28</v>
      </c>
      <c r="C18" s="39">
        <f>'data entry Airport'!C18</f>
        <v>50.632695958619998</v>
      </c>
      <c r="D18" s="39">
        <f>'data entry Airport'!F18</f>
        <v>35.469307990898002</v>
      </c>
      <c r="E18" s="39">
        <f>'data entry Airport'!I18</f>
        <v>38.361944279786997</v>
      </c>
      <c r="F18" s="39">
        <f>'data entry Airport'!L18</f>
        <v>54.351444251103999</v>
      </c>
      <c r="G18" s="39">
        <f>'data entry Airport'!O18</f>
        <v>30.142839557399999</v>
      </c>
      <c r="H18" s="39">
        <f>'data entry Airport'!R18</f>
        <v>49.146198634721003</v>
      </c>
      <c r="I18" s="39">
        <f>'data entry Airport'!U18</f>
        <v>41.629858921161997</v>
      </c>
      <c r="J18" s="39">
        <f>'data entry Airport'!X18</f>
        <v>28.563779949137</v>
      </c>
      <c r="K18" s="39">
        <f>'data entry Airport'!AA18</f>
        <v>41.794940436353997</v>
      </c>
      <c r="L18" s="39">
        <f>'data entry Airport'!AD18</f>
        <v>72.240663900415001</v>
      </c>
      <c r="M18" s="39">
        <f>'data entry Airport'!AG18</f>
        <v>81.923437290858004</v>
      </c>
      <c r="N18" s="39">
        <f>'data entry Airport'!AJ18</f>
        <v>86.224066390041997</v>
      </c>
      <c r="O18" s="39">
        <f>'data entry Airport'!AM18</f>
        <v>47.450140543434998</v>
      </c>
    </row>
    <row r="19" spans="2:15" ht="14" x14ac:dyDescent="0.15">
      <c r="B19" s="38" t="s">
        <v>29</v>
      </c>
      <c r="C19" s="39">
        <f>'data entry Airport'!C19</f>
        <v>75.606564464276005</v>
      </c>
      <c r="D19" s="39">
        <f>'data entry Airport'!F19</f>
        <v>52.171966269575996</v>
      </c>
      <c r="E19" s="39">
        <f>'data entry Airport'!I19</f>
        <v>62.311831653822999</v>
      </c>
      <c r="F19" s="39">
        <f>'data entry Airport'!L19</f>
        <v>77.561026636327</v>
      </c>
      <c r="G19" s="39">
        <f>'data entry Airport'!O19</f>
        <v>44.171784232364999</v>
      </c>
      <c r="H19" s="39">
        <f>'data entry Airport'!R19</f>
        <v>73.488821790925002</v>
      </c>
      <c r="I19" s="39">
        <f>'data entry Airport'!U19</f>
        <v>67.052071770401</v>
      </c>
      <c r="J19" s="39">
        <f>'data entry Airport'!X19</f>
        <v>45.904451425512001</v>
      </c>
      <c r="K19" s="39">
        <f>'data entry Airport'!AA19</f>
        <v>61.491677151653001</v>
      </c>
      <c r="L19" s="39">
        <f>'data entry Airport'!AD19</f>
        <v>110.53765421852999</v>
      </c>
      <c r="M19" s="39">
        <f>'data entry Airport'!AG19</f>
        <v>116.93028242538</v>
      </c>
      <c r="N19" s="39">
        <f>'data entry Airport'!AJ19</f>
        <v>124.26411065006999</v>
      </c>
      <c r="O19" s="39">
        <f>'data entry Airport'!AM19</f>
        <v>71.512939365546998</v>
      </c>
    </row>
    <row r="20" spans="2:15" ht="14" x14ac:dyDescent="0.15">
      <c r="B20" s="38" t="s">
        <v>30</v>
      </c>
      <c r="C20" s="39">
        <f>'data entry Airport'!C20</f>
        <v>50397.440000000002</v>
      </c>
      <c r="D20" s="39">
        <f>'data entry Airport'!F20</f>
        <v>3295</v>
      </c>
      <c r="E20" s="39">
        <f>'data entry Airport'!I20</f>
        <v>3047</v>
      </c>
      <c r="F20" s="39">
        <f>'data entry Airport'!L20</f>
        <v>3355</v>
      </c>
      <c r="G20" s="39">
        <f>'data entry Airport'!O20</f>
        <v>3163</v>
      </c>
      <c r="H20" s="39">
        <f>'data entry Airport'!R20</f>
        <v>4234.1000000000004</v>
      </c>
      <c r="I20" s="39">
        <f>'data entry Airport'!U20</f>
        <v>4161.34</v>
      </c>
      <c r="J20" s="39">
        <f>'data entry Airport'!X20</f>
        <v>3187</v>
      </c>
      <c r="K20" s="39">
        <f>'data entry Airport'!AA20</f>
        <v>4445</v>
      </c>
      <c r="L20" s="39">
        <f>'data entry Airport'!AD20</f>
        <v>5755</v>
      </c>
      <c r="M20" s="39">
        <f>'data entry Airport'!AG20</f>
        <v>5300</v>
      </c>
      <c r="N20" s="39">
        <f>'data entry Airport'!AJ20</f>
        <v>5715</v>
      </c>
      <c r="O20" s="39">
        <f>'data entry Airport'!AM20</f>
        <v>4740</v>
      </c>
    </row>
    <row r="21" spans="2:15" ht="14" x14ac:dyDescent="0.15">
      <c r="B21" s="38" t="s">
        <v>31</v>
      </c>
      <c r="C21" s="39">
        <f>'data entry Airport'!C21</f>
        <v>1.1986547746462</v>
      </c>
      <c r="D21" s="39">
        <f>'data entry Airport'!F21</f>
        <v>1.1610288935869999</v>
      </c>
      <c r="E21" s="39">
        <f>'data entry Airport'!I21</f>
        <v>1.132292827945</v>
      </c>
      <c r="F21" s="39">
        <f>'data entry Airport'!L21</f>
        <v>1.0794723294723001</v>
      </c>
      <c r="G21" s="39">
        <f>'data entry Airport'!O21</f>
        <v>1.1819880418535</v>
      </c>
      <c r="H21" s="39">
        <f>'data entry Airport'!R21</f>
        <v>1.0963490419472</v>
      </c>
      <c r="I21" s="39">
        <f>'data entry Airport'!U21</f>
        <v>1.2610121212120999</v>
      </c>
      <c r="J21" s="39">
        <f>'data entry Airport'!X21</f>
        <v>1.2902834008096999</v>
      </c>
      <c r="K21" s="39">
        <f>'data entry Airport'!AA21</f>
        <v>1.3073529411764999</v>
      </c>
      <c r="L21" s="39">
        <f>'data entry Airport'!AD21</f>
        <v>1.1744897959184</v>
      </c>
      <c r="M21" s="39">
        <f>'data entry Airport'!AG21</f>
        <v>1.2619047619048001</v>
      </c>
      <c r="N21" s="39">
        <f>'data entry Airport'!AJ21</f>
        <v>1.1783505154639</v>
      </c>
      <c r="O21" s="39">
        <f>'data entry Airport'!AM21</f>
        <v>1.264</v>
      </c>
    </row>
    <row r="22" spans="2:15" ht="14" x14ac:dyDescent="0.15">
      <c r="B22" s="38" t="s">
        <v>32</v>
      </c>
      <c r="C22" s="39">
        <f>'data entry Airport'!C22</f>
        <v>43938.218800000002</v>
      </c>
      <c r="D22" s="39">
        <f>'data entry Airport'!F22</f>
        <v>0</v>
      </c>
      <c r="E22" s="39">
        <f>'data entry Airport'!I22</f>
        <v>0</v>
      </c>
      <c r="F22" s="39">
        <f>'data entry Airport'!L22</f>
        <v>0</v>
      </c>
      <c r="G22" s="39">
        <f>'data entry Airport'!O22</f>
        <v>0</v>
      </c>
      <c r="H22" s="39">
        <f>'data entry Airport'!R22</f>
        <v>4860.1397999999999</v>
      </c>
      <c r="I22" s="39">
        <f>'data entry Airport'!U22</f>
        <v>4863.7689</v>
      </c>
      <c r="J22" s="39">
        <f>'data entry Airport'!X22</f>
        <v>3644.3101000000001</v>
      </c>
      <c r="K22" s="39">
        <f>'data entry Airport'!AA22</f>
        <v>4495</v>
      </c>
      <c r="L22" s="39">
        <f>'data entry Airport'!AD22</f>
        <v>7490</v>
      </c>
      <c r="M22" s="39">
        <f>'data entry Airport'!AG22</f>
        <v>6038</v>
      </c>
      <c r="N22" s="39">
        <f>'data entry Airport'!AJ22</f>
        <v>7218</v>
      </c>
      <c r="O22" s="39">
        <f>'data entry Airport'!AM22</f>
        <v>5329</v>
      </c>
    </row>
    <row r="23" spans="2:15" ht="14" x14ac:dyDescent="0.15">
      <c r="B23" s="38" t="s">
        <v>33</v>
      </c>
      <c r="C23" s="39">
        <f>'data entry Airport'!C23</f>
        <v>47.755600000000001</v>
      </c>
      <c r="D23" s="39">
        <f>'data entry Airport'!F23</f>
        <v>53.8</v>
      </c>
      <c r="E23" s="39">
        <f>'data entry Airport'!I23</f>
        <v>51.3</v>
      </c>
      <c r="F23" s="39">
        <f>'data entry Airport'!L23</f>
        <v>48.79</v>
      </c>
      <c r="G23" s="39">
        <f>'data entry Airport'!O23</f>
        <v>46.79</v>
      </c>
      <c r="H23" s="39">
        <f>'data entry Airport'!R23</f>
        <v>41.798400000000001</v>
      </c>
      <c r="I23" s="39">
        <f>'data entry Airport'!U23</f>
        <v>42.798400000000001</v>
      </c>
      <c r="J23" s="39">
        <f>'data entry Airport'!X23</f>
        <v>43.298400000000001</v>
      </c>
      <c r="K23" s="39">
        <f>'data entry Airport'!AA23</f>
        <v>46.298400000000001</v>
      </c>
      <c r="L23" s="39">
        <f>'data entry Airport'!AD23</f>
        <v>49.298400000000001</v>
      </c>
      <c r="M23" s="39">
        <f>'data entry Airport'!AG23</f>
        <v>49.298400000000001</v>
      </c>
      <c r="N23" s="39">
        <f>'data entry Airport'!AJ23</f>
        <v>49.298400000000001</v>
      </c>
      <c r="O23" s="39">
        <f>'data entry Airport'!AM23</f>
        <v>50.298400000000001</v>
      </c>
    </row>
    <row r="24" spans="2:15" x14ac:dyDescent="0.15">
      <c r="C24" s="39">
        <f>'data entry Airport'!C24</f>
        <v>0</v>
      </c>
      <c r="D24" s="39">
        <f>'data entry Airport'!F24</f>
        <v>0</v>
      </c>
      <c r="E24" s="39">
        <f>'data entry Airport'!I24</f>
        <v>0</v>
      </c>
      <c r="F24" s="39">
        <f>'data entry Airport'!L24</f>
        <v>0</v>
      </c>
      <c r="G24" s="39">
        <f>'data entry Airport'!O24</f>
        <v>0</v>
      </c>
      <c r="H24" s="39">
        <f>'data entry Airport'!R24</f>
        <v>0</v>
      </c>
      <c r="I24" s="39">
        <f>'data entry Airport'!U24</f>
        <v>0</v>
      </c>
      <c r="J24" s="39">
        <f>'data entry Airport'!X24</f>
        <v>0</v>
      </c>
      <c r="K24" s="39">
        <f>'data entry Airport'!AA24</f>
        <v>0</v>
      </c>
      <c r="L24" s="39">
        <f>'data entry Airport'!AD24</f>
        <v>0</v>
      </c>
      <c r="M24" s="39">
        <f>'data entry Airport'!AG24</f>
        <v>0</v>
      </c>
      <c r="N24" s="39">
        <f>'data entry Airport'!AJ24</f>
        <v>0</v>
      </c>
      <c r="O24" s="39">
        <f>'data entry Airport'!AM24</f>
        <v>0</v>
      </c>
    </row>
    <row r="25" spans="2:15" ht="14" x14ac:dyDescent="0.15">
      <c r="B25" s="38" t="s">
        <v>34</v>
      </c>
      <c r="C25" s="39">
        <f>'data entry Airport'!C25</f>
        <v>0</v>
      </c>
      <c r="D25" s="39">
        <f>'data entry Airport'!F25</f>
        <v>0</v>
      </c>
      <c r="E25" s="39">
        <f>'data entry Airport'!I25</f>
        <v>0</v>
      </c>
      <c r="F25" s="39">
        <f>'data entry Airport'!L25</f>
        <v>0</v>
      </c>
      <c r="G25" s="39">
        <f>'data entry Airport'!O25</f>
        <v>0</v>
      </c>
      <c r="H25" s="39">
        <f>'data entry Airport'!R25</f>
        <v>0</v>
      </c>
      <c r="I25" s="39">
        <f>'data entry Airport'!U25</f>
        <v>0</v>
      </c>
      <c r="J25" s="39">
        <f>'data entry Airport'!X25</f>
        <v>0</v>
      </c>
      <c r="K25" s="39">
        <f>'data entry Airport'!AA25</f>
        <v>0</v>
      </c>
      <c r="L25" s="39">
        <f>'data entry Airport'!AD25</f>
        <v>0</v>
      </c>
      <c r="M25" s="39">
        <f>'data entry Airport'!AG25</f>
        <v>0</v>
      </c>
      <c r="N25" s="39">
        <f>'data entry Airport'!AJ25</f>
        <v>0</v>
      </c>
      <c r="O25" s="39">
        <f>'data entry Airport'!AM25</f>
        <v>0</v>
      </c>
    </row>
    <row r="26" spans="2:15" x14ac:dyDescent="0.15">
      <c r="B26" s="40"/>
      <c r="C26" s="39">
        <f>'data entry Airport'!C26</f>
        <v>0</v>
      </c>
      <c r="D26" s="39">
        <f>'data entry Airport'!F26</f>
        <v>0</v>
      </c>
      <c r="E26" s="39">
        <f>'data entry Airport'!I26</f>
        <v>0</v>
      </c>
      <c r="F26" s="39">
        <f>'data entry Airport'!L26</f>
        <v>0</v>
      </c>
      <c r="G26" s="39">
        <f>'data entry Airport'!O26</f>
        <v>0</v>
      </c>
      <c r="H26" s="39">
        <f>'data entry Airport'!R26</f>
        <v>0</v>
      </c>
      <c r="I26" s="39">
        <f>'data entry Airport'!U26</f>
        <v>0</v>
      </c>
      <c r="J26" s="39">
        <f>'data entry Airport'!X26</f>
        <v>0</v>
      </c>
      <c r="K26" s="39">
        <f>'data entry Airport'!AA26</f>
        <v>0</v>
      </c>
      <c r="L26" s="39">
        <f>'data entry Airport'!AD26</f>
        <v>0</v>
      </c>
      <c r="M26" s="39">
        <f>'data entry Airport'!AG26</f>
        <v>0</v>
      </c>
      <c r="N26" s="39">
        <f>'data entry Airport'!AJ26</f>
        <v>0</v>
      </c>
      <c r="O26" s="39">
        <f>'data entry Airport'!AM26</f>
        <v>0</v>
      </c>
    </row>
    <row r="27" spans="2:15" ht="14" x14ac:dyDescent="0.15">
      <c r="B27" s="42" t="s">
        <v>21</v>
      </c>
      <c r="C27" s="39">
        <f>'data entry Airport'!C27</f>
        <v>6650731.4430999998</v>
      </c>
      <c r="D27" s="39">
        <f>'data entry Airport'!F27</f>
        <v>389776.76</v>
      </c>
      <c r="E27" s="39">
        <f>'data entry Airport'!I27</f>
        <v>420480.24</v>
      </c>
      <c r="F27" s="39">
        <f>'data entry Airport'!L27</f>
        <v>579458.43000000005</v>
      </c>
      <c r="G27" s="39">
        <f>'data entry Airport'!O27</f>
        <v>319362</v>
      </c>
      <c r="H27" s="39">
        <f>'data entry Airport'!R27</f>
        <v>549034.98759999999</v>
      </c>
      <c r="I27" s="39">
        <f>'data entry Airport'!U27</f>
        <v>484786.47889999999</v>
      </c>
      <c r="J27" s="39">
        <f>'data entry Airport'!X27</f>
        <v>342952.15659999999</v>
      </c>
      <c r="K27" s="39">
        <f>'data entry Airport'!AA27</f>
        <v>459404.32</v>
      </c>
      <c r="L27" s="39">
        <f>'data entry Airport'!AD27</f>
        <v>799187.24</v>
      </c>
      <c r="M27" s="39">
        <f>'data entry Airport'!AG27</f>
        <v>873586.14</v>
      </c>
      <c r="N27" s="39">
        <f>'data entry Airport'!AJ27</f>
        <v>898429.52</v>
      </c>
      <c r="O27" s="39">
        <f>'data entry Airport'!AM27</f>
        <v>534273.17000000004</v>
      </c>
    </row>
    <row r="28" spans="2:15" ht="14" x14ac:dyDescent="0.15">
      <c r="B28" s="38" t="s">
        <v>35</v>
      </c>
      <c r="C28" s="39">
        <f>'data entry Airport'!C28</f>
        <v>4539996.99</v>
      </c>
      <c r="D28" s="39">
        <f>'data entry Airport'!F28</f>
        <v>267154.84999999998</v>
      </c>
      <c r="E28" s="39">
        <f>'data entry Airport'!I28</f>
        <v>262296.67</v>
      </c>
      <c r="F28" s="39">
        <f>'data entry Airport'!L28</f>
        <v>415719.98</v>
      </c>
      <c r="G28" s="39">
        <f>'data entry Airport'!O28</f>
        <v>220770.36</v>
      </c>
      <c r="H28" s="39">
        <f>'data entry Airport'!R28</f>
        <v>376171.25</v>
      </c>
      <c r="I28" s="39">
        <f>'data entry Airport'!U28</f>
        <v>307983.88</v>
      </c>
      <c r="J28" s="39">
        <f>'data entry Airport'!X28</f>
        <v>217400</v>
      </c>
      <c r="K28" s="39">
        <f>'data entry Airport'!AA28</f>
        <v>316250</v>
      </c>
      <c r="L28" s="39">
        <f>'data entry Airport'!AD28</f>
        <v>531300</v>
      </c>
      <c r="M28" s="39">
        <f>'data entry Airport'!AG28</f>
        <v>626050</v>
      </c>
      <c r="N28" s="39">
        <f>'data entry Airport'!AJ28</f>
        <v>637400</v>
      </c>
      <c r="O28" s="39">
        <f>'data entry Airport'!AM28</f>
        <v>361500</v>
      </c>
    </row>
    <row r="29" spans="2:15" ht="14" x14ac:dyDescent="0.15">
      <c r="B29" s="38" t="s">
        <v>36</v>
      </c>
      <c r="C29" s="39">
        <f>'data entry Airport'!C29</f>
        <v>1631248.763</v>
      </c>
      <c r="D29" s="39">
        <f>'data entry Airport'!F29</f>
        <v>92461.54</v>
      </c>
      <c r="E29" s="39">
        <f>'data entry Airport'!I29</f>
        <v>105070.28</v>
      </c>
      <c r="F29" s="39">
        <f>'data entry Airport'!L29</f>
        <v>118816.05</v>
      </c>
      <c r="G29" s="39">
        <f>'data entry Airport'!O29</f>
        <v>78890.67</v>
      </c>
      <c r="H29" s="39">
        <f>'data entry Airport'!R29</f>
        <v>137663.74410000001</v>
      </c>
      <c r="I29" s="39">
        <f>'data entry Airport'!U29</f>
        <v>140912.59890000001</v>
      </c>
      <c r="J29" s="39">
        <f>'data entry Airport'!X29</f>
        <v>97380.49</v>
      </c>
      <c r="K29" s="39">
        <f>'data entry Airport'!AA29</f>
        <v>107714.32</v>
      </c>
      <c r="L29" s="39">
        <f>'data entry Airport'!AD29</f>
        <v>215517.24</v>
      </c>
      <c r="M29" s="39">
        <f>'data entry Airport'!AG29</f>
        <v>181436.14</v>
      </c>
      <c r="N29" s="39">
        <f>'data entry Airport'!AJ29</f>
        <v>209500.02</v>
      </c>
      <c r="O29" s="39">
        <f>'data entry Airport'!AM29</f>
        <v>145885.67000000001</v>
      </c>
    </row>
    <row r="30" spans="2:15" ht="14" x14ac:dyDescent="0.15">
      <c r="B30" s="38" t="s">
        <v>37</v>
      </c>
      <c r="C30" s="39">
        <f>'data entry Airport'!C30</f>
        <v>271202.89030000003</v>
      </c>
      <c r="D30" s="39">
        <f>'data entry Airport'!F30</f>
        <v>15490.91</v>
      </c>
      <c r="E30" s="39">
        <f>'data entry Airport'!I30</f>
        <v>13300.67</v>
      </c>
      <c r="F30" s="39">
        <f>'data entry Airport'!L30</f>
        <v>14319.79</v>
      </c>
      <c r="G30" s="39">
        <f>'data entry Airport'!O30</f>
        <v>16502.86</v>
      </c>
      <c r="H30" s="39">
        <f>'data entry Airport'!R30</f>
        <v>25199.993600000002</v>
      </c>
      <c r="I30" s="39">
        <f>'data entry Airport'!U30</f>
        <v>25890</v>
      </c>
      <c r="J30" s="39">
        <f>'data entry Airport'!X30</f>
        <v>20171.666700000002</v>
      </c>
      <c r="K30" s="39">
        <f>'data entry Airport'!AA30</f>
        <v>27440</v>
      </c>
      <c r="L30" s="39">
        <f>'data entry Airport'!AD30</f>
        <v>34370</v>
      </c>
      <c r="M30" s="39">
        <f>'data entry Airport'!AG30</f>
        <v>31100</v>
      </c>
      <c r="N30" s="39">
        <f>'data entry Airport'!AJ30</f>
        <v>26529.5</v>
      </c>
      <c r="O30" s="39">
        <f>'data entry Airport'!AM30</f>
        <v>20887.5</v>
      </c>
    </row>
    <row r="31" spans="2:15" ht="14" x14ac:dyDescent="0.15">
      <c r="B31" s="38" t="s">
        <v>38</v>
      </c>
      <c r="C31" s="39">
        <f>'data entry Airport'!C31</f>
        <v>208282.8</v>
      </c>
      <c r="D31" s="39">
        <f>'data entry Airport'!F31</f>
        <v>14669.46</v>
      </c>
      <c r="E31" s="39">
        <f>'data entry Airport'!I31</f>
        <v>39812.620000000003</v>
      </c>
      <c r="F31" s="39">
        <f>'data entry Airport'!L31</f>
        <v>30602.61</v>
      </c>
      <c r="G31" s="39">
        <f>'data entry Airport'!O31</f>
        <v>3198.11</v>
      </c>
      <c r="H31" s="39">
        <f>'data entry Airport'!R31</f>
        <v>10000</v>
      </c>
      <c r="I31" s="39">
        <f>'data entry Airport'!U31</f>
        <v>10000</v>
      </c>
      <c r="J31" s="39">
        <f>'data entry Airport'!X31</f>
        <v>8000</v>
      </c>
      <c r="K31" s="39">
        <f>'data entry Airport'!AA31</f>
        <v>8000</v>
      </c>
      <c r="L31" s="39">
        <f>'data entry Airport'!AD31</f>
        <v>18000</v>
      </c>
      <c r="M31" s="39">
        <f>'data entry Airport'!AG31</f>
        <v>35000</v>
      </c>
      <c r="N31" s="39">
        <f>'data entry Airport'!AJ31</f>
        <v>25000</v>
      </c>
      <c r="O31" s="39">
        <f>'data entry Airport'!AM31</f>
        <v>6000</v>
      </c>
    </row>
    <row r="32" spans="2:15" x14ac:dyDescent="0.15">
      <c r="B32" s="40"/>
      <c r="C32" s="39">
        <f>'data entry Airport'!C32</f>
        <v>0</v>
      </c>
      <c r="D32" s="39">
        <f>'data entry Airport'!F32</f>
        <v>0</v>
      </c>
      <c r="E32" s="39">
        <f>'data entry Airport'!I32</f>
        <v>0</v>
      </c>
      <c r="F32" s="39">
        <f>'data entry Airport'!L32</f>
        <v>0</v>
      </c>
      <c r="G32" s="39">
        <f>'data entry Airport'!O32</f>
        <v>0</v>
      </c>
      <c r="H32" s="39">
        <f>'data entry Airport'!R32</f>
        <v>0</v>
      </c>
      <c r="I32" s="39">
        <f>'data entry Airport'!U32</f>
        <v>0</v>
      </c>
      <c r="J32" s="39">
        <f>'data entry Airport'!X32</f>
        <v>0</v>
      </c>
      <c r="K32" s="39">
        <f>'data entry Airport'!AA32</f>
        <v>0</v>
      </c>
      <c r="L32" s="39">
        <f>'data entry Airport'!AD32</f>
        <v>0</v>
      </c>
      <c r="M32" s="39">
        <f>'data entry Airport'!AG32</f>
        <v>0</v>
      </c>
      <c r="N32" s="39">
        <f>'data entry Airport'!AJ32</f>
        <v>0</v>
      </c>
      <c r="O32" s="39">
        <f>'data entry Airport'!AM32</f>
        <v>0</v>
      </c>
    </row>
    <row r="33" spans="2:15" ht="14" x14ac:dyDescent="0.15">
      <c r="B33" s="44" t="s">
        <v>39</v>
      </c>
      <c r="C33" s="39">
        <f>'data entry Airport'!C33</f>
        <v>0</v>
      </c>
      <c r="D33" s="39">
        <f>'data entry Airport'!F33</f>
        <v>0</v>
      </c>
      <c r="E33" s="39">
        <f>'data entry Airport'!I33</f>
        <v>0</v>
      </c>
      <c r="F33" s="39">
        <f>'data entry Airport'!L33</f>
        <v>0</v>
      </c>
      <c r="G33" s="39">
        <f>'data entry Airport'!O33</f>
        <v>0</v>
      </c>
      <c r="H33" s="39">
        <f>'data entry Airport'!R33</f>
        <v>0</v>
      </c>
      <c r="I33" s="39">
        <f>'data entry Airport'!U33</f>
        <v>0</v>
      </c>
      <c r="J33" s="39">
        <f>'data entry Airport'!X33</f>
        <v>0</v>
      </c>
      <c r="K33" s="39">
        <f>'data entry Airport'!AA33</f>
        <v>0</v>
      </c>
      <c r="L33" s="39">
        <f>'data entry Airport'!AD33</f>
        <v>0</v>
      </c>
      <c r="M33" s="39">
        <f>'data entry Airport'!AG33</f>
        <v>0</v>
      </c>
      <c r="N33" s="39">
        <f>'data entry Airport'!AJ33</f>
        <v>0</v>
      </c>
      <c r="O33" s="39">
        <f>'data entry Airport'!AM33</f>
        <v>0</v>
      </c>
    </row>
    <row r="34" spans="2:15" ht="14" x14ac:dyDescent="0.15">
      <c r="B34" s="42" t="s">
        <v>35</v>
      </c>
      <c r="C34" s="39">
        <f>'data entry Airport'!C34</f>
        <v>4539996.99</v>
      </c>
      <c r="D34" s="39">
        <f>'data entry Airport'!F34</f>
        <v>267154.84999999998</v>
      </c>
      <c r="E34" s="39">
        <f>'data entry Airport'!I34</f>
        <v>262296.67</v>
      </c>
      <c r="F34" s="39">
        <f>'data entry Airport'!L34</f>
        <v>415719.98</v>
      </c>
      <c r="G34" s="39">
        <f>'data entry Airport'!O34</f>
        <v>220770.36</v>
      </c>
      <c r="H34" s="39">
        <f>'data entry Airport'!R34</f>
        <v>376171.25</v>
      </c>
      <c r="I34" s="39">
        <f>'data entry Airport'!U34</f>
        <v>307983.88</v>
      </c>
      <c r="J34" s="39">
        <f>'data entry Airport'!X34</f>
        <v>217400</v>
      </c>
      <c r="K34" s="39">
        <f>'data entry Airport'!AA34</f>
        <v>316250</v>
      </c>
      <c r="L34" s="39">
        <f>'data entry Airport'!AD34</f>
        <v>531300</v>
      </c>
      <c r="M34" s="39">
        <f>'data entry Airport'!AG34</f>
        <v>626050</v>
      </c>
      <c r="N34" s="39">
        <f>'data entry Airport'!AJ34</f>
        <v>637400</v>
      </c>
      <c r="O34" s="39">
        <f>'data entry Airport'!AM34</f>
        <v>361500</v>
      </c>
    </row>
    <row r="35" spans="2:15" ht="14" x14ac:dyDescent="0.15">
      <c r="B35" s="38" t="s">
        <v>22</v>
      </c>
      <c r="C35" s="39">
        <f>'data entry Airport'!C35</f>
        <v>1182089.8669</v>
      </c>
      <c r="D35" s="39">
        <f>'data entry Airport'!F35</f>
        <v>92287.83</v>
      </c>
      <c r="E35" s="39">
        <f>'data entry Airport'!I35</f>
        <v>98617.49</v>
      </c>
      <c r="F35" s="39">
        <f>'data entry Airport'!L35</f>
        <v>96923.55</v>
      </c>
      <c r="G35" s="39">
        <f>'data entry Airport'!O35</f>
        <v>78464.179999999993</v>
      </c>
      <c r="H35" s="39">
        <f>'data entry Airport'!R35</f>
        <v>104374.24219999999</v>
      </c>
      <c r="I35" s="39">
        <f>'data entry Airport'!U35</f>
        <v>109264.85490000001</v>
      </c>
      <c r="J35" s="39">
        <f>'data entry Airport'!X35</f>
        <v>89054.198799999998</v>
      </c>
      <c r="K35" s="39">
        <f>'data entry Airport'!AA35</f>
        <v>87758.261100000003</v>
      </c>
      <c r="L35" s="39">
        <f>'data entry Airport'!AD35</f>
        <v>106768.15059999999</v>
      </c>
      <c r="M35" s="39">
        <f>'data entry Airport'!AG35</f>
        <v>106130.6695</v>
      </c>
      <c r="N35" s="39">
        <f>'data entry Airport'!AJ35</f>
        <v>111544.5686</v>
      </c>
      <c r="O35" s="39">
        <f>'data entry Airport'!AM35</f>
        <v>100901.87119999999</v>
      </c>
    </row>
    <row r="36" spans="2:15" ht="14" x14ac:dyDescent="0.15">
      <c r="B36" s="38" t="s">
        <v>40</v>
      </c>
      <c r="C36" s="39">
        <f>'data entry Airport'!C36</f>
        <v>824791.49010000005</v>
      </c>
      <c r="D36" s="39">
        <f>'data entry Airport'!F36</f>
        <v>50140.58</v>
      </c>
      <c r="E36" s="39">
        <f>'data entry Airport'!I36</f>
        <v>54698.51</v>
      </c>
      <c r="F36" s="39">
        <f>'data entry Airport'!L36</f>
        <v>58104.46</v>
      </c>
      <c r="G36" s="39">
        <f>'data entry Airport'!O36</f>
        <v>55200.44</v>
      </c>
      <c r="H36" s="39">
        <f>'data entry Airport'!R36</f>
        <v>71254.675000000003</v>
      </c>
      <c r="I36" s="39">
        <f>'data entry Airport'!U36</f>
        <v>64174.228199999998</v>
      </c>
      <c r="J36" s="39">
        <f>'data entry Airport'!X36</f>
        <v>47455.0769</v>
      </c>
      <c r="K36" s="39">
        <f>'data entry Airport'!AA36</f>
        <v>65171.42</v>
      </c>
      <c r="L36" s="39">
        <f>'data entry Airport'!AD36</f>
        <v>92925.17</v>
      </c>
      <c r="M36" s="39">
        <f>'data entry Airport'!AG36</f>
        <v>98054.09</v>
      </c>
      <c r="N36" s="39">
        <f>'data entry Airport'!AJ36</f>
        <v>101825.17</v>
      </c>
      <c r="O36" s="39">
        <f>'data entry Airport'!AM36</f>
        <v>65787.67</v>
      </c>
    </row>
    <row r="37" spans="2:15" ht="14" x14ac:dyDescent="0.15">
      <c r="B37" s="42" t="s">
        <v>41</v>
      </c>
      <c r="C37" s="39">
        <f>'data entry Airport'!C37</f>
        <v>2533115.6329999999</v>
      </c>
      <c r="D37" s="39">
        <f>'data entry Airport'!F37</f>
        <v>124726.44</v>
      </c>
      <c r="E37" s="39">
        <f>'data entry Airport'!I37</f>
        <v>108980.67</v>
      </c>
      <c r="F37" s="39">
        <f>'data entry Airport'!L37</f>
        <v>260691.97</v>
      </c>
      <c r="G37" s="39">
        <f>'data entry Airport'!O37</f>
        <v>87105.74</v>
      </c>
      <c r="H37" s="39">
        <f>'data entry Airport'!R37</f>
        <v>200542.3327</v>
      </c>
      <c r="I37" s="39">
        <f>'data entry Airport'!U37</f>
        <v>134544.79689999999</v>
      </c>
      <c r="J37" s="39">
        <f>'data entry Airport'!X37</f>
        <v>80890.724400000006</v>
      </c>
      <c r="K37" s="39">
        <f>'data entry Airport'!AA37</f>
        <v>163320.31890000001</v>
      </c>
      <c r="L37" s="39">
        <f>'data entry Airport'!AD37</f>
        <v>331606.67940000002</v>
      </c>
      <c r="M37" s="39">
        <f>'data entry Airport'!AG37</f>
        <v>421865.24050000001</v>
      </c>
      <c r="N37" s="39">
        <f>'data entry Airport'!AJ37</f>
        <v>424030.26140000002</v>
      </c>
      <c r="O37" s="39">
        <f>'data entry Airport'!AM37</f>
        <v>194810.45879999999</v>
      </c>
    </row>
    <row r="38" spans="2:15" x14ac:dyDescent="0.15">
      <c r="B38" s="40"/>
      <c r="C38" s="39">
        <f>'data entry Airport'!C38</f>
        <v>0</v>
      </c>
      <c r="D38" s="39">
        <f>'data entry Airport'!F38</f>
        <v>0</v>
      </c>
      <c r="E38" s="39">
        <f>'data entry Airport'!I38</f>
        <v>0</v>
      </c>
      <c r="F38" s="39">
        <f>'data entry Airport'!L38</f>
        <v>0</v>
      </c>
      <c r="G38" s="39">
        <f>'data entry Airport'!O38</f>
        <v>0</v>
      </c>
      <c r="H38" s="39">
        <f>'data entry Airport'!R38</f>
        <v>0</v>
      </c>
      <c r="I38" s="39">
        <f>'data entry Airport'!U38</f>
        <v>0</v>
      </c>
      <c r="J38" s="39">
        <f>'data entry Airport'!X38</f>
        <v>0</v>
      </c>
      <c r="K38" s="39">
        <f>'data entry Airport'!AA38</f>
        <v>0</v>
      </c>
      <c r="L38" s="39">
        <f>'data entry Airport'!AD38</f>
        <v>0</v>
      </c>
      <c r="M38" s="39">
        <f>'data entry Airport'!AG38</f>
        <v>0</v>
      </c>
      <c r="N38" s="39">
        <f>'data entry Airport'!AJ38</f>
        <v>0</v>
      </c>
      <c r="O38" s="39">
        <f>'data entry Airport'!AM38</f>
        <v>0</v>
      </c>
    </row>
    <row r="39" spans="2:15" ht="14" x14ac:dyDescent="0.15">
      <c r="B39" s="44" t="s">
        <v>42</v>
      </c>
      <c r="C39" s="39">
        <f>'data entry Airport'!C39</f>
        <v>0</v>
      </c>
      <c r="D39" s="39">
        <f>'data entry Airport'!F39</f>
        <v>0</v>
      </c>
      <c r="E39" s="39">
        <f>'data entry Airport'!I39</f>
        <v>0</v>
      </c>
      <c r="F39" s="39">
        <f>'data entry Airport'!L39</f>
        <v>0</v>
      </c>
      <c r="G39" s="39">
        <f>'data entry Airport'!O39</f>
        <v>0</v>
      </c>
      <c r="H39" s="39">
        <f>'data entry Airport'!R39</f>
        <v>0</v>
      </c>
      <c r="I39" s="39">
        <f>'data entry Airport'!U39</f>
        <v>0</v>
      </c>
      <c r="J39" s="39">
        <f>'data entry Airport'!X39</f>
        <v>0</v>
      </c>
      <c r="K39" s="39">
        <f>'data entry Airport'!AA39</f>
        <v>0</v>
      </c>
      <c r="L39" s="39">
        <f>'data entry Airport'!AD39</f>
        <v>0</v>
      </c>
      <c r="M39" s="39">
        <f>'data entry Airport'!AG39</f>
        <v>0</v>
      </c>
      <c r="N39" s="39">
        <f>'data entry Airport'!AJ39</f>
        <v>0</v>
      </c>
      <c r="O39" s="39">
        <f>'data entry Airport'!AM39</f>
        <v>0</v>
      </c>
    </row>
    <row r="40" spans="2:15" ht="14" x14ac:dyDescent="0.15">
      <c r="B40" s="38" t="s">
        <v>43</v>
      </c>
      <c r="C40" s="39">
        <f>'data entry Airport'!C40</f>
        <v>1062499.3458</v>
      </c>
      <c r="D40" s="39">
        <f>'data entry Airport'!F40</f>
        <v>60910.14</v>
      </c>
      <c r="E40" s="39">
        <f>'data entry Airport'!I40</f>
        <v>57613.21</v>
      </c>
      <c r="F40" s="39">
        <f>'data entry Airport'!L40</f>
        <v>75579.039999999994</v>
      </c>
      <c r="G40" s="39">
        <f>'data entry Airport'!O40</f>
        <v>51140.4</v>
      </c>
      <c r="H40" s="39">
        <f>'data entry Airport'!R40</f>
        <v>89595.215700000001</v>
      </c>
      <c r="I40" s="39">
        <f>'data entry Airport'!U40</f>
        <v>92287.267900000006</v>
      </c>
      <c r="J40" s="39">
        <f>'data entry Airport'!X40</f>
        <v>63317.822200000002</v>
      </c>
      <c r="K40" s="39">
        <f>'data entry Airport'!AA40</f>
        <v>72207.47</v>
      </c>
      <c r="L40" s="39">
        <f>'data entry Airport'!AD40</f>
        <v>143353.92000000001</v>
      </c>
      <c r="M40" s="39">
        <f>'data entry Airport'!AG40</f>
        <v>120889.95</v>
      </c>
      <c r="N40" s="39">
        <f>'data entry Airport'!AJ40</f>
        <v>138900.51</v>
      </c>
      <c r="O40" s="39">
        <f>'data entry Airport'!AM40</f>
        <v>96704.4</v>
      </c>
    </row>
    <row r="41" spans="2:15" ht="14" x14ac:dyDescent="0.15">
      <c r="B41" s="38" t="s">
        <v>44</v>
      </c>
      <c r="C41" s="39">
        <f>'data entry Airport'!C41</f>
        <v>418326.10720000003</v>
      </c>
      <c r="D41" s="39">
        <f>'data entry Airport'!F41</f>
        <v>24530.48</v>
      </c>
      <c r="E41" s="39">
        <f>'data entry Airport'!I41</f>
        <v>26677.200000000001</v>
      </c>
      <c r="F41" s="39">
        <f>'data entry Airport'!L41</f>
        <v>32908.06</v>
      </c>
      <c r="G41" s="39">
        <f>'data entry Airport'!O41</f>
        <v>17816.5</v>
      </c>
      <c r="H41" s="39">
        <f>'data entry Airport'!R41</f>
        <v>35515.328399999999</v>
      </c>
      <c r="I41" s="39">
        <f>'data entry Airport'!U41</f>
        <v>35666.731</v>
      </c>
      <c r="J41" s="39">
        <f>'data entry Airport'!X41</f>
        <v>28480.267800000001</v>
      </c>
      <c r="K41" s="39">
        <f>'data entry Airport'!AA41</f>
        <v>31410.45</v>
      </c>
      <c r="L41" s="39">
        <f>'data entry Airport'!AD41</f>
        <v>52291.72</v>
      </c>
      <c r="M41" s="39">
        <f>'data entry Airport'!AG41</f>
        <v>42715.79</v>
      </c>
      <c r="N41" s="39">
        <f>'data entry Airport'!AJ41</f>
        <v>51602.71</v>
      </c>
      <c r="O41" s="39">
        <f>'data entry Airport'!AM41</f>
        <v>38710.870000000003</v>
      </c>
    </row>
    <row r="42" spans="2:15" ht="14" x14ac:dyDescent="0.15">
      <c r="B42" s="38" t="s">
        <v>45</v>
      </c>
      <c r="C42" s="39">
        <f>'data entry Airport'!C42</f>
        <v>150423.31</v>
      </c>
      <c r="D42" s="39">
        <f>'data entry Airport'!F42</f>
        <v>7020.92</v>
      </c>
      <c r="E42" s="39">
        <f>'data entry Airport'!I42</f>
        <v>20779.87</v>
      </c>
      <c r="F42" s="39">
        <f>'data entry Airport'!L42</f>
        <v>10328.950000000001</v>
      </c>
      <c r="G42" s="39">
        <f>'data entry Airport'!O42</f>
        <v>9933.77</v>
      </c>
      <c r="H42" s="39">
        <f>'data entry Airport'!R42</f>
        <v>12553.2</v>
      </c>
      <c r="I42" s="39">
        <f>'data entry Airport'!U42</f>
        <v>12958.6</v>
      </c>
      <c r="J42" s="39">
        <f>'data entry Airport'!X42</f>
        <v>5582.4</v>
      </c>
      <c r="K42" s="39">
        <f>'data entry Airport'!AA42</f>
        <v>4096.3999999999996</v>
      </c>
      <c r="L42" s="39">
        <f>'data entry Airport'!AD42</f>
        <v>19871.599999999999</v>
      </c>
      <c r="M42" s="39">
        <f>'data entry Airport'!AG42</f>
        <v>17830.400000000001</v>
      </c>
      <c r="N42" s="39">
        <f>'data entry Airport'!AJ42</f>
        <v>18996.8</v>
      </c>
      <c r="O42" s="39">
        <f>'data entry Airport'!AM42</f>
        <v>10470.4</v>
      </c>
    </row>
    <row r="43" spans="2:15" ht="14" x14ac:dyDescent="0.15">
      <c r="B43" s="42" t="s">
        <v>36</v>
      </c>
      <c r="C43" s="39">
        <f>'data entry Airport'!C43</f>
        <v>1631248.763</v>
      </c>
      <c r="D43" s="39">
        <f>'data entry Airport'!F43</f>
        <v>92461.54</v>
      </c>
      <c r="E43" s="39">
        <f>'data entry Airport'!I43</f>
        <v>105070.28</v>
      </c>
      <c r="F43" s="39">
        <f>'data entry Airport'!L43</f>
        <v>118816.05</v>
      </c>
      <c r="G43" s="39">
        <f>'data entry Airport'!O43</f>
        <v>78890.67</v>
      </c>
      <c r="H43" s="39">
        <f>'data entry Airport'!R43</f>
        <v>137663.74410000001</v>
      </c>
      <c r="I43" s="39">
        <f>'data entry Airport'!U43</f>
        <v>140912.59890000001</v>
      </c>
      <c r="J43" s="39">
        <f>'data entry Airport'!X43</f>
        <v>97380.49</v>
      </c>
      <c r="K43" s="39">
        <f>'data entry Airport'!AA43</f>
        <v>107714.32</v>
      </c>
      <c r="L43" s="39">
        <f>'data entry Airport'!AD43</f>
        <v>215517.24</v>
      </c>
      <c r="M43" s="39">
        <f>'data entry Airport'!AG43</f>
        <v>181436.14</v>
      </c>
      <c r="N43" s="39">
        <f>'data entry Airport'!AJ43</f>
        <v>209500.02</v>
      </c>
      <c r="O43" s="39">
        <f>'data entry Airport'!AM43</f>
        <v>145885.67000000001</v>
      </c>
    </row>
    <row r="44" spans="2:15" ht="14" x14ac:dyDescent="0.15">
      <c r="B44" s="38" t="s">
        <v>46</v>
      </c>
      <c r="C44" s="39">
        <f>'data entry Airport'!C44</f>
        <v>336351.41320000001</v>
      </c>
      <c r="D44" s="39">
        <f>'data entry Airport'!F44</f>
        <v>20908.12</v>
      </c>
      <c r="E44" s="39">
        <f>'data entry Airport'!I44</f>
        <v>22480.78</v>
      </c>
      <c r="F44" s="39">
        <f>'data entry Airport'!L44</f>
        <v>24370.45</v>
      </c>
      <c r="G44" s="39">
        <f>'data entry Airport'!O44</f>
        <v>18343.490000000002</v>
      </c>
      <c r="H44" s="39">
        <f>'data entry Airport'!R44</f>
        <v>27520.270799999998</v>
      </c>
      <c r="I44" s="39">
        <f>'data entry Airport'!U44</f>
        <v>28347.710200000001</v>
      </c>
      <c r="J44" s="39">
        <f>'data entry Airport'!X44</f>
        <v>19711.347399999999</v>
      </c>
      <c r="K44" s="39">
        <f>'data entry Airport'!AA44</f>
        <v>22430.246800000001</v>
      </c>
      <c r="L44" s="39">
        <f>'data entry Airport'!AD44</f>
        <v>43435.771800000002</v>
      </c>
      <c r="M44" s="39">
        <f>'data entry Airport'!AG44</f>
        <v>36915.195899999999</v>
      </c>
      <c r="N44" s="39">
        <f>'data entry Airport'!AJ44</f>
        <v>42096.878299999997</v>
      </c>
      <c r="O44" s="39">
        <f>'data entry Airport'!AM44</f>
        <v>29791.151999999998</v>
      </c>
    </row>
    <row r="45" spans="2:15" ht="14" x14ac:dyDescent="0.15">
      <c r="B45" s="38" t="s">
        <v>47</v>
      </c>
      <c r="C45" s="39">
        <f>'data entry Airport'!C45</f>
        <v>71275.207399999999</v>
      </c>
      <c r="D45" s="39">
        <f>'data entry Airport'!F45</f>
        <v>5485.62</v>
      </c>
      <c r="E45" s="39">
        <f>'data entry Airport'!I45</f>
        <v>5291.86</v>
      </c>
      <c r="F45" s="39">
        <f>'data entry Airport'!L45</f>
        <v>6868.99</v>
      </c>
      <c r="G45" s="39">
        <f>'data entry Airport'!O45</f>
        <v>2291.88</v>
      </c>
      <c r="H45" s="39">
        <f>'data entry Airport'!R45</f>
        <v>5794.0282999999999</v>
      </c>
      <c r="I45" s="39">
        <f>'data entry Airport'!U45</f>
        <v>5810.3822</v>
      </c>
      <c r="J45" s="39">
        <f>'data entry Airport'!X45</f>
        <v>4684.1868999999997</v>
      </c>
      <c r="K45" s="39">
        <f>'data entry Airport'!AA45</f>
        <v>5130.9980999999998</v>
      </c>
      <c r="L45" s="39">
        <f>'data entry Airport'!AD45</f>
        <v>8382.7103999999999</v>
      </c>
      <c r="M45" s="39">
        <f>'data entry Airport'!AG45</f>
        <v>6939.4304000000002</v>
      </c>
      <c r="N45" s="39">
        <f>'data entry Airport'!AJ45</f>
        <v>8272.0318000000007</v>
      </c>
      <c r="O45" s="39">
        <f>'data entry Airport'!AM45</f>
        <v>6323.0892999999996</v>
      </c>
    </row>
    <row r="46" spans="2:15" ht="14" x14ac:dyDescent="0.15">
      <c r="B46" s="38" t="s">
        <v>48</v>
      </c>
      <c r="C46" s="39">
        <f>'data entry Airport'!C46</f>
        <v>-882.7</v>
      </c>
      <c r="D46" s="39">
        <f>'data entry Airport'!F46</f>
        <v>5.2</v>
      </c>
      <c r="E46" s="39">
        <f>'data entry Airport'!I46</f>
        <v>-1079.98</v>
      </c>
      <c r="F46" s="39">
        <f>'data entry Airport'!L46</f>
        <v>17.57</v>
      </c>
      <c r="G46" s="39">
        <f>'data entry Airport'!O46</f>
        <v>174.51</v>
      </c>
      <c r="H46" s="39">
        <f>'data entry Airport'!R46</f>
        <v>0</v>
      </c>
      <c r="I46" s="39">
        <f>'data entry Airport'!U46</f>
        <v>0</v>
      </c>
      <c r="J46" s="39">
        <f>'data entry Airport'!X46</f>
        <v>0</v>
      </c>
      <c r="K46" s="39">
        <f>'data entry Airport'!AA46</f>
        <v>0</v>
      </c>
      <c r="L46" s="39">
        <f>'data entry Airport'!AD46</f>
        <v>0</v>
      </c>
      <c r="M46" s="39">
        <f>'data entry Airport'!AG46</f>
        <v>0</v>
      </c>
      <c r="N46" s="39">
        <f>'data entry Airport'!AJ46</f>
        <v>0</v>
      </c>
      <c r="O46" s="39">
        <f>'data entry Airport'!AM46</f>
        <v>0</v>
      </c>
    </row>
    <row r="47" spans="2:15" ht="14" x14ac:dyDescent="0.15">
      <c r="B47" s="42" t="s">
        <v>49</v>
      </c>
      <c r="C47" s="39">
        <f>'data entry Airport'!C47</f>
        <v>406743.92070000002</v>
      </c>
      <c r="D47" s="39">
        <f>'data entry Airport'!F47</f>
        <v>26398.94</v>
      </c>
      <c r="E47" s="39">
        <f>'data entry Airport'!I47</f>
        <v>26692.66</v>
      </c>
      <c r="F47" s="39">
        <f>'data entry Airport'!L47</f>
        <v>31257.01</v>
      </c>
      <c r="G47" s="39">
        <f>'data entry Airport'!O47</f>
        <v>20809.88</v>
      </c>
      <c r="H47" s="39">
        <f>'data entry Airport'!R47</f>
        <v>33314.299200000001</v>
      </c>
      <c r="I47" s="39">
        <f>'data entry Airport'!U47</f>
        <v>34158.092400000001</v>
      </c>
      <c r="J47" s="39">
        <f>'data entry Airport'!X47</f>
        <v>24395.534299999999</v>
      </c>
      <c r="K47" s="39">
        <f>'data entry Airport'!AA47</f>
        <v>27561.244900000002</v>
      </c>
      <c r="L47" s="39">
        <f>'data entry Airport'!AD47</f>
        <v>51818.482199999999</v>
      </c>
      <c r="M47" s="39">
        <f>'data entry Airport'!AG47</f>
        <v>43854.626300000004</v>
      </c>
      <c r="N47" s="39">
        <f>'data entry Airport'!AJ47</f>
        <v>50368.910100000001</v>
      </c>
      <c r="O47" s="39">
        <f>'data entry Airport'!AM47</f>
        <v>36114.241300000002</v>
      </c>
    </row>
    <row r="48" spans="2:15" ht="14" x14ac:dyDescent="0.15">
      <c r="B48" s="38" t="s">
        <v>22</v>
      </c>
      <c r="C48" s="39">
        <f>'data entry Airport'!C48</f>
        <v>760607.37560000003</v>
      </c>
      <c r="D48" s="39">
        <f>'data entry Airport'!F48</f>
        <v>56875.839999999997</v>
      </c>
      <c r="E48" s="39">
        <f>'data entry Airport'!I48</f>
        <v>55375.83</v>
      </c>
      <c r="F48" s="39">
        <f>'data entry Airport'!L48</f>
        <v>60829.89</v>
      </c>
      <c r="G48" s="39">
        <f>'data entry Airport'!O48</f>
        <v>58191.75</v>
      </c>
      <c r="H48" s="39">
        <f>'data entry Airport'!R48</f>
        <v>64655.677600000003</v>
      </c>
      <c r="I48" s="39">
        <f>'data entry Airport'!U48</f>
        <v>70290.673299999995</v>
      </c>
      <c r="J48" s="39">
        <f>'data entry Airport'!X48</f>
        <v>59883.241399999999</v>
      </c>
      <c r="K48" s="39">
        <f>'data entry Airport'!AA48</f>
        <v>61923.326300000001</v>
      </c>
      <c r="L48" s="39">
        <f>'data entry Airport'!AD48</f>
        <v>67424.133400000006</v>
      </c>
      <c r="M48" s="39">
        <f>'data entry Airport'!AG48</f>
        <v>69606.681599999996</v>
      </c>
      <c r="N48" s="39">
        <f>'data entry Airport'!AJ48</f>
        <v>74011.493799999997</v>
      </c>
      <c r="O48" s="39">
        <f>'data entry Airport'!AM48</f>
        <v>61538.838199999998</v>
      </c>
    </row>
    <row r="49" spans="2:15" ht="14" x14ac:dyDescent="0.15">
      <c r="B49" s="38" t="s">
        <v>40</v>
      </c>
      <c r="C49" s="39">
        <f>'data entry Airport'!C49</f>
        <v>56430.120999999999</v>
      </c>
      <c r="D49" s="39">
        <f>'data entry Airport'!F49</f>
        <v>2324.5300000000002</v>
      </c>
      <c r="E49" s="39">
        <f>'data entry Airport'!I49</f>
        <v>1468.1</v>
      </c>
      <c r="F49" s="39">
        <f>'data entry Airport'!L49</f>
        <v>6002.28</v>
      </c>
      <c r="G49" s="39">
        <f>'data entry Airport'!O49</f>
        <v>2927.64</v>
      </c>
      <c r="H49" s="39">
        <f>'data entry Airport'!R49</f>
        <v>11799.673000000001</v>
      </c>
      <c r="I49" s="39">
        <f>'data entry Airport'!U49</f>
        <v>3287.38</v>
      </c>
      <c r="J49" s="39">
        <f>'data entry Airport'!X49</f>
        <v>4264.3804</v>
      </c>
      <c r="K49" s="39">
        <f>'data entry Airport'!AA49</f>
        <v>3787.38</v>
      </c>
      <c r="L49" s="39">
        <f>'data entry Airport'!AD49</f>
        <v>10302.7282</v>
      </c>
      <c r="M49" s="39">
        <f>'data entry Airport'!AG49</f>
        <v>3427.38</v>
      </c>
      <c r="N49" s="39">
        <f>'data entry Airport'!AJ49</f>
        <v>3601.2694000000001</v>
      </c>
      <c r="O49" s="39">
        <f>'data entry Airport'!AM49</f>
        <v>3237.38</v>
      </c>
    </row>
    <row r="50" spans="2:15" ht="14" x14ac:dyDescent="0.15">
      <c r="B50" s="42" t="s">
        <v>41</v>
      </c>
      <c r="C50" s="39">
        <f>'data entry Airport'!C50</f>
        <v>407467.34590000001</v>
      </c>
      <c r="D50" s="39">
        <f>'data entry Airport'!F50</f>
        <v>6862.23</v>
      </c>
      <c r="E50" s="39">
        <f>'data entry Airport'!I50</f>
        <v>21533.69</v>
      </c>
      <c r="F50" s="39">
        <f>'data entry Airport'!L50</f>
        <v>20726.87</v>
      </c>
      <c r="G50" s="39">
        <f>'data entry Airport'!O50</f>
        <v>-3038.6</v>
      </c>
      <c r="H50" s="39">
        <f>'data entry Airport'!R50</f>
        <v>27894.094300000001</v>
      </c>
      <c r="I50" s="39">
        <f>'data entry Airport'!U50</f>
        <v>33176.453200000004</v>
      </c>
      <c r="J50" s="39">
        <f>'data entry Airport'!X50</f>
        <v>8837.3340000000007</v>
      </c>
      <c r="K50" s="39">
        <f>'data entry Airport'!AA50</f>
        <v>14442.3688</v>
      </c>
      <c r="L50" s="39">
        <f>'data entry Airport'!AD50</f>
        <v>85971.896299999993</v>
      </c>
      <c r="M50" s="39">
        <f>'data entry Airport'!AG50</f>
        <v>64547.452100000002</v>
      </c>
      <c r="N50" s="39">
        <f>'data entry Airport'!AJ50</f>
        <v>81518.346699999995</v>
      </c>
      <c r="O50" s="39">
        <f>'data entry Airport'!AM50</f>
        <v>44995.210500000001</v>
      </c>
    </row>
    <row r="51" spans="2:15" x14ac:dyDescent="0.15">
      <c r="B51" s="40"/>
      <c r="C51" s="39">
        <f>'data entry Airport'!C51</f>
        <v>0</v>
      </c>
      <c r="D51" s="39">
        <f>'data entry Airport'!F51</f>
        <v>0</v>
      </c>
      <c r="E51" s="39">
        <f>'data entry Airport'!I51</f>
        <v>0</v>
      </c>
      <c r="F51" s="39">
        <f>'data entry Airport'!L51</f>
        <v>0</v>
      </c>
      <c r="G51" s="39">
        <f>'data entry Airport'!O51</f>
        <v>0</v>
      </c>
      <c r="H51" s="39">
        <f>'data entry Airport'!R51</f>
        <v>0</v>
      </c>
      <c r="I51" s="39">
        <f>'data entry Airport'!U51</f>
        <v>0</v>
      </c>
      <c r="J51" s="39">
        <f>'data entry Airport'!X51</f>
        <v>0</v>
      </c>
      <c r="K51" s="39">
        <f>'data entry Airport'!AA51</f>
        <v>0</v>
      </c>
      <c r="L51" s="39">
        <f>'data entry Airport'!AD51</f>
        <v>0</v>
      </c>
      <c r="M51" s="39">
        <f>'data entry Airport'!AG51</f>
        <v>0</v>
      </c>
      <c r="N51" s="39">
        <f>'data entry Airport'!AJ51</f>
        <v>0</v>
      </c>
      <c r="O51" s="39">
        <f>'data entry Airport'!AM51</f>
        <v>0</v>
      </c>
    </row>
    <row r="52" spans="2:15" ht="14" x14ac:dyDescent="0.15">
      <c r="B52" s="44" t="s">
        <v>50</v>
      </c>
      <c r="C52" s="39">
        <f>'data entry Airport'!C52</f>
        <v>0</v>
      </c>
      <c r="D52" s="39">
        <f>'data entry Airport'!F52</f>
        <v>0</v>
      </c>
      <c r="E52" s="39">
        <f>'data entry Airport'!I52</f>
        <v>0</v>
      </c>
      <c r="F52" s="39">
        <f>'data entry Airport'!L52</f>
        <v>0</v>
      </c>
      <c r="G52" s="39">
        <f>'data entry Airport'!O52</f>
        <v>0</v>
      </c>
      <c r="H52" s="39">
        <f>'data entry Airport'!R52</f>
        <v>0</v>
      </c>
      <c r="I52" s="39">
        <f>'data entry Airport'!U52</f>
        <v>0</v>
      </c>
      <c r="J52" s="39">
        <f>'data entry Airport'!X52</f>
        <v>0</v>
      </c>
      <c r="K52" s="39">
        <f>'data entry Airport'!AA52</f>
        <v>0</v>
      </c>
      <c r="L52" s="39">
        <f>'data entry Airport'!AD52</f>
        <v>0</v>
      </c>
      <c r="M52" s="39">
        <f>'data entry Airport'!AG52</f>
        <v>0</v>
      </c>
      <c r="N52" s="39">
        <f>'data entry Airport'!AJ52</f>
        <v>0</v>
      </c>
      <c r="O52" s="39">
        <f>'data entry Airport'!AM52</f>
        <v>0</v>
      </c>
    </row>
    <row r="53" spans="2:15" ht="14" x14ac:dyDescent="0.15">
      <c r="B53" s="38" t="s">
        <v>37</v>
      </c>
      <c r="C53" s="39">
        <f>'data entry Airport'!C53</f>
        <v>271202.89030000003</v>
      </c>
      <c r="D53" s="39">
        <f>'data entry Airport'!F53</f>
        <v>15490.91</v>
      </c>
      <c r="E53" s="39">
        <f>'data entry Airport'!I53</f>
        <v>13300.67</v>
      </c>
      <c r="F53" s="39">
        <f>'data entry Airport'!L53</f>
        <v>14319.79</v>
      </c>
      <c r="G53" s="39">
        <f>'data entry Airport'!O53</f>
        <v>16502.86</v>
      </c>
      <c r="H53" s="39">
        <f>'data entry Airport'!R53</f>
        <v>25199.993600000002</v>
      </c>
      <c r="I53" s="39">
        <f>'data entry Airport'!U53</f>
        <v>25890</v>
      </c>
      <c r="J53" s="39">
        <f>'data entry Airport'!X53</f>
        <v>20171.666700000002</v>
      </c>
      <c r="K53" s="39">
        <f>'data entry Airport'!AA53</f>
        <v>27440</v>
      </c>
      <c r="L53" s="39">
        <f>'data entry Airport'!AD53</f>
        <v>34370</v>
      </c>
      <c r="M53" s="39">
        <f>'data entry Airport'!AG53</f>
        <v>31100</v>
      </c>
      <c r="N53" s="39">
        <f>'data entry Airport'!AJ53</f>
        <v>26529.5</v>
      </c>
      <c r="O53" s="39">
        <f>'data entry Airport'!AM53</f>
        <v>20887.5</v>
      </c>
    </row>
    <row r="54" spans="2:15" ht="14" x14ac:dyDescent="0.15">
      <c r="B54" s="38" t="s">
        <v>49</v>
      </c>
      <c r="C54" s="39">
        <f>'data entry Airport'!C54</f>
        <v>40579.645199999999</v>
      </c>
      <c r="D54" s="39">
        <f>'data entry Airport'!F54</f>
        <v>2064.1</v>
      </c>
      <c r="E54" s="39">
        <f>'data entry Airport'!I54</f>
        <v>0</v>
      </c>
      <c r="F54" s="39">
        <f>'data entry Airport'!L54</f>
        <v>248.9</v>
      </c>
      <c r="G54" s="39">
        <f>'data entry Airport'!O54</f>
        <v>3301.6</v>
      </c>
      <c r="H54" s="39">
        <f>'data entry Airport'!R54</f>
        <v>3608.5452</v>
      </c>
      <c r="I54" s="39">
        <f>'data entry Airport'!U54</f>
        <v>6360</v>
      </c>
      <c r="J54" s="39">
        <f>'data entry Airport'!X54</f>
        <v>5000</v>
      </c>
      <c r="K54" s="39">
        <f>'data entry Airport'!AA54</f>
        <v>6360</v>
      </c>
      <c r="L54" s="39">
        <f>'data entry Airport'!AD54</f>
        <v>6360</v>
      </c>
      <c r="M54" s="39">
        <f>'data entry Airport'!AG54</f>
        <v>6060</v>
      </c>
      <c r="N54" s="39">
        <f>'data entry Airport'!AJ54</f>
        <v>678.375</v>
      </c>
      <c r="O54" s="39">
        <f>'data entry Airport'!AM54</f>
        <v>538.125</v>
      </c>
    </row>
    <row r="55" spans="2:15" ht="14" x14ac:dyDescent="0.15">
      <c r="B55" s="38" t="s">
        <v>22</v>
      </c>
      <c r="C55" s="39">
        <f>'data entry Airport'!C55</f>
        <v>0</v>
      </c>
      <c r="D55" s="39">
        <f>'data entry Airport'!F55</f>
        <v>0</v>
      </c>
      <c r="E55" s="39">
        <f>'data entry Airport'!I55</f>
        <v>0</v>
      </c>
      <c r="F55" s="39">
        <f>'data entry Airport'!L55</f>
        <v>0</v>
      </c>
      <c r="G55" s="39">
        <f>'data entry Airport'!O55</f>
        <v>0</v>
      </c>
      <c r="H55" s="39">
        <f>'data entry Airport'!R55</f>
        <v>0</v>
      </c>
      <c r="I55" s="39">
        <f>'data entry Airport'!U55</f>
        <v>0</v>
      </c>
      <c r="J55" s="39">
        <f>'data entry Airport'!X55</f>
        <v>0</v>
      </c>
      <c r="K55" s="39">
        <f>'data entry Airport'!AA55</f>
        <v>0</v>
      </c>
      <c r="L55" s="39">
        <f>'data entry Airport'!AD55</f>
        <v>0</v>
      </c>
      <c r="M55" s="39">
        <f>'data entry Airport'!AG55</f>
        <v>0</v>
      </c>
      <c r="N55" s="39">
        <f>'data entry Airport'!AJ55</f>
        <v>0</v>
      </c>
      <c r="O55" s="39">
        <f>'data entry Airport'!AM55</f>
        <v>0</v>
      </c>
    </row>
    <row r="56" spans="2:15" ht="14" x14ac:dyDescent="0.15">
      <c r="B56" s="38" t="s">
        <v>40</v>
      </c>
      <c r="C56" s="39">
        <f>'data entry Airport'!C56</f>
        <v>0</v>
      </c>
      <c r="D56" s="39">
        <f>'data entry Airport'!F56</f>
        <v>0</v>
      </c>
      <c r="E56" s="39">
        <f>'data entry Airport'!I56</f>
        <v>0</v>
      </c>
      <c r="F56" s="39">
        <f>'data entry Airport'!L56</f>
        <v>0</v>
      </c>
      <c r="G56" s="39">
        <f>'data entry Airport'!O56</f>
        <v>0</v>
      </c>
      <c r="H56" s="39">
        <f>'data entry Airport'!R56</f>
        <v>0</v>
      </c>
      <c r="I56" s="39">
        <f>'data entry Airport'!U56</f>
        <v>0</v>
      </c>
      <c r="J56" s="39">
        <f>'data entry Airport'!X56</f>
        <v>0</v>
      </c>
      <c r="K56" s="39">
        <f>'data entry Airport'!AA56</f>
        <v>0</v>
      </c>
      <c r="L56" s="39">
        <f>'data entry Airport'!AD56</f>
        <v>0</v>
      </c>
      <c r="M56" s="39">
        <f>'data entry Airport'!AG56</f>
        <v>0</v>
      </c>
      <c r="N56" s="39">
        <f>'data entry Airport'!AJ56</f>
        <v>0</v>
      </c>
      <c r="O56" s="39">
        <f>'data entry Airport'!AM56</f>
        <v>0</v>
      </c>
    </row>
    <row r="57" spans="2:15" ht="14" x14ac:dyDescent="0.15">
      <c r="B57" s="42" t="s">
        <v>41</v>
      </c>
      <c r="C57" s="39">
        <f>'data entry Airport'!C57</f>
        <v>230623.2451</v>
      </c>
      <c r="D57" s="39">
        <f>'data entry Airport'!F57</f>
        <v>13426.81</v>
      </c>
      <c r="E57" s="39">
        <f>'data entry Airport'!I57</f>
        <v>13300.67</v>
      </c>
      <c r="F57" s="39">
        <f>'data entry Airport'!L57</f>
        <v>14070.89</v>
      </c>
      <c r="G57" s="39">
        <f>'data entry Airport'!O57</f>
        <v>13201.26</v>
      </c>
      <c r="H57" s="39">
        <f>'data entry Airport'!R57</f>
        <v>21591.448400000001</v>
      </c>
      <c r="I57" s="39">
        <f>'data entry Airport'!U57</f>
        <v>19530</v>
      </c>
      <c r="J57" s="39">
        <f>'data entry Airport'!X57</f>
        <v>15171.6667</v>
      </c>
      <c r="K57" s="39">
        <f>'data entry Airport'!AA57</f>
        <v>21080</v>
      </c>
      <c r="L57" s="39">
        <f>'data entry Airport'!AD57</f>
        <v>28010</v>
      </c>
      <c r="M57" s="39">
        <f>'data entry Airport'!AG57</f>
        <v>25040</v>
      </c>
      <c r="N57" s="39">
        <f>'data entry Airport'!AJ57</f>
        <v>25851.125</v>
      </c>
      <c r="O57" s="39">
        <f>'data entry Airport'!AM57</f>
        <v>20349.375</v>
      </c>
    </row>
    <row r="58" spans="2:15" x14ac:dyDescent="0.15">
      <c r="B58" s="40"/>
      <c r="C58" s="39">
        <f>'data entry Airport'!C58</f>
        <v>0</v>
      </c>
      <c r="D58" s="39">
        <f>'data entry Airport'!F58</f>
        <v>0</v>
      </c>
      <c r="E58" s="39">
        <f>'data entry Airport'!I58</f>
        <v>0</v>
      </c>
      <c r="F58" s="39">
        <f>'data entry Airport'!L58</f>
        <v>0</v>
      </c>
      <c r="G58" s="39">
        <f>'data entry Airport'!O58</f>
        <v>0</v>
      </c>
      <c r="H58" s="39">
        <f>'data entry Airport'!R58</f>
        <v>0</v>
      </c>
      <c r="I58" s="39">
        <f>'data entry Airport'!U58</f>
        <v>0</v>
      </c>
      <c r="J58" s="39">
        <f>'data entry Airport'!X58</f>
        <v>0</v>
      </c>
      <c r="K58" s="39">
        <f>'data entry Airport'!AA58</f>
        <v>0</v>
      </c>
      <c r="L58" s="39">
        <f>'data entry Airport'!AD58</f>
        <v>0</v>
      </c>
      <c r="M58" s="39">
        <f>'data entry Airport'!AG58</f>
        <v>0</v>
      </c>
      <c r="N58" s="39">
        <f>'data entry Airport'!AJ58</f>
        <v>0</v>
      </c>
      <c r="O58" s="39">
        <f>'data entry Airport'!AM58</f>
        <v>0</v>
      </c>
    </row>
    <row r="59" spans="2:15" ht="14" x14ac:dyDescent="0.15">
      <c r="B59" s="44" t="s">
        <v>38</v>
      </c>
      <c r="C59" s="39">
        <f>'data entry Airport'!C59</f>
        <v>0</v>
      </c>
      <c r="D59" s="39">
        <f>'data entry Airport'!F59</f>
        <v>0</v>
      </c>
      <c r="E59" s="39">
        <f>'data entry Airport'!I59</f>
        <v>0</v>
      </c>
      <c r="F59" s="39">
        <f>'data entry Airport'!L59</f>
        <v>0</v>
      </c>
      <c r="G59" s="39">
        <f>'data entry Airport'!O59</f>
        <v>0</v>
      </c>
      <c r="H59" s="39">
        <f>'data entry Airport'!R59</f>
        <v>0</v>
      </c>
      <c r="I59" s="39">
        <f>'data entry Airport'!U59</f>
        <v>0</v>
      </c>
      <c r="J59" s="39">
        <f>'data entry Airport'!X59</f>
        <v>0</v>
      </c>
      <c r="K59" s="39">
        <f>'data entry Airport'!AA59</f>
        <v>0</v>
      </c>
      <c r="L59" s="39">
        <f>'data entry Airport'!AD59</f>
        <v>0</v>
      </c>
      <c r="M59" s="39">
        <f>'data entry Airport'!AG59</f>
        <v>0</v>
      </c>
      <c r="N59" s="39">
        <f>'data entry Airport'!AJ59</f>
        <v>0</v>
      </c>
      <c r="O59" s="39">
        <f>'data entry Airport'!AM59</f>
        <v>0</v>
      </c>
    </row>
    <row r="60" spans="2:15" ht="14" x14ac:dyDescent="0.15">
      <c r="B60" s="42" t="s">
        <v>38</v>
      </c>
      <c r="C60" s="39">
        <f>'data entry Airport'!C60</f>
        <v>208282.8</v>
      </c>
      <c r="D60" s="39">
        <f>'data entry Airport'!F60</f>
        <v>14669.46</v>
      </c>
      <c r="E60" s="39">
        <f>'data entry Airport'!I60</f>
        <v>39812.620000000003</v>
      </c>
      <c r="F60" s="39">
        <f>'data entry Airport'!L60</f>
        <v>30602.61</v>
      </c>
      <c r="G60" s="39">
        <f>'data entry Airport'!O60</f>
        <v>3198.11</v>
      </c>
      <c r="H60" s="39">
        <f>'data entry Airport'!R60</f>
        <v>10000</v>
      </c>
      <c r="I60" s="39">
        <f>'data entry Airport'!U60</f>
        <v>10000</v>
      </c>
      <c r="J60" s="39">
        <f>'data entry Airport'!X60</f>
        <v>8000</v>
      </c>
      <c r="K60" s="39">
        <f>'data entry Airport'!AA60</f>
        <v>8000</v>
      </c>
      <c r="L60" s="39">
        <f>'data entry Airport'!AD60</f>
        <v>18000</v>
      </c>
      <c r="M60" s="39">
        <f>'data entry Airport'!AG60</f>
        <v>35000</v>
      </c>
      <c r="N60" s="39">
        <f>'data entry Airport'!AJ60</f>
        <v>25000</v>
      </c>
      <c r="O60" s="39">
        <f>'data entry Airport'!AM60</f>
        <v>6000</v>
      </c>
    </row>
    <row r="61" spans="2:15" x14ac:dyDescent="0.15">
      <c r="B61" s="40"/>
      <c r="C61" s="39">
        <f>'data entry Airport'!C61</f>
        <v>0</v>
      </c>
      <c r="D61" s="39">
        <f>'data entry Airport'!F61</f>
        <v>0</v>
      </c>
      <c r="E61" s="39">
        <f>'data entry Airport'!I61</f>
        <v>0</v>
      </c>
      <c r="F61" s="39">
        <f>'data entry Airport'!L61</f>
        <v>0</v>
      </c>
      <c r="G61" s="39">
        <f>'data entry Airport'!O61</f>
        <v>0</v>
      </c>
      <c r="H61" s="39">
        <f>'data entry Airport'!R61</f>
        <v>0</v>
      </c>
      <c r="I61" s="39">
        <f>'data entry Airport'!U61</f>
        <v>0</v>
      </c>
      <c r="J61" s="39">
        <f>'data entry Airport'!X61</f>
        <v>0</v>
      </c>
      <c r="K61" s="39">
        <f>'data entry Airport'!AA61</f>
        <v>0</v>
      </c>
      <c r="L61" s="39">
        <f>'data entry Airport'!AD61</f>
        <v>0</v>
      </c>
      <c r="M61" s="39">
        <f>'data entry Airport'!AG61</f>
        <v>0</v>
      </c>
      <c r="N61" s="39">
        <f>'data entry Airport'!AJ61</f>
        <v>0</v>
      </c>
      <c r="O61" s="39">
        <f>'data entry Airport'!AM61</f>
        <v>0</v>
      </c>
    </row>
    <row r="62" spans="2:15" ht="14" x14ac:dyDescent="0.15">
      <c r="B62" s="44" t="s">
        <v>51</v>
      </c>
      <c r="C62" s="39">
        <f>'data entry Airport'!C62</f>
        <v>0</v>
      </c>
      <c r="D62" s="39">
        <f>'data entry Airport'!F62</f>
        <v>0</v>
      </c>
      <c r="E62" s="39">
        <f>'data entry Airport'!I62</f>
        <v>0</v>
      </c>
      <c r="F62" s="39">
        <f>'data entry Airport'!L62</f>
        <v>0</v>
      </c>
      <c r="G62" s="39">
        <f>'data entry Airport'!O62</f>
        <v>0</v>
      </c>
      <c r="H62" s="39">
        <f>'data entry Airport'!R62</f>
        <v>0</v>
      </c>
      <c r="I62" s="39">
        <f>'data entry Airport'!U62</f>
        <v>0</v>
      </c>
      <c r="J62" s="39">
        <f>'data entry Airport'!X62</f>
        <v>0</v>
      </c>
      <c r="K62" s="39">
        <f>'data entry Airport'!AA62</f>
        <v>0</v>
      </c>
      <c r="L62" s="39">
        <f>'data entry Airport'!AD62</f>
        <v>0</v>
      </c>
      <c r="M62" s="39">
        <f>'data entry Airport'!AG62</f>
        <v>0</v>
      </c>
      <c r="N62" s="39">
        <f>'data entry Airport'!AJ62</f>
        <v>0</v>
      </c>
      <c r="O62" s="39">
        <f>'data entry Airport'!AM62</f>
        <v>0</v>
      </c>
    </row>
    <row r="63" spans="2:15" ht="14" x14ac:dyDescent="0.15">
      <c r="B63" s="42" t="s">
        <v>52</v>
      </c>
      <c r="C63" s="39">
        <f>'data entry Airport'!C63</f>
        <v>3379489.0238999999</v>
      </c>
      <c r="D63" s="39">
        <f>'data entry Airport'!F63</f>
        <v>159684.94</v>
      </c>
      <c r="E63" s="39">
        <f>'data entry Airport'!I63</f>
        <v>183627.65</v>
      </c>
      <c r="F63" s="39">
        <f>'data entry Airport'!L63</f>
        <v>326092.34000000003</v>
      </c>
      <c r="G63" s="39">
        <f>'data entry Airport'!O63</f>
        <v>100466.51</v>
      </c>
      <c r="H63" s="39">
        <f>'data entry Airport'!R63</f>
        <v>260027.87539999999</v>
      </c>
      <c r="I63" s="39">
        <f>'data entry Airport'!U63</f>
        <v>197251.2501</v>
      </c>
      <c r="J63" s="39">
        <f>'data entry Airport'!X63</f>
        <v>112899.72500000001</v>
      </c>
      <c r="K63" s="39">
        <f>'data entry Airport'!AA63</f>
        <v>206842.68770000001</v>
      </c>
      <c r="L63" s="39">
        <f>'data entry Airport'!AD63</f>
        <v>463588.57569999999</v>
      </c>
      <c r="M63" s="39">
        <f>'data entry Airport'!AG63</f>
        <v>546452.69259999995</v>
      </c>
      <c r="N63" s="39">
        <f>'data entry Airport'!AJ63</f>
        <v>556399.73309999995</v>
      </c>
      <c r="O63" s="39">
        <f>'data entry Airport'!AM63</f>
        <v>266155.04430000001</v>
      </c>
    </row>
    <row r="64" spans="2:15" x14ac:dyDescent="0.15">
      <c r="B64" s="40"/>
      <c r="C64" s="39">
        <f>'data entry Airport'!C64</f>
        <v>0</v>
      </c>
      <c r="D64" s="39">
        <f>'data entry Airport'!F64</f>
        <v>0</v>
      </c>
      <c r="E64" s="39">
        <f>'data entry Airport'!I64</f>
        <v>0</v>
      </c>
      <c r="F64" s="39">
        <f>'data entry Airport'!L64</f>
        <v>0</v>
      </c>
      <c r="G64" s="39">
        <f>'data entry Airport'!O64</f>
        <v>0</v>
      </c>
      <c r="H64" s="39">
        <f>'data entry Airport'!R64</f>
        <v>0</v>
      </c>
      <c r="I64" s="39">
        <f>'data entry Airport'!U64</f>
        <v>0</v>
      </c>
      <c r="J64" s="39">
        <f>'data entry Airport'!X64</f>
        <v>0</v>
      </c>
      <c r="K64" s="39">
        <f>'data entry Airport'!AA64</f>
        <v>0</v>
      </c>
      <c r="L64" s="39">
        <f>'data entry Airport'!AD64</f>
        <v>0</v>
      </c>
      <c r="M64" s="39">
        <f>'data entry Airport'!AG64</f>
        <v>0</v>
      </c>
      <c r="N64" s="39">
        <f>'data entry Airport'!AJ64</f>
        <v>0</v>
      </c>
      <c r="O64" s="39">
        <f>'data entry Airport'!AM64</f>
        <v>0</v>
      </c>
    </row>
    <row r="65" spans="2:15" ht="14" x14ac:dyDescent="0.15">
      <c r="B65" s="44" t="s">
        <v>53</v>
      </c>
      <c r="C65" s="39">
        <f>'data entry Airport'!C65</f>
        <v>0</v>
      </c>
      <c r="D65" s="39">
        <f>'data entry Airport'!F65</f>
        <v>0</v>
      </c>
      <c r="E65" s="39">
        <f>'data entry Airport'!I65</f>
        <v>0</v>
      </c>
      <c r="F65" s="39">
        <f>'data entry Airport'!L65</f>
        <v>0</v>
      </c>
      <c r="G65" s="39">
        <f>'data entry Airport'!O65</f>
        <v>0</v>
      </c>
      <c r="H65" s="39">
        <f>'data entry Airport'!R65</f>
        <v>0</v>
      </c>
      <c r="I65" s="39">
        <f>'data entry Airport'!U65</f>
        <v>0</v>
      </c>
      <c r="J65" s="39">
        <f>'data entry Airport'!X65</f>
        <v>0</v>
      </c>
      <c r="K65" s="39">
        <f>'data entry Airport'!AA65</f>
        <v>0</v>
      </c>
      <c r="L65" s="39">
        <f>'data entry Airport'!AD65</f>
        <v>0</v>
      </c>
      <c r="M65" s="39">
        <f>'data entry Airport'!AG65</f>
        <v>0</v>
      </c>
      <c r="N65" s="39">
        <f>'data entry Airport'!AJ65</f>
        <v>0</v>
      </c>
      <c r="O65" s="39">
        <f>'data entry Airport'!AM65</f>
        <v>0</v>
      </c>
    </row>
    <row r="66" spans="2:15" ht="14" x14ac:dyDescent="0.15">
      <c r="B66" s="38" t="s">
        <v>22</v>
      </c>
      <c r="C66" s="39">
        <f>'data entry Airport'!C66</f>
        <v>218641.9466</v>
      </c>
      <c r="D66" s="39">
        <f>'data entry Airport'!F66</f>
        <v>9801.84</v>
      </c>
      <c r="E66" s="39">
        <f>'data entry Airport'!I66</f>
        <v>29097.93</v>
      </c>
      <c r="F66" s="39">
        <f>'data entry Airport'!L66</f>
        <v>23220.42</v>
      </c>
      <c r="G66" s="39">
        <f>'data entry Airport'!O66</f>
        <v>20655.07</v>
      </c>
      <c r="H66" s="39">
        <f>'data entry Airport'!R66</f>
        <v>15436.693600000001</v>
      </c>
      <c r="I66" s="39">
        <f>'data entry Airport'!U66</f>
        <v>16246.537700000001</v>
      </c>
      <c r="J66" s="39">
        <f>'data entry Airport'!X66</f>
        <v>13672.9807</v>
      </c>
      <c r="K66" s="39">
        <f>'data entry Airport'!AA66</f>
        <v>15445.356100000001</v>
      </c>
      <c r="L66" s="39">
        <f>'data entry Airport'!AD66</f>
        <v>16756.597000000002</v>
      </c>
      <c r="M66" s="39">
        <f>'data entry Airport'!AG66</f>
        <v>18720.872299999999</v>
      </c>
      <c r="N66" s="39">
        <f>'data entry Airport'!AJ66</f>
        <v>21655.9928</v>
      </c>
      <c r="O66" s="39">
        <f>'data entry Airport'!AM66</f>
        <v>17931.6564</v>
      </c>
    </row>
    <row r="67" spans="2:15" ht="14" x14ac:dyDescent="0.15">
      <c r="B67" s="38" t="s">
        <v>40</v>
      </c>
      <c r="C67" s="39">
        <f>'data entry Airport'!C67</f>
        <v>202462.32399999999</v>
      </c>
      <c r="D67" s="39">
        <f>'data entry Airport'!F67</f>
        <v>8782.7999999999993</v>
      </c>
      <c r="E67" s="39">
        <f>'data entry Airport'!I67</f>
        <v>16756.28</v>
      </c>
      <c r="F67" s="39">
        <f>'data entry Airport'!L67</f>
        <v>12763.88</v>
      </c>
      <c r="G67" s="39">
        <f>'data entry Airport'!O67</f>
        <v>10928.66</v>
      </c>
      <c r="H67" s="39">
        <f>'data entry Airport'!R67</f>
        <v>17603.168699999998</v>
      </c>
      <c r="I67" s="39">
        <f>'data entry Airport'!U67</f>
        <v>16549.7536</v>
      </c>
      <c r="J67" s="39">
        <f>'data entry Airport'!X67</f>
        <v>11680.8305</v>
      </c>
      <c r="K67" s="39">
        <f>'data entry Airport'!AA67</f>
        <v>15105.811100000001</v>
      </c>
      <c r="L67" s="39">
        <f>'data entry Airport'!AD67</f>
        <v>23456.731400000001</v>
      </c>
      <c r="M67" s="39">
        <f>'data entry Airport'!AG67</f>
        <v>24097.665700000001</v>
      </c>
      <c r="N67" s="39">
        <f>'data entry Airport'!AJ67</f>
        <v>28079.000800000002</v>
      </c>
      <c r="O67" s="39">
        <f>'data entry Airport'!AM67</f>
        <v>16657.742200000001</v>
      </c>
    </row>
    <row r="68" spans="2:15" ht="14" x14ac:dyDescent="0.15">
      <c r="B68" s="42" t="s">
        <v>41</v>
      </c>
      <c r="C68" s="39">
        <f>'data entry Airport'!C68</f>
        <v>-421104.27049999998</v>
      </c>
      <c r="D68" s="39">
        <f>'data entry Airport'!F68</f>
        <v>-18584.64</v>
      </c>
      <c r="E68" s="39">
        <f>'data entry Airport'!I68</f>
        <v>-45854.21</v>
      </c>
      <c r="F68" s="39">
        <f>'data entry Airport'!L68</f>
        <v>-35984.300000000003</v>
      </c>
      <c r="G68" s="39">
        <f>'data entry Airport'!O68</f>
        <v>-31583.73</v>
      </c>
      <c r="H68" s="39">
        <f>'data entry Airport'!R68</f>
        <v>-33039.862300000001</v>
      </c>
      <c r="I68" s="39">
        <f>'data entry Airport'!U68</f>
        <v>-32796.291299999997</v>
      </c>
      <c r="J68" s="39">
        <f>'data entry Airport'!X68</f>
        <v>-25353.8112</v>
      </c>
      <c r="K68" s="39">
        <f>'data entry Airport'!AA68</f>
        <v>-30551.1672</v>
      </c>
      <c r="L68" s="39">
        <f>'data entry Airport'!AD68</f>
        <v>-40213.328399999999</v>
      </c>
      <c r="M68" s="39">
        <f>'data entry Airport'!AG68</f>
        <v>-42818.537900000003</v>
      </c>
      <c r="N68" s="39">
        <f>'data entry Airport'!AJ68</f>
        <v>-49734.993600000002</v>
      </c>
      <c r="O68" s="39">
        <f>'data entry Airport'!AM68</f>
        <v>-34589.3986</v>
      </c>
    </row>
    <row r="69" spans="2:15" x14ac:dyDescent="0.15">
      <c r="B69" s="40"/>
      <c r="C69" s="39">
        <f>'data entry Airport'!C69</f>
        <v>0</v>
      </c>
      <c r="D69" s="39">
        <f>'data entry Airport'!F69</f>
        <v>0</v>
      </c>
      <c r="E69" s="39">
        <f>'data entry Airport'!I69</f>
        <v>0</v>
      </c>
      <c r="F69" s="39">
        <f>'data entry Airport'!L69</f>
        <v>0</v>
      </c>
      <c r="G69" s="39">
        <f>'data entry Airport'!O69</f>
        <v>0</v>
      </c>
      <c r="H69" s="39">
        <f>'data entry Airport'!R69</f>
        <v>0</v>
      </c>
      <c r="I69" s="39">
        <f>'data entry Airport'!U69</f>
        <v>0</v>
      </c>
      <c r="J69" s="39">
        <f>'data entry Airport'!X69</f>
        <v>0</v>
      </c>
      <c r="K69" s="39">
        <f>'data entry Airport'!AA69</f>
        <v>0</v>
      </c>
      <c r="L69" s="39">
        <f>'data entry Airport'!AD69</f>
        <v>0</v>
      </c>
      <c r="M69" s="39">
        <f>'data entry Airport'!AG69</f>
        <v>0</v>
      </c>
      <c r="N69" s="39">
        <f>'data entry Airport'!AJ69</f>
        <v>0</v>
      </c>
      <c r="O69" s="39">
        <f>'data entry Airport'!AM69</f>
        <v>0</v>
      </c>
    </row>
    <row r="70" spans="2:15" ht="14" x14ac:dyDescent="0.15">
      <c r="B70" s="44" t="s">
        <v>54</v>
      </c>
      <c r="C70" s="39">
        <f>'data entry Airport'!C70</f>
        <v>0</v>
      </c>
      <c r="D70" s="39">
        <f>'data entry Airport'!F70</f>
        <v>0</v>
      </c>
      <c r="E70" s="39">
        <f>'data entry Airport'!I70</f>
        <v>0</v>
      </c>
      <c r="F70" s="39">
        <f>'data entry Airport'!L70</f>
        <v>0</v>
      </c>
      <c r="G70" s="39">
        <f>'data entry Airport'!O70</f>
        <v>0</v>
      </c>
      <c r="H70" s="39">
        <f>'data entry Airport'!R70</f>
        <v>0</v>
      </c>
      <c r="I70" s="39">
        <f>'data entry Airport'!U70</f>
        <v>0</v>
      </c>
      <c r="J70" s="39">
        <f>'data entry Airport'!X70</f>
        <v>0</v>
      </c>
      <c r="K70" s="39">
        <f>'data entry Airport'!AA70</f>
        <v>0</v>
      </c>
      <c r="L70" s="39">
        <f>'data entry Airport'!AD70</f>
        <v>0</v>
      </c>
      <c r="M70" s="39">
        <f>'data entry Airport'!AG70</f>
        <v>0</v>
      </c>
      <c r="N70" s="39">
        <f>'data entry Airport'!AJ70</f>
        <v>0</v>
      </c>
      <c r="O70" s="39">
        <f>'data entry Airport'!AM70</f>
        <v>0</v>
      </c>
    </row>
    <row r="71" spans="2:15" ht="14" x14ac:dyDescent="0.15">
      <c r="B71" s="38" t="s">
        <v>55</v>
      </c>
      <c r="C71" s="39">
        <f>'data entry Airport'!C71</f>
        <v>44174.09</v>
      </c>
      <c r="D71" s="39">
        <f>'data entry Airport'!F71</f>
        <v>1788</v>
      </c>
      <c r="E71" s="39">
        <f>'data entry Airport'!I71</f>
        <v>2319.14</v>
      </c>
      <c r="F71" s="39">
        <f>'data entry Airport'!L71</f>
        <v>1910.45</v>
      </c>
      <c r="G71" s="39">
        <f>'data entry Airport'!O71</f>
        <v>1908.5</v>
      </c>
      <c r="H71" s="39">
        <f>'data entry Airport'!R71</f>
        <v>4531</v>
      </c>
      <c r="I71" s="39">
        <f>'data entry Airport'!U71</f>
        <v>4531</v>
      </c>
      <c r="J71" s="39">
        <f>'data entry Airport'!X71</f>
        <v>4531</v>
      </c>
      <c r="K71" s="39">
        <f>'data entry Airport'!AA71</f>
        <v>4531</v>
      </c>
      <c r="L71" s="39">
        <f>'data entry Airport'!AD71</f>
        <v>4531</v>
      </c>
      <c r="M71" s="39">
        <f>'data entry Airport'!AG71</f>
        <v>4531</v>
      </c>
      <c r="N71" s="39">
        <f>'data entry Airport'!AJ71</f>
        <v>4531</v>
      </c>
      <c r="O71" s="39">
        <f>'data entry Airport'!AM71</f>
        <v>4531</v>
      </c>
    </row>
    <row r="72" spans="2:15" ht="14" x14ac:dyDescent="0.15">
      <c r="B72" s="38" t="s">
        <v>56</v>
      </c>
      <c r="C72" s="39">
        <f>'data entry Airport'!C72</f>
        <v>125462.13</v>
      </c>
      <c r="D72" s="39">
        <f>'data entry Airport'!F72</f>
        <v>4339.58</v>
      </c>
      <c r="E72" s="39">
        <f>'data entry Airport'!I72</f>
        <v>5718.69</v>
      </c>
      <c r="F72" s="39">
        <f>'data entry Airport'!L72</f>
        <v>8378.48</v>
      </c>
      <c r="G72" s="39">
        <f>'data entry Airport'!O72</f>
        <v>4487.45</v>
      </c>
      <c r="H72" s="39">
        <f>'data entry Airport'!R72</f>
        <v>12860.58</v>
      </c>
      <c r="I72" s="39">
        <f>'data entry Airport'!U72</f>
        <v>12795.24</v>
      </c>
      <c r="J72" s="39">
        <f>'data entry Airport'!X72</f>
        <v>12795.24</v>
      </c>
      <c r="K72" s="39">
        <f>'data entry Airport'!AA72</f>
        <v>12830.58</v>
      </c>
      <c r="L72" s="39">
        <f>'data entry Airport'!AD72</f>
        <v>12795.24</v>
      </c>
      <c r="M72" s="39">
        <f>'data entry Airport'!AG72</f>
        <v>12795.24</v>
      </c>
      <c r="N72" s="39">
        <f>'data entry Airport'!AJ72</f>
        <v>12860.58</v>
      </c>
      <c r="O72" s="39">
        <f>'data entry Airport'!AM72</f>
        <v>12805.23</v>
      </c>
    </row>
    <row r="73" spans="2:15" ht="14" x14ac:dyDescent="0.15">
      <c r="B73" s="38" t="s">
        <v>40</v>
      </c>
      <c r="C73" s="39">
        <f>'data entry Airport'!C73</f>
        <v>4256</v>
      </c>
      <c r="D73" s="39">
        <f>'data entry Airport'!F73</f>
        <v>0</v>
      </c>
      <c r="E73" s="39">
        <f>'data entry Airport'!I73</f>
        <v>0</v>
      </c>
      <c r="F73" s="39">
        <f>'data entry Airport'!L73</f>
        <v>0</v>
      </c>
      <c r="G73" s="39">
        <f>'data entry Airport'!O73</f>
        <v>0</v>
      </c>
      <c r="H73" s="39">
        <f>'data entry Airport'!R73</f>
        <v>532</v>
      </c>
      <c r="I73" s="39">
        <f>'data entry Airport'!U73</f>
        <v>532</v>
      </c>
      <c r="J73" s="39">
        <f>'data entry Airport'!X73</f>
        <v>532</v>
      </c>
      <c r="K73" s="39">
        <f>'data entry Airport'!AA73</f>
        <v>532</v>
      </c>
      <c r="L73" s="39">
        <f>'data entry Airport'!AD73</f>
        <v>532</v>
      </c>
      <c r="M73" s="39">
        <f>'data entry Airport'!AG73</f>
        <v>532</v>
      </c>
      <c r="N73" s="39">
        <f>'data entry Airport'!AJ73</f>
        <v>532</v>
      </c>
      <c r="O73" s="39">
        <f>'data entry Airport'!AM73</f>
        <v>532</v>
      </c>
    </row>
    <row r="74" spans="2:15" ht="14" x14ac:dyDescent="0.15">
      <c r="B74" s="42" t="s">
        <v>41</v>
      </c>
      <c r="C74" s="39">
        <f>'data entry Airport'!C74</f>
        <v>-175180.22</v>
      </c>
      <c r="D74" s="39">
        <f>'data entry Airport'!F74</f>
        <v>-6127.58</v>
      </c>
      <c r="E74" s="39">
        <f>'data entry Airport'!I74</f>
        <v>-8037.83</v>
      </c>
      <c r="F74" s="39">
        <f>'data entry Airport'!L74</f>
        <v>-10288.93</v>
      </c>
      <c r="G74" s="39">
        <f>'data entry Airport'!O74</f>
        <v>-6395.95</v>
      </c>
      <c r="H74" s="39">
        <f>'data entry Airport'!R74</f>
        <v>-18084.580000000002</v>
      </c>
      <c r="I74" s="39">
        <f>'data entry Airport'!U74</f>
        <v>-18019.240000000002</v>
      </c>
      <c r="J74" s="39">
        <f>'data entry Airport'!X74</f>
        <v>-18019.240000000002</v>
      </c>
      <c r="K74" s="39">
        <f>'data entry Airport'!AA74</f>
        <v>-18054.580000000002</v>
      </c>
      <c r="L74" s="39">
        <f>'data entry Airport'!AD74</f>
        <v>-18019.240000000002</v>
      </c>
      <c r="M74" s="39">
        <f>'data entry Airport'!AG74</f>
        <v>-18019.240000000002</v>
      </c>
      <c r="N74" s="39">
        <f>'data entry Airport'!AJ74</f>
        <v>-18084.580000000002</v>
      </c>
      <c r="O74" s="39">
        <f>'data entry Airport'!AM74</f>
        <v>-18029.23</v>
      </c>
    </row>
    <row r="75" spans="2:15" x14ac:dyDescent="0.15">
      <c r="B75" s="40"/>
      <c r="C75" s="39">
        <f>'data entry Airport'!C75</f>
        <v>0</v>
      </c>
      <c r="D75" s="39">
        <f>'data entry Airport'!F75</f>
        <v>0</v>
      </c>
      <c r="E75" s="39">
        <f>'data entry Airport'!I75</f>
        <v>0</v>
      </c>
      <c r="F75" s="39">
        <f>'data entry Airport'!L75</f>
        <v>0</v>
      </c>
      <c r="G75" s="39">
        <f>'data entry Airport'!O75</f>
        <v>0</v>
      </c>
      <c r="H75" s="39">
        <f>'data entry Airport'!R75</f>
        <v>0</v>
      </c>
      <c r="I75" s="39">
        <f>'data entry Airport'!U75</f>
        <v>0</v>
      </c>
      <c r="J75" s="39">
        <f>'data entry Airport'!X75</f>
        <v>0</v>
      </c>
      <c r="K75" s="39">
        <f>'data entry Airport'!AA75</f>
        <v>0</v>
      </c>
      <c r="L75" s="39">
        <f>'data entry Airport'!AD75</f>
        <v>0</v>
      </c>
      <c r="M75" s="39">
        <f>'data entry Airport'!AG75</f>
        <v>0</v>
      </c>
      <c r="N75" s="39">
        <f>'data entry Airport'!AJ75</f>
        <v>0</v>
      </c>
      <c r="O75" s="39">
        <f>'data entry Airport'!AM75</f>
        <v>0</v>
      </c>
    </row>
    <row r="76" spans="2:15" ht="14" x14ac:dyDescent="0.15">
      <c r="B76" s="44" t="s">
        <v>57</v>
      </c>
      <c r="C76" s="39">
        <f>'data entry Airport'!C76</f>
        <v>0</v>
      </c>
      <c r="D76" s="39">
        <f>'data entry Airport'!F76</f>
        <v>0</v>
      </c>
      <c r="E76" s="39">
        <f>'data entry Airport'!I76</f>
        <v>0</v>
      </c>
      <c r="F76" s="39">
        <f>'data entry Airport'!L76</f>
        <v>0</v>
      </c>
      <c r="G76" s="39">
        <f>'data entry Airport'!O76</f>
        <v>0</v>
      </c>
      <c r="H76" s="39">
        <f>'data entry Airport'!R76</f>
        <v>0</v>
      </c>
      <c r="I76" s="39">
        <f>'data entry Airport'!U76</f>
        <v>0</v>
      </c>
      <c r="J76" s="39">
        <f>'data entry Airport'!X76</f>
        <v>0</v>
      </c>
      <c r="K76" s="39">
        <f>'data entry Airport'!AA76</f>
        <v>0</v>
      </c>
      <c r="L76" s="39">
        <f>'data entry Airport'!AD76</f>
        <v>0</v>
      </c>
      <c r="M76" s="39">
        <f>'data entry Airport'!AG76</f>
        <v>0</v>
      </c>
      <c r="N76" s="39">
        <f>'data entry Airport'!AJ76</f>
        <v>0</v>
      </c>
      <c r="O76" s="39">
        <f>'data entry Airport'!AM76</f>
        <v>0</v>
      </c>
    </row>
    <row r="77" spans="2:15" ht="14" x14ac:dyDescent="0.15">
      <c r="B77" s="38" t="s">
        <v>22</v>
      </c>
      <c r="C77" s="39">
        <f>'data entry Airport'!C77</f>
        <v>100164.7501</v>
      </c>
      <c r="D77" s="39">
        <f>'data entry Airport'!F77</f>
        <v>4216.4799999999996</v>
      </c>
      <c r="E77" s="39">
        <f>'data entry Airport'!I77</f>
        <v>8341.25</v>
      </c>
      <c r="F77" s="39">
        <f>'data entry Airport'!L77</f>
        <v>8691.85</v>
      </c>
      <c r="G77" s="39">
        <f>'data entry Airport'!O77</f>
        <v>4790.3599999999997</v>
      </c>
      <c r="H77" s="39">
        <f>'data entry Airport'!R77</f>
        <v>8235.5247999999992</v>
      </c>
      <c r="I77" s="39">
        <f>'data entry Airport'!U77</f>
        <v>7271.7972</v>
      </c>
      <c r="J77" s="39">
        <f>'data entry Airport'!X77</f>
        <v>5144.2822999999999</v>
      </c>
      <c r="K77" s="39">
        <f>'data entry Airport'!AA77</f>
        <v>6891.0648000000001</v>
      </c>
      <c r="L77" s="39">
        <f>'data entry Airport'!AD77</f>
        <v>11987.8086</v>
      </c>
      <c r="M77" s="39">
        <f>'data entry Airport'!AG77</f>
        <v>13103.792100000001</v>
      </c>
      <c r="N77" s="39">
        <f>'data entry Airport'!AJ77</f>
        <v>13476.442800000001</v>
      </c>
      <c r="O77" s="39">
        <f>'data entry Airport'!AM77</f>
        <v>8014.0974999999999</v>
      </c>
    </row>
    <row r="78" spans="2:15" ht="14" x14ac:dyDescent="0.15">
      <c r="B78" s="38" t="s">
        <v>40</v>
      </c>
      <c r="C78" s="39">
        <f>'data entry Airport'!C78</f>
        <v>278864.3541</v>
      </c>
      <c r="D78" s="39">
        <f>'data entry Airport'!F78</f>
        <v>17924.29</v>
      </c>
      <c r="E78" s="39">
        <f>'data entry Airport'!I78</f>
        <v>12149.04</v>
      </c>
      <c r="F78" s="39">
        <f>'data entry Airport'!L78</f>
        <v>15864.91</v>
      </c>
      <c r="G78" s="39">
        <f>'data entry Airport'!O78</f>
        <v>23356.23</v>
      </c>
      <c r="H78" s="39">
        <f>'data entry Airport'!R78</f>
        <v>23539.457399999999</v>
      </c>
      <c r="I78" s="39">
        <f>'data entry Airport'!U78</f>
        <v>22811.341199999999</v>
      </c>
      <c r="J78" s="39">
        <f>'data entry Airport'!X78</f>
        <v>16365.481599999999</v>
      </c>
      <c r="K78" s="39">
        <f>'data entry Airport'!AA78</f>
        <v>23695.503199999999</v>
      </c>
      <c r="L78" s="39">
        <f>'data entry Airport'!AD78</f>
        <v>31794.832399999999</v>
      </c>
      <c r="M78" s="39">
        <f>'data entry Airport'!AG78</f>
        <v>33631.321400000001</v>
      </c>
      <c r="N78" s="39">
        <f>'data entry Airport'!AJ78</f>
        <v>34720.2552</v>
      </c>
      <c r="O78" s="39">
        <f>'data entry Airport'!AM78</f>
        <v>23011.691699999999</v>
      </c>
    </row>
    <row r="79" spans="2:15" ht="14" x14ac:dyDescent="0.15">
      <c r="B79" s="42" t="s">
        <v>41</v>
      </c>
      <c r="C79" s="39">
        <f>'data entry Airport'!C79</f>
        <v>-379029.10430000001</v>
      </c>
      <c r="D79" s="39">
        <f>'data entry Airport'!F79</f>
        <v>-22140.77</v>
      </c>
      <c r="E79" s="39">
        <f>'data entry Airport'!I79</f>
        <v>-20490.29</v>
      </c>
      <c r="F79" s="39">
        <f>'data entry Airport'!L79</f>
        <v>-24556.76</v>
      </c>
      <c r="G79" s="39">
        <f>'data entry Airport'!O79</f>
        <v>-28146.59</v>
      </c>
      <c r="H79" s="39">
        <f>'data entry Airport'!R79</f>
        <v>-31774.982199999999</v>
      </c>
      <c r="I79" s="39">
        <f>'data entry Airport'!U79</f>
        <v>-30083.1384</v>
      </c>
      <c r="J79" s="39">
        <f>'data entry Airport'!X79</f>
        <v>-21509.763900000002</v>
      </c>
      <c r="K79" s="39">
        <f>'data entry Airport'!AA79</f>
        <v>-30586.567999999999</v>
      </c>
      <c r="L79" s="39">
        <f>'data entry Airport'!AD79</f>
        <v>-43782.641000000003</v>
      </c>
      <c r="M79" s="39">
        <f>'data entry Airport'!AG79</f>
        <v>-46735.113499999999</v>
      </c>
      <c r="N79" s="39">
        <f>'data entry Airport'!AJ79</f>
        <v>-48196.697999999997</v>
      </c>
      <c r="O79" s="39">
        <f>'data entry Airport'!AM79</f>
        <v>-31025.7893</v>
      </c>
    </row>
    <row r="80" spans="2:15" x14ac:dyDescent="0.15">
      <c r="B80" s="40"/>
      <c r="C80" s="39">
        <f>'data entry Airport'!C80</f>
        <v>0</v>
      </c>
      <c r="D80" s="39">
        <f>'data entry Airport'!F80</f>
        <v>0</v>
      </c>
      <c r="E80" s="39">
        <f>'data entry Airport'!I80</f>
        <v>0</v>
      </c>
      <c r="F80" s="39">
        <f>'data entry Airport'!L80</f>
        <v>0</v>
      </c>
      <c r="G80" s="39">
        <f>'data entry Airport'!O80</f>
        <v>0</v>
      </c>
      <c r="H80" s="39">
        <f>'data entry Airport'!R80</f>
        <v>0</v>
      </c>
      <c r="I80" s="39">
        <f>'data entry Airport'!U80</f>
        <v>0</v>
      </c>
      <c r="J80" s="39">
        <f>'data entry Airport'!X80</f>
        <v>0</v>
      </c>
      <c r="K80" s="39">
        <f>'data entry Airport'!AA80</f>
        <v>0</v>
      </c>
      <c r="L80" s="39">
        <f>'data entry Airport'!AD80</f>
        <v>0</v>
      </c>
      <c r="M80" s="39">
        <f>'data entry Airport'!AG80</f>
        <v>0</v>
      </c>
      <c r="N80" s="39">
        <f>'data entry Airport'!AJ80</f>
        <v>0</v>
      </c>
      <c r="O80" s="39">
        <f>'data entry Airport'!AM80</f>
        <v>0</v>
      </c>
    </row>
    <row r="81" spans="2:15" ht="14" x14ac:dyDescent="0.15">
      <c r="B81" s="44" t="s">
        <v>58</v>
      </c>
      <c r="C81" s="39">
        <f>'data entry Airport'!C81</f>
        <v>0</v>
      </c>
      <c r="D81" s="39">
        <f>'data entry Airport'!F81</f>
        <v>0</v>
      </c>
      <c r="E81" s="39">
        <f>'data entry Airport'!I81</f>
        <v>0</v>
      </c>
      <c r="F81" s="39">
        <f>'data entry Airport'!L81</f>
        <v>0</v>
      </c>
      <c r="G81" s="39">
        <f>'data entry Airport'!O81</f>
        <v>0</v>
      </c>
      <c r="H81" s="39">
        <f>'data entry Airport'!R81</f>
        <v>0</v>
      </c>
      <c r="I81" s="39">
        <f>'data entry Airport'!U81</f>
        <v>0</v>
      </c>
      <c r="J81" s="39">
        <f>'data entry Airport'!X81</f>
        <v>0</v>
      </c>
      <c r="K81" s="39">
        <f>'data entry Airport'!AA81</f>
        <v>0</v>
      </c>
      <c r="L81" s="39">
        <f>'data entry Airport'!AD81</f>
        <v>0</v>
      </c>
      <c r="M81" s="39">
        <f>'data entry Airport'!AG81</f>
        <v>0</v>
      </c>
      <c r="N81" s="39">
        <f>'data entry Airport'!AJ81</f>
        <v>0</v>
      </c>
      <c r="O81" s="39">
        <f>'data entry Airport'!AM81</f>
        <v>0</v>
      </c>
    </row>
    <row r="82" spans="2:15" ht="14" x14ac:dyDescent="0.15">
      <c r="B82" s="38" t="s">
        <v>22</v>
      </c>
      <c r="C82" s="39">
        <f>'data entry Airport'!C82</f>
        <v>175487.97169999999</v>
      </c>
      <c r="D82" s="39">
        <f>'data entry Airport'!F82</f>
        <v>13728.99</v>
      </c>
      <c r="E82" s="39">
        <f>'data entry Airport'!I82</f>
        <v>13781.88</v>
      </c>
      <c r="F82" s="39">
        <f>'data entry Airport'!L82</f>
        <v>16071.49</v>
      </c>
      <c r="G82" s="39">
        <f>'data entry Airport'!O82</f>
        <v>10668.45</v>
      </c>
      <c r="H82" s="39">
        <f>'data entry Airport'!R82</f>
        <v>14396.438399999999</v>
      </c>
      <c r="I82" s="39">
        <f>'data entry Airport'!U82</f>
        <v>15566.3917</v>
      </c>
      <c r="J82" s="39">
        <f>'data entry Airport'!X82</f>
        <v>14706.6008</v>
      </c>
      <c r="K82" s="39">
        <f>'data entry Airport'!AA82</f>
        <v>14722.650600000001</v>
      </c>
      <c r="L82" s="39">
        <f>'data entry Airport'!AD82</f>
        <v>15884.576999999999</v>
      </c>
      <c r="M82" s="39">
        <f>'data entry Airport'!AG82</f>
        <v>15527.759400000001</v>
      </c>
      <c r="N82" s="39">
        <f>'data entry Airport'!AJ82</f>
        <v>15470.796200000001</v>
      </c>
      <c r="O82" s="39">
        <f>'data entry Airport'!AM82</f>
        <v>14961.9476</v>
      </c>
    </row>
    <row r="83" spans="2:15" ht="14" x14ac:dyDescent="0.15">
      <c r="B83" s="38" t="s">
        <v>40</v>
      </c>
      <c r="C83" s="39">
        <f>'data entry Airport'!C83</f>
        <v>318539.94</v>
      </c>
      <c r="D83" s="39">
        <f>'data entry Airport'!F83</f>
        <v>11746.28</v>
      </c>
      <c r="E83" s="39">
        <f>'data entry Airport'!I83</f>
        <v>14697.56</v>
      </c>
      <c r="F83" s="39">
        <f>'data entry Airport'!L83</f>
        <v>16278.74</v>
      </c>
      <c r="G83" s="39">
        <f>'data entry Airport'!O83</f>
        <v>12759.32</v>
      </c>
      <c r="H83" s="39">
        <f>'data entry Airport'!R83</f>
        <v>35734.629999999997</v>
      </c>
      <c r="I83" s="39">
        <f>'data entry Airport'!U83</f>
        <v>34284.629999999997</v>
      </c>
      <c r="J83" s="39">
        <f>'data entry Airport'!X83</f>
        <v>31071.63</v>
      </c>
      <c r="K83" s="39">
        <f>'data entry Airport'!AA83</f>
        <v>32470.63</v>
      </c>
      <c r="L83" s="39">
        <f>'data entry Airport'!AD83</f>
        <v>41864.629999999997</v>
      </c>
      <c r="M83" s="39">
        <f>'data entry Airport'!AG83</f>
        <v>30958.63</v>
      </c>
      <c r="N83" s="39">
        <f>'data entry Airport'!AJ83</f>
        <v>31450.63</v>
      </c>
      <c r="O83" s="39">
        <f>'data entry Airport'!AM83</f>
        <v>25222.63</v>
      </c>
    </row>
    <row r="84" spans="2:15" ht="14" x14ac:dyDescent="0.15">
      <c r="B84" s="42" t="s">
        <v>41</v>
      </c>
      <c r="C84" s="39">
        <f>'data entry Airport'!C84</f>
        <v>-494027.9117</v>
      </c>
      <c r="D84" s="39">
        <f>'data entry Airport'!F84</f>
        <v>-25475.27</v>
      </c>
      <c r="E84" s="39">
        <f>'data entry Airport'!I84</f>
        <v>-28479.439999999999</v>
      </c>
      <c r="F84" s="39">
        <f>'data entry Airport'!L84</f>
        <v>-32350.23</v>
      </c>
      <c r="G84" s="39">
        <f>'data entry Airport'!O84</f>
        <v>-23427.77</v>
      </c>
      <c r="H84" s="39">
        <f>'data entry Airport'!R84</f>
        <v>-50131.068399999996</v>
      </c>
      <c r="I84" s="39">
        <f>'data entry Airport'!U84</f>
        <v>-49851.021699999998</v>
      </c>
      <c r="J84" s="39">
        <f>'data entry Airport'!X84</f>
        <v>-45778.230799999998</v>
      </c>
      <c r="K84" s="39">
        <f>'data entry Airport'!AA84</f>
        <v>-47193.280599999998</v>
      </c>
      <c r="L84" s="39">
        <f>'data entry Airport'!AD84</f>
        <v>-57749.207000000002</v>
      </c>
      <c r="M84" s="39">
        <f>'data entry Airport'!AG84</f>
        <v>-46486.3894</v>
      </c>
      <c r="N84" s="39">
        <f>'data entry Airport'!AJ84</f>
        <v>-46921.426200000002</v>
      </c>
      <c r="O84" s="39">
        <f>'data entry Airport'!AM84</f>
        <v>-40184.577599999997</v>
      </c>
    </row>
    <row r="85" spans="2:15" x14ac:dyDescent="0.15">
      <c r="B85" s="40"/>
      <c r="C85" s="39">
        <f>'data entry Airport'!C85</f>
        <v>0</v>
      </c>
      <c r="D85" s="39">
        <f>'data entry Airport'!F85</f>
        <v>0</v>
      </c>
      <c r="E85" s="39">
        <f>'data entry Airport'!I85</f>
        <v>0</v>
      </c>
      <c r="F85" s="39">
        <f>'data entry Airport'!L85</f>
        <v>0</v>
      </c>
      <c r="G85" s="39">
        <f>'data entry Airport'!O85</f>
        <v>0</v>
      </c>
      <c r="H85" s="39">
        <f>'data entry Airport'!R85</f>
        <v>0</v>
      </c>
      <c r="I85" s="39">
        <f>'data entry Airport'!U85</f>
        <v>0</v>
      </c>
      <c r="J85" s="39">
        <f>'data entry Airport'!X85</f>
        <v>0</v>
      </c>
      <c r="K85" s="39">
        <f>'data entry Airport'!AA85</f>
        <v>0</v>
      </c>
      <c r="L85" s="39">
        <f>'data entry Airport'!AD85</f>
        <v>0</v>
      </c>
      <c r="M85" s="39">
        <f>'data entry Airport'!AG85</f>
        <v>0</v>
      </c>
      <c r="N85" s="39">
        <f>'data entry Airport'!AJ85</f>
        <v>0</v>
      </c>
      <c r="O85" s="39">
        <f>'data entry Airport'!AM85</f>
        <v>0</v>
      </c>
    </row>
    <row r="86" spans="2:15" ht="14" x14ac:dyDescent="0.15">
      <c r="B86" s="44" t="s">
        <v>59</v>
      </c>
      <c r="C86" s="39">
        <f>'data entry Airport'!C86</f>
        <v>0</v>
      </c>
      <c r="D86" s="39">
        <f>'data entry Airport'!F86</f>
        <v>0</v>
      </c>
      <c r="E86" s="39">
        <f>'data entry Airport'!I86</f>
        <v>0</v>
      </c>
      <c r="F86" s="39">
        <f>'data entry Airport'!L86</f>
        <v>0</v>
      </c>
      <c r="G86" s="39">
        <f>'data entry Airport'!O86</f>
        <v>0</v>
      </c>
      <c r="H86" s="39">
        <f>'data entry Airport'!R86</f>
        <v>0</v>
      </c>
      <c r="I86" s="39">
        <f>'data entry Airport'!U86</f>
        <v>0</v>
      </c>
      <c r="J86" s="39">
        <f>'data entry Airport'!X86</f>
        <v>0</v>
      </c>
      <c r="K86" s="39">
        <f>'data entry Airport'!AA86</f>
        <v>0</v>
      </c>
      <c r="L86" s="39">
        <f>'data entry Airport'!AD86</f>
        <v>0</v>
      </c>
      <c r="M86" s="39">
        <f>'data entry Airport'!AG86</f>
        <v>0</v>
      </c>
      <c r="N86" s="39">
        <f>'data entry Airport'!AJ86</f>
        <v>0</v>
      </c>
      <c r="O86" s="39">
        <f>'data entry Airport'!AM86</f>
        <v>0</v>
      </c>
    </row>
    <row r="87" spans="2:15" ht="14" x14ac:dyDescent="0.15">
      <c r="B87" s="42" t="s">
        <v>41</v>
      </c>
      <c r="C87" s="39">
        <f>'data entry Airport'!C87</f>
        <v>-336694.6887</v>
      </c>
      <c r="D87" s="39">
        <f>'data entry Airport'!F87</f>
        <v>-39786.019999999997</v>
      </c>
      <c r="E87" s="39">
        <f>'data entry Airport'!I87</f>
        <v>-33739.07</v>
      </c>
      <c r="F87" s="39">
        <f>'data entry Airport'!L87</f>
        <v>-31325.07</v>
      </c>
      <c r="G87" s="39">
        <f>'data entry Airport'!O87</f>
        <v>-31477.07</v>
      </c>
      <c r="H87" s="39">
        <f>'data entry Airport'!R87</f>
        <v>-19874.202499999999</v>
      </c>
      <c r="I87" s="39">
        <f>'data entry Airport'!U87</f>
        <v>-20033.96</v>
      </c>
      <c r="J87" s="39">
        <f>'data entry Airport'!X87</f>
        <v>-26578.0962</v>
      </c>
      <c r="K87" s="39">
        <f>'data entry Airport'!AA87</f>
        <v>-24408.7</v>
      </c>
      <c r="L87" s="39">
        <f>'data entry Airport'!AD87</f>
        <v>-26341</v>
      </c>
      <c r="M87" s="39">
        <f>'data entry Airport'!AG87</f>
        <v>-28069</v>
      </c>
      <c r="N87" s="39">
        <f>'data entry Airport'!AJ87</f>
        <v>-27365.5</v>
      </c>
      <c r="O87" s="39">
        <f>'data entry Airport'!AM87</f>
        <v>-27697</v>
      </c>
    </row>
    <row r="88" spans="2:15" x14ac:dyDescent="0.15">
      <c r="B88" s="40"/>
      <c r="C88" s="39">
        <f>'data entry Airport'!C88</f>
        <v>0</v>
      </c>
      <c r="D88" s="39">
        <f>'data entry Airport'!F88</f>
        <v>0</v>
      </c>
      <c r="E88" s="39">
        <f>'data entry Airport'!I88</f>
        <v>0</v>
      </c>
      <c r="F88" s="39">
        <f>'data entry Airport'!L88</f>
        <v>0</v>
      </c>
      <c r="G88" s="39">
        <f>'data entry Airport'!O88</f>
        <v>0</v>
      </c>
      <c r="H88" s="39">
        <f>'data entry Airport'!R88</f>
        <v>0</v>
      </c>
      <c r="I88" s="39">
        <f>'data entry Airport'!U88</f>
        <v>0</v>
      </c>
      <c r="J88" s="39">
        <f>'data entry Airport'!X88</f>
        <v>0</v>
      </c>
      <c r="K88" s="39">
        <f>'data entry Airport'!AA88</f>
        <v>0</v>
      </c>
      <c r="L88" s="39">
        <f>'data entry Airport'!AD88</f>
        <v>0</v>
      </c>
      <c r="M88" s="39">
        <f>'data entry Airport'!AG88</f>
        <v>0</v>
      </c>
      <c r="N88" s="39">
        <f>'data entry Airport'!AJ88</f>
        <v>0</v>
      </c>
      <c r="O88" s="39">
        <f>'data entry Airport'!AM88</f>
        <v>0</v>
      </c>
    </row>
    <row r="89" spans="2:15" ht="14" x14ac:dyDescent="0.15">
      <c r="B89" s="42" t="s">
        <v>23</v>
      </c>
      <c r="C89" s="39">
        <f>'data entry Airport'!C89</f>
        <v>1573452.8291</v>
      </c>
      <c r="D89" s="39">
        <f>'data entry Airport'!F89</f>
        <v>47570.66</v>
      </c>
      <c r="E89" s="39">
        <f>'data entry Airport'!I89</f>
        <v>47026.81</v>
      </c>
      <c r="F89" s="39">
        <f>'data entry Airport'!L89</f>
        <v>191587.05</v>
      </c>
      <c r="G89" s="39">
        <f>'data entry Airport'!O89</f>
        <v>-20564.599999999999</v>
      </c>
      <c r="H89" s="39">
        <f>'data entry Airport'!R89</f>
        <v>107123.1802</v>
      </c>
      <c r="I89" s="39">
        <f>'data entry Airport'!U89</f>
        <v>46467.598700000002</v>
      </c>
      <c r="J89" s="39">
        <f>'data entry Airport'!X89</f>
        <v>-24339.417099999999</v>
      </c>
      <c r="K89" s="39">
        <f>'data entry Airport'!AA89</f>
        <v>56048.392</v>
      </c>
      <c r="L89" s="39">
        <f>'data entry Airport'!AD89</f>
        <v>277483.1593</v>
      </c>
      <c r="M89" s="39">
        <f>'data entry Airport'!AG89</f>
        <v>364324.4118</v>
      </c>
      <c r="N89" s="39">
        <f>'data entry Airport'!AJ89</f>
        <v>366096.53529999999</v>
      </c>
      <c r="O89" s="39">
        <f>'data entry Airport'!AM89</f>
        <v>114629.04889999999</v>
      </c>
    </row>
    <row r="90" spans="2:15" x14ac:dyDescent="0.15">
      <c r="B90" s="40"/>
      <c r="C90" s="39">
        <f>'data entry Airport'!C90</f>
        <v>0</v>
      </c>
      <c r="D90" s="39">
        <f>'data entry Airport'!F90</f>
        <v>0</v>
      </c>
      <c r="E90" s="39">
        <f>'data entry Airport'!I90</f>
        <v>0</v>
      </c>
      <c r="F90" s="39">
        <f>'data entry Airport'!L90</f>
        <v>0</v>
      </c>
      <c r="G90" s="39">
        <f>'data entry Airport'!O90</f>
        <v>0</v>
      </c>
      <c r="H90" s="39">
        <f>'data entry Airport'!R90</f>
        <v>0</v>
      </c>
      <c r="I90" s="39">
        <f>'data entry Airport'!U90</f>
        <v>0</v>
      </c>
      <c r="J90" s="39">
        <f>'data entry Airport'!X90</f>
        <v>0</v>
      </c>
      <c r="K90" s="39">
        <f>'data entry Airport'!AA90</f>
        <v>0</v>
      </c>
      <c r="L90" s="39">
        <f>'data entry Airport'!AD90</f>
        <v>0</v>
      </c>
      <c r="M90" s="39">
        <f>'data entry Airport'!AG90</f>
        <v>0</v>
      </c>
      <c r="N90" s="39">
        <f>'data entry Airport'!AJ90</f>
        <v>0</v>
      </c>
      <c r="O90" s="39">
        <f>'data entry Airport'!AM90</f>
        <v>0</v>
      </c>
    </row>
    <row r="91" spans="2:15" ht="14" x14ac:dyDescent="0.15">
      <c r="B91" s="42" t="s">
        <v>60</v>
      </c>
      <c r="C91" s="39">
        <f>'data entry Airport'!C91</f>
        <v>0</v>
      </c>
      <c r="D91" s="39">
        <f>'data entry Airport'!F91</f>
        <v>0</v>
      </c>
      <c r="E91" s="39">
        <f>'data entry Airport'!I91</f>
        <v>0</v>
      </c>
      <c r="F91" s="39">
        <f>'data entry Airport'!L91</f>
        <v>0</v>
      </c>
      <c r="G91" s="39">
        <f>'data entry Airport'!O91</f>
        <v>0</v>
      </c>
      <c r="H91" s="39">
        <f>'data entry Airport'!R91</f>
        <v>0</v>
      </c>
      <c r="I91" s="39">
        <f>'data entry Airport'!U91</f>
        <v>0</v>
      </c>
      <c r="J91" s="39">
        <f>'data entry Airport'!X91</f>
        <v>0</v>
      </c>
      <c r="K91" s="39">
        <f>'data entry Airport'!AA91</f>
        <v>0</v>
      </c>
      <c r="L91" s="39">
        <f>'data entry Airport'!AD91</f>
        <v>0</v>
      </c>
      <c r="M91" s="39">
        <f>'data entry Airport'!AG91</f>
        <v>0</v>
      </c>
      <c r="N91" s="39">
        <f>'data entry Airport'!AJ91</f>
        <v>0</v>
      </c>
      <c r="O91" s="39">
        <f>'data entry Airport'!AM91</f>
        <v>0</v>
      </c>
    </row>
    <row r="92" spans="2:15" ht="14" x14ac:dyDescent="0.15">
      <c r="B92" s="38" t="s">
        <v>61</v>
      </c>
      <c r="C92" s="39">
        <f>'data entry Airport'!C92</f>
        <v>0</v>
      </c>
      <c r="D92" s="39">
        <f>'data entry Airport'!F92</f>
        <v>0</v>
      </c>
      <c r="E92" s="39">
        <f>'data entry Airport'!I92</f>
        <v>0</v>
      </c>
      <c r="F92" s="39">
        <f>'data entry Airport'!L92</f>
        <v>0</v>
      </c>
      <c r="G92" s="39">
        <f>'data entry Airport'!O92</f>
        <v>0</v>
      </c>
      <c r="H92" s="39">
        <f>'data entry Airport'!R92</f>
        <v>0</v>
      </c>
      <c r="I92" s="39">
        <f>'data entry Airport'!U92</f>
        <v>0</v>
      </c>
      <c r="J92" s="39">
        <f>'data entry Airport'!X92</f>
        <v>0</v>
      </c>
      <c r="K92" s="39">
        <f>'data entry Airport'!AA92</f>
        <v>0</v>
      </c>
      <c r="L92" s="39">
        <f>'data entry Airport'!AD92</f>
        <v>0</v>
      </c>
      <c r="M92" s="39">
        <f>'data entry Airport'!AG92</f>
        <v>0</v>
      </c>
      <c r="N92" s="39">
        <f>'data entry Airport'!AJ92</f>
        <v>0</v>
      </c>
      <c r="O92" s="39">
        <f>'data entry Airport'!AM92</f>
        <v>0</v>
      </c>
    </row>
    <row r="93" spans="2:15" ht="14" x14ac:dyDescent="0.15">
      <c r="B93" s="38" t="s">
        <v>62</v>
      </c>
      <c r="C93" s="39">
        <f>'data entry Airport'!C93</f>
        <v>0</v>
      </c>
      <c r="D93" s="39">
        <f>'data entry Airport'!F93</f>
        <v>0</v>
      </c>
      <c r="E93" s="39">
        <f>'data entry Airport'!I93</f>
        <v>0</v>
      </c>
      <c r="F93" s="39">
        <f>'data entry Airport'!L93</f>
        <v>0</v>
      </c>
      <c r="G93" s="39">
        <f>'data entry Airport'!O93</f>
        <v>0</v>
      </c>
      <c r="H93" s="39">
        <f>'data entry Airport'!R93</f>
        <v>0</v>
      </c>
      <c r="I93" s="39">
        <f>'data entry Airport'!U93</f>
        <v>0</v>
      </c>
      <c r="J93" s="39">
        <f>'data entry Airport'!X93</f>
        <v>0</v>
      </c>
      <c r="K93" s="39">
        <f>'data entry Airport'!AA93</f>
        <v>0</v>
      </c>
      <c r="L93" s="39">
        <f>'data entry Airport'!AD93</f>
        <v>0</v>
      </c>
      <c r="M93" s="39">
        <f>'data entry Airport'!AG93</f>
        <v>0</v>
      </c>
      <c r="N93" s="39">
        <f>'data entry Airport'!AJ93</f>
        <v>0</v>
      </c>
      <c r="O93" s="39">
        <f>'data entry Airport'!AM93</f>
        <v>0</v>
      </c>
    </row>
    <row r="94" spans="2:15" ht="14" x14ac:dyDescent="0.15">
      <c r="B94" s="38" t="s">
        <v>63</v>
      </c>
      <c r="C94" s="39">
        <f>'data entry Airport'!C94</f>
        <v>0</v>
      </c>
      <c r="D94" s="39">
        <f>'data entry Airport'!F94</f>
        <v>0</v>
      </c>
      <c r="E94" s="39">
        <f>'data entry Airport'!I94</f>
        <v>0</v>
      </c>
      <c r="F94" s="39">
        <f>'data entry Airport'!L94</f>
        <v>0</v>
      </c>
      <c r="G94" s="39">
        <f>'data entry Airport'!O94</f>
        <v>0</v>
      </c>
      <c r="H94" s="39">
        <f>'data entry Airport'!R94</f>
        <v>0</v>
      </c>
      <c r="I94" s="39">
        <f>'data entry Airport'!U94</f>
        <v>0</v>
      </c>
      <c r="J94" s="39">
        <f>'data entry Airport'!X94</f>
        <v>0</v>
      </c>
      <c r="K94" s="39">
        <f>'data entry Airport'!AA94</f>
        <v>0</v>
      </c>
      <c r="L94" s="39">
        <f>'data entry Airport'!AD94</f>
        <v>0</v>
      </c>
      <c r="M94" s="39">
        <f>'data entry Airport'!AG94</f>
        <v>0</v>
      </c>
      <c r="N94" s="39">
        <f>'data entry Airport'!AJ94</f>
        <v>0</v>
      </c>
      <c r="O94" s="39">
        <f>'data entry Airport'!AM94</f>
        <v>0</v>
      </c>
    </row>
    <row r="95" spans="2:15" ht="14" x14ac:dyDescent="0.15">
      <c r="B95" s="38" t="s">
        <v>64</v>
      </c>
      <c r="C95" s="39">
        <f>'data entry Airport'!C95</f>
        <v>0</v>
      </c>
      <c r="D95" s="39">
        <f>'data entry Airport'!F95</f>
        <v>0</v>
      </c>
      <c r="E95" s="39">
        <f>'data entry Airport'!I95</f>
        <v>0</v>
      </c>
      <c r="F95" s="39">
        <f>'data entry Airport'!L95</f>
        <v>0</v>
      </c>
      <c r="G95" s="39">
        <f>'data entry Airport'!O95</f>
        <v>0</v>
      </c>
      <c r="H95" s="39">
        <f>'data entry Airport'!R95</f>
        <v>0</v>
      </c>
      <c r="I95" s="39">
        <f>'data entry Airport'!U95</f>
        <v>0</v>
      </c>
      <c r="J95" s="39">
        <f>'data entry Airport'!X95</f>
        <v>0</v>
      </c>
      <c r="K95" s="39">
        <f>'data entry Airport'!AA95</f>
        <v>0</v>
      </c>
      <c r="L95" s="39">
        <f>'data entry Airport'!AD95</f>
        <v>0</v>
      </c>
      <c r="M95" s="39">
        <f>'data entry Airport'!AG95</f>
        <v>0</v>
      </c>
      <c r="N95" s="39">
        <f>'data entry Airport'!AJ95</f>
        <v>0</v>
      </c>
      <c r="O95" s="39">
        <f>'data entry Airport'!AM95</f>
        <v>0</v>
      </c>
    </row>
    <row r="96" spans="2:15" x14ac:dyDescent="0.15">
      <c r="B96" s="40"/>
      <c r="C96" s="39">
        <f>'data entry Airport'!C96</f>
        <v>0</v>
      </c>
      <c r="D96" s="39">
        <f>'data entry Airport'!F96</f>
        <v>0</v>
      </c>
      <c r="E96" s="39">
        <f>'data entry Airport'!I96</f>
        <v>0</v>
      </c>
      <c r="F96" s="39">
        <f>'data entry Airport'!L96</f>
        <v>0</v>
      </c>
      <c r="G96" s="39">
        <f>'data entry Airport'!O96</f>
        <v>0</v>
      </c>
      <c r="H96" s="39">
        <f>'data entry Airport'!R96</f>
        <v>0</v>
      </c>
      <c r="I96" s="39">
        <f>'data entry Airport'!U96</f>
        <v>0</v>
      </c>
      <c r="J96" s="39">
        <f>'data entry Airport'!X96</f>
        <v>0</v>
      </c>
      <c r="K96" s="39">
        <f>'data entry Airport'!AA96</f>
        <v>0</v>
      </c>
      <c r="L96" s="39">
        <f>'data entry Airport'!AD96</f>
        <v>0</v>
      </c>
      <c r="M96" s="39">
        <f>'data entry Airport'!AG96</f>
        <v>0</v>
      </c>
      <c r="N96" s="39">
        <f>'data entry Airport'!AJ96</f>
        <v>0</v>
      </c>
      <c r="O96" s="39">
        <f>'data entry Airport'!AM96</f>
        <v>0</v>
      </c>
    </row>
    <row r="97" spans="2:15" ht="14" x14ac:dyDescent="0.15">
      <c r="B97" s="42" t="s">
        <v>65</v>
      </c>
      <c r="C97" s="39">
        <f>'data entry Airport'!C97</f>
        <v>2533</v>
      </c>
      <c r="D97" s="39">
        <f>'data entry Airport'!F97</f>
        <v>2533</v>
      </c>
      <c r="E97" s="39">
        <f>'data entry Airport'!I97</f>
        <v>0</v>
      </c>
      <c r="F97" s="39">
        <f>'data entry Airport'!L97</f>
        <v>0</v>
      </c>
      <c r="G97" s="39">
        <f>'data entry Airport'!O97</f>
        <v>0</v>
      </c>
      <c r="H97" s="39">
        <f>'data entry Airport'!R97</f>
        <v>0</v>
      </c>
      <c r="I97" s="39">
        <f>'data entry Airport'!U97</f>
        <v>0</v>
      </c>
      <c r="J97" s="39">
        <f>'data entry Airport'!X97</f>
        <v>0</v>
      </c>
      <c r="K97" s="39">
        <f>'data entry Airport'!AA97</f>
        <v>0</v>
      </c>
      <c r="L97" s="39">
        <f>'data entry Airport'!AD97</f>
        <v>0</v>
      </c>
      <c r="M97" s="39">
        <f>'data entry Airport'!AG97</f>
        <v>0</v>
      </c>
      <c r="N97" s="39">
        <f>'data entry Airport'!AJ97</f>
        <v>0</v>
      </c>
      <c r="O97" s="39">
        <f>'data entry Airport'!AM97</f>
        <v>0</v>
      </c>
    </row>
    <row r="98" spans="2:15" ht="14" x14ac:dyDescent="0.15">
      <c r="B98" s="38" t="s">
        <v>66</v>
      </c>
      <c r="C98" s="39">
        <f>'data entry Airport'!C98</f>
        <v>0</v>
      </c>
      <c r="D98" s="39">
        <f>'data entry Airport'!F98</f>
        <v>0</v>
      </c>
      <c r="E98" s="39">
        <f>'data entry Airport'!I98</f>
        <v>0</v>
      </c>
      <c r="F98" s="39">
        <f>'data entry Airport'!L98</f>
        <v>0</v>
      </c>
      <c r="G98" s="39">
        <f>'data entry Airport'!O98</f>
        <v>0</v>
      </c>
      <c r="H98" s="39">
        <f>'data entry Airport'!R98</f>
        <v>0</v>
      </c>
      <c r="I98" s="39">
        <f>'data entry Airport'!U98</f>
        <v>0</v>
      </c>
      <c r="J98" s="39">
        <f>'data entry Airport'!X98</f>
        <v>0</v>
      </c>
      <c r="K98" s="39">
        <f>'data entry Airport'!AA98</f>
        <v>0</v>
      </c>
      <c r="L98" s="39">
        <f>'data entry Airport'!AD98</f>
        <v>0</v>
      </c>
      <c r="M98" s="39">
        <f>'data entry Airport'!AG98</f>
        <v>0</v>
      </c>
      <c r="N98" s="39">
        <f>'data entry Airport'!AJ98</f>
        <v>0</v>
      </c>
      <c r="O98" s="39">
        <f>'data entry Airport'!AM98</f>
        <v>0</v>
      </c>
    </row>
    <row r="99" spans="2:15" ht="14" x14ac:dyDescent="0.15">
      <c r="B99" s="38" t="s">
        <v>67</v>
      </c>
      <c r="C99" s="39">
        <f>'data entry Airport'!C99</f>
        <v>2533</v>
      </c>
      <c r="D99" s="39">
        <f>'data entry Airport'!F99</f>
        <v>2533</v>
      </c>
      <c r="E99" s="39">
        <f>'data entry Airport'!I99</f>
        <v>0</v>
      </c>
      <c r="F99" s="39">
        <f>'data entry Airport'!L99</f>
        <v>0</v>
      </c>
      <c r="G99" s="39">
        <f>'data entry Airport'!O99</f>
        <v>0</v>
      </c>
      <c r="H99" s="39">
        <f>'data entry Airport'!R99</f>
        <v>0</v>
      </c>
      <c r="I99" s="39">
        <f>'data entry Airport'!U99</f>
        <v>0</v>
      </c>
      <c r="J99" s="39">
        <f>'data entry Airport'!X99</f>
        <v>0</v>
      </c>
      <c r="K99" s="39">
        <f>'data entry Airport'!AA99</f>
        <v>0</v>
      </c>
      <c r="L99" s="39">
        <f>'data entry Airport'!AD99</f>
        <v>0</v>
      </c>
      <c r="M99" s="39">
        <f>'data entry Airport'!AG99</f>
        <v>0</v>
      </c>
      <c r="N99" s="39">
        <f>'data entry Airport'!AJ99</f>
        <v>0</v>
      </c>
      <c r="O99" s="39">
        <f>'data entry Airport'!AM99</f>
        <v>0</v>
      </c>
    </row>
    <row r="100" spans="2:15" x14ac:dyDescent="0.15">
      <c r="B100" s="40"/>
      <c r="C100" s="39">
        <f>'data entry Airport'!C100</f>
        <v>0</v>
      </c>
      <c r="D100" s="39">
        <f>'data entry Airport'!F100</f>
        <v>0</v>
      </c>
      <c r="E100" s="39">
        <f>'data entry Airport'!I100</f>
        <v>0</v>
      </c>
      <c r="F100" s="39">
        <f>'data entry Airport'!L100</f>
        <v>0</v>
      </c>
      <c r="G100" s="39">
        <f>'data entry Airport'!O100</f>
        <v>0</v>
      </c>
      <c r="H100" s="39">
        <f>'data entry Airport'!R100</f>
        <v>0</v>
      </c>
      <c r="I100" s="39">
        <f>'data entry Airport'!U100</f>
        <v>0</v>
      </c>
      <c r="J100" s="39">
        <f>'data entry Airport'!X100</f>
        <v>0</v>
      </c>
      <c r="K100" s="39">
        <f>'data entry Airport'!AA100</f>
        <v>0</v>
      </c>
      <c r="L100" s="39">
        <f>'data entry Airport'!AD100</f>
        <v>0</v>
      </c>
      <c r="M100" s="39">
        <f>'data entry Airport'!AG100</f>
        <v>0</v>
      </c>
      <c r="N100" s="39">
        <f>'data entry Airport'!AJ100</f>
        <v>0</v>
      </c>
      <c r="O100" s="39">
        <f>'data entry Airport'!AM100</f>
        <v>0</v>
      </c>
    </row>
    <row r="101" spans="2:15" ht="28" x14ac:dyDescent="0.15">
      <c r="B101" s="42" t="s">
        <v>68</v>
      </c>
      <c r="C101" s="39">
        <f>'data entry Airport'!C101</f>
        <v>-2533</v>
      </c>
      <c r="D101" s="39">
        <f>'data entry Airport'!F101</f>
        <v>-2533</v>
      </c>
      <c r="E101" s="39">
        <f>'data entry Airport'!I101</f>
        <v>0</v>
      </c>
      <c r="F101" s="39">
        <f>'data entry Airport'!L101</f>
        <v>0</v>
      </c>
      <c r="G101" s="39">
        <f>'data entry Airport'!O101</f>
        <v>0</v>
      </c>
      <c r="H101" s="39">
        <f>'data entry Airport'!R101</f>
        <v>0</v>
      </c>
      <c r="I101" s="39">
        <f>'data entry Airport'!U101</f>
        <v>0</v>
      </c>
      <c r="J101" s="39">
        <f>'data entry Airport'!X101</f>
        <v>0</v>
      </c>
      <c r="K101" s="39">
        <f>'data entry Airport'!AA101</f>
        <v>0</v>
      </c>
      <c r="L101" s="39">
        <f>'data entry Airport'!AD101</f>
        <v>0</v>
      </c>
      <c r="M101" s="39">
        <f>'data entry Airport'!AG101</f>
        <v>0</v>
      </c>
      <c r="N101" s="39">
        <f>'data entry Airport'!AJ101</f>
        <v>0</v>
      </c>
      <c r="O101" s="39">
        <f>'data entry Airport'!AM101</f>
        <v>0</v>
      </c>
    </row>
    <row r="102" spans="2:15" x14ac:dyDescent="0.15">
      <c r="B102" s="40"/>
      <c r="C102" s="39">
        <f>'data entry Airport'!C102</f>
        <v>0</v>
      </c>
      <c r="D102" s="39">
        <f>'data entry Airport'!F102</f>
        <v>0</v>
      </c>
      <c r="E102" s="39">
        <f>'data entry Airport'!I102</f>
        <v>0</v>
      </c>
      <c r="F102" s="39">
        <f>'data entry Airport'!L102</f>
        <v>0</v>
      </c>
      <c r="G102" s="39">
        <f>'data entry Airport'!O102</f>
        <v>0</v>
      </c>
      <c r="H102" s="39">
        <f>'data entry Airport'!R102</f>
        <v>0</v>
      </c>
      <c r="I102" s="39">
        <f>'data entry Airport'!U102</f>
        <v>0</v>
      </c>
      <c r="J102" s="39">
        <f>'data entry Airport'!X102</f>
        <v>0</v>
      </c>
      <c r="K102" s="39">
        <f>'data entry Airport'!AA102</f>
        <v>0</v>
      </c>
      <c r="L102" s="39">
        <f>'data entry Airport'!AD102</f>
        <v>0</v>
      </c>
      <c r="M102" s="39">
        <f>'data entry Airport'!AG102</f>
        <v>0</v>
      </c>
      <c r="N102" s="39">
        <f>'data entry Airport'!AJ102</f>
        <v>0</v>
      </c>
      <c r="O102" s="39">
        <f>'data entry Airport'!AM102</f>
        <v>0</v>
      </c>
    </row>
    <row r="103" spans="2:15" ht="14" x14ac:dyDescent="0.15">
      <c r="B103" s="42" t="s">
        <v>69</v>
      </c>
      <c r="C103" s="39">
        <f>'data entry Airport'!C103</f>
        <v>1570919.8291</v>
      </c>
      <c r="D103" s="39">
        <f>'data entry Airport'!F103</f>
        <v>45037.66</v>
      </c>
      <c r="E103" s="39">
        <f>'data entry Airport'!I103</f>
        <v>47026.81</v>
      </c>
      <c r="F103" s="39">
        <f>'data entry Airport'!L103</f>
        <v>191587.05</v>
      </c>
      <c r="G103" s="39">
        <f>'data entry Airport'!O103</f>
        <v>-20564.599999999999</v>
      </c>
      <c r="H103" s="39">
        <f>'data entry Airport'!R103</f>
        <v>107123.1802</v>
      </c>
      <c r="I103" s="39">
        <f>'data entry Airport'!U103</f>
        <v>46467.598700000002</v>
      </c>
      <c r="J103" s="39">
        <f>'data entry Airport'!X103</f>
        <v>-24339.417099999999</v>
      </c>
      <c r="K103" s="39">
        <f>'data entry Airport'!AA103</f>
        <v>56048.392</v>
      </c>
      <c r="L103" s="39">
        <f>'data entry Airport'!AD103</f>
        <v>277483.1593</v>
      </c>
      <c r="M103" s="39">
        <f>'data entry Airport'!AG103</f>
        <v>364324.4118</v>
      </c>
      <c r="N103" s="39">
        <f>'data entry Airport'!AJ103</f>
        <v>366096.53529999999</v>
      </c>
      <c r="O103" s="39">
        <f>'data entry Airport'!AM103</f>
        <v>114629.04889999999</v>
      </c>
    </row>
    <row r="104" spans="2:15" x14ac:dyDescent="0.15">
      <c r="B104" s="40"/>
      <c r="C104" s="39">
        <f>'data entry Airport'!C104</f>
        <v>0</v>
      </c>
      <c r="D104" s="39">
        <f>'data entry Airport'!F104</f>
        <v>0</v>
      </c>
      <c r="E104" s="39">
        <f>'data entry Airport'!I104</f>
        <v>0</v>
      </c>
      <c r="F104" s="39">
        <f>'data entry Airport'!L104</f>
        <v>0</v>
      </c>
      <c r="G104" s="39">
        <f>'data entry Airport'!O104</f>
        <v>0</v>
      </c>
      <c r="H104" s="39">
        <f>'data entry Airport'!R104</f>
        <v>0</v>
      </c>
      <c r="I104" s="39">
        <f>'data entry Airport'!U104</f>
        <v>0</v>
      </c>
      <c r="J104" s="39">
        <f>'data entry Airport'!X104</f>
        <v>0</v>
      </c>
      <c r="K104" s="39">
        <f>'data entry Airport'!AA104</f>
        <v>0</v>
      </c>
      <c r="L104" s="39">
        <f>'data entry Airport'!AD104</f>
        <v>0</v>
      </c>
      <c r="M104" s="39">
        <f>'data entry Airport'!AG104</f>
        <v>0</v>
      </c>
      <c r="N104" s="39">
        <f>'data entry Airport'!AJ104</f>
        <v>0</v>
      </c>
      <c r="O104" s="39">
        <f>'data entry Airport'!AM104</f>
        <v>0</v>
      </c>
    </row>
    <row r="105" spans="2:15" ht="14" x14ac:dyDescent="0.15">
      <c r="B105" s="42" t="s">
        <v>70</v>
      </c>
      <c r="C105" s="39">
        <f>'data entry Airport'!C105</f>
        <v>84731.520000000004</v>
      </c>
      <c r="D105" s="39">
        <f>'data entry Airport'!F105</f>
        <v>5625.38</v>
      </c>
      <c r="E105" s="39">
        <f>'data entry Airport'!I105</f>
        <v>5285.38</v>
      </c>
      <c r="F105" s="39">
        <f>'data entry Airport'!L105</f>
        <v>5795.38</v>
      </c>
      <c r="G105" s="39">
        <f>'data entry Airport'!O105</f>
        <v>5625.38</v>
      </c>
      <c r="H105" s="39">
        <f>'data entry Airport'!R105</f>
        <v>7800</v>
      </c>
      <c r="I105" s="39">
        <f>'data entry Airport'!U105</f>
        <v>7800</v>
      </c>
      <c r="J105" s="39">
        <f>'data entry Airport'!X105</f>
        <v>7800</v>
      </c>
      <c r="K105" s="39">
        <f>'data entry Airport'!AA105</f>
        <v>7800</v>
      </c>
      <c r="L105" s="39">
        <f>'data entry Airport'!AD105</f>
        <v>7800</v>
      </c>
      <c r="M105" s="39">
        <f>'data entry Airport'!AG105</f>
        <v>7800</v>
      </c>
      <c r="N105" s="39">
        <f>'data entry Airport'!AJ105</f>
        <v>7800</v>
      </c>
      <c r="O105" s="39">
        <f>'data entry Airport'!AM105</f>
        <v>7800</v>
      </c>
    </row>
    <row r="106" spans="2:15" ht="14" x14ac:dyDescent="0.15">
      <c r="B106" s="38" t="s">
        <v>71</v>
      </c>
      <c r="C106" s="39">
        <f>'data entry Airport'!C106</f>
        <v>40666.68</v>
      </c>
      <c r="D106" s="39">
        <f>'data entry Airport'!F106</f>
        <v>1166.67</v>
      </c>
      <c r="E106" s="39">
        <f>'data entry Airport'!I106</f>
        <v>1166.67</v>
      </c>
      <c r="F106" s="39">
        <f>'data entry Airport'!L106</f>
        <v>1166.67</v>
      </c>
      <c r="G106" s="39">
        <f>'data entry Airport'!O106</f>
        <v>1166.67</v>
      </c>
      <c r="H106" s="39">
        <f>'data entry Airport'!R106</f>
        <v>4500</v>
      </c>
      <c r="I106" s="39">
        <f>'data entry Airport'!U106</f>
        <v>4500</v>
      </c>
      <c r="J106" s="39">
        <f>'data entry Airport'!X106</f>
        <v>4500</v>
      </c>
      <c r="K106" s="39">
        <f>'data entry Airport'!AA106</f>
        <v>4500</v>
      </c>
      <c r="L106" s="39">
        <f>'data entry Airport'!AD106</f>
        <v>4500</v>
      </c>
      <c r="M106" s="39">
        <f>'data entry Airport'!AG106</f>
        <v>4500</v>
      </c>
      <c r="N106" s="39">
        <f>'data entry Airport'!AJ106</f>
        <v>4500</v>
      </c>
      <c r="O106" s="39">
        <f>'data entry Airport'!AM106</f>
        <v>4500</v>
      </c>
    </row>
    <row r="107" spans="2:15" ht="14" x14ac:dyDescent="0.15">
      <c r="B107" s="38" t="s">
        <v>72</v>
      </c>
      <c r="C107" s="39">
        <f>'data entry Airport'!C107</f>
        <v>0</v>
      </c>
      <c r="D107" s="39">
        <f>'data entry Airport'!F107</f>
        <v>0</v>
      </c>
      <c r="E107" s="39">
        <f>'data entry Airport'!I107</f>
        <v>0</v>
      </c>
      <c r="F107" s="39">
        <f>'data entry Airport'!L107</f>
        <v>0</v>
      </c>
      <c r="G107" s="39">
        <f>'data entry Airport'!O107</f>
        <v>0</v>
      </c>
      <c r="H107" s="39">
        <f>'data entry Airport'!R107</f>
        <v>0</v>
      </c>
      <c r="I107" s="39">
        <f>'data entry Airport'!U107</f>
        <v>0</v>
      </c>
      <c r="J107" s="39">
        <f>'data entry Airport'!X107</f>
        <v>0</v>
      </c>
      <c r="K107" s="39">
        <f>'data entry Airport'!AA107</f>
        <v>0</v>
      </c>
      <c r="L107" s="39">
        <f>'data entry Airport'!AD107</f>
        <v>0</v>
      </c>
      <c r="M107" s="39">
        <f>'data entry Airport'!AG107</f>
        <v>0</v>
      </c>
      <c r="N107" s="39">
        <f>'data entry Airport'!AJ107</f>
        <v>0</v>
      </c>
      <c r="O107" s="39">
        <f>'data entry Airport'!AM107</f>
        <v>0</v>
      </c>
    </row>
    <row r="108" spans="2:15" ht="14" x14ac:dyDescent="0.15">
      <c r="B108" s="38" t="s">
        <v>73</v>
      </c>
      <c r="C108" s="39">
        <f>'data entry Airport'!C108</f>
        <v>4635.4399999999996</v>
      </c>
      <c r="D108" s="39">
        <f>'data entry Airport'!F108</f>
        <v>1158.8599999999999</v>
      </c>
      <c r="E108" s="39">
        <f>'data entry Airport'!I108</f>
        <v>1158.8599999999999</v>
      </c>
      <c r="F108" s="39">
        <f>'data entry Airport'!L108</f>
        <v>1158.8599999999999</v>
      </c>
      <c r="G108" s="39">
        <f>'data entry Airport'!O108</f>
        <v>1158.8599999999999</v>
      </c>
      <c r="H108" s="39">
        <f>'data entry Airport'!R108</f>
        <v>0</v>
      </c>
      <c r="I108" s="39">
        <f>'data entry Airport'!U108</f>
        <v>0</v>
      </c>
      <c r="J108" s="39">
        <f>'data entry Airport'!X108</f>
        <v>0</v>
      </c>
      <c r="K108" s="39">
        <f>'data entry Airport'!AA108</f>
        <v>0</v>
      </c>
      <c r="L108" s="39">
        <f>'data entry Airport'!AD108</f>
        <v>0</v>
      </c>
      <c r="M108" s="39">
        <f>'data entry Airport'!AG108</f>
        <v>0</v>
      </c>
      <c r="N108" s="39">
        <f>'data entry Airport'!AJ108</f>
        <v>0</v>
      </c>
      <c r="O108" s="39">
        <f>'data entry Airport'!AM108</f>
        <v>0</v>
      </c>
    </row>
    <row r="109" spans="2:15" ht="14" x14ac:dyDescent="0.15">
      <c r="B109" s="38" t="s">
        <v>74</v>
      </c>
      <c r="C109" s="39">
        <f>'data entry Airport'!C109</f>
        <v>510</v>
      </c>
      <c r="D109" s="39">
        <f>'data entry Airport'!F109</f>
        <v>170</v>
      </c>
      <c r="E109" s="39">
        <f>'data entry Airport'!I109</f>
        <v>-170</v>
      </c>
      <c r="F109" s="39">
        <f>'data entry Airport'!L109</f>
        <v>340</v>
      </c>
      <c r="G109" s="39">
        <f>'data entry Airport'!O109</f>
        <v>170</v>
      </c>
      <c r="H109" s="39">
        <f>'data entry Airport'!R109</f>
        <v>0</v>
      </c>
      <c r="I109" s="39">
        <f>'data entry Airport'!U109</f>
        <v>0</v>
      </c>
      <c r="J109" s="39">
        <f>'data entry Airport'!X109</f>
        <v>0</v>
      </c>
      <c r="K109" s="39">
        <f>'data entry Airport'!AA109</f>
        <v>0</v>
      </c>
      <c r="L109" s="39">
        <f>'data entry Airport'!AD109</f>
        <v>0</v>
      </c>
      <c r="M109" s="39">
        <f>'data entry Airport'!AG109</f>
        <v>0</v>
      </c>
      <c r="N109" s="39">
        <f>'data entry Airport'!AJ109</f>
        <v>0</v>
      </c>
      <c r="O109" s="39">
        <f>'data entry Airport'!AM109</f>
        <v>0</v>
      </c>
    </row>
    <row r="110" spans="2:15" ht="14" x14ac:dyDescent="0.15">
      <c r="B110" s="38" t="s">
        <v>75</v>
      </c>
      <c r="C110" s="39">
        <f>'data entry Airport'!C110</f>
        <v>38919.4</v>
      </c>
      <c r="D110" s="39">
        <f>'data entry Airport'!F110</f>
        <v>3129.85</v>
      </c>
      <c r="E110" s="39">
        <f>'data entry Airport'!I110</f>
        <v>3129.85</v>
      </c>
      <c r="F110" s="39">
        <f>'data entry Airport'!L110</f>
        <v>3129.85</v>
      </c>
      <c r="G110" s="39">
        <f>'data entry Airport'!O110</f>
        <v>3129.85</v>
      </c>
      <c r="H110" s="39">
        <f>'data entry Airport'!R110</f>
        <v>3300</v>
      </c>
      <c r="I110" s="39">
        <f>'data entry Airport'!U110</f>
        <v>3300</v>
      </c>
      <c r="J110" s="39">
        <f>'data entry Airport'!X110</f>
        <v>3300</v>
      </c>
      <c r="K110" s="39">
        <f>'data entry Airport'!AA110</f>
        <v>3300</v>
      </c>
      <c r="L110" s="39">
        <f>'data entry Airport'!AD110</f>
        <v>3300</v>
      </c>
      <c r="M110" s="39">
        <f>'data entry Airport'!AG110</f>
        <v>3300</v>
      </c>
      <c r="N110" s="39">
        <f>'data entry Airport'!AJ110</f>
        <v>3300</v>
      </c>
      <c r="O110" s="39">
        <f>'data entry Airport'!AM110</f>
        <v>3300</v>
      </c>
    </row>
    <row r="111" spans="2:15" ht="14" x14ac:dyDescent="0.15">
      <c r="B111" s="38" t="s">
        <v>76</v>
      </c>
      <c r="C111" s="39">
        <f>'data entry Airport'!C111</f>
        <v>0</v>
      </c>
      <c r="D111" s="39">
        <f>'data entry Airport'!F111</f>
        <v>0</v>
      </c>
      <c r="E111" s="39">
        <f>'data entry Airport'!I111</f>
        <v>0</v>
      </c>
      <c r="F111" s="39">
        <f>'data entry Airport'!L111</f>
        <v>0</v>
      </c>
      <c r="G111" s="39">
        <f>'data entry Airport'!O111</f>
        <v>0</v>
      </c>
      <c r="H111" s="39">
        <f>'data entry Airport'!R111</f>
        <v>0</v>
      </c>
      <c r="I111" s="39">
        <f>'data entry Airport'!U111</f>
        <v>0</v>
      </c>
      <c r="J111" s="39">
        <f>'data entry Airport'!X111</f>
        <v>0</v>
      </c>
      <c r="K111" s="39">
        <f>'data entry Airport'!AA111</f>
        <v>0</v>
      </c>
      <c r="L111" s="39">
        <f>'data entry Airport'!AD111</f>
        <v>0</v>
      </c>
      <c r="M111" s="39">
        <f>'data entry Airport'!AG111</f>
        <v>0</v>
      </c>
      <c r="N111" s="39">
        <f>'data entry Airport'!AJ111</f>
        <v>0</v>
      </c>
      <c r="O111" s="39">
        <f>'data entry Airport'!AM111</f>
        <v>0</v>
      </c>
    </row>
    <row r="112" spans="2:15" ht="14" x14ac:dyDescent="0.15">
      <c r="B112" s="38" t="s">
        <v>77</v>
      </c>
      <c r="C112" s="39">
        <f>'data entry Airport'!C112</f>
        <v>0</v>
      </c>
      <c r="D112" s="39">
        <f>'data entry Airport'!F112</f>
        <v>0</v>
      </c>
      <c r="E112" s="39">
        <f>'data entry Airport'!I112</f>
        <v>0</v>
      </c>
      <c r="F112" s="39">
        <f>'data entry Airport'!L112</f>
        <v>0</v>
      </c>
      <c r="G112" s="39">
        <f>'data entry Airport'!O112</f>
        <v>0</v>
      </c>
      <c r="H112" s="39">
        <f>'data entry Airport'!R112</f>
        <v>0</v>
      </c>
      <c r="I112" s="39">
        <f>'data entry Airport'!U112</f>
        <v>0</v>
      </c>
      <c r="J112" s="39">
        <f>'data entry Airport'!X112</f>
        <v>0</v>
      </c>
      <c r="K112" s="39">
        <f>'data entry Airport'!AA112</f>
        <v>0</v>
      </c>
      <c r="L112" s="39">
        <f>'data entry Airport'!AD112</f>
        <v>0</v>
      </c>
      <c r="M112" s="39">
        <f>'data entry Airport'!AG112</f>
        <v>0</v>
      </c>
      <c r="N112" s="39">
        <f>'data entry Airport'!AJ112</f>
        <v>0</v>
      </c>
      <c r="O112" s="39">
        <f>'data entry Airport'!AM112</f>
        <v>0</v>
      </c>
    </row>
    <row r="113" spans="2:15" ht="14" x14ac:dyDescent="0.15">
      <c r="B113" s="38" t="s">
        <v>78</v>
      </c>
      <c r="C113" s="39">
        <f>'data entry Airport'!C113</f>
        <v>0</v>
      </c>
      <c r="D113" s="39">
        <f>'data entry Airport'!F113</f>
        <v>0</v>
      </c>
      <c r="E113" s="39">
        <f>'data entry Airport'!I113</f>
        <v>0</v>
      </c>
      <c r="F113" s="39">
        <f>'data entry Airport'!L113</f>
        <v>0</v>
      </c>
      <c r="G113" s="39">
        <f>'data entry Airport'!O113</f>
        <v>0</v>
      </c>
      <c r="H113" s="39">
        <f>'data entry Airport'!R113</f>
        <v>0</v>
      </c>
      <c r="I113" s="39">
        <f>'data entry Airport'!U113</f>
        <v>0</v>
      </c>
      <c r="J113" s="39">
        <f>'data entry Airport'!X113</f>
        <v>0</v>
      </c>
      <c r="K113" s="39">
        <f>'data entry Airport'!AA113</f>
        <v>0</v>
      </c>
      <c r="L113" s="39">
        <f>'data entry Airport'!AD113</f>
        <v>0</v>
      </c>
      <c r="M113" s="39">
        <f>'data entry Airport'!AG113</f>
        <v>0</v>
      </c>
      <c r="N113" s="39">
        <f>'data entry Airport'!AJ113</f>
        <v>0</v>
      </c>
      <c r="O113" s="39">
        <f>'data entry Airport'!AM113</f>
        <v>0</v>
      </c>
    </row>
    <row r="114" spans="2:15" ht="14" x14ac:dyDescent="0.15">
      <c r="B114" s="38" t="s">
        <v>79</v>
      </c>
      <c r="C114" s="39">
        <f>'data entry Airport'!C114</f>
        <v>0</v>
      </c>
      <c r="D114" s="39">
        <f>'data entry Airport'!F114</f>
        <v>0</v>
      </c>
      <c r="E114" s="39">
        <f>'data entry Airport'!I114</f>
        <v>0</v>
      </c>
      <c r="F114" s="39">
        <f>'data entry Airport'!L114</f>
        <v>0</v>
      </c>
      <c r="G114" s="39">
        <f>'data entry Airport'!O114</f>
        <v>0</v>
      </c>
      <c r="H114" s="39">
        <f>'data entry Airport'!R114</f>
        <v>0</v>
      </c>
      <c r="I114" s="39">
        <f>'data entry Airport'!U114</f>
        <v>0</v>
      </c>
      <c r="J114" s="39">
        <f>'data entry Airport'!X114</f>
        <v>0</v>
      </c>
      <c r="K114" s="39">
        <f>'data entry Airport'!AA114</f>
        <v>0</v>
      </c>
      <c r="L114" s="39">
        <f>'data entry Airport'!AD114</f>
        <v>0</v>
      </c>
      <c r="M114" s="39">
        <f>'data entry Airport'!AG114</f>
        <v>0</v>
      </c>
      <c r="N114" s="39">
        <f>'data entry Airport'!AJ114</f>
        <v>0</v>
      </c>
      <c r="O114" s="39">
        <f>'data entry Airport'!AM114</f>
        <v>0</v>
      </c>
    </row>
    <row r="115" spans="2:15" ht="14" x14ac:dyDescent="0.15">
      <c r="B115" s="38" t="s">
        <v>80</v>
      </c>
      <c r="C115" s="39">
        <f>'data entry Airport'!C115</f>
        <v>0</v>
      </c>
      <c r="D115" s="39">
        <f>'data entry Airport'!F115</f>
        <v>0</v>
      </c>
      <c r="E115" s="39">
        <f>'data entry Airport'!I115</f>
        <v>0</v>
      </c>
      <c r="F115" s="39">
        <f>'data entry Airport'!L115</f>
        <v>0</v>
      </c>
      <c r="G115" s="39">
        <f>'data entry Airport'!O115</f>
        <v>0</v>
      </c>
      <c r="H115" s="39">
        <f>'data entry Airport'!R115</f>
        <v>0</v>
      </c>
      <c r="I115" s="39">
        <f>'data entry Airport'!U115</f>
        <v>0</v>
      </c>
      <c r="J115" s="39">
        <f>'data entry Airport'!X115</f>
        <v>0</v>
      </c>
      <c r="K115" s="39">
        <f>'data entry Airport'!AA115</f>
        <v>0</v>
      </c>
      <c r="L115" s="39">
        <f>'data entry Airport'!AD115</f>
        <v>0</v>
      </c>
      <c r="M115" s="39">
        <f>'data entry Airport'!AG115</f>
        <v>0</v>
      </c>
      <c r="N115" s="39">
        <f>'data entry Airport'!AJ115</f>
        <v>0</v>
      </c>
      <c r="O115" s="39">
        <f>'data entry Airport'!AM115</f>
        <v>0</v>
      </c>
    </row>
    <row r="116" spans="2:15" x14ac:dyDescent="0.15">
      <c r="B116" s="40"/>
      <c r="C116" s="39">
        <f>'data entry Airport'!C116</f>
        <v>0</v>
      </c>
      <c r="D116" s="39">
        <f>'data entry Airport'!F116</f>
        <v>0</v>
      </c>
      <c r="E116" s="39">
        <f>'data entry Airport'!I116</f>
        <v>0</v>
      </c>
      <c r="F116" s="39">
        <f>'data entry Airport'!L116</f>
        <v>0</v>
      </c>
      <c r="G116" s="39">
        <f>'data entry Airport'!O116</f>
        <v>0</v>
      </c>
      <c r="H116" s="39">
        <f>'data entry Airport'!R116</f>
        <v>0</v>
      </c>
      <c r="I116" s="39">
        <f>'data entry Airport'!U116</f>
        <v>0</v>
      </c>
      <c r="J116" s="39">
        <f>'data entry Airport'!X116</f>
        <v>0</v>
      </c>
      <c r="K116" s="39">
        <f>'data entry Airport'!AA116</f>
        <v>0</v>
      </c>
      <c r="L116" s="39">
        <f>'data entry Airport'!AD116</f>
        <v>0</v>
      </c>
      <c r="M116" s="39">
        <f>'data entry Airport'!AG116</f>
        <v>0</v>
      </c>
      <c r="N116" s="39">
        <f>'data entry Airport'!AJ116</f>
        <v>0</v>
      </c>
      <c r="O116" s="39">
        <f>'data entry Airport'!AM116</f>
        <v>0</v>
      </c>
    </row>
    <row r="117" spans="2:15" ht="14" x14ac:dyDescent="0.15">
      <c r="B117" s="42" t="s">
        <v>81</v>
      </c>
      <c r="C117" s="39">
        <f>'data entry Airport'!C117</f>
        <v>0</v>
      </c>
      <c r="D117" s="39">
        <f>'data entry Airport'!F117</f>
        <v>0</v>
      </c>
      <c r="E117" s="39">
        <f>'data entry Airport'!I117</f>
        <v>0</v>
      </c>
      <c r="F117" s="39">
        <f>'data entry Airport'!L117</f>
        <v>0</v>
      </c>
      <c r="G117" s="39">
        <f>'data entry Airport'!O117</f>
        <v>0</v>
      </c>
      <c r="H117" s="39">
        <f>'data entry Airport'!R117</f>
        <v>0</v>
      </c>
      <c r="I117" s="39">
        <f>'data entry Airport'!U117</f>
        <v>0</v>
      </c>
      <c r="J117" s="39">
        <f>'data entry Airport'!X117</f>
        <v>0</v>
      </c>
      <c r="K117" s="39">
        <f>'data entry Airport'!AA117</f>
        <v>0</v>
      </c>
      <c r="L117" s="39">
        <f>'data entry Airport'!AD117</f>
        <v>0</v>
      </c>
      <c r="M117" s="39">
        <f>'data entry Airport'!AG117</f>
        <v>0</v>
      </c>
      <c r="N117" s="39">
        <f>'data entry Airport'!AJ117</f>
        <v>0</v>
      </c>
      <c r="O117" s="39">
        <f>'data entry Airport'!AM117</f>
        <v>0</v>
      </c>
    </row>
    <row r="118" spans="2:15" ht="14" x14ac:dyDescent="0.15">
      <c r="B118" s="38" t="s">
        <v>82</v>
      </c>
      <c r="C118" s="39">
        <f>'data entry Airport'!C118</f>
        <v>0</v>
      </c>
      <c r="D118" s="39">
        <f>'data entry Airport'!F118</f>
        <v>0</v>
      </c>
      <c r="E118" s="39">
        <f>'data entry Airport'!I118</f>
        <v>0</v>
      </c>
      <c r="F118" s="39">
        <f>'data entry Airport'!L118</f>
        <v>0</v>
      </c>
      <c r="G118" s="39">
        <f>'data entry Airport'!O118</f>
        <v>0</v>
      </c>
      <c r="H118" s="39">
        <f>'data entry Airport'!R118</f>
        <v>0</v>
      </c>
      <c r="I118" s="39">
        <f>'data entry Airport'!U118</f>
        <v>0</v>
      </c>
      <c r="J118" s="39">
        <f>'data entry Airport'!X118</f>
        <v>0</v>
      </c>
      <c r="K118" s="39">
        <f>'data entry Airport'!AA118</f>
        <v>0</v>
      </c>
      <c r="L118" s="39">
        <f>'data entry Airport'!AD118</f>
        <v>0</v>
      </c>
      <c r="M118" s="39">
        <f>'data entry Airport'!AG118</f>
        <v>0</v>
      </c>
      <c r="N118" s="39">
        <f>'data entry Airport'!AJ118</f>
        <v>0</v>
      </c>
      <c r="O118" s="39">
        <f>'data entry Airport'!AM118</f>
        <v>0</v>
      </c>
    </row>
    <row r="119" spans="2:15" ht="14" x14ac:dyDescent="0.15">
      <c r="B119" s="38" t="s">
        <v>83</v>
      </c>
      <c r="C119" s="39">
        <f>'data entry Airport'!C119</f>
        <v>0</v>
      </c>
      <c r="D119" s="39">
        <f>'data entry Airport'!F119</f>
        <v>0</v>
      </c>
      <c r="E119" s="39">
        <f>'data entry Airport'!I119</f>
        <v>0</v>
      </c>
      <c r="F119" s="39">
        <f>'data entry Airport'!L119</f>
        <v>0</v>
      </c>
      <c r="G119" s="39">
        <f>'data entry Airport'!O119</f>
        <v>0</v>
      </c>
      <c r="H119" s="39">
        <f>'data entry Airport'!R119</f>
        <v>0</v>
      </c>
      <c r="I119" s="39">
        <f>'data entry Airport'!U119</f>
        <v>0</v>
      </c>
      <c r="J119" s="39">
        <f>'data entry Airport'!X119</f>
        <v>0</v>
      </c>
      <c r="K119" s="39">
        <f>'data entry Airport'!AA119</f>
        <v>0</v>
      </c>
      <c r="L119" s="39">
        <f>'data entry Airport'!AD119</f>
        <v>0</v>
      </c>
      <c r="M119" s="39">
        <f>'data entry Airport'!AG119</f>
        <v>0</v>
      </c>
      <c r="N119" s="39">
        <f>'data entry Airport'!AJ119</f>
        <v>0</v>
      </c>
      <c r="O119" s="39">
        <f>'data entry Airport'!AM119</f>
        <v>0</v>
      </c>
    </row>
    <row r="120" spans="2:15" x14ac:dyDescent="0.15">
      <c r="B120" s="40"/>
      <c r="C120" s="39">
        <f>'data entry Airport'!C120</f>
        <v>0</v>
      </c>
      <c r="D120" s="39">
        <f>'data entry Airport'!F120</f>
        <v>0</v>
      </c>
      <c r="E120" s="39">
        <f>'data entry Airport'!I120</f>
        <v>0</v>
      </c>
      <c r="F120" s="39">
        <f>'data entry Airport'!L120</f>
        <v>0</v>
      </c>
      <c r="G120" s="39">
        <f>'data entry Airport'!O120</f>
        <v>0</v>
      </c>
      <c r="H120" s="39">
        <f>'data entry Airport'!R120</f>
        <v>0</v>
      </c>
      <c r="I120" s="39">
        <f>'data entry Airport'!U120</f>
        <v>0</v>
      </c>
      <c r="J120" s="39">
        <f>'data entry Airport'!X120</f>
        <v>0</v>
      </c>
      <c r="K120" s="39">
        <f>'data entry Airport'!AA120</f>
        <v>0</v>
      </c>
      <c r="L120" s="39">
        <f>'data entry Airport'!AD120</f>
        <v>0</v>
      </c>
      <c r="M120" s="39">
        <f>'data entry Airport'!AG120</f>
        <v>0</v>
      </c>
      <c r="N120" s="39">
        <f>'data entry Airport'!AJ120</f>
        <v>0</v>
      </c>
      <c r="O120" s="39">
        <f>'data entry Airport'!AM120</f>
        <v>0</v>
      </c>
    </row>
    <row r="121" spans="2:15" ht="14" x14ac:dyDescent="0.15">
      <c r="B121" s="42" t="s">
        <v>84</v>
      </c>
      <c r="C121" s="39">
        <f>'data entry Airport'!C121</f>
        <v>1486188.3091</v>
      </c>
      <c r="D121" s="39">
        <f>'data entry Airport'!F121</f>
        <v>39412.28</v>
      </c>
      <c r="E121" s="39">
        <f>'data entry Airport'!I121</f>
        <v>41741.43</v>
      </c>
      <c r="F121" s="39">
        <f>'data entry Airport'!L121</f>
        <v>185791.67</v>
      </c>
      <c r="G121" s="39">
        <f>'data entry Airport'!O121</f>
        <v>-26189.98</v>
      </c>
      <c r="H121" s="39">
        <f>'data entry Airport'!R121</f>
        <v>99323.180200000003</v>
      </c>
      <c r="I121" s="39">
        <f>'data entry Airport'!U121</f>
        <v>38667.598700000002</v>
      </c>
      <c r="J121" s="39">
        <f>'data entry Airport'!X121</f>
        <v>-32139.417099999999</v>
      </c>
      <c r="K121" s="39">
        <f>'data entry Airport'!AA121</f>
        <v>48248.392</v>
      </c>
      <c r="L121" s="39">
        <f>'data entry Airport'!AD121</f>
        <v>269683.1593</v>
      </c>
      <c r="M121" s="39">
        <f>'data entry Airport'!AG121</f>
        <v>356524.4118</v>
      </c>
      <c r="N121" s="39">
        <f>'data entry Airport'!AJ121</f>
        <v>358296.53529999999</v>
      </c>
      <c r="O121" s="39">
        <f>'data entry Airport'!AM121</f>
        <v>106829.04889999999</v>
      </c>
    </row>
    <row r="122" spans="2:15" ht="14" x14ac:dyDescent="0.15">
      <c r="B122" s="38" t="s">
        <v>85</v>
      </c>
      <c r="C122" s="39">
        <f>'data entry Airport'!C122</f>
        <v>199517.62040000001</v>
      </c>
      <c r="D122" s="39">
        <f>'data entry Airport'!F122</f>
        <v>11693.09</v>
      </c>
      <c r="E122" s="39">
        <f>'data entry Airport'!I122</f>
        <v>12610.48</v>
      </c>
      <c r="F122" s="39">
        <f>'data entry Airport'!L122</f>
        <v>0</v>
      </c>
      <c r="G122" s="39">
        <f>'data entry Airport'!O122</f>
        <v>26964.43</v>
      </c>
      <c r="H122" s="39">
        <f>'data entry Airport'!R122</f>
        <v>16471.049599999998</v>
      </c>
      <c r="I122" s="39">
        <f>'data entry Airport'!U122</f>
        <v>14543.5944</v>
      </c>
      <c r="J122" s="39">
        <f>'data entry Airport'!X122</f>
        <v>10288.564700000001</v>
      </c>
      <c r="K122" s="39">
        <f>'data entry Airport'!AA122</f>
        <v>13782.1296</v>
      </c>
      <c r="L122" s="39">
        <f>'data entry Airport'!AD122</f>
        <v>23975.617200000001</v>
      </c>
      <c r="M122" s="39">
        <f>'data entry Airport'!AG122</f>
        <v>26207.584200000001</v>
      </c>
      <c r="N122" s="39">
        <f>'data entry Airport'!AJ122</f>
        <v>26952.885600000001</v>
      </c>
      <c r="O122" s="39">
        <f>'data entry Airport'!AM122</f>
        <v>16028.195100000001</v>
      </c>
    </row>
    <row r="123" spans="2:15" x14ac:dyDescent="0.15">
      <c r="B123" s="40"/>
      <c r="C123" s="39">
        <f>'data entry Airport'!C123</f>
        <v>0</v>
      </c>
      <c r="D123" s="39">
        <f>'data entry Airport'!F123</f>
        <v>0</v>
      </c>
      <c r="E123" s="39">
        <f>'data entry Airport'!I123</f>
        <v>0</v>
      </c>
      <c r="F123" s="39">
        <f>'data entry Airport'!L123</f>
        <v>0</v>
      </c>
      <c r="G123" s="39">
        <f>'data entry Airport'!O123</f>
        <v>0</v>
      </c>
      <c r="H123" s="39">
        <f>'data entry Airport'!R123</f>
        <v>0</v>
      </c>
      <c r="I123" s="39">
        <f>'data entry Airport'!U123</f>
        <v>0</v>
      </c>
      <c r="J123" s="39">
        <f>'data entry Airport'!X123</f>
        <v>0</v>
      </c>
      <c r="K123" s="39">
        <f>'data entry Airport'!AA123</f>
        <v>0</v>
      </c>
      <c r="L123" s="39">
        <f>'data entry Airport'!AD123</f>
        <v>0</v>
      </c>
      <c r="M123" s="39">
        <f>'data entry Airport'!AG123</f>
        <v>0</v>
      </c>
      <c r="N123" s="39">
        <f>'data entry Airport'!AJ123</f>
        <v>0</v>
      </c>
      <c r="O123" s="39">
        <f>'data entry Airport'!AM123</f>
        <v>0</v>
      </c>
    </row>
    <row r="124" spans="2:15" ht="14" x14ac:dyDescent="0.15">
      <c r="B124" s="42" t="s">
        <v>86</v>
      </c>
      <c r="C124" s="39">
        <f>'data entry Airport'!C124</f>
        <v>1286670.6887000001</v>
      </c>
      <c r="D124" s="39">
        <f>'data entry Airport'!F124</f>
        <v>27719.19</v>
      </c>
      <c r="E124" s="39">
        <f>'data entry Airport'!I124</f>
        <v>29130.95</v>
      </c>
      <c r="F124" s="39">
        <f>'data entry Airport'!L124</f>
        <v>185791.67</v>
      </c>
      <c r="G124" s="39">
        <f>'data entry Airport'!O124</f>
        <v>-53154.41</v>
      </c>
      <c r="H124" s="39">
        <f>'data entry Airport'!R124</f>
        <v>82852.130499999999</v>
      </c>
      <c r="I124" s="39">
        <f>'data entry Airport'!U124</f>
        <v>24124.004400000002</v>
      </c>
      <c r="J124" s="39">
        <f>'data entry Airport'!X124</f>
        <v>-42427.981800000001</v>
      </c>
      <c r="K124" s="39">
        <f>'data entry Airport'!AA124</f>
        <v>34466.2624</v>
      </c>
      <c r="L124" s="39">
        <f>'data entry Airport'!AD124</f>
        <v>245707.54209999999</v>
      </c>
      <c r="M124" s="39">
        <f>'data entry Airport'!AG124</f>
        <v>330316.82760000002</v>
      </c>
      <c r="N124" s="39">
        <f>'data entry Airport'!AJ124</f>
        <v>331343.64970000001</v>
      </c>
      <c r="O124" s="39">
        <f>'data entry Airport'!AM124</f>
        <v>90800.853799999997</v>
      </c>
    </row>
    <row r="125" spans="2:15" ht="14" x14ac:dyDescent="0.15">
      <c r="B125" s="38" t="s">
        <v>87</v>
      </c>
      <c r="C125" s="39">
        <f>'data entry Airport'!C125</f>
        <v>12188.32</v>
      </c>
      <c r="D125" s="39">
        <f>'data entry Airport'!F125</f>
        <v>3047.08</v>
      </c>
      <c r="E125" s="39">
        <f>'data entry Airport'!I125</f>
        <v>3047.08</v>
      </c>
      <c r="F125" s="39">
        <f>'data entry Airport'!L125</f>
        <v>3047.08</v>
      </c>
      <c r="G125" s="39">
        <f>'data entry Airport'!O125</f>
        <v>3047.08</v>
      </c>
      <c r="H125" s="39">
        <f>'data entry Airport'!R125</f>
        <v>0</v>
      </c>
      <c r="I125" s="39">
        <f>'data entry Airport'!U125</f>
        <v>0</v>
      </c>
      <c r="J125" s="39">
        <f>'data entry Airport'!X125</f>
        <v>0</v>
      </c>
      <c r="K125" s="39">
        <f>'data entry Airport'!AA125</f>
        <v>0</v>
      </c>
      <c r="L125" s="39">
        <f>'data entry Airport'!AD125</f>
        <v>0</v>
      </c>
      <c r="M125" s="39">
        <f>'data entry Airport'!AG125</f>
        <v>0</v>
      </c>
      <c r="N125" s="39">
        <f>'data entry Airport'!AJ125</f>
        <v>0</v>
      </c>
      <c r="O125" s="39">
        <f>'data entry Airport'!AM125</f>
        <v>0</v>
      </c>
    </row>
    <row r="126" spans="2:15" x14ac:dyDescent="0.15">
      <c r="B126" s="40"/>
      <c r="C126" s="39">
        <f>'data entry Airport'!C126</f>
        <v>0</v>
      </c>
      <c r="D126" s="39">
        <f>'data entry Airport'!F126</f>
        <v>0</v>
      </c>
      <c r="E126" s="39">
        <f>'data entry Airport'!I126</f>
        <v>0</v>
      </c>
      <c r="F126" s="39">
        <f>'data entry Airport'!L126</f>
        <v>0</v>
      </c>
      <c r="G126" s="39">
        <f>'data entry Airport'!O126</f>
        <v>0</v>
      </c>
      <c r="H126" s="39">
        <f>'data entry Airport'!R126</f>
        <v>0</v>
      </c>
      <c r="I126" s="39">
        <f>'data entry Airport'!U126</f>
        <v>0</v>
      </c>
      <c r="J126" s="39">
        <f>'data entry Airport'!X126</f>
        <v>0</v>
      </c>
      <c r="K126" s="39">
        <f>'data entry Airport'!AA126</f>
        <v>0</v>
      </c>
      <c r="L126" s="39">
        <f>'data entry Airport'!AD126</f>
        <v>0</v>
      </c>
      <c r="M126" s="39">
        <f>'data entry Airport'!AG126</f>
        <v>0</v>
      </c>
      <c r="N126" s="39">
        <f>'data entry Airport'!AJ126</f>
        <v>0</v>
      </c>
      <c r="O126" s="39">
        <f>'data entry Airport'!AM126</f>
        <v>0</v>
      </c>
    </row>
    <row r="127" spans="2:15" ht="14" x14ac:dyDescent="0.15">
      <c r="B127" s="42" t="s">
        <v>88</v>
      </c>
      <c r="C127" s="39">
        <f>'data entry Airport'!C127</f>
        <v>1274482.3687</v>
      </c>
      <c r="D127" s="39">
        <f>'data entry Airport'!F127</f>
        <v>24672.11</v>
      </c>
      <c r="E127" s="39">
        <f>'data entry Airport'!I127</f>
        <v>26083.87</v>
      </c>
      <c r="F127" s="39">
        <f>'data entry Airport'!L127</f>
        <v>182744.59</v>
      </c>
      <c r="G127" s="39">
        <f>'data entry Airport'!O127</f>
        <v>-56201.49</v>
      </c>
      <c r="H127" s="39">
        <f>'data entry Airport'!R127</f>
        <v>82852.130499999999</v>
      </c>
      <c r="I127" s="39">
        <f>'data entry Airport'!U127</f>
        <v>24124.004400000002</v>
      </c>
      <c r="J127" s="39">
        <f>'data entry Airport'!X127</f>
        <v>-42427.981800000001</v>
      </c>
      <c r="K127" s="39">
        <f>'data entry Airport'!AA127</f>
        <v>34466.2624</v>
      </c>
      <c r="L127" s="39">
        <f>'data entry Airport'!AD127</f>
        <v>245707.54209999999</v>
      </c>
      <c r="M127" s="39">
        <f>'data entry Airport'!AG127</f>
        <v>330316.82760000002</v>
      </c>
      <c r="N127" s="39">
        <f>'data entry Airport'!AJ127</f>
        <v>331343.64970000001</v>
      </c>
      <c r="O127" s="39">
        <f>'data entry Airport'!AM127</f>
        <v>90800.853799999997</v>
      </c>
    </row>
    <row r="128" spans="2:15" x14ac:dyDescent="0.15">
      <c r="B128" s="40"/>
      <c r="C128" s="39">
        <f>'data entry Airport'!C128</f>
        <v>0</v>
      </c>
      <c r="D128" s="39">
        <f>'data entry Airport'!F128</f>
        <v>0</v>
      </c>
      <c r="E128" s="39">
        <f>'data entry Airport'!I128</f>
        <v>0</v>
      </c>
      <c r="F128" s="39">
        <f>'data entry Airport'!L128</f>
        <v>0</v>
      </c>
      <c r="G128" s="39">
        <f>'data entry Airport'!O128</f>
        <v>0</v>
      </c>
      <c r="H128" s="39">
        <f>'data entry Airport'!R128</f>
        <v>0</v>
      </c>
      <c r="I128" s="39">
        <f>'data entry Airport'!U128</f>
        <v>0</v>
      </c>
      <c r="J128" s="39">
        <f>'data entry Airport'!X128</f>
        <v>0</v>
      </c>
      <c r="K128" s="39">
        <f>'data entry Airport'!AA128</f>
        <v>0</v>
      </c>
      <c r="L128" s="39">
        <f>'data entry Airport'!AD128</f>
        <v>0</v>
      </c>
      <c r="M128" s="39">
        <f>'data entry Airport'!AG128</f>
        <v>0</v>
      </c>
      <c r="N128" s="39">
        <f>'data entry Airport'!AJ128</f>
        <v>0</v>
      </c>
      <c r="O128" s="39">
        <f>'data entry Airport'!AM128</f>
        <v>0</v>
      </c>
    </row>
    <row r="129" spans="2:15" ht="14" x14ac:dyDescent="0.15">
      <c r="B129" s="42" t="s">
        <v>89</v>
      </c>
      <c r="C129" s="39">
        <f>'data entry Airport'!C129</f>
        <v>141112.93030000001</v>
      </c>
      <c r="D129" s="39">
        <f>'data entry Airport'!F129</f>
        <v>11693.09</v>
      </c>
      <c r="E129" s="39">
        <f>'data entry Airport'!I129</f>
        <v>12610.48</v>
      </c>
      <c r="F129" s="39">
        <f>'data entry Airport'!L129</f>
        <v>11589.13</v>
      </c>
      <c r="G129" s="39">
        <f>'data entry Airport'!O129</f>
        <v>6387.15</v>
      </c>
      <c r="H129" s="39">
        <f>'data entry Airport'!R129</f>
        <v>10980.6998</v>
      </c>
      <c r="I129" s="39">
        <f>'data entry Airport'!U129</f>
        <v>9695.7296000000006</v>
      </c>
      <c r="J129" s="39">
        <f>'data entry Airport'!X129</f>
        <v>6859.0430999999999</v>
      </c>
      <c r="K129" s="39">
        <f>'data entry Airport'!AA129</f>
        <v>9188.0864000000001</v>
      </c>
      <c r="L129" s="39">
        <f>'data entry Airport'!AD129</f>
        <v>15983.7448</v>
      </c>
      <c r="M129" s="39">
        <f>'data entry Airport'!AG129</f>
        <v>17471.7228</v>
      </c>
      <c r="N129" s="39">
        <f>'data entry Airport'!AJ129</f>
        <v>17968.590400000001</v>
      </c>
      <c r="O129" s="39">
        <f>'data entry Airport'!AM129</f>
        <v>10685.463400000001</v>
      </c>
    </row>
    <row r="130" spans="2:15" ht="14" x14ac:dyDescent="0.15">
      <c r="B130" s="38" t="s">
        <v>90</v>
      </c>
      <c r="C130" s="39">
        <f>'data entry Airport'!C130</f>
        <v>141112.93030000001</v>
      </c>
      <c r="D130" s="39">
        <f>'data entry Airport'!F130</f>
        <v>11693.09</v>
      </c>
      <c r="E130" s="39">
        <f>'data entry Airport'!I130</f>
        <v>12610.48</v>
      </c>
      <c r="F130" s="39">
        <f>'data entry Airport'!L130</f>
        <v>11589.13</v>
      </c>
      <c r="G130" s="39">
        <f>'data entry Airport'!O130</f>
        <v>6387.15</v>
      </c>
      <c r="H130" s="39">
        <f>'data entry Airport'!R130</f>
        <v>10980.6998</v>
      </c>
      <c r="I130" s="39">
        <f>'data entry Airport'!U130</f>
        <v>9695.7296000000006</v>
      </c>
      <c r="J130" s="39">
        <f>'data entry Airport'!X130</f>
        <v>6859.0430999999999</v>
      </c>
      <c r="K130" s="39">
        <f>'data entry Airport'!AA130</f>
        <v>9188.0864000000001</v>
      </c>
      <c r="L130" s="39">
        <f>'data entry Airport'!AD130</f>
        <v>15983.7448</v>
      </c>
      <c r="M130" s="39">
        <f>'data entry Airport'!AG130</f>
        <v>17471.7228</v>
      </c>
      <c r="N130" s="39">
        <f>'data entry Airport'!AJ130</f>
        <v>17968.590400000001</v>
      </c>
      <c r="O130" s="39">
        <f>'data entry Airport'!AM130</f>
        <v>10685.463400000001</v>
      </c>
    </row>
    <row r="131" spans="2:15" ht="14" x14ac:dyDescent="0.15">
      <c r="B131" s="38" t="s">
        <v>91</v>
      </c>
      <c r="C131" s="39">
        <f>'data entry Airport'!C131</f>
        <v>0</v>
      </c>
      <c r="D131" s="39">
        <f>'data entry Airport'!F131</f>
        <v>0</v>
      </c>
      <c r="E131" s="39">
        <f>'data entry Airport'!I131</f>
        <v>0</v>
      </c>
      <c r="F131" s="39">
        <f>'data entry Airport'!L131</f>
        <v>0</v>
      </c>
      <c r="G131" s="39">
        <f>'data entry Airport'!O131</f>
        <v>0</v>
      </c>
      <c r="H131" s="39">
        <f>'data entry Airport'!R131</f>
        <v>0</v>
      </c>
      <c r="I131" s="39">
        <f>'data entry Airport'!U131</f>
        <v>0</v>
      </c>
      <c r="J131" s="39">
        <f>'data entry Airport'!X131</f>
        <v>0</v>
      </c>
      <c r="K131" s="39">
        <f>'data entry Airport'!AA131</f>
        <v>0</v>
      </c>
      <c r="L131" s="39">
        <f>'data entry Airport'!AD131</f>
        <v>0</v>
      </c>
      <c r="M131" s="39">
        <f>'data entry Airport'!AG131</f>
        <v>0</v>
      </c>
      <c r="N131" s="39">
        <f>'data entry Airport'!AJ131</f>
        <v>0</v>
      </c>
      <c r="O131" s="39">
        <f>'data entry Airport'!AM131</f>
        <v>0</v>
      </c>
    </row>
    <row r="132" spans="2:15" ht="14" x14ac:dyDescent="0.15">
      <c r="B132" s="38" t="s">
        <v>92</v>
      </c>
      <c r="C132" s="39">
        <f>'data entry Airport'!C132</f>
        <v>0</v>
      </c>
      <c r="D132" s="39">
        <f>'data entry Airport'!F132</f>
        <v>0</v>
      </c>
      <c r="E132" s="39">
        <f>'data entry Airport'!I132</f>
        <v>0</v>
      </c>
      <c r="F132" s="39">
        <f>'data entry Airport'!L132</f>
        <v>0</v>
      </c>
      <c r="G132" s="39">
        <f>'data entry Airport'!O132</f>
        <v>0</v>
      </c>
      <c r="H132" s="39">
        <f>'data entry Airport'!R132</f>
        <v>0</v>
      </c>
      <c r="I132" s="39">
        <f>'data entry Airport'!U132</f>
        <v>0</v>
      </c>
      <c r="J132" s="39">
        <f>'data entry Airport'!X132</f>
        <v>0</v>
      </c>
      <c r="K132" s="39">
        <f>'data entry Airport'!AA132</f>
        <v>0</v>
      </c>
      <c r="L132" s="39">
        <f>'data entry Airport'!AD132</f>
        <v>0</v>
      </c>
      <c r="M132" s="39">
        <f>'data entry Airport'!AG132</f>
        <v>0</v>
      </c>
      <c r="N132" s="39">
        <f>'data entry Airport'!AJ132</f>
        <v>0</v>
      </c>
      <c r="O132" s="39">
        <f>'data entry Airport'!AM132</f>
        <v>0</v>
      </c>
    </row>
    <row r="133" spans="2:15" x14ac:dyDescent="0.15">
      <c r="B133" s="40"/>
      <c r="C133" s="39">
        <f>'data entry Airport'!C133</f>
        <v>0</v>
      </c>
      <c r="D133" s="39">
        <f>'data entry Airport'!F133</f>
        <v>0</v>
      </c>
      <c r="E133" s="39">
        <f>'data entry Airport'!I133</f>
        <v>0</v>
      </c>
      <c r="F133" s="39">
        <f>'data entry Airport'!L133</f>
        <v>0</v>
      </c>
      <c r="G133" s="39">
        <f>'data entry Airport'!O133</f>
        <v>0</v>
      </c>
      <c r="H133" s="39">
        <f>'data entry Airport'!R133</f>
        <v>0</v>
      </c>
      <c r="I133" s="39">
        <f>'data entry Airport'!U133</f>
        <v>0</v>
      </c>
      <c r="J133" s="39">
        <f>'data entry Airport'!X133</f>
        <v>0</v>
      </c>
      <c r="K133" s="39">
        <f>'data entry Airport'!AA133</f>
        <v>0</v>
      </c>
      <c r="L133" s="39">
        <f>'data entry Airport'!AD133</f>
        <v>0</v>
      </c>
      <c r="M133" s="39">
        <f>'data entry Airport'!AG133</f>
        <v>0</v>
      </c>
      <c r="N133" s="39">
        <f>'data entry Airport'!AJ133</f>
        <v>0</v>
      </c>
      <c r="O133" s="39">
        <f>'data entry Airport'!AM133</f>
        <v>0</v>
      </c>
    </row>
    <row r="134" spans="2:15" ht="14" x14ac:dyDescent="0.15">
      <c r="B134" s="42" t="s">
        <v>93</v>
      </c>
      <c r="C134" s="39">
        <f>'data entry Airport'!C134</f>
        <v>1133369.4384999999</v>
      </c>
      <c r="D134" s="39">
        <f>'data entry Airport'!F134</f>
        <v>12979.02</v>
      </c>
      <c r="E134" s="39">
        <f>'data entry Airport'!I134</f>
        <v>13473.39</v>
      </c>
      <c r="F134" s="39">
        <f>'data entry Airport'!L134</f>
        <v>171155.46</v>
      </c>
      <c r="G134" s="39">
        <f>'data entry Airport'!O134</f>
        <v>-62588.639999999999</v>
      </c>
      <c r="H134" s="39">
        <f>'data entry Airport'!R134</f>
        <v>71871.430800000002</v>
      </c>
      <c r="I134" s="39">
        <f>'data entry Airport'!U134</f>
        <v>14428.274799999999</v>
      </c>
      <c r="J134" s="39">
        <f>'data entry Airport'!X134</f>
        <v>-49287.024899999997</v>
      </c>
      <c r="K134" s="39">
        <f>'data entry Airport'!AA134</f>
        <v>25278.175999999999</v>
      </c>
      <c r="L134" s="39">
        <f>'data entry Airport'!AD134</f>
        <v>229723.79730000001</v>
      </c>
      <c r="M134" s="39">
        <f>'data entry Airport'!AG134</f>
        <v>312845.10479999997</v>
      </c>
      <c r="N134" s="39">
        <f>'data entry Airport'!AJ134</f>
        <v>313375.05930000002</v>
      </c>
      <c r="O134" s="39">
        <f>'data entry Airport'!AM134</f>
        <v>80115.390400000004</v>
      </c>
    </row>
    <row r="135" spans="2:15" x14ac:dyDescent="0.15">
      <c r="B135" s="40"/>
      <c r="C135" s="39">
        <f>'data entry Airport'!C135</f>
        <v>0</v>
      </c>
      <c r="D135" s="39">
        <f>'data entry Airport'!F135</f>
        <v>0</v>
      </c>
      <c r="E135" s="39">
        <f>'data entry Airport'!I135</f>
        <v>0</v>
      </c>
      <c r="F135" s="39">
        <f>'data entry Airport'!L135</f>
        <v>0</v>
      </c>
      <c r="G135" s="39">
        <f>'data entry Airport'!O135</f>
        <v>0</v>
      </c>
      <c r="H135" s="39">
        <f>'data entry Airport'!R135</f>
        <v>0</v>
      </c>
      <c r="I135" s="39">
        <f>'data entry Airport'!U135</f>
        <v>0</v>
      </c>
      <c r="J135" s="39">
        <f>'data entry Airport'!X135</f>
        <v>0</v>
      </c>
      <c r="K135" s="39">
        <f>'data entry Airport'!AA135</f>
        <v>0</v>
      </c>
      <c r="L135" s="39">
        <f>'data entry Airport'!AD135</f>
        <v>0</v>
      </c>
      <c r="M135" s="39">
        <f>'data entry Airport'!AG135</f>
        <v>0</v>
      </c>
      <c r="N135" s="39">
        <f>'data entry Airport'!AJ135</f>
        <v>0</v>
      </c>
      <c r="O135" s="39">
        <f>'data entry Airport'!AM135</f>
        <v>0</v>
      </c>
    </row>
    <row r="136" spans="2:15" ht="14" x14ac:dyDescent="0.15">
      <c r="B136" s="42" t="s">
        <v>94</v>
      </c>
      <c r="C136" s="39">
        <f>'data entry Airport'!C136</f>
        <v>1996548.88</v>
      </c>
      <c r="D136" s="39">
        <f>'data entry Airport'!F136</f>
        <v>159757.01999999999</v>
      </c>
      <c r="E136" s="39">
        <f>'data entry Airport'!I136</f>
        <v>159757.01999999999</v>
      </c>
      <c r="F136" s="39">
        <f>'data entry Airport'!L136</f>
        <v>180379.1</v>
      </c>
      <c r="G136" s="39">
        <f>'data entry Airport'!O136</f>
        <v>180379.1</v>
      </c>
      <c r="H136" s="39">
        <f>'data entry Airport'!R136</f>
        <v>164534.57999999999</v>
      </c>
      <c r="I136" s="39">
        <f>'data entry Airport'!U136</f>
        <v>164534.57999999999</v>
      </c>
      <c r="J136" s="39">
        <f>'data entry Airport'!X136</f>
        <v>164534.57999999999</v>
      </c>
      <c r="K136" s="39">
        <f>'data entry Airport'!AA136</f>
        <v>164534.57999999999</v>
      </c>
      <c r="L136" s="39">
        <f>'data entry Airport'!AD136</f>
        <v>164534.57999999999</v>
      </c>
      <c r="M136" s="39">
        <f>'data entry Airport'!AG136</f>
        <v>164534.57999999999</v>
      </c>
      <c r="N136" s="39">
        <f>'data entry Airport'!AJ136</f>
        <v>164534.57999999999</v>
      </c>
      <c r="O136" s="39">
        <f>'data entry Airport'!AM136</f>
        <v>164534.57999999999</v>
      </c>
    </row>
    <row r="137" spans="2:15" ht="14" x14ac:dyDescent="0.15">
      <c r="B137" s="38" t="s">
        <v>95</v>
      </c>
      <c r="C137" s="39">
        <f>'data entry Airport'!C137</f>
        <v>1996548.88</v>
      </c>
      <c r="D137" s="39">
        <f>'data entry Airport'!F137</f>
        <v>159757.01999999999</v>
      </c>
      <c r="E137" s="39">
        <f>'data entry Airport'!I137</f>
        <v>159757.01999999999</v>
      </c>
      <c r="F137" s="39">
        <f>'data entry Airport'!L137</f>
        <v>180379.1</v>
      </c>
      <c r="G137" s="39">
        <f>'data entry Airport'!O137</f>
        <v>180379.1</v>
      </c>
      <c r="H137" s="39">
        <f>'data entry Airport'!R137</f>
        <v>164534.57999999999</v>
      </c>
      <c r="I137" s="39">
        <f>'data entry Airport'!U137</f>
        <v>164534.57999999999</v>
      </c>
      <c r="J137" s="39">
        <f>'data entry Airport'!X137</f>
        <v>164534.57999999999</v>
      </c>
      <c r="K137" s="39">
        <f>'data entry Airport'!AA137</f>
        <v>164534.57999999999</v>
      </c>
      <c r="L137" s="39">
        <f>'data entry Airport'!AD137</f>
        <v>164534.57999999999</v>
      </c>
      <c r="M137" s="39">
        <f>'data entry Airport'!AG137</f>
        <v>164534.57999999999</v>
      </c>
      <c r="N137" s="39">
        <f>'data entry Airport'!AJ137</f>
        <v>164534.57999999999</v>
      </c>
      <c r="O137" s="39">
        <f>'data entry Airport'!AM137</f>
        <v>164534.57999999999</v>
      </c>
    </row>
    <row r="138" spans="2:15" ht="14" x14ac:dyDescent="0.15">
      <c r="B138" s="38" t="s">
        <v>96</v>
      </c>
      <c r="C138" s="39">
        <f>'data entry Airport'!C138</f>
        <v>0</v>
      </c>
      <c r="D138" s="39">
        <f>'data entry Airport'!F138</f>
        <v>0</v>
      </c>
      <c r="E138" s="39">
        <f>'data entry Airport'!I138</f>
        <v>0</v>
      </c>
      <c r="F138" s="39">
        <f>'data entry Airport'!L138</f>
        <v>0</v>
      </c>
      <c r="G138" s="39">
        <f>'data entry Airport'!O138</f>
        <v>0</v>
      </c>
      <c r="H138" s="39">
        <f>'data entry Airport'!R138</f>
        <v>0</v>
      </c>
      <c r="I138" s="39">
        <f>'data entry Airport'!U138</f>
        <v>0</v>
      </c>
      <c r="J138" s="39">
        <f>'data entry Airport'!X138</f>
        <v>0</v>
      </c>
      <c r="K138" s="39">
        <f>'data entry Airport'!AA138</f>
        <v>0</v>
      </c>
      <c r="L138" s="39">
        <f>'data entry Airport'!AD138</f>
        <v>0</v>
      </c>
      <c r="M138" s="39">
        <f>'data entry Airport'!AG138</f>
        <v>0</v>
      </c>
      <c r="N138" s="39">
        <f>'data entry Airport'!AJ138</f>
        <v>0</v>
      </c>
      <c r="O138" s="39">
        <f>'data entry Airport'!AM138</f>
        <v>0</v>
      </c>
    </row>
    <row r="139" spans="2:15" ht="14" x14ac:dyDescent="0.15">
      <c r="B139" s="38" t="s">
        <v>97</v>
      </c>
      <c r="C139" s="39">
        <f>'data entry Airport'!C139</f>
        <v>0</v>
      </c>
      <c r="D139" s="39">
        <f>'data entry Airport'!F139</f>
        <v>0</v>
      </c>
      <c r="E139" s="39">
        <f>'data entry Airport'!I139</f>
        <v>0</v>
      </c>
      <c r="F139" s="39">
        <f>'data entry Airport'!L139</f>
        <v>0</v>
      </c>
      <c r="G139" s="39">
        <f>'data entry Airport'!O139</f>
        <v>0</v>
      </c>
      <c r="H139" s="39">
        <f>'data entry Airport'!R139</f>
        <v>0</v>
      </c>
      <c r="I139" s="39">
        <f>'data entry Airport'!U139</f>
        <v>0</v>
      </c>
      <c r="J139" s="39">
        <f>'data entry Airport'!X139</f>
        <v>0</v>
      </c>
      <c r="K139" s="39">
        <f>'data entry Airport'!AA139</f>
        <v>0</v>
      </c>
      <c r="L139" s="39">
        <f>'data entry Airport'!AD139</f>
        <v>0</v>
      </c>
      <c r="M139" s="39">
        <f>'data entry Airport'!AG139</f>
        <v>0</v>
      </c>
      <c r="N139" s="39">
        <f>'data entry Airport'!AJ139</f>
        <v>0</v>
      </c>
      <c r="O139" s="39">
        <f>'data entry Airport'!AM139</f>
        <v>0</v>
      </c>
    </row>
    <row r="140" spans="2:15" x14ac:dyDescent="0.15">
      <c r="B140" s="40"/>
      <c r="C140" s="39">
        <f>'data entry Airport'!C140</f>
        <v>0</v>
      </c>
      <c r="D140" s="39">
        <f>'data entry Airport'!F140</f>
        <v>0</v>
      </c>
      <c r="E140" s="39">
        <f>'data entry Airport'!I140</f>
        <v>0</v>
      </c>
      <c r="F140" s="39">
        <f>'data entry Airport'!L140</f>
        <v>0</v>
      </c>
      <c r="G140" s="39">
        <f>'data entry Airport'!O140</f>
        <v>0</v>
      </c>
      <c r="H140" s="39">
        <f>'data entry Airport'!R140</f>
        <v>0</v>
      </c>
      <c r="I140" s="39">
        <f>'data entry Airport'!U140</f>
        <v>0</v>
      </c>
      <c r="J140" s="39">
        <f>'data entry Airport'!X140</f>
        <v>0</v>
      </c>
      <c r="K140" s="39">
        <f>'data entry Airport'!AA140</f>
        <v>0</v>
      </c>
      <c r="L140" s="39">
        <f>'data entry Airport'!AD140</f>
        <v>0</v>
      </c>
      <c r="M140" s="39">
        <f>'data entry Airport'!AG140</f>
        <v>0</v>
      </c>
      <c r="N140" s="39">
        <f>'data entry Airport'!AJ140</f>
        <v>0</v>
      </c>
      <c r="O140" s="39">
        <f>'data entry Airport'!AM140</f>
        <v>0</v>
      </c>
    </row>
    <row r="141" spans="2:15" ht="28" x14ac:dyDescent="0.15">
      <c r="B141" s="42" t="s">
        <v>98</v>
      </c>
      <c r="C141" s="39">
        <f>'data entry Airport'!C141</f>
        <v>-863179.44149999996</v>
      </c>
      <c r="D141" s="39">
        <f>'data entry Airport'!F141</f>
        <v>-146778</v>
      </c>
      <c r="E141" s="39">
        <f>'data entry Airport'!I141</f>
        <v>-146283.63</v>
      </c>
      <c r="F141" s="39">
        <f>'data entry Airport'!L141</f>
        <v>-9223.64</v>
      </c>
      <c r="G141" s="39">
        <f>'data entry Airport'!O141</f>
        <v>-242967.74</v>
      </c>
      <c r="H141" s="39">
        <f>'data entry Airport'!R141</f>
        <v>-92663.1492</v>
      </c>
      <c r="I141" s="39">
        <f>'data entry Airport'!U141</f>
        <v>-150106.3052</v>
      </c>
      <c r="J141" s="39">
        <f>'data entry Airport'!X141</f>
        <v>-213821.60490000001</v>
      </c>
      <c r="K141" s="39">
        <f>'data entry Airport'!AA141</f>
        <v>-139256.40400000001</v>
      </c>
      <c r="L141" s="39">
        <f>'data entry Airport'!AD141</f>
        <v>65189.217299999997</v>
      </c>
      <c r="M141" s="39">
        <f>'data entry Airport'!AG141</f>
        <v>148310.52480000001</v>
      </c>
      <c r="N141" s="39">
        <f>'data entry Airport'!AJ141</f>
        <v>148840.47930000001</v>
      </c>
      <c r="O141" s="39">
        <f>'data entry Airport'!AM141</f>
        <v>-84419.189599999998</v>
      </c>
    </row>
    <row r="142" spans="2:15" ht="14" x14ac:dyDescent="0.15">
      <c r="B142" s="38" t="s">
        <v>99</v>
      </c>
      <c r="C142" s="39">
        <f>'data entry Airport'!C142</f>
        <v>0</v>
      </c>
      <c r="D142" s="39">
        <f>'data entry Airport'!F142</f>
        <v>0</v>
      </c>
      <c r="E142" s="39">
        <f>'data entry Airport'!I142</f>
        <v>0</v>
      </c>
      <c r="F142" s="39">
        <f>'data entry Airport'!L142</f>
        <v>0</v>
      </c>
      <c r="G142" s="39">
        <f>'data entry Airport'!O142</f>
        <v>0</v>
      </c>
      <c r="H142" s="39">
        <f>'data entry Airport'!R142</f>
        <v>0</v>
      </c>
      <c r="I142" s="39">
        <f>'data entry Airport'!U142</f>
        <v>0</v>
      </c>
      <c r="J142" s="39">
        <f>'data entry Airport'!X142</f>
        <v>0</v>
      </c>
      <c r="K142" s="39">
        <f>'data entry Airport'!AA142</f>
        <v>0</v>
      </c>
      <c r="L142" s="39">
        <f>'data entry Airport'!AD142</f>
        <v>0</v>
      </c>
      <c r="M142" s="39">
        <f>'data entry Airport'!AG142</f>
        <v>0</v>
      </c>
      <c r="N142" s="39">
        <f>'data entry Airport'!AJ142</f>
        <v>0</v>
      </c>
      <c r="O142" s="39">
        <f>'data entry Airport'!AM142</f>
        <v>0</v>
      </c>
    </row>
    <row r="143" spans="2:15" x14ac:dyDescent="0.15">
      <c r="B143" s="40"/>
      <c r="C143" s="39">
        <f>'data entry Airport'!C143</f>
        <v>0</v>
      </c>
      <c r="D143" s="39">
        <f>'data entry Airport'!F143</f>
        <v>0</v>
      </c>
      <c r="E143" s="39">
        <f>'data entry Airport'!I143</f>
        <v>0</v>
      </c>
      <c r="F143" s="39">
        <f>'data entry Airport'!L143</f>
        <v>0</v>
      </c>
      <c r="G143" s="39">
        <f>'data entry Airport'!O143</f>
        <v>0</v>
      </c>
      <c r="H143" s="39">
        <f>'data entry Airport'!R143</f>
        <v>0</v>
      </c>
      <c r="I143" s="39">
        <f>'data entry Airport'!U143</f>
        <v>0</v>
      </c>
      <c r="J143" s="39">
        <f>'data entry Airport'!X143</f>
        <v>0</v>
      </c>
      <c r="K143" s="39">
        <f>'data entry Airport'!AA143</f>
        <v>0</v>
      </c>
      <c r="L143" s="39">
        <f>'data entry Airport'!AD143</f>
        <v>0</v>
      </c>
      <c r="M143" s="39">
        <f>'data entry Airport'!AG143</f>
        <v>0</v>
      </c>
      <c r="N143" s="39">
        <f>'data entry Airport'!AJ143</f>
        <v>0</v>
      </c>
      <c r="O143" s="39">
        <f>'data entry Airport'!AM143</f>
        <v>0</v>
      </c>
    </row>
    <row r="144" spans="2:15" ht="14" x14ac:dyDescent="0.15">
      <c r="B144" s="42" t="s">
        <v>100</v>
      </c>
      <c r="C144" s="39">
        <f>'data entry Airport'!C144</f>
        <v>-863179.44149999996</v>
      </c>
      <c r="D144" s="39">
        <f>'data entry Airport'!F144</f>
        <v>-146778</v>
      </c>
      <c r="E144" s="39">
        <f>'data entry Airport'!I144</f>
        <v>-146283.63</v>
      </c>
      <c r="F144" s="39">
        <f>'data entry Airport'!L144</f>
        <v>-9223.64</v>
      </c>
      <c r="G144" s="39">
        <f>'data entry Airport'!O144</f>
        <v>-242967.74</v>
      </c>
      <c r="H144" s="39">
        <f>'data entry Airport'!R144</f>
        <v>-92663.1492</v>
      </c>
      <c r="I144" s="39">
        <f>'data entry Airport'!U144</f>
        <v>-150106.3052</v>
      </c>
      <c r="J144" s="39">
        <f>'data entry Airport'!X144</f>
        <v>-213821.60490000001</v>
      </c>
      <c r="K144" s="39">
        <f>'data entry Airport'!AA144</f>
        <v>-139256.40400000001</v>
      </c>
      <c r="L144" s="39">
        <f>'data entry Airport'!AD144</f>
        <v>65189.217299999997</v>
      </c>
      <c r="M144" s="39">
        <f>'data entry Airport'!AG144</f>
        <v>148310.52480000001</v>
      </c>
      <c r="N144" s="39">
        <f>'data entry Airport'!AJ144</f>
        <v>148840.47930000001</v>
      </c>
      <c r="O144" s="39">
        <f>'data entry Airport'!AM144</f>
        <v>-84419.189599999998</v>
      </c>
    </row>
    <row r="145" spans="2:15" ht="14" x14ac:dyDescent="0.15">
      <c r="B145" s="38" t="s">
        <v>101</v>
      </c>
      <c r="C145" s="39">
        <f>'data entry Airport'!C145</f>
        <v>0</v>
      </c>
      <c r="D145" s="39">
        <f>'data entry Airport'!F145</f>
        <v>0</v>
      </c>
      <c r="E145" s="39">
        <f>'data entry Airport'!I145</f>
        <v>0</v>
      </c>
      <c r="F145" s="39">
        <f>'data entry Airport'!L145</f>
        <v>0</v>
      </c>
      <c r="G145" s="39">
        <f>'data entry Airport'!O145</f>
        <v>0</v>
      </c>
      <c r="H145" s="39">
        <f>'data entry Airport'!R145</f>
        <v>0</v>
      </c>
      <c r="I145" s="39">
        <f>'data entry Airport'!U145</f>
        <v>0</v>
      </c>
      <c r="J145" s="39">
        <f>'data entry Airport'!X145</f>
        <v>0</v>
      </c>
      <c r="K145" s="39">
        <f>'data entry Airport'!AA145</f>
        <v>0</v>
      </c>
      <c r="L145" s="39">
        <f>'data entry Airport'!AD145</f>
        <v>0</v>
      </c>
      <c r="M145" s="39">
        <f>'data entry Airport'!AG145</f>
        <v>0</v>
      </c>
      <c r="N145" s="39">
        <f>'data entry Airport'!AJ145</f>
        <v>0</v>
      </c>
      <c r="O145" s="39">
        <f>'data entry Airport'!AM145</f>
        <v>0</v>
      </c>
    </row>
    <row r="146" spans="2:15" x14ac:dyDescent="0.15">
      <c r="B146" s="40"/>
      <c r="C146" s="39">
        <f>'data entry Airport'!C146</f>
        <v>0</v>
      </c>
      <c r="D146" s="39">
        <f>'data entry Airport'!F146</f>
        <v>0</v>
      </c>
      <c r="E146" s="39">
        <f>'data entry Airport'!I146</f>
        <v>0</v>
      </c>
      <c r="F146" s="39">
        <f>'data entry Airport'!L146</f>
        <v>0</v>
      </c>
      <c r="G146" s="39">
        <f>'data entry Airport'!O146</f>
        <v>0</v>
      </c>
      <c r="H146" s="39">
        <f>'data entry Airport'!R146</f>
        <v>0</v>
      </c>
      <c r="I146" s="39">
        <f>'data entry Airport'!U146</f>
        <v>0</v>
      </c>
      <c r="J146" s="39">
        <f>'data entry Airport'!X146</f>
        <v>0</v>
      </c>
      <c r="K146" s="39">
        <f>'data entry Airport'!AA146</f>
        <v>0</v>
      </c>
      <c r="L146" s="39">
        <f>'data entry Airport'!AD146</f>
        <v>0</v>
      </c>
      <c r="M146" s="39">
        <f>'data entry Airport'!AG146</f>
        <v>0</v>
      </c>
      <c r="N146" s="39">
        <f>'data entry Airport'!AJ146</f>
        <v>0</v>
      </c>
      <c r="O146" s="39">
        <f>'data entry Airport'!AM146</f>
        <v>0</v>
      </c>
    </row>
    <row r="147" spans="2:15" ht="28" x14ac:dyDescent="0.15">
      <c r="B147" s="42" t="s">
        <v>102</v>
      </c>
      <c r="C147" s="39">
        <f>'data entry Airport'!C147</f>
        <v>-863179.44149999996</v>
      </c>
      <c r="D147" s="39">
        <f>'data entry Airport'!F147</f>
        <v>-146778</v>
      </c>
      <c r="E147" s="39">
        <f>'data entry Airport'!I147</f>
        <v>-146283.63</v>
      </c>
      <c r="F147" s="39">
        <f>'data entry Airport'!L147</f>
        <v>-9223.64</v>
      </c>
      <c r="G147" s="39">
        <f>'data entry Airport'!O147</f>
        <v>-242967.74</v>
      </c>
      <c r="H147" s="39">
        <f>'data entry Airport'!R147</f>
        <v>-92663.1492</v>
      </c>
      <c r="I147" s="39">
        <f>'data entry Airport'!U147</f>
        <v>-150106.3052</v>
      </c>
      <c r="J147" s="39">
        <f>'data entry Airport'!X147</f>
        <v>-213821.60490000001</v>
      </c>
      <c r="K147" s="39">
        <f>'data entry Airport'!AA147</f>
        <v>-139256.40400000001</v>
      </c>
      <c r="L147" s="39">
        <f>'data entry Airport'!AD147</f>
        <v>65189.217299999997</v>
      </c>
      <c r="M147" s="39">
        <f>'data entry Airport'!AG147</f>
        <v>148310.52480000001</v>
      </c>
      <c r="N147" s="39">
        <f>'data entry Airport'!AJ147</f>
        <v>148840.47930000001</v>
      </c>
      <c r="O147" s="39">
        <f>'data entry Airport'!AM147</f>
        <v>-84419.189599999998</v>
      </c>
    </row>
    <row r="148" spans="2:15" ht="14" x14ac:dyDescent="0.15">
      <c r="B148" s="38" t="s">
        <v>103</v>
      </c>
      <c r="C148" s="39">
        <f>'data entry Airport'!C148</f>
        <v>0</v>
      </c>
      <c r="D148" s="39">
        <f>'data entry Airport'!F148</f>
        <v>0</v>
      </c>
      <c r="E148" s="39">
        <f>'data entry Airport'!I148</f>
        <v>0</v>
      </c>
      <c r="F148" s="39">
        <f>'data entry Airport'!L148</f>
        <v>0</v>
      </c>
      <c r="G148" s="39">
        <f>'data entry Airport'!O148</f>
        <v>0</v>
      </c>
      <c r="H148" s="39">
        <f>'data entry Airport'!R148</f>
        <v>0</v>
      </c>
      <c r="I148" s="39">
        <f>'data entry Airport'!U148</f>
        <v>0</v>
      </c>
      <c r="J148" s="39">
        <f>'data entry Airport'!X148</f>
        <v>0</v>
      </c>
      <c r="K148" s="39">
        <f>'data entry Airport'!AA148</f>
        <v>0</v>
      </c>
      <c r="L148" s="39">
        <f>'data entry Airport'!AD148</f>
        <v>0</v>
      </c>
      <c r="M148" s="39">
        <f>'data entry Airport'!AG148</f>
        <v>0</v>
      </c>
      <c r="N148" s="39">
        <f>'data entry Airport'!AJ148</f>
        <v>0</v>
      </c>
      <c r="O148" s="39">
        <f>'data entry Airport'!AM148</f>
        <v>0</v>
      </c>
    </row>
    <row r="149" spans="2:15" x14ac:dyDescent="0.15">
      <c r="B149" s="40"/>
      <c r="C149" s="39">
        <f>'data entry Airport'!C149</f>
        <v>0</v>
      </c>
      <c r="D149" s="39">
        <f>'data entry Airport'!F149</f>
        <v>0</v>
      </c>
      <c r="E149" s="39">
        <f>'data entry Airport'!I149</f>
        <v>0</v>
      </c>
      <c r="F149" s="39">
        <f>'data entry Airport'!L149</f>
        <v>0</v>
      </c>
      <c r="G149" s="39">
        <f>'data entry Airport'!O149</f>
        <v>0</v>
      </c>
      <c r="H149" s="39">
        <f>'data entry Airport'!R149</f>
        <v>0</v>
      </c>
      <c r="I149" s="39">
        <f>'data entry Airport'!U149</f>
        <v>0</v>
      </c>
      <c r="J149" s="39">
        <f>'data entry Airport'!X149</f>
        <v>0</v>
      </c>
      <c r="K149" s="39">
        <f>'data entry Airport'!AA149</f>
        <v>0</v>
      </c>
      <c r="L149" s="39">
        <f>'data entry Airport'!AD149</f>
        <v>0</v>
      </c>
      <c r="M149" s="39">
        <f>'data entry Airport'!AG149</f>
        <v>0</v>
      </c>
      <c r="N149" s="39">
        <f>'data entry Airport'!AJ149</f>
        <v>0</v>
      </c>
      <c r="O149" s="39">
        <f>'data entry Airport'!AM149</f>
        <v>0</v>
      </c>
    </row>
    <row r="150" spans="2:15" ht="14" x14ac:dyDescent="0.15">
      <c r="B150" s="42" t="s">
        <v>104</v>
      </c>
      <c r="C150" s="39">
        <f>'data entry Airport'!C150</f>
        <v>-863179.44149999996</v>
      </c>
      <c r="D150" s="39">
        <f>'data entry Airport'!F150</f>
        <v>-146778</v>
      </c>
      <c r="E150" s="39">
        <f>'data entry Airport'!I150</f>
        <v>-146283.63</v>
      </c>
      <c r="F150" s="39">
        <f>'data entry Airport'!L150</f>
        <v>-9223.64</v>
      </c>
      <c r="G150" s="39">
        <f>'data entry Airport'!O150</f>
        <v>-242967.74</v>
      </c>
      <c r="H150" s="39">
        <f>'data entry Airport'!R150</f>
        <v>-92663.1492</v>
      </c>
      <c r="I150" s="39">
        <f>'data entry Airport'!U150</f>
        <v>-150106.3052</v>
      </c>
      <c r="J150" s="39">
        <f>'data entry Airport'!X150</f>
        <v>-213821.60490000001</v>
      </c>
      <c r="K150" s="39">
        <f>'data entry Airport'!AA150</f>
        <v>-139256.40400000001</v>
      </c>
      <c r="L150" s="39">
        <f>'data entry Airport'!AD150</f>
        <v>65189.217299999997</v>
      </c>
      <c r="M150" s="39">
        <f>'data entry Airport'!AG150</f>
        <v>148310.52480000001</v>
      </c>
      <c r="N150" s="39">
        <f>'data entry Airport'!AJ150</f>
        <v>148840.47930000001</v>
      </c>
      <c r="O150" s="39">
        <f>'data entry Airport'!AM150</f>
        <v>-84419.189599999998</v>
      </c>
    </row>
    <row r="151" spans="2:15" x14ac:dyDescent="0.15">
      <c r="B151" s="40"/>
      <c r="C151" s="39">
        <f>'data entry Airport'!C151</f>
        <v>0</v>
      </c>
      <c r="D151" s="39">
        <f>'data entry Airport'!F151</f>
        <v>0</v>
      </c>
      <c r="E151" s="39">
        <f>'data entry Airport'!I151</f>
        <v>0</v>
      </c>
      <c r="F151" s="39">
        <f>'data entry Airport'!L151</f>
        <v>0</v>
      </c>
      <c r="G151" s="39">
        <f>'data entry Airport'!O151</f>
        <v>0</v>
      </c>
      <c r="H151" s="39">
        <f>'data entry Airport'!R151</f>
        <v>0</v>
      </c>
      <c r="I151" s="39">
        <f>'data entry Airport'!U151</f>
        <v>0</v>
      </c>
      <c r="J151" s="39">
        <f>'data entry Airport'!X151</f>
        <v>0</v>
      </c>
      <c r="K151" s="39">
        <f>'data entry Airport'!AA151</f>
        <v>0</v>
      </c>
      <c r="L151" s="39">
        <f>'data entry Airport'!AD151</f>
        <v>0</v>
      </c>
      <c r="M151" s="39">
        <f>'data entry Airport'!AG151</f>
        <v>0</v>
      </c>
      <c r="N151" s="39">
        <f>'data entry Airport'!AJ151</f>
        <v>0</v>
      </c>
      <c r="O151" s="39">
        <f>'data entry Airport'!AM151</f>
        <v>0</v>
      </c>
    </row>
    <row r="152" spans="2:15" ht="14" x14ac:dyDescent="0.15">
      <c r="B152" s="44" t="s">
        <v>105</v>
      </c>
      <c r="C152" s="39">
        <f>'data entry Airport'!C152</f>
        <v>0</v>
      </c>
      <c r="D152" s="39">
        <f>'data entry Airport'!F152</f>
        <v>0</v>
      </c>
      <c r="E152" s="39">
        <f>'data entry Airport'!I152</f>
        <v>0</v>
      </c>
      <c r="F152" s="39">
        <f>'data entry Airport'!L152</f>
        <v>0</v>
      </c>
      <c r="G152" s="39">
        <f>'data entry Airport'!O152</f>
        <v>0</v>
      </c>
      <c r="H152" s="39">
        <f>'data entry Airport'!R152</f>
        <v>0</v>
      </c>
      <c r="I152" s="39">
        <f>'data entry Airport'!U152</f>
        <v>0</v>
      </c>
      <c r="J152" s="39">
        <f>'data entry Airport'!X152</f>
        <v>0</v>
      </c>
      <c r="K152" s="39">
        <f>'data entry Airport'!AA152</f>
        <v>0</v>
      </c>
      <c r="L152" s="39">
        <f>'data entry Airport'!AD152</f>
        <v>0</v>
      </c>
      <c r="M152" s="39">
        <f>'data entry Airport'!AG152</f>
        <v>0</v>
      </c>
      <c r="N152" s="39">
        <f>'data entry Airport'!AJ152</f>
        <v>0</v>
      </c>
      <c r="O152" s="39">
        <f>'data entry Airport'!AM152</f>
        <v>0</v>
      </c>
    </row>
    <row r="153" spans="2:15" ht="14" x14ac:dyDescent="0.15">
      <c r="B153" s="38" t="s">
        <v>106</v>
      </c>
      <c r="C153" s="39">
        <f>'data entry Airport'!C153</f>
        <v>-858544.00150000001</v>
      </c>
      <c r="D153" s="39">
        <f>'data entry Airport'!F153</f>
        <v>-145619.14000000001</v>
      </c>
      <c r="E153" s="39">
        <f>'data entry Airport'!I153</f>
        <v>-145124.76999999999</v>
      </c>
      <c r="F153" s="39">
        <f>'data entry Airport'!L153</f>
        <v>-8064.78</v>
      </c>
      <c r="G153" s="39">
        <f>'data entry Airport'!O153</f>
        <v>-241808.88</v>
      </c>
      <c r="H153" s="39">
        <f>'data entry Airport'!R153</f>
        <v>-92663.1492</v>
      </c>
      <c r="I153" s="39">
        <f>'data entry Airport'!U153</f>
        <v>-150106.3052</v>
      </c>
      <c r="J153" s="39">
        <f>'data entry Airport'!X153</f>
        <v>-213821.60490000001</v>
      </c>
      <c r="K153" s="39">
        <f>'data entry Airport'!AA153</f>
        <v>-139256.40400000001</v>
      </c>
      <c r="L153" s="39">
        <f>'data entry Airport'!AD153</f>
        <v>65189.217299999997</v>
      </c>
      <c r="M153" s="39">
        <f>'data entry Airport'!AG153</f>
        <v>148310.52480000001</v>
      </c>
      <c r="N153" s="39">
        <f>'data entry Airport'!AJ153</f>
        <v>148840.47930000001</v>
      </c>
      <c r="O153" s="39">
        <f>'data entry Airport'!AM153</f>
        <v>-84419.189599999998</v>
      </c>
    </row>
    <row r="154" spans="2:15" ht="14" x14ac:dyDescent="0.15">
      <c r="B154" s="38" t="s">
        <v>107</v>
      </c>
      <c r="C154" s="39">
        <f>'data entry Airport'!C154</f>
        <v>-863179.44149999996</v>
      </c>
      <c r="D154" s="39">
        <f>'data entry Airport'!F154</f>
        <v>-146778</v>
      </c>
      <c r="E154" s="39">
        <f>'data entry Airport'!I154</f>
        <v>-146283.63</v>
      </c>
      <c r="F154" s="39">
        <f>'data entry Airport'!L154</f>
        <v>-9223.64</v>
      </c>
      <c r="G154" s="39">
        <f>'data entry Airport'!O154</f>
        <v>-242967.74</v>
      </c>
      <c r="H154" s="39">
        <f>'data entry Airport'!R154</f>
        <v>-92663.1492</v>
      </c>
      <c r="I154" s="39">
        <f>'data entry Airport'!U154</f>
        <v>-150106.3052</v>
      </c>
      <c r="J154" s="39">
        <f>'data entry Airport'!X154</f>
        <v>-213821.60490000001</v>
      </c>
      <c r="K154" s="39">
        <f>'data entry Airport'!AA154</f>
        <v>-139256.40400000001</v>
      </c>
      <c r="L154" s="39">
        <f>'data entry Airport'!AD154</f>
        <v>65189.217299999997</v>
      </c>
      <c r="M154" s="39">
        <f>'data entry Airport'!AG154</f>
        <v>148310.52480000001</v>
      </c>
      <c r="N154" s="39">
        <f>'data entry Airport'!AJ154</f>
        <v>148840.47930000001</v>
      </c>
      <c r="O154" s="39">
        <f>'data entry Airport'!AM154</f>
        <v>-84419.189599999998</v>
      </c>
    </row>
    <row r="155" spans="2:15" ht="14" x14ac:dyDescent="0.15">
      <c r="B155" s="42" t="s">
        <v>108</v>
      </c>
      <c r="C155" s="39">
        <f>'data entry Airport'!C155</f>
        <v>224708.15040000001</v>
      </c>
      <c r="D155" s="39">
        <f>'data entry Airport'!F155</f>
        <v>19488.490000000002</v>
      </c>
      <c r="E155" s="39">
        <f>'data entry Airport'!I155</f>
        <v>21017.46</v>
      </c>
      <c r="F155" s="39">
        <f>'data entry Airport'!L155</f>
        <v>23178.27</v>
      </c>
      <c r="G155" s="39">
        <f>'data entry Airport'!O155</f>
        <v>12774.31</v>
      </c>
      <c r="H155" s="39">
        <f>'data entry Airport'!R155</f>
        <v>16471.049599999998</v>
      </c>
      <c r="I155" s="39">
        <f>'data entry Airport'!U155</f>
        <v>14543.5944</v>
      </c>
      <c r="J155" s="39">
        <f>'data entry Airport'!X155</f>
        <v>10288.564700000001</v>
      </c>
      <c r="K155" s="39">
        <f>'data entry Airport'!AA155</f>
        <v>13782.1296</v>
      </c>
      <c r="L155" s="39">
        <f>'data entry Airport'!AD155</f>
        <v>23975.617200000001</v>
      </c>
      <c r="M155" s="39">
        <f>'data entry Airport'!AG155</f>
        <v>26207.584200000001</v>
      </c>
      <c r="N155" s="39">
        <f>'data entry Airport'!AJ155</f>
        <v>26952.885600000001</v>
      </c>
      <c r="O155" s="39">
        <f>'data entry Airport'!AM155</f>
        <v>16028.195100000001</v>
      </c>
    </row>
    <row r="156" spans="2:15" ht="14" x14ac:dyDescent="0.15">
      <c r="B156" s="38" t="s">
        <v>109</v>
      </c>
      <c r="C156" s="39">
        <f>'data entry Airport'!C156</f>
        <v>0</v>
      </c>
      <c r="D156" s="39">
        <f>'data entry Airport'!F156</f>
        <v>0</v>
      </c>
      <c r="E156" s="39">
        <f>'data entry Airport'!I156</f>
        <v>0</v>
      </c>
      <c r="F156" s="39">
        <f>'data entry Airport'!L156</f>
        <v>0</v>
      </c>
      <c r="G156" s="39">
        <f>'data entry Airport'!O156</f>
        <v>0</v>
      </c>
      <c r="H156" s="39">
        <f>'data entry Airport'!R156</f>
        <v>0</v>
      </c>
      <c r="I156" s="39">
        <f>'data entry Airport'!U156</f>
        <v>0</v>
      </c>
      <c r="J156" s="39">
        <f>'data entry Airport'!X156</f>
        <v>0</v>
      </c>
      <c r="K156" s="39">
        <f>'data entry Airport'!AA156</f>
        <v>0</v>
      </c>
      <c r="L156" s="39">
        <f>'data entry Airport'!AD156</f>
        <v>0</v>
      </c>
      <c r="M156" s="39">
        <f>'data entry Airport'!AG156</f>
        <v>0</v>
      </c>
      <c r="N156" s="39">
        <f>'data entry Airport'!AJ156</f>
        <v>0</v>
      </c>
      <c r="O156" s="39">
        <f>'data entry Airport'!AM156</f>
        <v>0</v>
      </c>
    </row>
    <row r="157" spans="2:15" ht="14" x14ac:dyDescent="0.15">
      <c r="B157" s="38" t="s">
        <v>110</v>
      </c>
      <c r="C157" s="39">
        <f>'data entry Airport'!C157</f>
        <v>0</v>
      </c>
      <c r="D157" s="39">
        <f>'data entry Airport'!F157</f>
        <v>0</v>
      </c>
      <c r="E157" s="39">
        <f>'data entry Airport'!I157</f>
        <v>0</v>
      </c>
      <c r="F157" s="39">
        <f>'data entry Airport'!L157</f>
        <v>0</v>
      </c>
      <c r="G157" s="39">
        <f>'data entry Airport'!O157</f>
        <v>0</v>
      </c>
      <c r="H157" s="39">
        <f>'data entry Airport'!R157</f>
        <v>0</v>
      </c>
      <c r="I157" s="39">
        <f>'data entry Airport'!U157</f>
        <v>0</v>
      </c>
      <c r="J157" s="39">
        <f>'data entry Airport'!X157</f>
        <v>0</v>
      </c>
      <c r="K157" s="39">
        <f>'data entry Airport'!AA157</f>
        <v>0</v>
      </c>
      <c r="L157" s="39">
        <f>'data entry Airport'!AD157</f>
        <v>0</v>
      </c>
      <c r="M157" s="39">
        <f>'data entry Airport'!AG157</f>
        <v>0</v>
      </c>
      <c r="N157" s="39">
        <f>'data entry Airport'!AJ157</f>
        <v>0</v>
      </c>
      <c r="O157" s="39">
        <f>'data entry Airport'!AM157</f>
        <v>0</v>
      </c>
    </row>
    <row r="158" spans="2:15" ht="14" x14ac:dyDescent="0.15">
      <c r="B158" s="38" t="s">
        <v>111</v>
      </c>
      <c r="C158" s="39">
        <f>'data entry Airport'!C158</f>
        <v>66505.8802</v>
      </c>
      <c r="D158" s="39">
        <f>'data entry Airport'!F158</f>
        <v>3897.7</v>
      </c>
      <c r="E158" s="39">
        <f>'data entry Airport'!I158</f>
        <v>4203.49</v>
      </c>
      <c r="F158" s="39">
        <f>'data entry Airport'!L158</f>
        <v>5794.57</v>
      </c>
      <c r="G158" s="39">
        <f>'data entry Airport'!O158</f>
        <v>3193.58</v>
      </c>
      <c r="H158" s="39">
        <f>'data entry Airport'!R158</f>
        <v>5490.3499000000002</v>
      </c>
      <c r="I158" s="39">
        <f>'data entry Airport'!U158</f>
        <v>4847.8648000000003</v>
      </c>
      <c r="J158" s="39">
        <f>'data entry Airport'!X158</f>
        <v>3429.5216</v>
      </c>
      <c r="K158" s="39">
        <f>'data entry Airport'!AA158</f>
        <v>4594.0432000000001</v>
      </c>
      <c r="L158" s="39">
        <f>'data entry Airport'!AD158</f>
        <v>7991.8724000000002</v>
      </c>
      <c r="M158" s="39">
        <f>'data entry Airport'!AG158</f>
        <v>8735.8613999999998</v>
      </c>
      <c r="N158" s="39">
        <f>'data entry Airport'!AJ158</f>
        <v>8984.2952000000005</v>
      </c>
      <c r="O158" s="39">
        <f>'data entry Airport'!AM158</f>
        <v>5342.7317000000003</v>
      </c>
    </row>
    <row r="159" spans="2:15" ht="14" x14ac:dyDescent="0.15">
      <c r="B159" s="38" t="s">
        <v>112</v>
      </c>
      <c r="C159" s="39">
        <f>'data entry Airport'!C159</f>
        <v>85525.900399999999</v>
      </c>
      <c r="D159" s="39">
        <f>'data entry Airport'!F159</f>
        <v>-9756.6</v>
      </c>
      <c r="E159" s="39">
        <f>'data entry Airport'!I159</f>
        <v>-9167.2900000000009</v>
      </c>
      <c r="F159" s="39">
        <f>'data entry Airport'!L159</f>
        <v>-7796.26</v>
      </c>
      <c r="G159" s="39">
        <f>'data entry Airport'!O159</f>
        <v>-11295.3</v>
      </c>
      <c r="H159" s="39">
        <f>'data entry Airport'!R159</f>
        <v>13725.8747</v>
      </c>
      <c r="I159" s="39">
        <f>'data entry Airport'!U159</f>
        <v>12119.662</v>
      </c>
      <c r="J159" s="39">
        <f>'data entry Airport'!X159</f>
        <v>8573.8039000000008</v>
      </c>
      <c r="K159" s="39">
        <f>'data entry Airport'!AA159</f>
        <v>11485.108</v>
      </c>
      <c r="L159" s="39">
        <f>'data entry Airport'!AD159</f>
        <v>19979.681</v>
      </c>
      <c r="M159" s="39">
        <f>'data entry Airport'!AG159</f>
        <v>21839.6535</v>
      </c>
      <c r="N159" s="39">
        <f>'data entry Airport'!AJ159</f>
        <v>22460.738000000001</v>
      </c>
      <c r="O159" s="39">
        <f>'data entry Airport'!AM159</f>
        <v>13356.829299999999</v>
      </c>
    </row>
    <row r="160" spans="2:15" ht="14" x14ac:dyDescent="0.15">
      <c r="B160" s="38" t="s">
        <v>113</v>
      </c>
      <c r="C160" s="39">
        <f>'data entry Airport'!C160</f>
        <v>141112.93030000001</v>
      </c>
      <c r="D160" s="39">
        <f>'data entry Airport'!F160</f>
        <v>11693.09</v>
      </c>
      <c r="E160" s="39">
        <f>'data entry Airport'!I160</f>
        <v>12610.48</v>
      </c>
      <c r="F160" s="39">
        <f>'data entry Airport'!L160</f>
        <v>11589.13</v>
      </c>
      <c r="G160" s="39">
        <f>'data entry Airport'!O160</f>
        <v>6387.15</v>
      </c>
      <c r="H160" s="39">
        <f>'data entry Airport'!R160</f>
        <v>10980.6998</v>
      </c>
      <c r="I160" s="39">
        <f>'data entry Airport'!U160</f>
        <v>9695.7296000000006</v>
      </c>
      <c r="J160" s="39">
        <f>'data entry Airport'!X160</f>
        <v>6859.0430999999999</v>
      </c>
      <c r="K160" s="39">
        <f>'data entry Airport'!AA160</f>
        <v>9188.0864000000001</v>
      </c>
      <c r="L160" s="39">
        <f>'data entry Airport'!AD160</f>
        <v>15983.7448</v>
      </c>
      <c r="M160" s="39">
        <f>'data entry Airport'!AG160</f>
        <v>17471.7228</v>
      </c>
      <c r="N160" s="39">
        <f>'data entry Airport'!AJ160</f>
        <v>17968.590400000001</v>
      </c>
      <c r="O160" s="39">
        <f>'data entry Airport'!AM160</f>
        <v>10685.463400000001</v>
      </c>
    </row>
    <row r="161" spans="2:15" ht="14" x14ac:dyDescent="0.15">
      <c r="B161" s="38" t="s">
        <v>114</v>
      </c>
      <c r="C161" s="39">
        <f>'data entry Airport'!C161</f>
        <v>17089.34</v>
      </c>
      <c r="D161" s="39">
        <f>'data entry Airport'!F161</f>
        <v>3897.7</v>
      </c>
      <c r="E161" s="39">
        <f>'data entry Airport'!I161</f>
        <v>4203.49</v>
      </c>
      <c r="F161" s="39">
        <f>'data entry Airport'!L161</f>
        <v>5794.57</v>
      </c>
      <c r="G161" s="39">
        <f>'data entry Airport'!O161</f>
        <v>3193.58</v>
      </c>
      <c r="H161" s="39">
        <f>'data entry Airport'!R161</f>
        <v>0</v>
      </c>
      <c r="I161" s="39">
        <f>'data entry Airport'!U161</f>
        <v>0</v>
      </c>
      <c r="J161" s="39">
        <f>'data entry Airport'!X161</f>
        <v>0</v>
      </c>
      <c r="K161" s="39">
        <f>'data entry Airport'!AA161</f>
        <v>0</v>
      </c>
      <c r="L161" s="39">
        <f>'data entry Airport'!AD161</f>
        <v>0</v>
      </c>
      <c r="M161" s="39">
        <f>'data entry Airport'!AG161</f>
        <v>0</v>
      </c>
      <c r="N161" s="39">
        <f>'data entry Airport'!AJ161</f>
        <v>0</v>
      </c>
      <c r="O161" s="39">
        <f>'data entry Airport'!AM161</f>
        <v>0</v>
      </c>
    </row>
    <row r="162" spans="2:15" ht="14" x14ac:dyDescent="0.15">
      <c r="B162" s="42" t="s">
        <v>115</v>
      </c>
      <c r="C162" s="39">
        <f>'data entry Airport'!C162</f>
        <v>344177.30349999998</v>
      </c>
      <c r="D162" s="39">
        <f>'data entry Airport'!F162</f>
        <v>16507.7</v>
      </c>
      <c r="E162" s="39">
        <f>'data entry Airport'!I162</f>
        <v>20556.689999999999</v>
      </c>
      <c r="F162" s="39">
        <f>'data entry Airport'!L162</f>
        <v>22033.16</v>
      </c>
      <c r="G162" s="39">
        <f>'data entry Airport'!O162</f>
        <v>43806.17</v>
      </c>
      <c r="H162" s="39">
        <f>'data entry Airport'!R162</f>
        <v>27181.131300000001</v>
      </c>
      <c r="I162" s="39">
        <f>'data entry Airport'!U162</f>
        <v>22808.9522</v>
      </c>
      <c r="J162" s="39">
        <f>'data entry Airport'!X162</f>
        <v>17011</v>
      </c>
      <c r="K162" s="39">
        <f>'data entry Airport'!AA162</f>
        <v>23436.25</v>
      </c>
      <c r="L162" s="39">
        <f>'data entry Airport'!AD162</f>
        <v>37264.5</v>
      </c>
      <c r="M162" s="39">
        <f>'data entry Airport'!AG162</f>
        <v>43273.25</v>
      </c>
      <c r="N162" s="39">
        <f>'data entry Airport'!AJ162</f>
        <v>44011</v>
      </c>
      <c r="O162" s="39">
        <f>'data entry Airport'!AM162</f>
        <v>26287.5</v>
      </c>
    </row>
    <row r="163" spans="2:15" ht="14" x14ac:dyDescent="0.15">
      <c r="B163" s="38" t="s">
        <v>116</v>
      </c>
      <c r="C163" s="39">
        <f>'data entry Airport'!C163</f>
        <v>179564.99960000001</v>
      </c>
      <c r="D163" s="39">
        <f>'data entry Airport'!F163</f>
        <v>9350.43</v>
      </c>
      <c r="E163" s="39">
        <f>'data entry Airport'!I163</f>
        <v>11732.18</v>
      </c>
      <c r="F163" s="39">
        <f>'data entry Airport'!L163</f>
        <v>14550.2</v>
      </c>
      <c r="G163" s="39">
        <f>'data entry Airport'!O163</f>
        <v>25840.26</v>
      </c>
      <c r="H163" s="39">
        <f>'data entry Airport'!R163</f>
        <v>13165.9938</v>
      </c>
      <c r="I163" s="39">
        <f>'data entry Airport'!U163</f>
        <v>10779.435799999999</v>
      </c>
      <c r="J163" s="39">
        <f>'data entry Airport'!X163</f>
        <v>7609</v>
      </c>
      <c r="K163" s="39">
        <f>'data entry Airport'!AA163</f>
        <v>11068.75</v>
      </c>
      <c r="L163" s="39">
        <f>'data entry Airport'!AD163</f>
        <v>18595.5</v>
      </c>
      <c r="M163" s="39">
        <f>'data entry Airport'!AG163</f>
        <v>21911.75</v>
      </c>
      <c r="N163" s="39">
        <f>'data entry Airport'!AJ163</f>
        <v>22309</v>
      </c>
      <c r="O163" s="39">
        <f>'data entry Airport'!AM163</f>
        <v>12652.5</v>
      </c>
    </row>
    <row r="164" spans="2:15" ht="14" x14ac:dyDescent="0.15">
      <c r="B164" s="38" t="s">
        <v>117</v>
      </c>
      <c r="C164" s="39">
        <f>'data entry Airport'!C164</f>
        <v>113467.60830000001</v>
      </c>
      <c r="D164" s="39">
        <f>'data entry Airport'!F164</f>
        <v>3742</v>
      </c>
      <c r="E164" s="39">
        <f>'data entry Airport'!I164</f>
        <v>10319.450000000001</v>
      </c>
      <c r="F164" s="39">
        <f>'data entry Airport'!L164</f>
        <v>4157.2</v>
      </c>
      <c r="G164" s="39">
        <f>'data entry Airport'!O164</f>
        <v>12597.58</v>
      </c>
      <c r="H164" s="39">
        <f>'data entry Airport'!R164</f>
        <v>9179.2813000000006</v>
      </c>
      <c r="I164" s="39">
        <f>'data entry Airport'!U164</f>
        <v>7524.5969999999998</v>
      </c>
      <c r="J164" s="39">
        <f>'data entry Airport'!X164</f>
        <v>5335</v>
      </c>
      <c r="K164" s="39">
        <f>'data entry Airport'!AA164</f>
        <v>7806.25</v>
      </c>
      <c r="L164" s="39">
        <f>'data entry Airport'!AD164</f>
        <v>13057.5</v>
      </c>
      <c r="M164" s="39">
        <f>'data entry Airport'!AG164</f>
        <v>15301.25</v>
      </c>
      <c r="N164" s="39">
        <f>'data entry Airport'!AJ164</f>
        <v>15585</v>
      </c>
      <c r="O164" s="39">
        <f>'data entry Airport'!AM164</f>
        <v>8862.5</v>
      </c>
    </row>
    <row r="165" spans="2:15" ht="14" x14ac:dyDescent="0.15">
      <c r="B165" s="38" t="s">
        <v>118</v>
      </c>
      <c r="C165" s="39">
        <f>'data entry Airport'!C165</f>
        <v>31394.400000000001</v>
      </c>
      <c r="D165" s="39">
        <f>'data entry Airport'!F165</f>
        <v>2079.4899999999998</v>
      </c>
      <c r="E165" s="39">
        <f>'data entry Airport'!I165</f>
        <v>-196.73</v>
      </c>
      <c r="F165" s="39">
        <f>'data entry Airport'!L165</f>
        <v>1247.1600000000001</v>
      </c>
      <c r="G165" s="39">
        <f>'data entry Airport'!O165</f>
        <v>4264.4799999999996</v>
      </c>
      <c r="H165" s="39">
        <f>'data entry Airport'!R165</f>
        <v>3000</v>
      </c>
      <c r="I165" s="39">
        <f>'data entry Airport'!U165</f>
        <v>3000</v>
      </c>
      <c r="J165" s="39">
        <f>'data entry Airport'!X165</f>
        <v>3000</v>
      </c>
      <c r="K165" s="39">
        <f>'data entry Airport'!AA165</f>
        <v>3000</v>
      </c>
      <c r="L165" s="39">
        <f>'data entry Airport'!AD165</f>
        <v>3000</v>
      </c>
      <c r="M165" s="39">
        <f>'data entry Airport'!AG165</f>
        <v>3000</v>
      </c>
      <c r="N165" s="39">
        <f>'data entry Airport'!AJ165</f>
        <v>3000</v>
      </c>
      <c r="O165" s="39">
        <f>'data entry Airport'!AM165</f>
        <v>3000</v>
      </c>
    </row>
    <row r="166" spans="2:15" ht="14" x14ac:dyDescent="0.15">
      <c r="B166" s="38" t="s">
        <v>119</v>
      </c>
      <c r="C166" s="39">
        <f>'data entry Airport'!C166</f>
        <v>19750.295699999999</v>
      </c>
      <c r="D166" s="39">
        <f>'data entry Airport'!F166</f>
        <v>1335.78</v>
      </c>
      <c r="E166" s="39">
        <f>'data entry Airport'!I166</f>
        <v>-1298.21</v>
      </c>
      <c r="F166" s="39">
        <f>'data entry Airport'!L166</f>
        <v>2078.6</v>
      </c>
      <c r="G166" s="39">
        <f>'data entry Airport'!O166</f>
        <v>1103.8499999999999</v>
      </c>
      <c r="H166" s="39">
        <f>'data entry Airport'!R166</f>
        <v>1835.8562999999999</v>
      </c>
      <c r="I166" s="39">
        <f>'data entry Airport'!U166</f>
        <v>1504.9194</v>
      </c>
      <c r="J166" s="39">
        <f>'data entry Airport'!X166</f>
        <v>1067</v>
      </c>
      <c r="K166" s="39">
        <f>'data entry Airport'!AA166</f>
        <v>1561.25</v>
      </c>
      <c r="L166" s="39">
        <f>'data entry Airport'!AD166</f>
        <v>2611.5</v>
      </c>
      <c r="M166" s="39">
        <f>'data entry Airport'!AG166</f>
        <v>3060.25</v>
      </c>
      <c r="N166" s="39">
        <f>'data entry Airport'!AJ166</f>
        <v>3117</v>
      </c>
      <c r="O166" s="39">
        <f>'data entry Airport'!AM166</f>
        <v>1772.5</v>
      </c>
    </row>
    <row r="168" spans="2:15" ht="14" x14ac:dyDescent="0.15">
      <c r="B168" s="33" t="s">
        <v>138</v>
      </c>
    </row>
    <row r="170" spans="2:15" ht="14" x14ac:dyDescent="0.15">
      <c r="B170" s="299" t="s">
        <v>431</v>
      </c>
    </row>
    <row r="171" spans="2:15" ht="14" x14ac:dyDescent="0.15">
      <c r="B171" s="299" t="s">
        <v>432</v>
      </c>
      <c r="F171" s="223">
        <f>-F137</f>
        <v>-180379.1</v>
      </c>
      <c r="G171" s="223">
        <f>-G137</f>
        <v>-180379.1</v>
      </c>
      <c r="H171" s="223">
        <f>-H137</f>
        <v>-164534.57999999999</v>
      </c>
      <c r="I171" s="223">
        <f>-I137+20000</f>
        <v>-144534.57999999999</v>
      </c>
      <c r="J171" s="223">
        <f t="shared" ref="J171:L171" si="0">-J137+20000</f>
        <v>-144534.57999999999</v>
      </c>
      <c r="K171" s="223">
        <f t="shared" si="0"/>
        <v>-144534.57999999999</v>
      </c>
      <c r="L171" s="223">
        <f t="shared" si="0"/>
        <v>-144534.57999999999</v>
      </c>
    </row>
    <row r="172" spans="2:15" ht="14" x14ac:dyDescent="0.15">
      <c r="B172" s="299" t="s">
        <v>433</v>
      </c>
      <c r="F172" s="223">
        <f>-F158</f>
        <v>-5794.57</v>
      </c>
      <c r="G172" s="223">
        <f t="shared" ref="G172:L172" si="1">-G158</f>
        <v>-3193.58</v>
      </c>
      <c r="H172" s="223">
        <f t="shared" si="1"/>
        <v>-5490.3499000000002</v>
      </c>
      <c r="I172" s="223">
        <f t="shared" si="1"/>
        <v>-4847.8648000000003</v>
      </c>
      <c r="J172" s="223">
        <f t="shared" si="1"/>
        <v>-3429.5216</v>
      </c>
      <c r="K172" s="223">
        <f t="shared" si="1"/>
        <v>-4594.0432000000001</v>
      </c>
      <c r="L172" s="223">
        <f t="shared" si="1"/>
        <v>-7991.8724000000002</v>
      </c>
    </row>
    <row r="173" spans="2:15" x14ac:dyDescent="0.15">
      <c r="B173" s="300" t="s">
        <v>434</v>
      </c>
      <c r="F173" s="224">
        <f>+F150-F172</f>
        <v>-3429.0699999999997</v>
      </c>
      <c r="G173" s="224">
        <f>+G150-G172</f>
        <v>-239774.16</v>
      </c>
      <c r="H173" s="224">
        <f>+H150-H172</f>
        <v>-87172.799299999999</v>
      </c>
      <c r="I173" s="224">
        <f>+I150-I172</f>
        <v>-145258.44039999999</v>
      </c>
      <c r="J173" s="224">
        <f t="shared" ref="J173:L173" si="2">+J150-J171-J172</f>
        <v>-65857.503300000011</v>
      </c>
      <c r="K173" s="224">
        <f t="shared" si="2"/>
        <v>9872.2191999999777</v>
      </c>
      <c r="L173" s="224">
        <f t="shared" si="2"/>
        <v>217715.66969999997</v>
      </c>
      <c r="M173" s="224">
        <f>SUM(F173:L173)</f>
        <v>-313904.08410000009</v>
      </c>
    </row>
    <row r="174" spans="2:15" ht="14" x14ac:dyDescent="0.15">
      <c r="B174" s="299" t="s">
        <v>435</v>
      </c>
      <c r="C174" s="299" t="s">
        <v>436</v>
      </c>
      <c r="F174" s="224">
        <f>40%*F173</f>
        <v>-1371.6279999999999</v>
      </c>
      <c r="G174" s="224">
        <f t="shared" ref="G174:I174" si="3">40%*G173</f>
        <v>-95909.664000000004</v>
      </c>
      <c r="H174" s="224">
        <f t="shared" si="3"/>
        <v>-34869.119720000002</v>
      </c>
      <c r="I174" s="224">
        <f t="shared" si="3"/>
        <v>-58103.37616</v>
      </c>
      <c r="J174" s="224">
        <f>20%*J173</f>
        <v>-13171.500660000003</v>
      </c>
      <c r="K174" s="224">
        <f>20%*K173</f>
        <v>1974.4438399999956</v>
      </c>
      <c r="L174" s="224">
        <f>20%*L173</f>
        <v>43543.13394</v>
      </c>
      <c r="M174" s="224">
        <f>SUM(F174:I174)</f>
        <v>-190253.78788000002</v>
      </c>
      <c r="N174" s="301">
        <f>SUM(J174:L174)</f>
        <v>32346.077119999994</v>
      </c>
      <c r="O174" s="300" t="s">
        <v>437</v>
      </c>
    </row>
    <row r="175" spans="2:15" ht="14" x14ac:dyDescent="0.15">
      <c r="B175" s="299" t="s">
        <v>438</v>
      </c>
      <c r="C175" s="299"/>
      <c r="F175" s="224">
        <f>+F173-F171</f>
        <v>176950.03</v>
      </c>
      <c r="G175" s="224">
        <f>+G173-G171</f>
        <v>-59395.06</v>
      </c>
      <c r="H175" s="224">
        <f>+H173-H171</f>
        <v>77361.780699999988</v>
      </c>
      <c r="I175" s="224">
        <f>+I173-I171</f>
        <v>-723.86040000000503</v>
      </c>
      <c r="J175" s="224">
        <f>+J173</f>
        <v>-65857.503300000011</v>
      </c>
      <c r="K175" s="224">
        <f>+K173</f>
        <v>9872.2191999999777</v>
      </c>
      <c r="L175" s="224">
        <f>+L173</f>
        <v>217715.66969999997</v>
      </c>
      <c r="M175" s="224">
        <f>SUM(F175:L175)</f>
        <v>355923.27589999989</v>
      </c>
    </row>
    <row r="176" spans="2:15" x14ac:dyDescent="0.15">
      <c r="B176" s="300" t="s">
        <v>439</v>
      </c>
      <c r="C176" s="299"/>
      <c r="F176" s="301">
        <f>+F175+F172</f>
        <v>171155.46</v>
      </c>
      <c r="G176" s="301">
        <f t="shared" ref="G176:L176" si="4">+G175+G172</f>
        <v>-62588.639999999999</v>
      </c>
      <c r="H176" s="301">
        <f t="shared" si="4"/>
        <v>71871.430799999987</v>
      </c>
      <c r="I176" s="301">
        <f t="shared" si="4"/>
        <v>-5571.7252000000053</v>
      </c>
      <c r="J176" s="301">
        <f t="shared" si="4"/>
        <v>-69287.024900000019</v>
      </c>
      <c r="K176" s="301">
        <f t="shared" si="4"/>
        <v>5278.1759999999776</v>
      </c>
      <c r="L176" s="301">
        <f t="shared" si="4"/>
        <v>209723.79729999998</v>
      </c>
      <c r="M176" s="224">
        <f>SUM(F176:L176)</f>
        <v>320581.47399999993</v>
      </c>
    </row>
    <row r="177" spans="6:12" x14ac:dyDescent="0.15">
      <c r="F177" s="364" t="s">
        <v>440</v>
      </c>
      <c r="G177" s="364"/>
      <c r="H177" s="364"/>
      <c r="I177" s="364"/>
      <c r="J177" s="364" t="s">
        <v>441</v>
      </c>
      <c r="K177" s="365"/>
      <c r="L177" s="365"/>
    </row>
  </sheetData>
  <sheetProtection formatCells="0" formatColumns="0" formatRows="0" insertColumns="0" insertRows="0" insertHyperlinks="0" deleteColumns="0" deleteRows="0" sort="0" autoFilter="0" pivotTables="0"/>
  <mergeCells count="2">
    <mergeCell ref="F177:I177"/>
    <mergeCell ref="J177:L177"/>
  </mergeCells>
  <pageMargins left="0.5" right="0.5" top="0.5" bottom="0.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132F-AED9-448A-8C84-A36B7353CA59}">
  <sheetPr>
    <pageSetUpPr fitToPage="1"/>
  </sheetPr>
  <dimension ref="B2:AN169"/>
  <sheetViews>
    <sheetView workbookViewId="0">
      <pane xSplit="2" ySplit="10" topLeftCell="C11" activePane="bottomRight" state="frozen"/>
      <selection activeCell="A11" sqref="A11:XFD168"/>
      <selection pane="topRight" activeCell="A11" sqref="A11:XFD168"/>
      <selection pane="bottomLeft" activeCell="A11" sqref="A11:XFD16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137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6650731.4430999998</v>
      </c>
      <c r="D11" s="7">
        <v>1</v>
      </c>
      <c r="E11"/>
      <c r="F11" s="6">
        <v>389776.76</v>
      </c>
      <c r="G11" s="7">
        <v>1</v>
      </c>
      <c r="H11"/>
      <c r="I11" s="6">
        <v>420480.24</v>
      </c>
      <c r="J11" s="7">
        <v>1</v>
      </c>
      <c r="K11"/>
      <c r="L11" s="6">
        <v>579458.43000000005</v>
      </c>
      <c r="M11" s="7">
        <v>1</v>
      </c>
      <c r="N11"/>
      <c r="O11" s="6">
        <v>319362</v>
      </c>
      <c r="P11" s="7">
        <v>1</v>
      </c>
      <c r="Q11"/>
      <c r="R11" s="6">
        <v>549034.98759999999</v>
      </c>
      <c r="S11" s="7">
        <v>1</v>
      </c>
      <c r="T11"/>
      <c r="U11" s="6">
        <v>484786.47889999999</v>
      </c>
      <c r="V11" s="7">
        <v>1</v>
      </c>
      <c r="W11"/>
      <c r="X11" s="6">
        <v>342952.15659999999</v>
      </c>
      <c r="Y11" s="7">
        <v>1</v>
      </c>
      <c r="Z11"/>
      <c r="AA11" s="6">
        <v>459404.32</v>
      </c>
      <c r="AB11" s="7">
        <v>1</v>
      </c>
      <c r="AC11"/>
      <c r="AD11" s="6">
        <v>799187.24</v>
      </c>
      <c r="AE11" s="7">
        <v>1</v>
      </c>
      <c r="AF11"/>
      <c r="AG11" s="6">
        <v>873586.14</v>
      </c>
      <c r="AH11" s="7">
        <v>1</v>
      </c>
      <c r="AI11"/>
      <c r="AJ11" s="6">
        <v>898429.52</v>
      </c>
      <c r="AK11" s="7">
        <v>1</v>
      </c>
      <c r="AL11"/>
      <c r="AM11" s="6">
        <v>534273.17000000004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2436991.9108000002</v>
      </c>
      <c r="D12" s="7">
        <v>0.36642465000000002</v>
      </c>
      <c r="E12"/>
      <c r="F12" s="6">
        <v>176910.98</v>
      </c>
      <c r="G12" s="7">
        <v>0.45387770000000011</v>
      </c>
      <c r="H12"/>
      <c r="I12" s="6">
        <v>205214.38</v>
      </c>
      <c r="J12" s="7">
        <v>0.48804762000000002</v>
      </c>
      <c r="K12"/>
      <c r="L12" s="6">
        <v>205737.2</v>
      </c>
      <c r="M12" s="7">
        <v>0.35505083999999998</v>
      </c>
      <c r="N12"/>
      <c r="O12" s="6">
        <v>172769.81</v>
      </c>
      <c r="P12" s="7">
        <v>0.54098424000000001</v>
      </c>
      <c r="Q12"/>
      <c r="R12" s="6">
        <v>207098.5766</v>
      </c>
      <c r="S12" s="7">
        <v>0.3772047</v>
      </c>
      <c r="T12"/>
      <c r="U12" s="6">
        <v>218640.25469999999</v>
      </c>
      <c r="V12" s="7">
        <v>0.45100319999999999</v>
      </c>
      <c r="W12"/>
      <c r="X12" s="6">
        <v>182461.304</v>
      </c>
      <c r="Y12" s="7">
        <v>0.53203135999999995</v>
      </c>
      <c r="Z12"/>
      <c r="AA12" s="6">
        <v>186740.65890000001</v>
      </c>
      <c r="AB12" s="7">
        <v>0.40648432999999989</v>
      </c>
      <c r="AC12"/>
      <c r="AD12" s="6">
        <v>218821.2665</v>
      </c>
      <c r="AE12" s="7">
        <v>0.27380475999999998</v>
      </c>
      <c r="AF12"/>
      <c r="AG12" s="6">
        <v>223089.77480000001</v>
      </c>
      <c r="AH12" s="7">
        <v>0.25537238000000001</v>
      </c>
      <c r="AI12"/>
      <c r="AJ12" s="6">
        <v>236159.29430000001</v>
      </c>
      <c r="AK12" s="7">
        <v>0.26285789999999998</v>
      </c>
      <c r="AL12"/>
      <c r="AM12" s="6">
        <v>203348.41099999999</v>
      </c>
      <c r="AN12" s="7">
        <v>0.38060757000000001</v>
      </c>
    </row>
    <row r="13" spans="2:40" s="314" customFormat="1" ht="12.75" customHeight="1" x14ac:dyDescent="0.15">
      <c r="B13" s="5" t="s">
        <v>23</v>
      </c>
      <c r="C13" s="6">
        <v>1573452.8291</v>
      </c>
      <c r="D13" s="7">
        <v>0</v>
      </c>
      <c r="E13"/>
      <c r="F13" s="6">
        <v>47570.66</v>
      </c>
      <c r="G13" s="7">
        <v>0</v>
      </c>
      <c r="H13"/>
      <c r="I13" s="6">
        <v>47026.81</v>
      </c>
      <c r="J13" s="7">
        <v>0</v>
      </c>
      <c r="K13"/>
      <c r="L13" s="6">
        <v>191587.05</v>
      </c>
      <c r="M13" s="7">
        <v>0</v>
      </c>
      <c r="N13"/>
      <c r="O13" s="6">
        <v>-20564.599999999999</v>
      </c>
      <c r="P13" s="7">
        <v>0</v>
      </c>
      <c r="Q13"/>
      <c r="R13" s="6">
        <v>107123.1802</v>
      </c>
      <c r="S13" s="7">
        <v>0</v>
      </c>
      <c r="T13"/>
      <c r="U13" s="6">
        <v>46467.598700000002</v>
      </c>
      <c r="V13" s="7">
        <v>0</v>
      </c>
      <c r="W13"/>
      <c r="X13" s="6">
        <v>-24339.417099999999</v>
      </c>
      <c r="Y13" s="7">
        <v>0</v>
      </c>
      <c r="Z13"/>
      <c r="AA13" s="6">
        <v>56048.392</v>
      </c>
      <c r="AB13" s="7">
        <v>0</v>
      </c>
      <c r="AC13"/>
      <c r="AD13" s="6">
        <v>277483.1593</v>
      </c>
      <c r="AE13" s="7">
        <v>0</v>
      </c>
      <c r="AF13"/>
      <c r="AG13" s="6">
        <v>364324.4118</v>
      </c>
      <c r="AH13" s="7">
        <v>0</v>
      </c>
      <c r="AI13"/>
      <c r="AJ13" s="6">
        <v>366096.53529999999</v>
      </c>
      <c r="AK13" s="7">
        <v>0</v>
      </c>
      <c r="AL13"/>
      <c r="AM13" s="6">
        <v>114629.04889999999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87965</v>
      </c>
      <c r="D14" s="7">
        <v>0</v>
      </c>
      <c r="E14"/>
      <c r="F14" s="8">
        <v>7471</v>
      </c>
      <c r="G14" s="7">
        <v>0</v>
      </c>
      <c r="H14"/>
      <c r="I14" s="8">
        <v>6748</v>
      </c>
      <c r="J14" s="7">
        <v>0</v>
      </c>
      <c r="K14"/>
      <c r="L14" s="8">
        <v>7471</v>
      </c>
      <c r="M14" s="7">
        <v>0</v>
      </c>
      <c r="N14"/>
      <c r="O14" s="8">
        <v>7230</v>
      </c>
      <c r="P14" s="7">
        <v>0</v>
      </c>
      <c r="Q14"/>
      <c r="R14" s="8">
        <v>7471</v>
      </c>
      <c r="S14" s="7">
        <v>0</v>
      </c>
      <c r="T14"/>
      <c r="U14" s="8">
        <v>7230</v>
      </c>
      <c r="V14" s="7">
        <v>0</v>
      </c>
      <c r="W14"/>
      <c r="X14" s="8">
        <v>7471</v>
      </c>
      <c r="Y14" s="7">
        <v>0</v>
      </c>
      <c r="Z14"/>
      <c r="AA14" s="8">
        <v>7471</v>
      </c>
      <c r="AB14" s="7">
        <v>0</v>
      </c>
      <c r="AC14"/>
      <c r="AD14" s="8">
        <v>7230</v>
      </c>
      <c r="AE14" s="7">
        <v>0</v>
      </c>
      <c r="AF14"/>
      <c r="AG14" s="8">
        <v>7471</v>
      </c>
      <c r="AH14" s="7">
        <v>0</v>
      </c>
      <c r="AI14"/>
      <c r="AJ14" s="8">
        <v>7230</v>
      </c>
      <c r="AK14" s="7">
        <v>0</v>
      </c>
      <c r="AL14"/>
      <c r="AM14" s="8">
        <v>7471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42014</v>
      </c>
      <c r="D15" s="7">
        <v>0</v>
      </c>
      <c r="E15"/>
      <c r="F15" s="9">
        <v>2836</v>
      </c>
      <c r="G15" s="7">
        <v>0</v>
      </c>
      <c r="H15"/>
      <c r="I15" s="9">
        <v>2688</v>
      </c>
      <c r="J15" s="7">
        <v>0</v>
      </c>
      <c r="K15"/>
      <c r="L15" s="9">
        <v>3093</v>
      </c>
      <c r="M15" s="7">
        <v>0</v>
      </c>
      <c r="N15"/>
      <c r="O15" s="9">
        <v>2665</v>
      </c>
      <c r="P15" s="7">
        <v>0</v>
      </c>
      <c r="Q15"/>
      <c r="R15" s="9">
        <v>3862</v>
      </c>
      <c r="S15" s="7">
        <v>0</v>
      </c>
      <c r="T15"/>
      <c r="U15" s="9">
        <v>3300</v>
      </c>
      <c r="V15" s="7">
        <v>0</v>
      </c>
      <c r="W15"/>
      <c r="X15" s="9">
        <v>2470</v>
      </c>
      <c r="Y15" s="7">
        <v>0</v>
      </c>
      <c r="Z15"/>
      <c r="AA15" s="9">
        <v>3400</v>
      </c>
      <c r="AB15" s="7">
        <v>0</v>
      </c>
      <c r="AC15"/>
      <c r="AD15" s="9">
        <v>4900</v>
      </c>
      <c r="AE15" s="7">
        <v>0</v>
      </c>
      <c r="AF15"/>
      <c r="AG15" s="9">
        <v>4200</v>
      </c>
      <c r="AH15" s="7">
        <v>0</v>
      </c>
      <c r="AI15"/>
      <c r="AJ15" s="9">
        <v>4850</v>
      </c>
      <c r="AK15" s="7">
        <v>0</v>
      </c>
      <c r="AL15"/>
      <c r="AM15" s="9">
        <v>3750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47.797419428182003</v>
      </c>
      <c r="D16" s="7">
        <v>0</v>
      </c>
      <c r="E16"/>
      <c r="F16" s="8">
        <v>37.986882612769001</v>
      </c>
      <c r="G16" s="7">
        <v>0</v>
      </c>
      <c r="H16"/>
      <c r="I16" s="8">
        <v>39.878482513336998</v>
      </c>
      <c r="J16" s="7">
        <v>0</v>
      </c>
      <c r="K16"/>
      <c r="L16" s="8">
        <v>41.600856645697</v>
      </c>
      <c r="M16" s="7">
        <v>0</v>
      </c>
      <c r="N16"/>
      <c r="O16" s="8">
        <v>37.012448132780001</v>
      </c>
      <c r="P16" s="7">
        <v>0</v>
      </c>
      <c r="Q16"/>
      <c r="R16" s="8">
        <v>51.693213759872002</v>
      </c>
      <c r="S16" s="7">
        <v>0</v>
      </c>
      <c r="T16"/>
      <c r="U16" s="8">
        <v>45.643153526970998</v>
      </c>
      <c r="V16" s="7">
        <v>0</v>
      </c>
      <c r="W16"/>
      <c r="X16" s="8">
        <v>33.061169856779998</v>
      </c>
      <c r="Y16" s="7">
        <v>0</v>
      </c>
      <c r="Z16"/>
      <c r="AA16" s="8">
        <v>45.509302636862998</v>
      </c>
      <c r="AB16" s="7">
        <v>0</v>
      </c>
      <c r="AC16"/>
      <c r="AD16" s="8">
        <v>67.773167358229998</v>
      </c>
      <c r="AE16" s="7">
        <v>0</v>
      </c>
      <c r="AF16"/>
      <c r="AG16" s="8">
        <v>56.217373845536002</v>
      </c>
      <c r="AH16" s="7">
        <v>0</v>
      </c>
      <c r="AI16"/>
      <c r="AJ16" s="8">
        <v>67.081604426002997</v>
      </c>
      <c r="AK16" s="7">
        <v>0</v>
      </c>
      <c r="AL16"/>
      <c r="AM16" s="8">
        <v>50.194083790656997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108.059146713</v>
      </c>
      <c r="D17" s="7">
        <v>0</v>
      </c>
      <c r="E17"/>
      <c r="F17" s="9">
        <v>94.201287023977002</v>
      </c>
      <c r="G17" s="7">
        <v>0</v>
      </c>
      <c r="H17"/>
      <c r="I17" s="9">
        <v>97.580606398810005</v>
      </c>
      <c r="J17" s="7">
        <v>0</v>
      </c>
      <c r="K17"/>
      <c r="L17" s="9">
        <v>134.40671839638</v>
      </c>
      <c r="M17" s="7">
        <v>0</v>
      </c>
      <c r="N17"/>
      <c r="O17" s="9">
        <v>82.840660412757998</v>
      </c>
      <c r="P17" s="7">
        <v>0</v>
      </c>
      <c r="Q17"/>
      <c r="R17" s="9">
        <v>97.403223718280998</v>
      </c>
      <c r="S17" s="7">
        <v>0</v>
      </c>
      <c r="T17"/>
      <c r="U17" s="9">
        <v>93.328448484847996</v>
      </c>
      <c r="V17" s="7">
        <v>0</v>
      </c>
      <c r="W17"/>
      <c r="X17" s="9">
        <v>88.016194331983996</v>
      </c>
      <c r="Y17" s="7">
        <v>0</v>
      </c>
      <c r="Z17"/>
      <c r="AA17" s="9">
        <v>93.014705882352999</v>
      </c>
      <c r="AB17" s="7">
        <v>0</v>
      </c>
      <c r="AC17"/>
      <c r="AD17" s="9">
        <v>108.42857142857</v>
      </c>
      <c r="AE17" s="7">
        <v>0</v>
      </c>
      <c r="AF17"/>
      <c r="AG17" s="9">
        <v>149.05952380951999</v>
      </c>
      <c r="AH17" s="7">
        <v>0</v>
      </c>
      <c r="AI17"/>
      <c r="AJ17" s="9">
        <v>131.42268041237</v>
      </c>
      <c r="AK17" s="7">
        <v>0</v>
      </c>
      <c r="AL17"/>
      <c r="AM17" s="9">
        <v>96.4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50.632695958619998</v>
      </c>
      <c r="D18" s="7">
        <v>0</v>
      </c>
      <c r="E18"/>
      <c r="F18" s="6">
        <v>35.469307990898002</v>
      </c>
      <c r="G18" s="7">
        <v>0</v>
      </c>
      <c r="H18"/>
      <c r="I18" s="6">
        <v>38.361944279786997</v>
      </c>
      <c r="J18" s="7">
        <v>0</v>
      </c>
      <c r="K18"/>
      <c r="L18" s="6">
        <v>54.351444251103999</v>
      </c>
      <c r="M18" s="7">
        <v>0</v>
      </c>
      <c r="N18"/>
      <c r="O18" s="6">
        <v>30.142839557399999</v>
      </c>
      <c r="P18" s="7">
        <v>0</v>
      </c>
      <c r="Q18"/>
      <c r="R18" s="6">
        <v>49.146198634721003</v>
      </c>
      <c r="S18" s="7">
        <v>0</v>
      </c>
      <c r="T18"/>
      <c r="U18" s="6">
        <v>41.629858921161997</v>
      </c>
      <c r="V18" s="7">
        <v>0</v>
      </c>
      <c r="W18"/>
      <c r="X18" s="6">
        <v>28.563779949137</v>
      </c>
      <c r="Y18" s="7">
        <v>0</v>
      </c>
      <c r="Z18"/>
      <c r="AA18" s="6">
        <v>41.794940436353997</v>
      </c>
      <c r="AB18" s="7">
        <v>0</v>
      </c>
      <c r="AC18"/>
      <c r="AD18" s="6">
        <v>72.240663900415001</v>
      </c>
      <c r="AE18" s="7">
        <v>0</v>
      </c>
      <c r="AF18"/>
      <c r="AG18" s="6">
        <v>81.923437290858004</v>
      </c>
      <c r="AH18" s="7">
        <v>0</v>
      </c>
      <c r="AI18"/>
      <c r="AJ18" s="6">
        <v>86.224066390041997</v>
      </c>
      <c r="AK18" s="7">
        <v>0</v>
      </c>
      <c r="AL18"/>
      <c r="AM18" s="6">
        <v>47.450140543434998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75.606564464276005</v>
      </c>
      <c r="D19" s="7">
        <v>0</v>
      </c>
      <c r="E19"/>
      <c r="F19" s="9">
        <v>52.171966269575996</v>
      </c>
      <c r="G19" s="7">
        <v>0</v>
      </c>
      <c r="H19"/>
      <c r="I19" s="9">
        <v>62.311831653822999</v>
      </c>
      <c r="J19" s="7">
        <v>0</v>
      </c>
      <c r="K19"/>
      <c r="L19" s="9">
        <v>77.561026636327</v>
      </c>
      <c r="M19" s="7">
        <v>0</v>
      </c>
      <c r="N19"/>
      <c r="O19" s="9">
        <v>44.171784232364999</v>
      </c>
      <c r="P19" s="7">
        <v>0</v>
      </c>
      <c r="Q19"/>
      <c r="R19" s="9">
        <v>73.488821790925002</v>
      </c>
      <c r="S19" s="7">
        <v>0</v>
      </c>
      <c r="T19"/>
      <c r="U19" s="9">
        <v>67.052071770401</v>
      </c>
      <c r="V19" s="7">
        <v>0</v>
      </c>
      <c r="W19"/>
      <c r="X19" s="9">
        <v>45.904451425512001</v>
      </c>
      <c r="Y19" s="7">
        <v>0</v>
      </c>
      <c r="Z19"/>
      <c r="AA19" s="9">
        <v>61.491677151653001</v>
      </c>
      <c r="AB19" s="7">
        <v>0</v>
      </c>
      <c r="AC19"/>
      <c r="AD19" s="9">
        <v>110.53765421852999</v>
      </c>
      <c r="AE19" s="7">
        <v>0</v>
      </c>
      <c r="AF19"/>
      <c r="AG19" s="9">
        <v>116.93028242538</v>
      </c>
      <c r="AH19" s="7">
        <v>0</v>
      </c>
      <c r="AI19"/>
      <c r="AJ19" s="9">
        <v>124.26411065006999</v>
      </c>
      <c r="AK19" s="7">
        <v>0</v>
      </c>
      <c r="AL19"/>
      <c r="AM19" s="9">
        <v>71.512939365546998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50397.440000000002</v>
      </c>
      <c r="D20" s="7">
        <v>0</v>
      </c>
      <c r="E20"/>
      <c r="F20" s="8">
        <v>3295</v>
      </c>
      <c r="G20" s="7">
        <v>0</v>
      </c>
      <c r="H20"/>
      <c r="I20" s="8">
        <v>3047</v>
      </c>
      <c r="J20" s="7">
        <v>0</v>
      </c>
      <c r="K20"/>
      <c r="L20" s="8">
        <v>3355</v>
      </c>
      <c r="M20" s="7">
        <v>0</v>
      </c>
      <c r="N20"/>
      <c r="O20" s="8">
        <v>3163</v>
      </c>
      <c r="P20" s="7">
        <v>0</v>
      </c>
      <c r="Q20"/>
      <c r="R20" s="8">
        <v>4234.1000000000004</v>
      </c>
      <c r="S20" s="7">
        <v>0</v>
      </c>
      <c r="T20"/>
      <c r="U20" s="8">
        <v>4161.34</v>
      </c>
      <c r="V20" s="7">
        <v>0</v>
      </c>
      <c r="W20"/>
      <c r="X20" s="8">
        <v>3187</v>
      </c>
      <c r="Y20" s="7">
        <v>0</v>
      </c>
      <c r="Z20"/>
      <c r="AA20" s="8">
        <v>4445</v>
      </c>
      <c r="AB20" s="7">
        <v>0</v>
      </c>
      <c r="AC20"/>
      <c r="AD20" s="8">
        <v>5755</v>
      </c>
      <c r="AE20" s="7">
        <v>0</v>
      </c>
      <c r="AF20"/>
      <c r="AG20" s="8">
        <v>5300</v>
      </c>
      <c r="AH20" s="7">
        <v>0</v>
      </c>
      <c r="AI20"/>
      <c r="AJ20" s="8">
        <v>5715</v>
      </c>
      <c r="AK20" s="7">
        <v>0</v>
      </c>
      <c r="AL20"/>
      <c r="AM20" s="8">
        <v>4740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1.1986547746462</v>
      </c>
      <c r="D21" s="7">
        <v>0</v>
      </c>
      <c r="E21"/>
      <c r="F21" s="9">
        <v>1.1610288935869999</v>
      </c>
      <c r="G21" s="7">
        <v>0</v>
      </c>
      <c r="H21"/>
      <c r="I21" s="9">
        <v>1.132292827945</v>
      </c>
      <c r="J21" s="7">
        <v>0</v>
      </c>
      <c r="K21"/>
      <c r="L21" s="9">
        <v>1.0794723294723001</v>
      </c>
      <c r="M21" s="7">
        <v>0</v>
      </c>
      <c r="N21"/>
      <c r="O21" s="9">
        <v>1.1819880418535</v>
      </c>
      <c r="P21" s="7">
        <v>0</v>
      </c>
      <c r="Q21"/>
      <c r="R21" s="9">
        <v>1.0963490419472</v>
      </c>
      <c r="S21" s="7">
        <v>0</v>
      </c>
      <c r="T21"/>
      <c r="U21" s="9">
        <v>1.2610121212120999</v>
      </c>
      <c r="V21" s="7">
        <v>0</v>
      </c>
      <c r="W21"/>
      <c r="X21" s="9">
        <v>1.2902834008096999</v>
      </c>
      <c r="Y21" s="7">
        <v>0</v>
      </c>
      <c r="Z21"/>
      <c r="AA21" s="9">
        <v>1.3073529411764999</v>
      </c>
      <c r="AB21" s="7">
        <v>0</v>
      </c>
      <c r="AC21"/>
      <c r="AD21" s="9">
        <v>1.1744897959184</v>
      </c>
      <c r="AE21" s="7">
        <v>0</v>
      </c>
      <c r="AF21"/>
      <c r="AG21" s="9">
        <v>1.2619047619048001</v>
      </c>
      <c r="AH21" s="7">
        <v>0</v>
      </c>
      <c r="AI21"/>
      <c r="AJ21" s="9">
        <v>1.1783505154639</v>
      </c>
      <c r="AK21" s="7">
        <v>0</v>
      </c>
      <c r="AL21"/>
      <c r="AM21" s="9">
        <v>1.264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43938.218800000002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4860.1397999999999</v>
      </c>
      <c r="S22" s="7">
        <v>0</v>
      </c>
      <c r="T22"/>
      <c r="U22" s="8">
        <v>4863.7689</v>
      </c>
      <c r="V22" s="7">
        <v>0</v>
      </c>
      <c r="W22"/>
      <c r="X22" s="8">
        <v>3644.3101000000001</v>
      </c>
      <c r="Y22" s="7">
        <v>0</v>
      </c>
      <c r="Z22"/>
      <c r="AA22" s="8">
        <v>4495</v>
      </c>
      <c r="AB22" s="7">
        <v>0</v>
      </c>
      <c r="AC22"/>
      <c r="AD22" s="8">
        <v>7490</v>
      </c>
      <c r="AE22" s="7">
        <v>0</v>
      </c>
      <c r="AF22"/>
      <c r="AG22" s="8">
        <v>6038</v>
      </c>
      <c r="AH22" s="7">
        <v>0</v>
      </c>
      <c r="AI22"/>
      <c r="AJ22" s="8">
        <v>7218</v>
      </c>
      <c r="AK22" s="7">
        <v>0</v>
      </c>
      <c r="AL22"/>
      <c r="AM22" s="8">
        <v>5329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47.755600000000001</v>
      </c>
      <c r="D23" s="7">
        <v>0</v>
      </c>
      <c r="E23"/>
      <c r="F23" s="8">
        <v>53.8</v>
      </c>
      <c r="G23" s="7">
        <v>0</v>
      </c>
      <c r="H23"/>
      <c r="I23" s="8">
        <v>51.3</v>
      </c>
      <c r="J23" s="7">
        <v>0</v>
      </c>
      <c r="K23"/>
      <c r="L23" s="8">
        <v>48.79</v>
      </c>
      <c r="M23" s="7">
        <v>0</v>
      </c>
      <c r="N23"/>
      <c r="O23" s="8">
        <v>46.79</v>
      </c>
      <c r="P23" s="7">
        <v>0</v>
      </c>
      <c r="Q23"/>
      <c r="R23" s="8">
        <v>41.798400000000001</v>
      </c>
      <c r="S23" s="7">
        <v>0</v>
      </c>
      <c r="T23"/>
      <c r="U23" s="8">
        <v>42.798400000000001</v>
      </c>
      <c r="V23" s="7">
        <v>0</v>
      </c>
      <c r="W23"/>
      <c r="X23" s="8">
        <v>43.298400000000001</v>
      </c>
      <c r="Y23" s="7">
        <v>0</v>
      </c>
      <c r="Z23"/>
      <c r="AA23" s="8">
        <v>46.298400000000001</v>
      </c>
      <c r="AB23" s="7">
        <v>0</v>
      </c>
      <c r="AC23"/>
      <c r="AD23" s="8">
        <v>49.298400000000001</v>
      </c>
      <c r="AE23" s="7">
        <v>0</v>
      </c>
      <c r="AF23"/>
      <c r="AG23" s="8">
        <v>49.298400000000001</v>
      </c>
      <c r="AH23" s="7">
        <v>0</v>
      </c>
      <c r="AI23"/>
      <c r="AJ23" s="8">
        <v>49.298400000000001</v>
      </c>
      <c r="AK23" s="7">
        <v>0</v>
      </c>
      <c r="AL23"/>
      <c r="AM23" s="8">
        <v>50.298400000000001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6650731.4430999998</v>
      </c>
      <c r="D27" s="327">
        <v>1</v>
      </c>
      <c r="E27"/>
      <c r="F27" s="326">
        <v>389776.76</v>
      </c>
      <c r="G27" s="327">
        <v>1</v>
      </c>
      <c r="H27"/>
      <c r="I27" s="326">
        <v>420480.24</v>
      </c>
      <c r="J27" s="327">
        <v>1</v>
      </c>
      <c r="K27"/>
      <c r="L27" s="326">
        <v>579458.43000000005</v>
      </c>
      <c r="M27" s="327">
        <v>1</v>
      </c>
      <c r="N27"/>
      <c r="O27" s="326">
        <v>319362</v>
      </c>
      <c r="P27" s="327">
        <v>1</v>
      </c>
      <c r="Q27"/>
      <c r="R27" s="326">
        <v>549034.98759999999</v>
      </c>
      <c r="S27" s="327">
        <v>1</v>
      </c>
      <c r="T27"/>
      <c r="U27" s="326">
        <v>484786.47889999999</v>
      </c>
      <c r="V27" s="327">
        <v>1</v>
      </c>
      <c r="W27"/>
      <c r="X27" s="326">
        <v>342952.15659999999</v>
      </c>
      <c r="Y27" s="327">
        <v>1</v>
      </c>
      <c r="Z27"/>
      <c r="AA27" s="326">
        <v>459404.32</v>
      </c>
      <c r="AB27" s="327">
        <v>1</v>
      </c>
      <c r="AC27"/>
      <c r="AD27" s="326">
        <v>799187.24</v>
      </c>
      <c r="AE27" s="327">
        <v>1</v>
      </c>
      <c r="AF27"/>
      <c r="AG27" s="326">
        <v>873586.14</v>
      </c>
      <c r="AH27" s="327">
        <v>1</v>
      </c>
      <c r="AI27"/>
      <c r="AJ27" s="326">
        <v>898429.52</v>
      </c>
      <c r="AK27" s="327">
        <v>1</v>
      </c>
      <c r="AL27"/>
      <c r="AM27" s="326">
        <v>534273.17000000004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4539996.99</v>
      </c>
      <c r="D28" s="7">
        <v>0.68263122999999992</v>
      </c>
      <c r="E28"/>
      <c r="F28" s="8">
        <v>267154.84999999998</v>
      </c>
      <c r="G28" s="7">
        <v>0.68540477</v>
      </c>
      <c r="H28"/>
      <c r="I28" s="8">
        <v>262296.67</v>
      </c>
      <c r="J28" s="7">
        <v>0.62380260999999992</v>
      </c>
      <c r="K28"/>
      <c r="L28" s="8">
        <v>415719.98</v>
      </c>
      <c r="M28" s="7">
        <v>0.71742847999999992</v>
      </c>
      <c r="N28"/>
      <c r="O28" s="8">
        <v>220770.36</v>
      </c>
      <c r="P28" s="7">
        <v>0.69128562999999998</v>
      </c>
      <c r="Q28"/>
      <c r="R28" s="8">
        <v>376171.25</v>
      </c>
      <c r="S28" s="7">
        <v>0.68514987000000005</v>
      </c>
      <c r="T28"/>
      <c r="U28" s="8">
        <v>307983.88</v>
      </c>
      <c r="V28" s="7">
        <v>0.63529800000000003</v>
      </c>
      <c r="W28"/>
      <c r="X28" s="8">
        <v>217400</v>
      </c>
      <c r="Y28" s="7">
        <v>0.63390765999999998</v>
      </c>
      <c r="Z28"/>
      <c r="AA28" s="8">
        <v>316250</v>
      </c>
      <c r="AB28" s="7">
        <v>0.68839144000000008</v>
      </c>
      <c r="AC28"/>
      <c r="AD28" s="8">
        <v>531300</v>
      </c>
      <c r="AE28" s="7">
        <v>0.66480040000000007</v>
      </c>
      <c r="AF28"/>
      <c r="AG28" s="8">
        <v>626050</v>
      </c>
      <c r="AH28" s="7">
        <v>0.71664370000000011</v>
      </c>
      <c r="AI28"/>
      <c r="AJ28" s="8">
        <v>637400</v>
      </c>
      <c r="AK28" s="7">
        <v>0.70946021000000004</v>
      </c>
      <c r="AL28"/>
      <c r="AM28" s="8">
        <v>361500</v>
      </c>
      <c r="AN28" s="7">
        <v>0.67662015999999992</v>
      </c>
    </row>
    <row r="29" spans="2:40" s="314" customFormat="1" ht="12.75" customHeight="1" x14ac:dyDescent="0.15">
      <c r="B29" s="5" t="s">
        <v>36</v>
      </c>
      <c r="C29" s="8">
        <v>1631248.763</v>
      </c>
      <c r="D29" s="7">
        <v>0.24527359000000001</v>
      </c>
      <c r="E29"/>
      <c r="F29" s="8">
        <v>92461.54</v>
      </c>
      <c r="G29" s="7">
        <v>0.23721666</v>
      </c>
      <c r="H29"/>
      <c r="I29" s="8">
        <v>105070.28</v>
      </c>
      <c r="J29" s="7">
        <v>0.24988161</v>
      </c>
      <c r="K29"/>
      <c r="L29" s="8">
        <v>118816.05</v>
      </c>
      <c r="M29" s="7">
        <v>0.20504671999999999</v>
      </c>
      <c r="N29"/>
      <c r="O29" s="8">
        <v>78890.67</v>
      </c>
      <c r="P29" s="7">
        <v>0.24702584999999999</v>
      </c>
      <c r="Q29"/>
      <c r="R29" s="8">
        <v>137663.74410000001</v>
      </c>
      <c r="S29" s="7">
        <v>0.25073764999999998</v>
      </c>
      <c r="T29"/>
      <c r="U29" s="8">
        <v>140912.59890000001</v>
      </c>
      <c r="V29" s="7">
        <v>0.29066941000000002</v>
      </c>
      <c r="W29"/>
      <c r="X29" s="8">
        <v>97380.49</v>
      </c>
      <c r="Y29" s="7">
        <v>0.28394774</v>
      </c>
      <c r="Z29"/>
      <c r="AA29" s="8">
        <v>107714.32</v>
      </c>
      <c r="AB29" s="7">
        <v>0.23446518999999999</v>
      </c>
      <c r="AC29"/>
      <c r="AD29" s="8">
        <v>215517.24</v>
      </c>
      <c r="AE29" s="7">
        <v>0.26967052000000002</v>
      </c>
      <c r="AF29"/>
      <c r="AG29" s="8">
        <v>181436.14</v>
      </c>
      <c r="AH29" s="7">
        <v>0.20769118</v>
      </c>
      <c r="AI29"/>
      <c r="AJ29" s="8">
        <v>209500.02</v>
      </c>
      <c r="AK29" s="7">
        <v>0.23318469999999999</v>
      </c>
      <c r="AL29"/>
      <c r="AM29" s="8">
        <v>145885.67000000001</v>
      </c>
      <c r="AN29" s="7">
        <v>0.27305446</v>
      </c>
    </row>
    <row r="30" spans="2:40" s="314" customFormat="1" ht="12.75" customHeight="1" x14ac:dyDescent="0.15">
      <c r="B30" s="5" t="s">
        <v>37</v>
      </c>
      <c r="C30" s="8">
        <v>271202.89030000003</v>
      </c>
      <c r="D30" s="7">
        <v>4.0777900000000013E-2</v>
      </c>
      <c r="E30"/>
      <c r="F30" s="8">
        <v>15490.91</v>
      </c>
      <c r="G30" s="7">
        <v>3.9743029999999999E-2</v>
      </c>
      <c r="H30"/>
      <c r="I30" s="8">
        <v>13300.67</v>
      </c>
      <c r="J30" s="7">
        <v>3.1632090000000002E-2</v>
      </c>
      <c r="K30"/>
      <c r="L30" s="8">
        <v>14319.79</v>
      </c>
      <c r="M30" s="7">
        <v>2.4712370000000001E-2</v>
      </c>
      <c r="N30"/>
      <c r="O30" s="8">
        <v>16502.86</v>
      </c>
      <c r="P30" s="7">
        <v>5.1674459999999998E-2</v>
      </c>
      <c r="Q30"/>
      <c r="R30" s="8">
        <v>25199.993600000002</v>
      </c>
      <c r="S30" s="7">
        <v>4.5898700000000001E-2</v>
      </c>
      <c r="T30"/>
      <c r="U30" s="8">
        <v>25890</v>
      </c>
      <c r="V30" s="7">
        <v>5.340495E-2</v>
      </c>
      <c r="W30"/>
      <c r="X30" s="8">
        <v>20171.666700000002</v>
      </c>
      <c r="Y30" s="7">
        <v>5.8817729999999999E-2</v>
      </c>
      <c r="Z30"/>
      <c r="AA30" s="8">
        <v>27440</v>
      </c>
      <c r="AB30" s="7">
        <v>5.9729520000000001E-2</v>
      </c>
      <c r="AC30"/>
      <c r="AD30" s="8">
        <v>34370</v>
      </c>
      <c r="AE30" s="7">
        <v>4.300619E-2</v>
      </c>
      <c r="AF30"/>
      <c r="AG30" s="8">
        <v>31100</v>
      </c>
      <c r="AH30" s="7">
        <v>3.5600380000000001E-2</v>
      </c>
      <c r="AI30"/>
      <c r="AJ30" s="8">
        <v>26529.5</v>
      </c>
      <c r="AK30" s="7">
        <v>2.9528749999999999E-2</v>
      </c>
      <c r="AL30"/>
      <c r="AM30" s="8">
        <v>20887.5</v>
      </c>
      <c r="AN30" s="7">
        <v>3.9095169999999999E-2</v>
      </c>
    </row>
    <row r="31" spans="2:40" s="314" customFormat="1" ht="12.75" customHeight="1" x14ac:dyDescent="0.15">
      <c r="B31" s="5" t="s">
        <v>38</v>
      </c>
      <c r="C31" s="8">
        <v>208282.8</v>
      </c>
      <c r="D31" s="7">
        <v>3.1317280000000003E-2</v>
      </c>
      <c r="E31"/>
      <c r="F31" s="8">
        <v>14669.46</v>
      </c>
      <c r="G31" s="7">
        <v>3.7635540000000002E-2</v>
      </c>
      <c r="H31"/>
      <c r="I31" s="8">
        <v>39812.620000000003</v>
      </c>
      <c r="J31" s="7">
        <v>9.4683689999999987E-2</v>
      </c>
      <c r="K31"/>
      <c r="L31" s="8">
        <v>30602.61</v>
      </c>
      <c r="M31" s="7">
        <v>5.281243E-2</v>
      </c>
      <c r="N31"/>
      <c r="O31" s="8">
        <v>3198.11</v>
      </c>
      <c r="P31" s="7">
        <v>1.001406E-2</v>
      </c>
      <c r="Q31"/>
      <c r="R31" s="8">
        <v>10000</v>
      </c>
      <c r="S31" s="7">
        <v>1.8213779999999999E-2</v>
      </c>
      <c r="T31"/>
      <c r="U31" s="8">
        <v>10000</v>
      </c>
      <c r="V31" s="7">
        <v>2.0627639999999999E-2</v>
      </c>
      <c r="W31"/>
      <c r="X31" s="8">
        <v>8000</v>
      </c>
      <c r="Y31" s="7">
        <v>2.332687E-2</v>
      </c>
      <c r="Z31"/>
      <c r="AA31" s="8">
        <v>8000</v>
      </c>
      <c r="AB31" s="7">
        <v>1.7413850000000002E-2</v>
      </c>
      <c r="AC31"/>
      <c r="AD31" s="8">
        <v>18000</v>
      </c>
      <c r="AE31" s="7">
        <v>2.2522879999999999E-2</v>
      </c>
      <c r="AF31"/>
      <c r="AG31" s="8">
        <v>35000</v>
      </c>
      <c r="AH31" s="7">
        <v>4.0064740000000001E-2</v>
      </c>
      <c r="AI31"/>
      <c r="AJ31" s="8">
        <v>25000</v>
      </c>
      <c r="AK31" s="7">
        <v>2.782633E-2</v>
      </c>
      <c r="AL31"/>
      <c r="AM31" s="8">
        <v>6000</v>
      </c>
      <c r="AN31" s="7">
        <v>1.1230209999999999E-2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4539996.99</v>
      </c>
      <c r="D34" s="327">
        <v>1</v>
      </c>
      <c r="E34"/>
      <c r="F34" s="326">
        <v>267154.84999999998</v>
      </c>
      <c r="G34" s="327">
        <v>1</v>
      </c>
      <c r="H34"/>
      <c r="I34" s="326">
        <v>262296.67</v>
      </c>
      <c r="J34" s="327">
        <v>1</v>
      </c>
      <c r="K34"/>
      <c r="L34" s="326">
        <v>415719.98</v>
      </c>
      <c r="M34" s="327">
        <v>1</v>
      </c>
      <c r="N34"/>
      <c r="O34" s="326">
        <v>220770.36</v>
      </c>
      <c r="P34" s="327">
        <v>1</v>
      </c>
      <c r="Q34"/>
      <c r="R34" s="326">
        <v>376171.25</v>
      </c>
      <c r="S34" s="327">
        <v>1</v>
      </c>
      <c r="T34"/>
      <c r="U34" s="326">
        <v>307983.88</v>
      </c>
      <c r="V34" s="327">
        <v>1</v>
      </c>
      <c r="W34"/>
      <c r="X34" s="326">
        <v>217400</v>
      </c>
      <c r="Y34" s="327">
        <v>1</v>
      </c>
      <c r="Z34"/>
      <c r="AA34" s="326">
        <v>316250</v>
      </c>
      <c r="AB34" s="327">
        <v>1</v>
      </c>
      <c r="AC34"/>
      <c r="AD34" s="326">
        <v>531300</v>
      </c>
      <c r="AE34" s="327">
        <v>1</v>
      </c>
      <c r="AF34"/>
      <c r="AG34" s="326">
        <v>626050</v>
      </c>
      <c r="AH34" s="327">
        <v>1</v>
      </c>
      <c r="AI34"/>
      <c r="AJ34" s="326">
        <v>637400</v>
      </c>
      <c r="AK34" s="327">
        <v>1</v>
      </c>
      <c r="AL34"/>
      <c r="AM34" s="326">
        <v>361500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1182089.8669</v>
      </c>
      <c r="D35" s="7">
        <v>0.26037239000000001</v>
      </c>
      <c r="E35"/>
      <c r="F35" s="8">
        <v>92287.83</v>
      </c>
      <c r="G35" s="7">
        <v>0.34544696000000003</v>
      </c>
      <c r="H35"/>
      <c r="I35" s="8">
        <v>98617.49</v>
      </c>
      <c r="J35" s="7">
        <v>0.3759769</v>
      </c>
      <c r="K35"/>
      <c r="L35" s="8">
        <v>96923.55</v>
      </c>
      <c r="M35" s="7">
        <v>0.23314624</v>
      </c>
      <c r="N35"/>
      <c r="O35" s="8">
        <v>78464.179999999993</v>
      </c>
      <c r="P35" s="7">
        <v>0.35541084000000001</v>
      </c>
      <c r="Q35"/>
      <c r="R35" s="8">
        <v>104374.24219999999</v>
      </c>
      <c r="S35" s="7">
        <v>0.27746470000000001</v>
      </c>
      <c r="T35"/>
      <c r="U35" s="8">
        <v>109264.85490000001</v>
      </c>
      <c r="V35" s="7">
        <v>0.35477459000000011</v>
      </c>
      <c r="W35"/>
      <c r="X35" s="8">
        <v>89054.198799999998</v>
      </c>
      <c r="Y35" s="7">
        <v>0.40963293000000001</v>
      </c>
      <c r="Z35"/>
      <c r="AA35" s="8">
        <v>87758.261100000003</v>
      </c>
      <c r="AB35" s="7">
        <v>0.27749647999999999</v>
      </c>
      <c r="AC35"/>
      <c r="AD35" s="8">
        <v>106768.15059999999</v>
      </c>
      <c r="AE35" s="7">
        <v>0.20095642999999999</v>
      </c>
      <c r="AF35"/>
      <c r="AG35" s="8">
        <v>106130.6695</v>
      </c>
      <c r="AH35" s="7">
        <v>0.16952427</v>
      </c>
      <c r="AI35"/>
      <c r="AJ35" s="8">
        <v>111544.5686</v>
      </c>
      <c r="AK35" s="7">
        <v>0.17499932000000001</v>
      </c>
      <c r="AL35"/>
      <c r="AM35" s="8">
        <v>100901.87119999999</v>
      </c>
      <c r="AN35" s="7">
        <v>0.27911997999999999</v>
      </c>
    </row>
    <row r="36" spans="2:40" s="314" customFormat="1" ht="12.75" customHeight="1" x14ac:dyDescent="0.15">
      <c r="B36" s="5" t="s">
        <v>40</v>
      </c>
      <c r="C36" s="8">
        <v>824791.49010000005</v>
      </c>
      <c r="D36" s="7">
        <v>0.18167225000000001</v>
      </c>
      <c r="E36"/>
      <c r="F36" s="8">
        <v>50140.58</v>
      </c>
      <c r="G36" s="7">
        <v>0.18768359000000001</v>
      </c>
      <c r="H36"/>
      <c r="I36" s="8">
        <v>54698.51</v>
      </c>
      <c r="J36" s="7">
        <v>0.20853680999999999</v>
      </c>
      <c r="K36"/>
      <c r="L36" s="8">
        <v>58104.46</v>
      </c>
      <c r="M36" s="7">
        <v>0.13976826000000001</v>
      </c>
      <c r="N36"/>
      <c r="O36" s="8">
        <v>55200.44</v>
      </c>
      <c r="P36" s="7">
        <v>0.25003555999999999</v>
      </c>
      <c r="Q36"/>
      <c r="R36" s="8">
        <v>71254.675000000003</v>
      </c>
      <c r="S36" s="7">
        <v>0.18942084000000001</v>
      </c>
      <c r="T36"/>
      <c r="U36" s="8">
        <v>64174.228199999998</v>
      </c>
      <c r="V36" s="7">
        <v>0.20836879</v>
      </c>
      <c r="W36"/>
      <c r="X36" s="8">
        <v>47455.0769</v>
      </c>
      <c r="Y36" s="7">
        <v>0.21828462000000001</v>
      </c>
      <c r="Z36"/>
      <c r="AA36" s="8">
        <v>65171.42</v>
      </c>
      <c r="AB36" s="7">
        <v>0.20607564</v>
      </c>
      <c r="AC36"/>
      <c r="AD36" s="8">
        <v>92925.17</v>
      </c>
      <c r="AE36" s="7">
        <v>0.17490151000000001</v>
      </c>
      <c r="AF36"/>
      <c r="AG36" s="8">
        <v>98054.09</v>
      </c>
      <c r="AH36" s="7">
        <v>0.15662342000000001</v>
      </c>
      <c r="AI36"/>
      <c r="AJ36" s="8">
        <v>101825.17</v>
      </c>
      <c r="AK36" s="7">
        <v>0.15975081999999999</v>
      </c>
      <c r="AL36"/>
      <c r="AM36" s="8">
        <v>65787.67</v>
      </c>
      <c r="AN36" s="7">
        <v>0.18198526000000001</v>
      </c>
    </row>
    <row r="37" spans="2:40" s="314" customFormat="1" ht="12.75" customHeight="1" x14ac:dyDescent="0.15">
      <c r="B37" s="325" t="s">
        <v>41</v>
      </c>
      <c r="C37" s="326">
        <v>2533115.6329999999</v>
      </c>
      <c r="D37" s="327">
        <v>0.55795536000000001</v>
      </c>
      <c r="E37"/>
      <c r="F37" s="326">
        <v>124726.44</v>
      </c>
      <c r="G37" s="327">
        <v>0.46686946000000001</v>
      </c>
      <c r="H37"/>
      <c r="I37" s="326">
        <v>108980.67</v>
      </c>
      <c r="J37" s="327">
        <v>0.41548628999999998</v>
      </c>
      <c r="K37"/>
      <c r="L37" s="326">
        <v>260691.97</v>
      </c>
      <c r="M37" s="327">
        <v>0.62708550000000007</v>
      </c>
      <c r="N37"/>
      <c r="O37" s="326">
        <v>87105.74</v>
      </c>
      <c r="P37" s="327">
        <v>0.3945536</v>
      </c>
      <c r="Q37"/>
      <c r="R37" s="326">
        <v>200542.3327</v>
      </c>
      <c r="S37" s="327">
        <v>0.53311445999999996</v>
      </c>
      <c r="T37"/>
      <c r="U37" s="326">
        <v>134544.79689999999</v>
      </c>
      <c r="V37" s="327">
        <v>0.43685661999999997</v>
      </c>
      <c r="W37"/>
      <c r="X37" s="326">
        <v>80890.724400000006</v>
      </c>
      <c r="Y37" s="327">
        <v>0.37208245000000001</v>
      </c>
      <c r="Z37"/>
      <c r="AA37" s="326">
        <v>163320.31890000001</v>
      </c>
      <c r="AB37" s="327">
        <v>0.51642789</v>
      </c>
      <c r="AC37"/>
      <c r="AD37" s="326">
        <v>331606.67940000002</v>
      </c>
      <c r="AE37" s="327">
        <v>0.62414206999999999</v>
      </c>
      <c r="AF37"/>
      <c r="AG37" s="326">
        <v>421865.24050000001</v>
      </c>
      <c r="AH37" s="327">
        <v>0.67385231000000001</v>
      </c>
      <c r="AI37"/>
      <c r="AJ37" s="326">
        <v>424030.26140000002</v>
      </c>
      <c r="AK37" s="327">
        <v>0.66524985999999997</v>
      </c>
      <c r="AL37"/>
      <c r="AM37" s="326">
        <v>194810.45879999999</v>
      </c>
      <c r="AN37" s="327">
        <v>0.53889476999999997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1062499.3458</v>
      </c>
      <c r="D40" s="7">
        <v>0.65134108999999996</v>
      </c>
      <c r="E40"/>
      <c r="F40" s="8">
        <v>60910.14</v>
      </c>
      <c r="G40" s="7">
        <v>0.6587618999999999</v>
      </c>
      <c r="H40"/>
      <c r="I40" s="8">
        <v>57613.21</v>
      </c>
      <c r="J40" s="7">
        <v>0.54833021999999998</v>
      </c>
      <c r="K40"/>
      <c r="L40" s="8">
        <v>75579.039999999994</v>
      </c>
      <c r="M40" s="7">
        <v>0.63610126999999994</v>
      </c>
      <c r="N40"/>
      <c r="O40" s="8">
        <v>51140.4</v>
      </c>
      <c r="P40" s="7">
        <v>0.64824395999999995</v>
      </c>
      <c r="Q40"/>
      <c r="R40" s="8">
        <v>89595.215700000001</v>
      </c>
      <c r="S40" s="7">
        <v>0.65082651999999996</v>
      </c>
      <c r="T40"/>
      <c r="U40" s="8">
        <v>92287.267900000006</v>
      </c>
      <c r="V40" s="7">
        <v>0.6549256</v>
      </c>
      <c r="W40"/>
      <c r="X40" s="8">
        <v>63317.822200000002</v>
      </c>
      <c r="Y40" s="7">
        <v>0.65021055000000005</v>
      </c>
      <c r="Z40"/>
      <c r="AA40" s="8">
        <v>72207.47</v>
      </c>
      <c r="AB40" s="7">
        <v>0.67036090999999998</v>
      </c>
      <c r="AC40"/>
      <c r="AD40" s="8">
        <v>143353.92000000001</v>
      </c>
      <c r="AE40" s="7">
        <v>0.6651621900000001</v>
      </c>
      <c r="AF40"/>
      <c r="AG40" s="8">
        <v>120889.95</v>
      </c>
      <c r="AH40" s="7">
        <v>0.66629475999999999</v>
      </c>
      <c r="AI40"/>
      <c r="AJ40" s="8">
        <v>138900.51</v>
      </c>
      <c r="AK40" s="7">
        <v>0.66300953000000007</v>
      </c>
      <c r="AL40"/>
      <c r="AM40" s="8">
        <v>96704.4</v>
      </c>
      <c r="AN40" s="7">
        <v>0.66287799000000003</v>
      </c>
    </row>
    <row r="41" spans="2:40" s="314" customFormat="1" ht="12.75" customHeight="1" x14ac:dyDescent="0.15">
      <c r="B41" s="5" t="s">
        <v>44</v>
      </c>
      <c r="C41" s="8">
        <v>418326.10720000003</v>
      </c>
      <c r="D41" s="7">
        <v>0.25644531999999998</v>
      </c>
      <c r="E41"/>
      <c r="F41" s="8">
        <v>24530.48</v>
      </c>
      <c r="G41" s="7">
        <v>0.26530469000000001</v>
      </c>
      <c r="H41"/>
      <c r="I41" s="8">
        <v>26677.200000000001</v>
      </c>
      <c r="J41" s="7">
        <v>0.25389863000000001</v>
      </c>
      <c r="K41"/>
      <c r="L41" s="8">
        <v>32908.06</v>
      </c>
      <c r="M41" s="7">
        <v>0.27696644999999998</v>
      </c>
      <c r="N41"/>
      <c r="O41" s="8">
        <v>17816.5</v>
      </c>
      <c r="P41" s="7">
        <v>0.22583786</v>
      </c>
      <c r="Q41"/>
      <c r="R41" s="8">
        <v>35515.328399999999</v>
      </c>
      <c r="S41" s="7">
        <v>0.25798607000000001</v>
      </c>
      <c r="T41"/>
      <c r="U41" s="8">
        <v>35666.731</v>
      </c>
      <c r="V41" s="7">
        <v>0.25311243</v>
      </c>
      <c r="W41"/>
      <c r="X41" s="8">
        <v>28480.267800000001</v>
      </c>
      <c r="Y41" s="7">
        <v>0.2924638</v>
      </c>
      <c r="Z41"/>
      <c r="AA41" s="8">
        <v>31410.45</v>
      </c>
      <c r="AB41" s="7">
        <v>0.29160886000000003</v>
      </c>
      <c r="AC41"/>
      <c r="AD41" s="8">
        <v>52291.72</v>
      </c>
      <c r="AE41" s="7">
        <v>0.24263357999999999</v>
      </c>
      <c r="AF41"/>
      <c r="AG41" s="8">
        <v>42715.79</v>
      </c>
      <c r="AH41" s="7">
        <v>0.23543153999999999</v>
      </c>
      <c r="AI41"/>
      <c r="AJ41" s="8">
        <v>51602.71</v>
      </c>
      <c r="AK41" s="7">
        <v>0.24631363000000001</v>
      </c>
      <c r="AL41"/>
      <c r="AM41" s="8">
        <v>38710.870000000003</v>
      </c>
      <c r="AN41" s="7">
        <v>0.26535073999999997</v>
      </c>
    </row>
    <row r="42" spans="2:40" s="314" customFormat="1" ht="12.75" customHeight="1" x14ac:dyDescent="0.15">
      <c r="B42" s="5" t="s">
        <v>45</v>
      </c>
      <c r="C42" s="8">
        <v>150423.31</v>
      </c>
      <c r="D42" s="7">
        <v>9.2213589999999998E-2</v>
      </c>
      <c r="E42"/>
      <c r="F42" s="8">
        <v>7020.92</v>
      </c>
      <c r="G42" s="7">
        <v>7.5933409999999993E-2</v>
      </c>
      <c r="H42"/>
      <c r="I42" s="8">
        <v>20779.87</v>
      </c>
      <c r="J42" s="7">
        <v>0.19777115000000001</v>
      </c>
      <c r="K42"/>
      <c r="L42" s="8">
        <v>10328.950000000001</v>
      </c>
      <c r="M42" s="7">
        <v>8.6932280000000001E-2</v>
      </c>
      <c r="N42"/>
      <c r="O42" s="8">
        <v>9933.77</v>
      </c>
      <c r="P42" s="7">
        <v>0.12591819000000001</v>
      </c>
      <c r="Q42"/>
      <c r="R42" s="8">
        <v>12553.2</v>
      </c>
      <c r="S42" s="7">
        <v>9.1187409999999997E-2</v>
      </c>
      <c r="T42"/>
      <c r="U42" s="8">
        <v>12958.6</v>
      </c>
      <c r="V42" s="7">
        <v>9.1961970000000004E-2</v>
      </c>
      <c r="W42"/>
      <c r="X42" s="8">
        <v>5582.4</v>
      </c>
      <c r="Y42" s="7">
        <v>5.7325649999999999E-2</v>
      </c>
      <c r="Z42"/>
      <c r="AA42" s="8">
        <v>4096.3999999999996</v>
      </c>
      <c r="AB42" s="7">
        <v>3.8030229999999998E-2</v>
      </c>
      <c r="AC42"/>
      <c r="AD42" s="8">
        <v>19871.599999999999</v>
      </c>
      <c r="AE42" s="7">
        <v>9.220421999999999E-2</v>
      </c>
      <c r="AF42"/>
      <c r="AG42" s="8">
        <v>17830.400000000001</v>
      </c>
      <c r="AH42" s="7">
        <v>9.8273700000000005E-2</v>
      </c>
      <c r="AI42"/>
      <c r="AJ42" s="8">
        <v>18996.8</v>
      </c>
      <c r="AK42" s="7">
        <v>9.0676839999999995E-2</v>
      </c>
      <c r="AL42"/>
      <c r="AM42" s="8">
        <v>10470.4</v>
      </c>
      <c r="AN42" s="7">
        <v>7.1771269999999998E-2</v>
      </c>
    </row>
    <row r="43" spans="2:40" s="314" customFormat="1" ht="12.75" customHeight="1" x14ac:dyDescent="0.15">
      <c r="B43" s="325" t="s">
        <v>36</v>
      </c>
      <c r="C43" s="326">
        <v>1631248.763</v>
      </c>
      <c r="D43" s="327">
        <v>1</v>
      </c>
      <c r="E43"/>
      <c r="F43" s="326">
        <v>92461.54</v>
      </c>
      <c r="G43" s="327">
        <v>1</v>
      </c>
      <c r="H43"/>
      <c r="I43" s="326">
        <v>105070.28</v>
      </c>
      <c r="J43" s="327">
        <v>1</v>
      </c>
      <c r="K43"/>
      <c r="L43" s="326">
        <v>118816.05</v>
      </c>
      <c r="M43" s="327">
        <v>1</v>
      </c>
      <c r="N43"/>
      <c r="O43" s="326">
        <v>78890.67</v>
      </c>
      <c r="P43" s="327">
        <v>1</v>
      </c>
      <c r="Q43"/>
      <c r="R43" s="326">
        <v>137663.74410000001</v>
      </c>
      <c r="S43" s="327">
        <v>1</v>
      </c>
      <c r="T43"/>
      <c r="U43" s="326">
        <v>140912.59890000001</v>
      </c>
      <c r="V43" s="327">
        <v>1</v>
      </c>
      <c r="W43"/>
      <c r="X43" s="326">
        <v>97380.49</v>
      </c>
      <c r="Y43" s="327">
        <v>1</v>
      </c>
      <c r="Z43"/>
      <c r="AA43" s="326">
        <v>107714.32</v>
      </c>
      <c r="AB43" s="327">
        <v>1</v>
      </c>
      <c r="AC43"/>
      <c r="AD43" s="326">
        <v>215517.24</v>
      </c>
      <c r="AE43" s="327">
        <v>1</v>
      </c>
      <c r="AF43"/>
      <c r="AG43" s="326">
        <v>181436.14</v>
      </c>
      <c r="AH43" s="327">
        <v>1</v>
      </c>
      <c r="AI43"/>
      <c r="AJ43" s="326">
        <v>209500.02</v>
      </c>
      <c r="AK43" s="327">
        <v>1</v>
      </c>
      <c r="AL43"/>
      <c r="AM43" s="326">
        <v>145885.67000000001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336351.41320000001</v>
      </c>
      <c r="D44" s="7">
        <v>0.31656623</v>
      </c>
      <c r="E44"/>
      <c r="F44" s="8">
        <v>20908.12</v>
      </c>
      <c r="G44" s="7">
        <v>0.34326172999999999</v>
      </c>
      <c r="H44"/>
      <c r="I44" s="8">
        <v>22480.78</v>
      </c>
      <c r="J44" s="7">
        <v>0.39020183000000003</v>
      </c>
      <c r="K44"/>
      <c r="L44" s="8">
        <v>24370.45</v>
      </c>
      <c r="M44" s="7">
        <v>0.32244984999999998</v>
      </c>
      <c r="N44"/>
      <c r="O44" s="8">
        <v>18343.490000000002</v>
      </c>
      <c r="P44" s="7">
        <v>0.35868883000000001</v>
      </c>
      <c r="Q44"/>
      <c r="R44" s="8">
        <v>27520.270799999998</v>
      </c>
      <c r="S44" s="7">
        <v>0.30716228000000001</v>
      </c>
      <c r="T44"/>
      <c r="U44" s="8">
        <v>28347.710200000001</v>
      </c>
      <c r="V44" s="7">
        <v>0.30716816000000002</v>
      </c>
      <c r="W44"/>
      <c r="X44" s="8">
        <v>19711.347399999999</v>
      </c>
      <c r="Y44" s="7">
        <v>0.31130804000000001</v>
      </c>
      <c r="Z44"/>
      <c r="AA44" s="8">
        <v>22430.246800000001</v>
      </c>
      <c r="AB44" s="7">
        <v>0.31063610000000003</v>
      </c>
      <c r="AC44"/>
      <c r="AD44" s="8">
        <v>43435.771800000002</v>
      </c>
      <c r="AE44" s="7">
        <v>0.30299674999999998</v>
      </c>
      <c r="AF44"/>
      <c r="AG44" s="8">
        <v>36915.195899999999</v>
      </c>
      <c r="AH44" s="7">
        <v>0.30536199000000003</v>
      </c>
      <c r="AI44"/>
      <c r="AJ44" s="8">
        <v>42096.878299999997</v>
      </c>
      <c r="AK44" s="7">
        <v>0.30307216999999997</v>
      </c>
      <c r="AL44"/>
      <c r="AM44" s="8">
        <v>29791.151999999998</v>
      </c>
      <c r="AN44" s="7">
        <v>0.30806408000000002</v>
      </c>
    </row>
    <row r="45" spans="2:40" s="314" customFormat="1" ht="12.75" customHeight="1" x14ac:dyDescent="0.15">
      <c r="B45" s="5" t="s">
        <v>47</v>
      </c>
      <c r="C45" s="8">
        <v>71275.207399999999</v>
      </c>
      <c r="D45" s="7">
        <v>0.17038191999999999</v>
      </c>
      <c r="E45"/>
      <c r="F45" s="8">
        <v>5485.62</v>
      </c>
      <c r="G45" s="7">
        <v>0.22362465000000001</v>
      </c>
      <c r="H45"/>
      <c r="I45" s="8">
        <v>5291.86</v>
      </c>
      <c r="J45" s="7">
        <v>0.1983664</v>
      </c>
      <c r="K45"/>
      <c r="L45" s="8">
        <v>6868.99</v>
      </c>
      <c r="M45" s="7">
        <v>0.20873274999999999</v>
      </c>
      <c r="N45"/>
      <c r="O45" s="8">
        <v>2291.88</v>
      </c>
      <c r="P45" s="7">
        <v>0.12863806</v>
      </c>
      <c r="Q45"/>
      <c r="R45" s="8">
        <v>5794.0282999999999</v>
      </c>
      <c r="S45" s="7">
        <v>0.16314161999999999</v>
      </c>
      <c r="T45"/>
      <c r="U45" s="8">
        <v>5810.3822</v>
      </c>
      <c r="V45" s="7">
        <v>0.16290762</v>
      </c>
      <c r="W45"/>
      <c r="X45" s="8">
        <v>4684.1868999999997</v>
      </c>
      <c r="Y45" s="7">
        <v>0.16447131000000001</v>
      </c>
      <c r="Z45"/>
      <c r="AA45" s="8">
        <v>5130.9980999999998</v>
      </c>
      <c r="AB45" s="7">
        <v>0.16335321999999999</v>
      </c>
      <c r="AC45"/>
      <c r="AD45" s="8">
        <v>8382.7103999999999</v>
      </c>
      <c r="AE45" s="7">
        <v>0.16030664999999999</v>
      </c>
      <c r="AF45"/>
      <c r="AG45" s="8">
        <v>6939.4304000000002</v>
      </c>
      <c r="AH45" s="7">
        <v>0.16245586000000001</v>
      </c>
      <c r="AI45"/>
      <c r="AJ45" s="8">
        <v>8272.0318000000007</v>
      </c>
      <c r="AK45" s="7">
        <v>0.16030227</v>
      </c>
      <c r="AL45"/>
      <c r="AM45" s="8">
        <v>6323.0892999999996</v>
      </c>
      <c r="AN45" s="7">
        <v>0.16334144</v>
      </c>
    </row>
    <row r="46" spans="2:40" s="314" customFormat="1" ht="12.75" customHeight="1" x14ac:dyDescent="0.15">
      <c r="B46" s="5" t="s">
        <v>48</v>
      </c>
      <c r="C46" s="8">
        <v>-882.7</v>
      </c>
      <c r="D46" s="7">
        <v>-5.8681099999999993E-3</v>
      </c>
      <c r="E46"/>
      <c r="F46" s="8">
        <v>5.2</v>
      </c>
      <c r="G46" s="7">
        <v>7.4064000000000009E-4</v>
      </c>
      <c r="H46"/>
      <c r="I46" s="8">
        <v>-1079.98</v>
      </c>
      <c r="J46" s="7">
        <v>-5.1972409999999997E-2</v>
      </c>
      <c r="K46"/>
      <c r="L46" s="8">
        <v>17.57</v>
      </c>
      <c r="M46" s="7">
        <v>1.70104E-3</v>
      </c>
      <c r="N46"/>
      <c r="O46" s="8">
        <v>174.51</v>
      </c>
      <c r="P46" s="7">
        <v>1.7567349999999999E-2</v>
      </c>
      <c r="Q46"/>
      <c r="R46" s="8">
        <v>0</v>
      </c>
      <c r="S46" s="7">
        <v>0</v>
      </c>
      <c r="T46"/>
      <c r="U46" s="8">
        <v>0</v>
      </c>
      <c r="V46" s="7">
        <v>0</v>
      </c>
      <c r="W46"/>
      <c r="X46" s="8">
        <v>0</v>
      </c>
      <c r="Y46" s="7">
        <v>0</v>
      </c>
      <c r="Z46"/>
      <c r="AA46" s="8">
        <v>0</v>
      </c>
      <c r="AB46" s="7">
        <v>0</v>
      </c>
      <c r="AC46"/>
      <c r="AD46" s="8">
        <v>0</v>
      </c>
      <c r="AE46" s="7">
        <v>0</v>
      </c>
      <c r="AF46"/>
      <c r="AG46" s="8">
        <v>0</v>
      </c>
      <c r="AH46" s="7">
        <v>0</v>
      </c>
      <c r="AI46"/>
      <c r="AJ46" s="8">
        <v>0</v>
      </c>
      <c r="AK46" s="7">
        <v>0</v>
      </c>
      <c r="AL46"/>
      <c r="AM46" s="8">
        <v>0</v>
      </c>
      <c r="AN46" s="7">
        <v>0</v>
      </c>
    </row>
    <row r="47" spans="2:40" s="314" customFormat="1" ht="12.75" customHeight="1" x14ac:dyDescent="0.15">
      <c r="B47" s="325" t="s">
        <v>49</v>
      </c>
      <c r="C47" s="326">
        <v>406743.92070000002</v>
      </c>
      <c r="D47" s="327">
        <v>0.24934512</v>
      </c>
      <c r="E47"/>
      <c r="F47" s="326">
        <v>26398.94</v>
      </c>
      <c r="G47" s="327">
        <v>0.28551265999999997</v>
      </c>
      <c r="H47"/>
      <c r="I47" s="326">
        <v>26692.66</v>
      </c>
      <c r="J47" s="327">
        <v>0.25404577</v>
      </c>
      <c r="K47"/>
      <c r="L47" s="326">
        <v>31257.01</v>
      </c>
      <c r="M47" s="327">
        <v>0.26307059999999999</v>
      </c>
      <c r="N47"/>
      <c r="O47" s="326">
        <v>20809.88</v>
      </c>
      <c r="P47" s="327">
        <v>0.26378126000000002</v>
      </c>
      <c r="Q47"/>
      <c r="R47" s="326">
        <v>33314.299200000001</v>
      </c>
      <c r="S47" s="327">
        <v>0.24199762999999999</v>
      </c>
      <c r="T47"/>
      <c r="U47" s="326">
        <v>34158.092400000001</v>
      </c>
      <c r="V47" s="327">
        <v>0.24240623</v>
      </c>
      <c r="W47"/>
      <c r="X47" s="326">
        <v>24395.534299999999</v>
      </c>
      <c r="Y47" s="327">
        <v>0.25051768000000002</v>
      </c>
      <c r="Z47"/>
      <c r="AA47" s="326">
        <v>27561.244900000002</v>
      </c>
      <c r="AB47" s="327">
        <v>0.25587354000000001</v>
      </c>
      <c r="AC47"/>
      <c r="AD47" s="326">
        <v>51818.482199999999</v>
      </c>
      <c r="AE47" s="327">
        <v>0.24043776</v>
      </c>
      <c r="AF47"/>
      <c r="AG47" s="326">
        <v>43854.626300000004</v>
      </c>
      <c r="AH47" s="327">
        <v>0.24170833</v>
      </c>
      <c r="AI47"/>
      <c r="AJ47" s="326">
        <v>50368.910100000001</v>
      </c>
      <c r="AK47" s="327">
        <v>0.24042437</v>
      </c>
      <c r="AL47"/>
      <c r="AM47" s="326">
        <v>36114.241300000002</v>
      </c>
      <c r="AN47" s="327">
        <v>0.24755167</v>
      </c>
    </row>
    <row r="48" spans="2:40" s="314" customFormat="1" ht="12.75" customHeight="1" x14ac:dyDescent="0.15">
      <c r="B48" s="5" t="s">
        <v>22</v>
      </c>
      <c r="C48" s="8">
        <v>760607.37560000003</v>
      </c>
      <c r="D48" s="7">
        <v>0.46627307000000001</v>
      </c>
      <c r="E48"/>
      <c r="F48" s="8">
        <v>56875.839999999997</v>
      </c>
      <c r="G48" s="7">
        <v>0.61512971000000005</v>
      </c>
      <c r="H48"/>
      <c r="I48" s="8">
        <v>55375.83</v>
      </c>
      <c r="J48" s="7">
        <v>0.52703608999999996</v>
      </c>
      <c r="K48"/>
      <c r="L48" s="8">
        <v>60829.89</v>
      </c>
      <c r="M48" s="7">
        <v>0.51196693999999998</v>
      </c>
      <c r="N48"/>
      <c r="O48" s="8">
        <v>58191.75</v>
      </c>
      <c r="P48" s="7">
        <v>0.73762525000000001</v>
      </c>
      <c r="Q48"/>
      <c r="R48" s="8">
        <v>64655.677600000003</v>
      </c>
      <c r="S48" s="7">
        <v>0.46966380000000002</v>
      </c>
      <c r="T48"/>
      <c r="U48" s="8">
        <v>70290.673299999995</v>
      </c>
      <c r="V48" s="7">
        <v>0.49882461999999989</v>
      </c>
      <c r="W48"/>
      <c r="X48" s="8">
        <v>59883.241399999999</v>
      </c>
      <c r="Y48" s="7">
        <v>0.61494084999999998</v>
      </c>
      <c r="Z48"/>
      <c r="AA48" s="8">
        <v>61923.326300000001</v>
      </c>
      <c r="AB48" s="7">
        <v>0.57488481000000002</v>
      </c>
      <c r="AC48"/>
      <c r="AD48" s="8">
        <v>67424.133400000006</v>
      </c>
      <c r="AE48" s="7">
        <v>0.31284798000000003</v>
      </c>
      <c r="AF48"/>
      <c r="AG48" s="8">
        <v>69606.681599999996</v>
      </c>
      <c r="AH48" s="7">
        <v>0.38364287000000002</v>
      </c>
      <c r="AI48"/>
      <c r="AJ48" s="8">
        <v>74011.493799999997</v>
      </c>
      <c r="AK48" s="7">
        <v>0.35327679000000001</v>
      </c>
      <c r="AL48"/>
      <c r="AM48" s="8">
        <v>61538.838199999998</v>
      </c>
      <c r="AN48" s="7">
        <v>0.42182922</v>
      </c>
    </row>
    <row r="49" spans="2:40" s="314" customFormat="1" ht="12.75" customHeight="1" x14ac:dyDescent="0.15">
      <c r="B49" s="5" t="s">
        <v>40</v>
      </c>
      <c r="C49" s="8">
        <v>56430.120999999999</v>
      </c>
      <c r="D49" s="7">
        <v>3.4593199999999998E-2</v>
      </c>
      <c r="E49"/>
      <c r="F49" s="8">
        <v>2324.5300000000002</v>
      </c>
      <c r="G49" s="7">
        <v>2.5140510000000001E-2</v>
      </c>
      <c r="H49"/>
      <c r="I49" s="8">
        <v>1468.1</v>
      </c>
      <c r="J49" s="7">
        <v>1.397255E-2</v>
      </c>
      <c r="K49"/>
      <c r="L49" s="8">
        <v>6002.28</v>
      </c>
      <c r="M49" s="7">
        <v>5.051742E-2</v>
      </c>
      <c r="N49"/>
      <c r="O49" s="8">
        <v>2927.64</v>
      </c>
      <c r="P49" s="7">
        <v>3.7110089999999998E-2</v>
      </c>
      <c r="Q49"/>
      <c r="R49" s="8">
        <v>11799.673000000001</v>
      </c>
      <c r="S49" s="7">
        <v>8.5713729999999988E-2</v>
      </c>
      <c r="T49"/>
      <c r="U49" s="8">
        <v>3287.38</v>
      </c>
      <c r="V49" s="7">
        <v>2.332921E-2</v>
      </c>
      <c r="W49"/>
      <c r="X49" s="8">
        <v>4264.3804</v>
      </c>
      <c r="Y49" s="7">
        <v>4.3790910000000002E-2</v>
      </c>
      <c r="Z49"/>
      <c r="AA49" s="8">
        <v>3787.38</v>
      </c>
      <c r="AB49" s="7">
        <v>3.5161339999999999E-2</v>
      </c>
      <c r="AC49"/>
      <c r="AD49" s="8">
        <v>10302.7282</v>
      </c>
      <c r="AE49" s="7">
        <v>4.7804659999999999E-2</v>
      </c>
      <c r="AF49"/>
      <c r="AG49" s="8">
        <v>3427.38</v>
      </c>
      <c r="AH49" s="7">
        <v>1.8890279999999999E-2</v>
      </c>
      <c r="AI49"/>
      <c r="AJ49" s="8">
        <v>3601.2694000000001</v>
      </c>
      <c r="AK49" s="7">
        <v>1.718983E-2</v>
      </c>
      <c r="AL49"/>
      <c r="AM49" s="8">
        <v>3237.38</v>
      </c>
      <c r="AN49" s="7">
        <v>2.2191209999999999E-2</v>
      </c>
    </row>
    <row r="50" spans="2:40" s="314" customFormat="1" ht="12.75" customHeight="1" x14ac:dyDescent="0.15">
      <c r="B50" s="325" t="s">
        <v>41</v>
      </c>
      <c r="C50" s="326">
        <v>407467.34590000001</v>
      </c>
      <c r="D50" s="327">
        <v>0.2497886</v>
      </c>
      <c r="E50"/>
      <c r="F50" s="326">
        <v>6862.23</v>
      </c>
      <c r="G50" s="327">
        <v>7.4217129999999992E-2</v>
      </c>
      <c r="H50"/>
      <c r="I50" s="326">
        <v>21533.69</v>
      </c>
      <c r="J50" s="327">
        <v>0.20494557999999999</v>
      </c>
      <c r="K50"/>
      <c r="L50" s="326">
        <v>20726.87</v>
      </c>
      <c r="M50" s="327">
        <v>0.17444503</v>
      </c>
      <c r="N50"/>
      <c r="O50" s="326">
        <v>-3038.6</v>
      </c>
      <c r="P50" s="327">
        <v>-3.8516599999999998E-2</v>
      </c>
      <c r="Q50"/>
      <c r="R50" s="326">
        <v>27894.094300000001</v>
      </c>
      <c r="S50" s="327">
        <v>0.20262484</v>
      </c>
      <c r="T50"/>
      <c r="U50" s="326">
        <v>33176.453200000004</v>
      </c>
      <c r="V50" s="327">
        <v>0.23543993999999999</v>
      </c>
      <c r="W50"/>
      <c r="X50" s="326">
        <v>8837.3340000000007</v>
      </c>
      <c r="Y50" s="327">
        <v>9.0750559999999994E-2</v>
      </c>
      <c r="Z50"/>
      <c r="AA50" s="326">
        <v>14442.3688</v>
      </c>
      <c r="AB50" s="327">
        <v>0.13408030000000001</v>
      </c>
      <c r="AC50"/>
      <c r="AD50" s="326">
        <v>85971.896299999993</v>
      </c>
      <c r="AE50" s="327">
        <v>0.39890959999999998</v>
      </c>
      <c r="AF50"/>
      <c r="AG50" s="326">
        <v>64547.452100000002</v>
      </c>
      <c r="AH50" s="327">
        <v>0.35575852000000002</v>
      </c>
      <c r="AI50"/>
      <c r="AJ50" s="326">
        <v>81518.346699999995</v>
      </c>
      <c r="AK50" s="327">
        <v>0.38910902000000003</v>
      </c>
      <c r="AL50"/>
      <c r="AM50" s="326">
        <v>44995.210500000001</v>
      </c>
      <c r="AN50" s="327">
        <v>0.30842789999999998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271202.89030000003</v>
      </c>
      <c r="D53" s="7">
        <v>1</v>
      </c>
      <c r="E53"/>
      <c r="F53" s="8">
        <v>15490.91</v>
      </c>
      <c r="G53" s="7">
        <v>1</v>
      </c>
      <c r="H53"/>
      <c r="I53" s="8">
        <v>13300.67</v>
      </c>
      <c r="J53" s="7">
        <v>1</v>
      </c>
      <c r="K53"/>
      <c r="L53" s="8">
        <v>14319.79</v>
      </c>
      <c r="M53" s="7">
        <v>1</v>
      </c>
      <c r="N53"/>
      <c r="O53" s="8">
        <v>16502.86</v>
      </c>
      <c r="P53" s="7">
        <v>1</v>
      </c>
      <c r="Q53"/>
      <c r="R53" s="8">
        <v>25199.993600000002</v>
      </c>
      <c r="S53" s="7">
        <v>1</v>
      </c>
      <c r="T53"/>
      <c r="U53" s="8">
        <v>25890</v>
      </c>
      <c r="V53" s="7">
        <v>1</v>
      </c>
      <c r="W53"/>
      <c r="X53" s="8">
        <v>20171.666700000002</v>
      </c>
      <c r="Y53" s="7">
        <v>1</v>
      </c>
      <c r="Z53"/>
      <c r="AA53" s="8">
        <v>27440</v>
      </c>
      <c r="AB53" s="7">
        <v>1</v>
      </c>
      <c r="AC53"/>
      <c r="AD53" s="8">
        <v>34370</v>
      </c>
      <c r="AE53" s="7">
        <v>1</v>
      </c>
      <c r="AF53"/>
      <c r="AG53" s="8">
        <v>31100</v>
      </c>
      <c r="AH53" s="7">
        <v>1</v>
      </c>
      <c r="AI53"/>
      <c r="AJ53" s="8">
        <v>26529.5</v>
      </c>
      <c r="AK53" s="7">
        <v>1</v>
      </c>
      <c r="AL53"/>
      <c r="AM53" s="8">
        <v>20887.5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40579.645199999999</v>
      </c>
      <c r="D54" s="7">
        <v>0.14962837000000001</v>
      </c>
      <c r="E54"/>
      <c r="F54" s="8">
        <v>2064.1</v>
      </c>
      <c r="G54" s="7">
        <v>0.13324588000000001</v>
      </c>
      <c r="H54"/>
      <c r="I54" s="8">
        <v>0</v>
      </c>
      <c r="J54" s="7">
        <v>0</v>
      </c>
      <c r="K54"/>
      <c r="L54" s="8">
        <v>248.9</v>
      </c>
      <c r="M54" s="7">
        <v>1.7381540000000001E-2</v>
      </c>
      <c r="N54"/>
      <c r="O54" s="8">
        <v>3301.6</v>
      </c>
      <c r="P54" s="7">
        <v>0.20006229</v>
      </c>
      <c r="Q54"/>
      <c r="R54" s="8">
        <v>3608.5452</v>
      </c>
      <c r="S54" s="7">
        <v>0.14319626999999999</v>
      </c>
      <c r="T54"/>
      <c r="U54" s="8">
        <v>6360</v>
      </c>
      <c r="V54" s="7">
        <v>0.24565469000000001</v>
      </c>
      <c r="W54"/>
      <c r="X54" s="8">
        <v>5000</v>
      </c>
      <c r="Y54" s="7">
        <v>0.24787243</v>
      </c>
      <c r="Z54"/>
      <c r="AA54" s="8">
        <v>6360</v>
      </c>
      <c r="AB54" s="7">
        <v>0.23177843000000001</v>
      </c>
      <c r="AC54"/>
      <c r="AD54" s="8">
        <v>6360</v>
      </c>
      <c r="AE54" s="7">
        <v>0.18504509999999999</v>
      </c>
      <c r="AF54"/>
      <c r="AG54" s="8">
        <v>6060</v>
      </c>
      <c r="AH54" s="7">
        <v>0.19485531</v>
      </c>
      <c r="AI54"/>
      <c r="AJ54" s="8">
        <v>678.375</v>
      </c>
      <c r="AK54" s="7">
        <v>2.5570590000000001E-2</v>
      </c>
      <c r="AL54"/>
      <c r="AM54" s="8">
        <v>538.125</v>
      </c>
      <c r="AN54" s="7">
        <v>2.5763020000000001E-2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0</v>
      </c>
      <c r="D56" s="7">
        <v>0</v>
      </c>
      <c r="E56"/>
      <c r="F56" s="8">
        <v>0</v>
      </c>
      <c r="G56" s="7">
        <v>0</v>
      </c>
      <c r="H56"/>
      <c r="I56" s="8">
        <v>0</v>
      </c>
      <c r="J56" s="7">
        <v>0</v>
      </c>
      <c r="K56"/>
      <c r="L56" s="8">
        <v>0</v>
      </c>
      <c r="M56" s="7">
        <v>0</v>
      </c>
      <c r="N56"/>
      <c r="O56" s="8">
        <v>0</v>
      </c>
      <c r="P56" s="7">
        <v>0</v>
      </c>
      <c r="Q56"/>
      <c r="R56" s="8">
        <v>0</v>
      </c>
      <c r="S56" s="7">
        <v>0</v>
      </c>
      <c r="T56"/>
      <c r="U56" s="8">
        <v>0</v>
      </c>
      <c r="V56" s="7">
        <v>0</v>
      </c>
      <c r="W56"/>
      <c r="X56" s="8">
        <v>0</v>
      </c>
      <c r="Y56" s="7">
        <v>0</v>
      </c>
      <c r="Z56"/>
      <c r="AA56" s="8">
        <v>0</v>
      </c>
      <c r="AB56" s="7">
        <v>0</v>
      </c>
      <c r="AC56"/>
      <c r="AD56" s="8">
        <v>0</v>
      </c>
      <c r="AE56" s="7">
        <v>0</v>
      </c>
      <c r="AF56"/>
      <c r="AG56" s="8">
        <v>0</v>
      </c>
      <c r="AH56" s="7">
        <v>0</v>
      </c>
      <c r="AI56"/>
      <c r="AJ56" s="8">
        <v>0</v>
      </c>
      <c r="AK56" s="7">
        <v>0</v>
      </c>
      <c r="AL56"/>
      <c r="AM56" s="8">
        <v>0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230623.2451</v>
      </c>
      <c r="D57" s="327">
        <v>0.85037163000000004</v>
      </c>
      <c r="E57"/>
      <c r="F57" s="326">
        <v>13426.81</v>
      </c>
      <c r="G57" s="327">
        <v>0.86675411999999996</v>
      </c>
      <c r="H57"/>
      <c r="I57" s="326">
        <v>13300.67</v>
      </c>
      <c r="J57" s="327">
        <v>1</v>
      </c>
      <c r="K57"/>
      <c r="L57" s="326">
        <v>14070.89</v>
      </c>
      <c r="M57" s="327">
        <v>0.98261846000000008</v>
      </c>
      <c r="N57"/>
      <c r="O57" s="326">
        <v>13201.26</v>
      </c>
      <c r="P57" s="327">
        <v>0.79993770999999991</v>
      </c>
      <c r="Q57"/>
      <c r="R57" s="326">
        <v>21591.448400000001</v>
      </c>
      <c r="S57" s="327">
        <v>0.85680372999999999</v>
      </c>
      <c r="T57"/>
      <c r="U57" s="326">
        <v>19530</v>
      </c>
      <c r="V57" s="327">
        <v>0.75434531000000005</v>
      </c>
      <c r="W57"/>
      <c r="X57" s="326">
        <v>15171.6667</v>
      </c>
      <c r="Y57" s="327">
        <v>0.75212756999999997</v>
      </c>
      <c r="Z57"/>
      <c r="AA57" s="326">
        <v>21080</v>
      </c>
      <c r="AB57" s="327">
        <v>0.76822157000000002</v>
      </c>
      <c r="AC57"/>
      <c r="AD57" s="326">
        <v>28010</v>
      </c>
      <c r="AE57" s="327">
        <v>0.81495490000000004</v>
      </c>
      <c r="AF57"/>
      <c r="AG57" s="326">
        <v>25040</v>
      </c>
      <c r="AH57" s="327">
        <v>0.80514469000000011</v>
      </c>
      <c r="AI57"/>
      <c r="AJ57" s="326">
        <v>25851.125</v>
      </c>
      <c r="AK57" s="327">
        <v>0.97442941000000005</v>
      </c>
      <c r="AL57"/>
      <c r="AM57" s="326">
        <v>20349.375</v>
      </c>
      <c r="AN57" s="327">
        <v>0.97423698000000003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208282.8</v>
      </c>
      <c r="D60" s="327">
        <v>0.76799624</v>
      </c>
      <c r="E60"/>
      <c r="F60" s="326">
        <v>14669.46</v>
      </c>
      <c r="G60" s="327">
        <v>0.94697213000000002</v>
      </c>
      <c r="H60"/>
      <c r="I60" s="326">
        <v>39812.620000000003</v>
      </c>
      <c r="J60" s="327">
        <v>2.9932792899999998</v>
      </c>
      <c r="K60"/>
      <c r="L60" s="326">
        <v>30602.61</v>
      </c>
      <c r="M60" s="327">
        <v>2.1370851100000001</v>
      </c>
      <c r="N60"/>
      <c r="O60" s="326">
        <v>3198.11</v>
      </c>
      <c r="P60" s="327">
        <v>0.19379125999999999</v>
      </c>
      <c r="Q60"/>
      <c r="R60" s="326">
        <v>10000</v>
      </c>
      <c r="S60" s="327">
        <v>0.3968255</v>
      </c>
      <c r="T60"/>
      <c r="U60" s="326">
        <v>10000</v>
      </c>
      <c r="V60" s="327">
        <v>0.38624952000000001</v>
      </c>
      <c r="W60"/>
      <c r="X60" s="326">
        <v>8000</v>
      </c>
      <c r="Y60" s="327">
        <v>0.39659588000000001</v>
      </c>
      <c r="Z60"/>
      <c r="AA60" s="326">
        <v>8000</v>
      </c>
      <c r="AB60" s="327">
        <v>0.29154519000000001</v>
      </c>
      <c r="AC60"/>
      <c r="AD60" s="326">
        <v>18000</v>
      </c>
      <c r="AE60" s="327">
        <v>0.52371254</v>
      </c>
      <c r="AF60"/>
      <c r="AG60" s="326">
        <v>35000</v>
      </c>
      <c r="AH60" s="327">
        <v>1.12540193</v>
      </c>
      <c r="AI60"/>
      <c r="AJ60" s="326">
        <v>25000</v>
      </c>
      <c r="AK60" s="327">
        <v>0.94234719999999994</v>
      </c>
      <c r="AL60"/>
      <c r="AM60" s="326">
        <v>6000</v>
      </c>
      <c r="AN60" s="327">
        <v>0.28725314000000002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3379489.0238999999</v>
      </c>
      <c r="D63" s="327">
        <v>0.50813794999999995</v>
      </c>
      <c r="E63"/>
      <c r="F63" s="326">
        <v>159684.94</v>
      </c>
      <c r="G63" s="327">
        <v>0.40968306999999998</v>
      </c>
      <c r="H63"/>
      <c r="I63" s="326">
        <v>183627.65</v>
      </c>
      <c r="J63" s="327">
        <v>0.43670934</v>
      </c>
      <c r="K63"/>
      <c r="L63" s="326">
        <v>326092.34000000003</v>
      </c>
      <c r="M63" s="327">
        <v>0.56275364000000005</v>
      </c>
      <c r="N63"/>
      <c r="O63" s="326">
        <v>100466.51</v>
      </c>
      <c r="P63" s="327">
        <v>0.31458504999999998</v>
      </c>
      <c r="Q63"/>
      <c r="R63" s="326">
        <v>260027.87539999999</v>
      </c>
      <c r="S63" s="327">
        <v>0.47360892999999998</v>
      </c>
      <c r="T63"/>
      <c r="U63" s="326">
        <v>197251.2501</v>
      </c>
      <c r="V63" s="327">
        <v>0.40688274000000002</v>
      </c>
      <c r="W63"/>
      <c r="X63" s="326">
        <v>112899.72500000001</v>
      </c>
      <c r="Y63" s="327">
        <v>0.32919964000000002</v>
      </c>
      <c r="Z63"/>
      <c r="AA63" s="326">
        <v>206842.68770000001</v>
      </c>
      <c r="AB63" s="327">
        <v>0.45024106000000003</v>
      </c>
      <c r="AC63"/>
      <c r="AD63" s="326">
        <v>463588.57569999999</v>
      </c>
      <c r="AE63" s="327">
        <v>0.58007505000000004</v>
      </c>
      <c r="AF63"/>
      <c r="AG63" s="326">
        <v>546452.69259999995</v>
      </c>
      <c r="AH63" s="327">
        <v>0.62552812000000002</v>
      </c>
      <c r="AI63"/>
      <c r="AJ63" s="326">
        <v>556399.73309999995</v>
      </c>
      <c r="AK63" s="327">
        <v>0.61930258999999999</v>
      </c>
      <c r="AL63"/>
      <c r="AM63" s="326">
        <v>266155.04430000001</v>
      </c>
      <c r="AN63" s="327">
        <v>0.49816284999999999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218641.9466</v>
      </c>
      <c r="D66" s="7">
        <v>3.287487E-2</v>
      </c>
      <c r="E66"/>
      <c r="F66" s="8">
        <v>9801.84</v>
      </c>
      <c r="G66" s="7">
        <v>2.5147320000000001E-2</v>
      </c>
      <c r="H66"/>
      <c r="I66" s="8">
        <v>29097.93</v>
      </c>
      <c r="J66" s="7">
        <v>6.9201659999999998E-2</v>
      </c>
      <c r="K66"/>
      <c r="L66" s="8">
        <v>23220.42</v>
      </c>
      <c r="M66" s="7">
        <v>4.0072620000000003E-2</v>
      </c>
      <c r="N66"/>
      <c r="O66" s="8">
        <v>20655.07</v>
      </c>
      <c r="P66" s="7">
        <v>6.467603999999999E-2</v>
      </c>
      <c r="Q66"/>
      <c r="R66" s="8">
        <v>15436.693600000001</v>
      </c>
      <c r="S66" s="7">
        <v>2.811605E-2</v>
      </c>
      <c r="T66"/>
      <c r="U66" s="8">
        <v>16246.537700000001</v>
      </c>
      <c r="V66" s="7">
        <v>3.3512769999999997E-2</v>
      </c>
      <c r="W66"/>
      <c r="X66" s="8">
        <v>13672.9807</v>
      </c>
      <c r="Y66" s="7">
        <v>3.9868479999999998E-2</v>
      </c>
      <c r="Z66"/>
      <c r="AA66" s="8">
        <v>15445.356100000001</v>
      </c>
      <c r="AB66" s="7">
        <v>3.3620400000000002E-2</v>
      </c>
      <c r="AC66"/>
      <c r="AD66" s="8">
        <v>16756.597000000002</v>
      </c>
      <c r="AE66" s="7">
        <v>2.0967050000000001E-2</v>
      </c>
      <c r="AF66"/>
      <c r="AG66" s="8">
        <v>18720.872299999999</v>
      </c>
      <c r="AH66" s="7">
        <v>2.142991E-2</v>
      </c>
      <c r="AI66"/>
      <c r="AJ66" s="8">
        <v>21655.9928</v>
      </c>
      <c r="AK66" s="7">
        <v>2.4104279999999999E-2</v>
      </c>
      <c r="AL66"/>
      <c r="AM66" s="8">
        <v>17931.6564</v>
      </c>
      <c r="AN66" s="7">
        <v>3.3562710000000003E-2</v>
      </c>
    </row>
    <row r="67" spans="2:40" s="314" customFormat="1" ht="12.75" customHeight="1" x14ac:dyDescent="0.15">
      <c r="B67" s="5" t="s">
        <v>40</v>
      </c>
      <c r="C67" s="8">
        <v>202462.32399999999</v>
      </c>
      <c r="D67" s="7">
        <v>3.0442110000000001E-2</v>
      </c>
      <c r="E67"/>
      <c r="F67" s="8">
        <v>8782.7999999999993</v>
      </c>
      <c r="G67" s="7">
        <v>2.2532900000000002E-2</v>
      </c>
      <c r="H67"/>
      <c r="I67" s="8">
        <v>16756.28</v>
      </c>
      <c r="J67" s="7">
        <v>3.9850339999999998E-2</v>
      </c>
      <c r="K67"/>
      <c r="L67" s="8">
        <v>12763.88</v>
      </c>
      <c r="M67" s="7">
        <v>2.202726E-2</v>
      </c>
      <c r="N67"/>
      <c r="O67" s="8">
        <v>10928.66</v>
      </c>
      <c r="P67" s="7">
        <v>3.422029E-2</v>
      </c>
      <c r="Q67"/>
      <c r="R67" s="8">
        <v>17603.168699999998</v>
      </c>
      <c r="S67" s="7">
        <v>3.2062019999999997E-2</v>
      </c>
      <c r="T67"/>
      <c r="U67" s="8">
        <v>16549.7536</v>
      </c>
      <c r="V67" s="7">
        <v>3.4138229999999999E-2</v>
      </c>
      <c r="W67"/>
      <c r="X67" s="8">
        <v>11680.8305</v>
      </c>
      <c r="Y67" s="7">
        <v>3.4059649999999997E-2</v>
      </c>
      <c r="Z67"/>
      <c r="AA67" s="8">
        <v>15105.811100000001</v>
      </c>
      <c r="AB67" s="7">
        <v>3.2881300000000002E-2</v>
      </c>
      <c r="AC67"/>
      <c r="AD67" s="8">
        <v>23456.731400000001</v>
      </c>
      <c r="AE67" s="7">
        <v>2.9350729999999998E-2</v>
      </c>
      <c r="AF67"/>
      <c r="AG67" s="8">
        <v>24097.665700000001</v>
      </c>
      <c r="AH67" s="7">
        <v>2.758476E-2</v>
      </c>
      <c r="AI67"/>
      <c r="AJ67" s="8">
        <v>28079.000800000002</v>
      </c>
      <c r="AK67" s="7">
        <v>3.1253429999999999E-2</v>
      </c>
      <c r="AL67"/>
      <c r="AM67" s="8">
        <v>16657.742200000001</v>
      </c>
      <c r="AN67" s="7">
        <v>3.1178319999999999E-2</v>
      </c>
    </row>
    <row r="68" spans="2:40" s="314" customFormat="1" ht="12.75" customHeight="1" x14ac:dyDescent="0.15">
      <c r="B68" s="325" t="s">
        <v>41</v>
      </c>
      <c r="C68" s="326">
        <v>-421104.27049999998</v>
      </c>
      <c r="D68" s="327">
        <v>-6.3316990000000004E-2</v>
      </c>
      <c r="E68"/>
      <c r="F68" s="326">
        <v>-18584.64</v>
      </c>
      <c r="G68" s="327">
        <v>-4.7680220000000002E-2</v>
      </c>
      <c r="H68"/>
      <c r="I68" s="326">
        <v>-45854.21</v>
      </c>
      <c r="J68" s="327">
        <v>-0.109052</v>
      </c>
      <c r="K68"/>
      <c r="L68" s="326">
        <v>-35984.300000000003</v>
      </c>
      <c r="M68" s="327">
        <v>-6.2099880000000003E-2</v>
      </c>
      <c r="N68"/>
      <c r="O68" s="326">
        <v>-31583.73</v>
      </c>
      <c r="P68" s="327">
        <v>-9.8896330000000005E-2</v>
      </c>
      <c r="Q68"/>
      <c r="R68" s="326">
        <v>-33039.862300000001</v>
      </c>
      <c r="S68" s="327">
        <v>-6.0178060000000012E-2</v>
      </c>
      <c r="T68"/>
      <c r="U68" s="326">
        <v>-32796.291299999997</v>
      </c>
      <c r="V68" s="327">
        <v>-6.7651000000000003E-2</v>
      </c>
      <c r="W68"/>
      <c r="X68" s="326">
        <v>-25353.8112</v>
      </c>
      <c r="Y68" s="327">
        <v>-7.3928130000000009E-2</v>
      </c>
      <c r="Z68"/>
      <c r="AA68" s="326">
        <v>-30551.1672</v>
      </c>
      <c r="AB68" s="327">
        <v>-6.6501699999999997E-2</v>
      </c>
      <c r="AC68"/>
      <c r="AD68" s="326">
        <v>-40213.328399999999</v>
      </c>
      <c r="AE68" s="327">
        <v>-5.0317779999999999E-2</v>
      </c>
      <c r="AF68"/>
      <c r="AG68" s="326">
        <v>-42818.537900000003</v>
      </c>
      <c r="AH68" s="327">
        <v>-4.9014670000000003E-2</v>
      </c>
      <c r="AI68"/>
      <c r="AJ68" s="326">
        <v>-49734.993600000002</v>
      </c>
      <c r="AK68" s="327">
        <v>-5.5357700000000003E-2</v>
      </c>
      <c r="AL68"/>
      <c r="AM68" s="326">
        <v>-34589.3986</v>
      </c>
      <c r="AN68" s="327">
        <v>-6.474104E-2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44174.09</v>
      </c>
      <c r="D71" s="7">
        <v>6.6419900000000004E-3</v>
      </c>
      <c r="E71"/>
      <c r="F71" s="8">
        <v>1788</v>
      </c>
      <c r="G71" s="7">
        <v>4.5872400000000002E-3</v>
      </c>
      <c r="H71"/>
      <c r="I71" s="8">
        <v>2319.14</v>
      </c>
      <c r="J71" s="7">
        <v>5.5154599999999998E-3</v>
      </c>
      <c r="K71"/>
      <c r="L71" s="8">
        <v>1910.45</v>
      </c>
      <c r="M71" s="7">
        <v>3.2969599999999998E-3</v>
      </c>
      <c r="N71"/>
      <c r="O71" s="8">
        <v>1908.5</v>
      </c>
      <c r="P71" s="7">
        <v>5.9759799999999997E-3</v>
      </c>
      <c r="Q71"/>
      <c r="R71" s="8">
        <v>4531</v>
      </c>
      <c r="S71" s="7">
        <v>8.2526600000000002E-3</v>
      </c>
      <c r="T71"/>
      <c r="U71" s="8">
        <v>4531</v>
      </c>
      <c r="V71" s="7">
        <v>9.3463799999999996E-3</v>
      </c>
      <c r="W71"/>
      <c r="X71" s="8">
        <v>4531</v>
      </c>
      <c r="Y71" s="7">
        <v>1.3211759999999999E-2</v>
      </c>
      <c r="Z71"/>
      <c r="AA71" s="8">
        <v>4531</v>
      </c>
      <c r="AB71" s="7">
        <v>9.8627699999999999E-3</v>
      </c>
      <c r="AC71"/>
      <c r="AD71" s="8">
        <v>4531</v>
      </c>
      <c r="AE71" s="7">
        <v>5.66951E-3</v>
      </c>
      <c r="AF71"/>
      <c r="AG71" s="8">
        <v>4531</v>
      </c>
      <c r="AH71" s="7">
        <v>5.18667E-3</v>
      </c>
      <c r="AI71"/>
      <c r="AJ71" s="8">
        <v>4531</v>
      </c>
      <c r="AK71" s="7">
        <v>5.04324E-3</v>
      </c>
      <c r="AL71"/>
      <c r="AM71" s="8">
        <v>4531</v>
      </c>
      <c r="AN71" s="7">
        <v>8.4806800000000009E-3</v>
      </c>
    </row>
    <row r="72" spans="2:40" s="314" customFormat="1" ht="12.75" customHeight="1" x14ac:dyDescent="0.15">
      <c r="B72" s="5" t="s">
        <v>56</v>
      </c>
      <c r="C72" s="8">
        <v>125462.13</v>
      </c>
      <c r="D72" s="7">
        <v>1.8864410000000002E-2</v>
      </c>
      <c r="E72"/>
      <c r="F72" s="8">
        <v>4339.58</v>
      </c>
      <c r="G72" s="7">
        <v>1.1133499999999999E-2</v>
      </c>
      <c r="H72"/>
      <c r="I72" s="8">
        <v>5718.69</v>
      </c>
      <c r="J72" s="7">
        <v>1.360038E-2</v>
      </c>
      <c r="K72"/>
      <c r="L72" s="8">
        <v>8378.48</v>
      </c>
      <c r="M72" s="7">
        <v>1.445916E-2</v>
      </c>
      <c r="N72"/>
      <c r="O72" s="8">
        <v>4487.45</v>
      </c>
      <c r="P72" s="7">
        <v>1.4051299999999999E-2</v>
      </c>
      <c r="Q72"/>
      <c r="R72" s="8">
        <v>12860.58</v>
      </c>
      <c r="S72" s="7">
        <v>2.3423969999999999E-2</v>
      </c>
      <c r="T72"/>
      <c r="U72" s="8">
        <v>12795.24</v>
      </c>
      <c r="V72" s="7">
        <v>2.639356E-2</v>
      </c>
      <c r="W72"/>
      <c r="X72" s="8">
        <v>12795.24</v>
      </c>
      <c r="Y72" s="7">
        <v>3.7309109999999999E-2</v>
      </c>
      <c r="Z72"/>
      <c r="AA72" s="8">
        <v>12830.58</v>
      </c>
      <c r="AB72" s="7">
        <v>2.7928729999999999E-2</v>
      </c>
      <c r="AC72"/>
      <c r="AD72" s="8">
        <v>12795.24</v>
      </c>
      <c r="AE72" s="7">
        <v>1.6010320000000001E-2</v>
      </c>
      <c r="AF72"/>
      <c r="AG72" s="8">
        <v>12795.24</v>
      </c>
      <c r="AH72" s="7">
        <v>1.46468E-2</v>
      </c>
      <c r="AI72"/>
      <c r="AJ72" s="8">
        <v>12860.58</v>
      </c>
      <c r="AK72" s="7">
        <v>1.4314510000000001E-2</v>
      </c>
      <c r="AL72"/>
      <c r="AM72" s="8">
        <v>12805.23</v>
      </c>
      <c r="AN72" s="7">
        <v>2.3967570000000001E-2</v>
      </c>
    </row>
    <row r="73" spans="2:40" s="314" customFormat="1" ht="12.75" customHeight="1" x14ac:dyDescent="0.15">
      <c r="B73" s="5" t="s">
        <v>40</v>
      </c>
      <c r="C73" s="8">
        <v>4256</v>
      </c>
      <c r="D73" s="7">
        <v>6.3992999999999993E-4</v>
      </c>
      <c r="E73"/>
      <c r="F73" s="8">
        <v>0</v>
      </c>
      <c r="G73" s="7">
        <v>0</v>
      </c>
      <c r="H73"/>
      <c r="I73" s="8">
        <v>0</v>
      </c>
      <c r="J73" s="7">
        <v>0</v>
      </c>
      <c r="K73"/>
      <c r="L73" s="8">
        <v>0</v>
      </c>
      <c r="M73" s="7">
        <v>0</v>
      </c>
      <c r="N73"/>
      <c r="O73" s="8">
        <v>0</v>
      </c>
      <c r="P73" s="7">
        <v>0</v>
      </c>
      <c r="Q73"/>
      <c r="R73" s="8">
        <v>532</v>
      </c>
      <c r="S73" s="7">
        <v>9.6896999999999999E-4</v>
      </c>
      <c r="T73"/>
      <c r="U73" s="8">
        <v>532</v>
      </c>
      <c r="V73" s="7">
        <v>1.09739E-3</v>
      </c>
      <c r="W73"/>
      <c r="X73" s="8">
        <v>532</v>
      </c>
      <c r="Y73" s="7">
        <v>1.55124E-3</v>
      </c>
      <c r="Z73"/>
      <c r="AA73" s="8">
        <v>532</v>
      </c>
      <c r="AB73" s="7">
        <v>1.1580200000000001E-3</v>
      </c>
      <c r="AC73"/>
      <c r="AD73" s="8">
        <v>532</v>
      </c>
      <c r="AE73" s="7">
        <v>6.6567999999999998E-4</v>
      </c>
      <c r="AF73"/>
      <c r="AG73" s="8">
        <v>532</v>
      </c>
      <c r="AH73" s="7">
        <v>6.0897999999999996E-4</v>
      </c>
      <c r="AI73"/>
      <c r="AJ73" s="8">
        <v>532</v>
      </c>
      <c r="AK73" s="7">
        <v>5.9214000000000001E-4</v>
      </c>
      <c r="AL73"/>
      <c r="AM73" s="8">
        <v>532</v>
      </c>
      <c r="AN73" s="7">
        <v>9.9574999999999989E-4</v>
      </c>
    </row>
    <row r="74" spans="2:40" s="314" customFormat="1" ht="12.75" customHeight="1" x14ac:dyDescent="0.15">
      <c r="B74" s="325" t="s">
        <v>41</v>
      </c>
      <c r="C74" s="326">
        <v>-175180.22</v>
      </c>
      <c r="D74" s="327">
        <v>-2.6339990000000001E-2</v>
      </c>
      <c r="E74"/>
      <c r="F74" s="326">
        <v>-6127.58</v>
      </c>
      <c r="G74" s="327">
        <v>-1.572074E-2</v>
      </c>
      <c r="H74"/>
      <c r="I74" s="326">
        <v>-8037.83</v>
      </c>
      <c r="J74" s="327">
        <v>-1.911583E-2</v>
      </c>
      <c r="K74"/>
      <c r="L74" s="326">
        <v>-10288.93</v>
      </c>
      <c r="M74" s="327">
        <v>-1.7756109999999999E-2</v>
      </c>
      <c r="N74"/>
      <c r="O74" s="326">
        <v>-6395.95</v>
      </c>
      <c r="P74" s="327">
        <v>-2.002727E-2</v>
      </c>
      <c r="Q74"/>
      <c r="R74" s="326">
        <v>-18084.580000000002</v>
      </c>
      <c r="S74" s="327">
        <v>-3.2938849999999999E-2</v>
      </c>
      <c r="T74"/>
      <c r="U74" s="326">
        <v>-18019.240000000002</v>
      </c>
      <c r="V74" s="327">
        <v>-3.7169439999999998E-2</v>
      </c>
      <c r="W74"/>
      <c r="X74" s="326">
        <v>-18019.240000000002</v>
      </c>
      <c r="Y74" s="327">
        <v>-5.2541560000000001E-2</v>
      </c>
      <c r="Z74"/>
      <c r="AA74" s="326">
        <v>-18054.580000000002</v>
      </c>
      <c r="AB74" s="327">
        <v>-3.9299979999999998E-2</v>
      </c>
      <c r="AC74"/>
      <c r="AD74" s="326">
        <v>-18019.240000000002</v>
      </c>
      <c r="AE74" s="327">
        <v>-2.2546960000000001E-2</v>
      </c>
      <c r="AF74"/>
      <c r="AG74" s="326">
        <v>-18019.240000000002</v>
      </c>
      <c r="AH74" s="327">
        <v>-2.0626749999999999E-2</v>
      </c>
      <c r="AI74"/>
      <c r="AJ74" s="326">
        <v>-18084.580000000002</v>
      </c>
      <c r="AK74" s="327">
        <v>-2.01291E-2</v>
      </c>
      <c r="AL74"/>
      <c r="AM74" s="326">
        <v>-18029.23</v>
      </c>
      <c r="AN74" s="327">
        <v>-3.3745339999999999E-2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100164.7501</v>
      </c>
      <c r="D77" s="7">
        <v>1.506071E-2</v>
      </c>
      <c r="E77"/>
      <c r="F77" s="8">
        <v>4216.4799999999996</v>
      </c>
      <c r="G77" s="7">
        <v>1.081768E-2</v>
      </c>
      <c r="H77"/>
      <c r="I77" s="8">
        <v>8341.25</v>
      </c>
      <c r="J77" s="7">
        <v>1.9837440000000001E-2</v>
      </c>
      <c r="K77"/>
      <c r="L77" s="8">
        <v>8691.85</v>
      </c>
      <c r="M77" s="7">
        <v>1.499995E-2</v>
      </c>
      <c r="N77"/>
      <c r="O77" s="8">
        <v>4790.3599999999997</v>
      </c>
      <c r="P77" s="7">
        <v>1.4999780000000001E-2</v>
      </c>
      <c r="Q77"/>
      <c r="R77" s="8">
        <v>8235.5247999999992</v>
      </c>
      <c r="S77" s="7">
        <v>1.4999999999999999E-2</v>
      </c>
      <c r="T77"/>
      <c r="U77" s="8">
        <v>7271.7972</v>
      </c>
      <c r="V77" s="7">
        <v>1.4999999999999999E-2</v>
      </c>
      <c r="W77"/>
      <c r="X77" s="8">
        <v>5144.2822999999999</v>
      </c>
      <c r="Y77" s="7">
        <v>1.4999999999999999E-2</v>
      </c>
      <c r="Z77"/>
      <c r="AA77" s="8">
        <v>6891.0648000000001</v>
      </c>
      <c r="AB77" s="7">
        <v>1.4999999999999999E-2</v>
      </c>
      <c r="AC77"/>
      <c r="AD77" s="8">
        <v>11987.8086</v>
      </c>
      <c r="AE77" s="7">
        <v>1.4999999999999999E-2</v>
      </c>
      <c r="AF77"/>
      <c r="AG77" s="8">
        <v>13103.792100000001</v>
      </c>
      <c r="AH77" s="7">
        <v>1.4999999999999999E-2</v>
      </c>
      <c r="AI77"/>
      <c r="AJ77" s="8">
        <v>13476.442800000001</v>
      </c>
      <c r="AK77" s="7">
        <v>1.4999999999999999E-2</v>
      </c>
      <c r="AL77"/>
      <c r="AM77" s="8">
        <v>8014.0974999999999</v>
      </c>
      <c r="AN77" s="7">
        <v>1.4999999999999999E-2</v>
      </c>
    </row>
    <row r="78" spans="2:40" s="314" customFormat="1" ht="12.75" customHeight="1" x14ac:dyDescent="0.15">
      <c r="B78" s="5" t="s">
        <v>40</v>
      </c>
      <c r="C78" s="8">
        <v>278864.3541</v>
      </c>
      <c r="D78" s="7">
        <v>4.1929880000000003E-2</v>
      </c>
      <c r="E78"/>
      <c r="F78" s="8">
        <v>17924.29</v>
      </c>
      <c r="G78" s="7">
        <v>4.5986039999999999E-2</v>
      </c>
      <c r="H78"/>
      <c r="I78" s="8">
        <v>12149.04</v>
      </c>
      <c r="J78" s="7">
        <v>2.8893249999999999E-2</v>
      </c>
      <c r="K78"/>
      <c r="L78" s="8">
        <v>15864.91</v>
      </c>
      <c r="M78" s="7">
        <v>2.7378860000000001E-2</v>
      </c>
      <c r="N78"/>
      <c r="O78" s="8">
        <v>23356.23</v>
      </c>
      <c r="P78" s="7">
        <v>7.3134030000000003E-2</v>
      </c>
      <c r="Q78"/>
      <c r="R78" s="8">
        <v>23539.457399999999</v>
      </c>
      <c r="S78" s="7">
        <v>4.2874239999999987E-2</v>
      </c>
      <c r="T78"/>
      <c r="U78" s="8">
        <v>22811.341199999999</v>
      </c>
      <c r="V78" s="7">
        <v>4.7054409999999998E-2</v>
      </c>
      <c r="W78"/>
      <c r="X78" s="8">
        <v>16365.481599999999</v>
      </c>
      <c r="Y78" s="7">
        <v>4.771943E-2</v>
      </c>
      <c r="Z78"/>
      <c r="AA78" s="8">
        <v>23695.503199999999</v>
      </c>
      <c r="AB78" s="7">
        <v>5.1578760000000001E-2</v>
      </c>
      <c r="AC78"/>
      <c r="AD78" s="8">
        <v>31794.832399999999</v>
      </c>
      <c r="AE78" s="7">
        <v>3.978396E-2</v>
      </c>
      <c r="AF78"/>
      <c r="AG78" s="8">
        <v>33631.321400000001</v>
      </c>
      <c r="AH78" s="7">
        <v>3.8497999999999998E-2</v>
      </c>
      <c r="AI78"/>
      <c r="AJ78" s="8">
        <v>34720.2552</v>
      </c>
      <c r="AK78" s="7">
        <v>3.8645499999999999E-2</v>
      </c>
      <c r="AL78"/>
      <c r="AM78" s="8">
        <v>23011.691699999999</v>
      </c>
      <c r="AN78" s="7">
        <v>4.3071020000000002E-2</v>
      </c>
    </row>
    <row r="79" spans="2:40" s="314" customFormat="1" ht="12.75" customHeight="1" x14ac:dyDescent="0.15">
      <c r="B79" s="325" t="s">
        <v>41</v>
      </c>
      <c r="C79" s="326">
        <v>-379029.10430000001</v>
      </c>
      <c r="D79" s="327">
        <v>-5.6990590000000001E-2</v>
      </c>
      <c r="E79"/>
      <c r="F79" s="326">
        <v>-22140.77</v>
      </c>
      <c r="G79" s="327">
        <v>-5.6803720000000002E-2</v>
      </c>
      <c r="H79"/>
      <c r="I79" s="326">
        <v>-20490.29</v>
      </c>
      <c r="J79" s="327">
        <v>-4.8730679999999998E-2</v>
      </c>
      <c r="K79"/>
      <c r="L79" s="326">
        <v>-24556.76</v>
      </c>
      <c r="M79" s="327">
        <v>-4.2378810000000003E-2</v>
      </c>
      <c r="N79"/>
      <c r="O79" s="326">
        <v>-28146.59</v>
      </c>
      <c r="P79" s="327">
        <v>-8.8133809999999993E-2</v>
      </c>
      <c r="Q79"/>
      <c r="R79" s="326">
        <v>-31774.982199999999</v>
      </c>
      <c r="S79" s="327">
        <v>-5.7874239999999993E-2</v>
      </c>
      <c r="T79"/>
      <c r="U79" s="326">
        <v>-30083.1384</v>
      </c>
      <c r="V79" s="327">
        <v>-6.2054409999999997E-2</v>
      </c>
      <c r="W79"/>
      <c r="X79" s="326">
        <v>-21509.763900000002</v>
      </c>
      <c r="Y79" s="327">
        <v>-6.2719430000000007E-2</v>
      </c>
      <c r="Z79"/>
      <c r="AA79" s="326">
        <v>-30586.567999999999</v>
      </c>
      <c r="AB79" s="327">
        <v>-6.6578760000000001E-2</v>
      </c>
      <c r="AC79"/>
      <c r="AD79" s="326">
        <v>-43782.641000000003</v>
      </c>
      <c r="AE79" s="327">
        <v>-5.478396E-2</v>
      </c>
      <c r="AF79"/>
      <c r="AG79" s="326">
        <v>-46735.113499999999</v>
      </c>
      <c r="AH79" s="327">
        <v>-5.3497999999999997E-2</v>
      </c>
      <c r="AI79"/>
      <c r="AJ79" s="326">
        <v>-48196.697999999997</v>
      </c>
      <c r="AK79" s="327">
        <v>-5.3645500000000013E-2</v>
      </c>
      <c r="AL79"/>
      <c r="AM79" s="326">
        <v>-31025.7893</v>
      </c>
      <c r="AN79" s="327">
        <v>-5.8071020000000001E-2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175487.97169999999</v>
      </c>
      <c r="D82" s="7">
        <v>2.638627E-2</v>
      </c>
      <c r="E82"/>
      <c r="F82" s="8">
        <v>13728.99</v>
      </c>
      <c r="G82" s="7">
        <v>3.5222700000000003E-2</v>
      </c>
      <c r="H82"/>
      <c r="I82" s="8">
        <v>13781.88</v>
      </c>
      <c r="J82" s="7">
        <v>3.2776520000000003E-2</v>
      </c>
      <c r="K82"/>
      <c r="L82" s="8">
        <v>16071.49</v>
      </c>
      <c r="M82" s="7">
        <v>2.7735360000000001E-2</v>
      </c>
      <c r="N82"/>
      <c r="O82" s="8">
        <v>10668.45</v>
      </c>
      <c r="P82" s="7">
        <v>3.3405509999999999E-2</v>
      </c>
      <c r="Q82"/>
      <c r="R82" s="8">
        <v>14396.438399999999</v>
      </c>
      <c r="S82" s="7">
        <v>2.6221350000000001E-2</v>
      </c>
      <c r="T82"/>
      <c r="U82" s="8">
        <v>15566.3917</v>
      </c>
      <c r="V82" s="7">
        <v>3.2109789999999999E-2</v>
      </c>
      <c r="W82"/>
      <c r="X82" s="8">
        <v>14706.6008</v>
      </c>
      <c r="Y82" s="7">
        <v>4.2882370000000003E-2</v>
      </c>
      <c r="Z82"/>
      <c r="AA82" s="8">
        <v>14722.650600000001</v>
      </c>
      <c r="AB82" s="7">
        <v>3.2047260000000001E-2</v>
      </c>
      <c r="AC82"/>
      <c r="AD82" s="8">
        <v>15884.576999999999</v>
      </c>
      <c r="AE82" s="7">
        <v>1.987591E-2</v>
      </c>
      <c r="AF82"/>
      <c r="AG82" s="8">
        <v>15527.759400000001</v>
      </c>
      <c r="AH82" s="7">
        <v>1.7774729999999999E-2</v>
      </c>
      <c r="AI82"/>
      <c r="AJ82" s="8">
        <v>15470.796200000001</v>
      </c>
      <c r="AK82" s="7">
        <v>1.721982E-2</v>
      </c>
      <c r="AL82"/>
      <c r="AM82" s="8">
        <v>14961.9476</v>
      </c>
      <c r="AN82" s="7">
        <v>2.8004299999999999E-2</v>
      </c>
    </row>
    <row r="83" spans="2:40" s="314" customFormat="1" ht="12.75" customHeight="1" x14ac:dyDescent="0.15">
      <c r="B83" s="5" t="s">
        <v>40</v>
      </c>
      <c r="C83" s="8">
        <v>318539.94</v>
      </c>
      <c r="D83" s="7">
        <v>4.7895470000000002E-2</v>
      </c>
      <c r="E83"/>
      <c r="F83" s="8">
        <v>11746.28</v>
      </c>
      <c r="G83" s="7">
        <v>3.013592E-2</v>
      </c>
      <c r="H83"/>
      <c r="I83" s="8">
        <v>14697.56</v>
      </c>
      <c r="J83" s="7">
        <v>3.4954220000000001E-2</v>
      </c>
      <c r="K83"/>
      <c r="L83" s="8">
        <v>16278.74</v>
      </c>
      <c r="M83" s="7">
        <v>2.809302E-2</v>
      </c>
      <c r="N83"/>
      <c r="O83" s="8">
        <v>12759.32</v>
      </c>
      <c r="P83" s="7">
        <v>3.995253E-2</v>
      </c>
      <c r="Q83"/>
      <c r="R83" s="8">
        <v>35734.629999999997</v>
      </c>
      <c r="S83" s="7">
        <v>6.5086249999999998E-2</v>
      </c>
      <c r="T83"/>
      <c r="U83" s="8">
        <v>34284.629999999997</v>
      </c>
      <c r="V83" s="7">
        <v>7.072109E-2</v>
      </c>
      <c r="W83"/>
      <c r="X83" s="8">
        <v>31071.63</v>
      </c>
      <c r="Y83" s="7">
        <v>9.0600479999999997E-2</v>
      </c>
      <c r="Z83"/>
      <c r="AA83" s="8">
        <v>32470.63</v>
      </c>
      <c r="AB83" s="7">
        <v>7.0679850000000002E-2</v>
      </c>
      <c r="AC83"/>
      <c r="AD83" s="8">
        <v>41864.629999999997</v>
      </c>
      <c r="AE83" s="7">
        <v>5.2384009999999988E-2</v>
      </c>
      <c r="AF83"/>
      <c r="AG83" s="8">
        <v>30958.63</v>
      </c>
      <c r="AH83" s="7">
        <v>3.5438549999999999E-2</v>
      </c>
      <c r="AI83"/>
      <c r="AJ83" s="8">
        <v>31450.63</v>
      </c>
      <c r="AK83" s="7">
        <v>3.5006229999999999E-2</v>
      </c>
      <c r="AL83"/>
      <c r="AM83" s="8">
        <v>25222.63</v>
      </c>
      <c r="AN83" s="7">
        <v>4.720924E-2</v>
      </c>
    </row>
    <row r="84" spans="2:40" s="314" customFormat="1" ht="12.75" customHeight="1" x14ac:dyDescent="0.15">
      <c r="B84" s="325" t="s">
        <v>41</v>
      </c>
      <c r="C84" s="326">
        <v>-494027.9117</v>
      </c>
      <c r="D84" s="327">
        <v>-7.4281739999999999E-2</v>
      </c>
      <c r="E84"/>
      <c r="F84" s="326">
        <v>-25475.27</v>
      </c>
      <c r="G84" s="327">
        <v>-6.5358619999999992E-2</v>
      </c>
      <c r="H84"/>
      <c r="I84" s="326">
        <v>-28479.439999999999</v>
      </c>
      <c r="J84" s="327">
        <v>-6.7730750000000006E-2</v>
      </c>
      <c r="K84"/>
      <c r="L84" s="326">
        <v>-32350.23</v>
      </c>
      <c r="M84" s="327">
        <v>-5.5828389999999999E-2</v>
      </c>
      <c r="N84"/>
      <c r="O84" s="326">
        <v>-23427.77</v>
      </c>
      <c r="P84" s="327">
        <v>-7.3358039999999999E-2</v>
      </c>
      <c r="Q84"/>
      <c r="R84" s="326">
        <v>-50131.068399999996</v>
      </c>
      <c r="S84" s="327">
        <v>-9.1307600000000003E-2</v>
      </c>
      <c r="T84"/>
      <c r="U84" s="326">
        <v>-49851.021699999998</v>
      </c>
      <c r="V84" s="327">
        <v>-0.10283088</v>
      </c>
      <c r="W84"/>
      <c r="X84" s="326">
        <v>-45778.230799999998</v>
      </c>
      <c r="Y84" s="327">
        <v>-0.13348284999999999</v>
      </c>
      <c r="Z84"/>
      <c r="AA84" s="326">
        <v>-47193.280599999998</v>
      </c>
      <c r="AB84" s="327">
        <v>-0.10272712000000001</v>
      </c>
      <c r="AC84"/>
      <c r="AD84" s="326">
        <v>-57749.207000000002</v>
      </c>
      <c r="AE84" s="327">
        <v>-7.2259919999999991E-2</v>
      </c>
      <c r="AF84"/>
      <c r="AG84" s="326">
        <v>-46486.3894</v>
      </c>
      <c r="AH84" s="327">
        <v>-5.3213290000000003E-2</v>
      </c>
      <c r="AI84"/>
      <c r="AJ84" s="326">
        <v>-46921.426200000002</v>
      </c>
      <c r="AK84" s="327">
        <v>-5.2226050000000003E-2</v>
      </c>
      <c r="AL84"/>
      <c r="AM84" s="326">
        <v>-40184.577599999997</v>
      </c>
      <c r="AN84" s="327">
        <v>-7.5213539999999995E-2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-336694.6887</v>
      </c>
      <c r="D87" s="327">
        <v>-5.0625209999999997E-2</v>
      </c>
      <c r="E87"/>
      <c r="F87" s="326">
        <v>-39786.019999999997</v>
      </c>
      <c r="G87" s="327">
        <v>-0.10207386</v>
      </c>
      <c r="H87"/>
      <c r="I87" s="326">
        <v>-33739.07</v>
      </c>
      <c r="J87" s="327">
        <v>-8.0239370000000004E-2</v>
      </c>
      <c r="K87"/>
      <c r="L87" s="326">
        <v>-31325.07</v>
      </c>
      <c r="M87" s="327">
        <v>-5.4059220000000012E-2</v>
      </c>
      <c r="N87"/>
      <c r="O87" s="326">
        <v>-31477.07</v>
      </c>
      <c r="P87" s="327">
        <v>-9.8562349999999993E-2</v>
      </c>
      <c r="Q87"/>
      <c r="R87" s="326">
        <v>-19874.202499999999</v>
      </c>
      <c r="S87" s="327">
        <v>-3.6198429999999997E-2</v>
      </c>
      <c r="T87"/>
      <c r="U87" s="326">
        <v>-20033.96</v>
      </c>
      <c r="V87" s="327">
        <v>-4.1325329999999993E-2</v>
      </c>
      <c r="W87"/>
      <c r="X87" s="326">
        <v>-26578.0962</v>
      </c>
      <c r="Y87" s="327">
        <v>-7.7497969999999999E-2</v>
      </c>
      <c r="Z87"/>
      <c r="AA87" s="326">
        <v>-24408.7</v>
      </c>
      <c r="AB87" s="327">
        <v>-5.3131190000000002E-2</v>
      </c>
      <c r="AC87"/>
      <c r="AD87" s="326">
        <v>-26341</v>
      </c>
      <c r="AE87" s="327">
        <v>-3.2959740000000001E-2</v>
      </c>
      <c r="AF87"/>
      <c r="AG87" s="326">
        <v>-28069</v>
      </c>
      <c r="AH87" s="327">
        <v>-3.2130779999999998E-2</v>
      </c>
      <c r="AI87"/>
      <c r="AJ87" s="326">
        <v>-27365.5</v>
      </c>
      <c r="AK87" s="327">
        <v>-3.0459259999999998E-2</v>
      </c>
      <c r="AL87"/>
      <c r="AM87" s="326">
        <v>-27697</v>
      </c>
      <c r="AN87" s="327">
        <v>-5.1840520000000001E-2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1573452.8291</v>
      </c>
      <c r="D89" s="327">
        <v>0.23658343000000001</v>
      </c>
      <c r="E89"/>
      <c r="F89" s="326">
        <v>47570.66</v>
      </c>
      <c r="G89" s="327">
        <v>0.12204590999999999</v>
      </c>
      <c r="H89"/>
      <c r="I89" s="326">
        <v>47026.81</v>
      </c>
      <c r="J89" s="327">
        <v>0.11184071</v>
      </c>
      <c r="K89"/>
      <c r="L89" s="326">
        <v>191587.05</v>
      </c>
      <c r="M89" s="327">
        <v>0.33063122</v>
      </c>
      <c r="N89"/>
      <c r="O89" s="326">
        <v>-20564.599999999999</v>
      </c>
      <c r="P89" s="327">
        <v>-6.4392760000000007E-2</v>
      </c>
      <c r="Q89"/>
      <c r="R89" s="326">
        <v>107123.1802</v>
      </c>
      <c r="S89" s="327">
        <v>0.19511176</v>
      </c>
      <c r="T89"/>
      <c r="U89" s="326">
        <v>46467.598700000002</v>
      </c>
      <c r="V89" s="327">
        <v>9.5851679999999995E-2</v>
      </c>
      <c r="W89"/>
      <c r="X89" s="326">
        <v>-24339.417099999999</v>
      </c>
      <c r="Y89" s="327">
        <v>-7.09703E-2</v>
      </c>
      <c r="Z89"/>
      <c r="AA89" s="326">
        <v>56048.392</v>
      </c>
      <c r="AB89" s="327">
        <v>0.12200232</v>
      </c>
      <c r="AC89"/>
      <c r="AD89" s="326">
        <v>277483.1593</v>
      </c>
      <c r="AE89" s="327">
        <v>0.34720668999999998</v>
      </c>
      <c r="AF89"/>
      <c r="AG89" s="326">
        <v>364324.4118</v>
      </c>
      <c r="AH89" s="327">
        <v>0.41704463000000003</v>
      </c>
      <c r="AI89"/>
      <c r="AJ89" s="326">
        <v>366096.53529999999</v>
      </c>
      <c r="AK89" s="327">
        <v>0.40748498</v>
      </c>
      <c r="AL89"/>
      <c r="AM89" s="326">
        <v>114629.04889999999</v>
      </c>
      <c r="AN89" s="327">
        <v>0.21455139000000001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2533</v>
      </c>
      <c r="D97" s="327">
        <v>3.8086000000000001E-4</v>
      </c>
      <c r="E97"/>
      <c r="F97" s="326">
        <v>2533</v>
      </c>
      <c r="G97" s="327">
        <v>6.4985899999999994E-3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2533</v>
      </c>
      <c r="D99" s="7">
        <v>3.8086000000000001E-4</v>
      </c>
      <c r="E99"/>
      <c r="F99" s="8">
        <v>2533</v>
      </c>
      <c r="G99" s="7">
        <v>6.4985899999999994E-3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-2533</v>
      </c>
      <c r="D101" s="327">
        <v>-3.8086000000000001E-4</v>
      </c>
      <c r="E101"/>
      <c r="F101" s="326">
        <v>-2533</v>
      </c>
      <c r="G101" s="327">
        <v>-6.4985899999999994E-3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1570919.8291</v>
      </c>
      <c r="D103" s="327">
        <v>0.23620257</v>
      </c>
      <c r="E103"/>
      <c r="F103" s="326">
        <v>45037.66</v>
      </c>
      <c r="G103" s="327">
        <v>0.11554732</v>
      </c>
      <c r="H103"/>
      <c r="I103" s="326">
        <v>47026.81</v>
      </c>
      <c r="J103" s="327">
        <v>0.11184071</v>
      </c>
      <c r="K103"/>
      <c r="L103" s="326">
        <v>191587.05</v>
      </c>
      <c r="M103" s="327">
        <v>0.33063122</v>
      </c>
      <c r="N103"/>
      <c r="O103" s="326">
        <v>-20564.599999999999</v>
      </c>
      <c r="P103" s="327">
        <v>-6.4392760000000007E-2</v>
      </c>
      <c r="Q103"/>
      <c r="R103" s="326">
        <v>107123.1802</v>
      </c>
      <c r="S103" s="327">
        <v>0.19511176</v>
      </c>
      <c r="T103"/>
      <c r="U103" s="326">
        <v>46467.598700000002</v>
      </c>
      <c r="V103" s="327">
        <v>9.5851679999999995E-2</v>
      </c>
      <c r="W103"/>
      <c r="X103" s="326">
        <v>-24339.417099999999</v>
      </c>
      <c r="Y103" s="327">
        <v>-7.09703E-2</v>
      </c>
      <c r="Z103"/>
      <c r="AA103" s="326">
        <v>56048.392</v>
      </c>
      <c r="AB103" s="327">
        <v>0.12200232</v>
      </c>
      <c r="AC103"/>
      <c r="AD103" s="326">
        <v>277483.1593</v>
      </c>
      <c r="AE103" s="327">
        <v>0.34720668999999998</v>
      </c>
      <c r="AF103"/>
      <c r="AG103" s="326">
        <v>364324.4118</v>
      </c>
      <c r="AH103" s="327">
        <v>0.41704463000000003</v>
      </c>
      <c r="AI103"/>
      <c r="AJ103" s="326">
        <v>366096.53529999999</v>
      </c>
      <c r="AK103" s="327">
        <v>0.40748498</v>
      </c>
      <c r="AL103"/>
      <c r="AM103" s="326">
        <v>114629.04889999999</v>
      </c>
      <c r="AN103" s="327">
        <v>0.21455139000000001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84731.520000000004</v>
      </c>
      <c r="D105" s="327">
        <v>1.274018E-2</v>
      </c>
      <c r="E105"/>
      <c r="F105" s="326">
        <v>5625.38</v>
      </c>
      <c r="G105" s="327">
        <v>1.443231E-2</v>
      </c>
      <c r="H105"/>
      <c r="I105" s="326">
        <v>5285.38</v>
      </c>
      <c r="J105" s="327">
        <v>1.256987E-2</v>
      </c>
      <c r="K105"/>
      <c r="L105" s="326">
        <v>5795.38</v>
      </c>
      <c r="M105" s="327">
        <v>1.0001370000000001E-2</v>
      </c>
      <c r="N105"/>
      <c r="O105" s="326">
        <v>5625.38</v>
      </c>
      <c r="P105" s="327">
        <v>1.761443E-2</v>
      </c>
      <c r="Q105"/>
      <c r="R105" s="326">
        <v>7800</v>
      </c>
      <c r="S105" s="327">
        <v>1.4206740000000001E-2</v>
      </c>
      <c r="T105"/>
      <c r="U105" s="326">
        <v>7800</v>
      </c>
      <c r="V105" s="327">
        <v>1.6089559999999999E-2</v>
      </c>
      <c r="W105"/>
      <c r="X105" s="326">
        <v>7800</v>
      </c>
      <c r="Y105" s="327">
        <v>2.2743699999999999E-2</v>
      </c>
      <c r="Z105"/>
      <c r="AA105" s="326">
        <v>7800</v>
      </c>
      <c r="AB105" s="327">
        <v>1.6978509999999999E-2</v>
      </c>
      <c r="AC105"/>
      <c r="AD105" s="326">
        <v>7800</v>
      </c>
      <c r="AE105" s="327">
        <v>9.7599200000000001E-3</v>
      </c>
      <c r="AF105"/>
      <c r="AG105" s="326">
        <v>7800</v>
      </c>
      <c r="AH105" s="327">
        <v>8.9287099999999994E-3</v>
      </c>
      <c r="AI105"/>
      <c r="AJ105" s="326">
        <v>7800</v>
      </c>
      <c r="AK105" s="327">
        <v>8.6818199999999998E-3</v>
      </c>
      <c r="AL105"/>
      <c r="AM105" s="326">
        <v>7800</v>
      </c>
      <c r="AN105" s="327">
        <v>1.4599269999999999E-2</v>
      </c>
    </row>
    <row r="106" spans="2:40" s="314" customFormat="1" ht="12.75" customHeight="1" x14ac:dyDescent="0.15">
      <c r="B106" s="5" t="s">
        <v>71</v>
      </c>
      <c r="C106" s="8">
        <v>40666.68</v>
      </c>
      <c r="D106" s="7">
        <v>6.1146199999999994E-3</v>
      </c>
      <c r="E106"/>
      <c r="F106" s="8">
        <v>1166.67</v>
      </c>
      <c r="G106" s="7">
        <v>2.9931699999999999E-3</v>
      </c>
      <c r="H106"/>
      <c r="I106" s="8">
        <v>1166.67</v>
      </c>
      <c r="J106" s="7">
        <v>2.7746099999999998E-3</v>
      </c>
      <c r="K106"/>
      <c r="L106" s="8">
        <v>1166.67</v>
      </c>
      <c r="M106" s="7">
        <v>2.0133799999999999E-3</v>
      </c>
      <c r="N106"/>
      <c r="O106" s="8">
        <v>1166.67</v>
      </c>
      <c r="P106" s="7">
        <v>3.6531300000000001E-3</v>
      </c>
      <c r="Q106"/>
      <c r="R106" s="8">
        <v>4500</v>
      </c>
      <c r="S106" s="7">
        <v>8.1962000000000007E-3</v>
      </c>
      <c r="T106"/>
      <c r="U106" s="8">
        <v>4500</v>
      </c>
      <c r="V106" s="7">
        <v>9.2824399999999994E-3</v>
      </c>
      <c r="W106"/>
      <c r="X106" s="8">
        <v>4500</v>
      </c>
      <c r="Y106" s="7">
        <v>1.312136E-2</v>
      </c>
      <c r="Z106"/>
      <c r="AA106" s="8">
        <v>4500</v>
      </c>
      <c r="AB106" s="7">
        <v>9.7952899999999999E-3</v>
      </c>
      <c r="AC106"/>
      <c r="AD106" s="8">
        <v>4500</v>
      </c>
      <c r="AE106" s="7">
        <v>5.6307200000000014E-3</v>
      </c>
      <c r="AF106"/>
      <c r="AG106" s="8">
        <v>4500</v>
      </c>
      <c r="AH106" s="7">
        <v>5.15118E-3</v>
      </c>
      <c r="AI106"/>
      <c r="AJ106" s="8">
        <v>4500</v>
      </c>
      <c r="AK106" s="7">
        <v>5.0087400000000002E-3</v>
      </c>
      <c r="AL106"/>
      <c r="AM106" s="8">
        <v>4500</v>
      </c>
      <c r="AN106" s="7">
        <v>8.4226600000000002E-3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4635.4399999999996</v>
      </c>
      <c r="D108" s="7">
        <v>6.9697999999999993E-4</v>
      </c>
      <c r="E108"/>
      <c r="F108" s="8">
        <v>1158.8599999999999</v>
      </c>
      <c r="G108" s="7">
        <v>2.97314E-3</v>
      </c>
      <c r="H108"/>
      <c r="I108" s="8">
        <v>1158.8599999999999</v>
      </c>
      <c r="J108" s="7">
        <v>2.75604E-3</v>
      </c>
      <c r="K108"/>
      <c r="L108" s="8">
        <v>1158.8599999999999</v>
      </c>
      <c r="M108" s="7">
        <v>1.9999000000000002E-3</v>
      </c>
      <c r="N108"/>
      <c r="O108" s="8">
        <v>1158.8599999999999</v>
      </c>
      <c r="P108" s="7">
        <v>3.6286700000000001E-3</v>
      </c>
      <c r="Q108"/>
      <c r="R108" s="8">
        <v>0</v>
      </c>
      <c r="S108" s="7">
        <v>0</v>
      </c>
      <c r="T108"/>
      <c r="U108" s="8">
        <v>0</v>
      </c>
      <c r="V108" s="7">
        <v>0</v>
      </c>
      <c r="W108"/>
      <c r="X108" s="8">
        <v>0</v>
      </c>
      <c r="Y108" s="7">
        <v>0</v>
      </c>
      <c r="Z108"/>
      <c r="AA108" s="8">
        <v>0</v>
      </c>
      <c r="AB108" s="7">
        <v>0</v>
      </c>
      <c r="AC108"/>
      <c r="AD108" s="8">
        <v>0</v>
      </c>
      <c r="AE108" s="7">
        <v>0</v>
      </c>
      <c r="AF108"/>
      <c r="AG108" s="8">
        <v>0</v>
      </c>
      <c r="AH108" s="7">
        <v>0</v>
      </c>
      <c r="AI108"/>
      <c r="AJ108" s="8">
        <v>0</v>
      </c>
      <c r="AK108" s="7">
        <v>0</v>
      </c>
      <c r="AL108"/>
      <c r="AM108" s="8">
        <v>0</v>
      </c>
      <c r="AN108" s="7">
        <v>0</v>
      </c>
    </row>
    <row r="109" spans="2:40" s="314" customFormat="1" ht="12.75" customHeight="1" x14ac:dyDescent="0.15">
      <c r="B109" s="5" t="s">
        <v>74</v>
      </c>
      <c r="C109" s="8">
        <v>510</v>
      </c>
      <c r="D109" s="7">
        <v>7.6680000000000004E-5</v>
      </c>
      <c r="E109"/>
      <c r="F109" s="8">
        <v>170</v>
      </c>
      <c r="G109" s="7">
        <v>4.3615E-4</v>
      </c>
      <c r="H109"/>
      <c r="I109" s="8">
        <v>-170</v>
      </c>
      <c r="J109" s="7">
        <v>-4.0430000000000002E-4</v>
      </c>
      <c r="K109"/>
      <c r="L109" s="8">
        <v>340</v>
      </c>
      <c r="M109" s="7">
        <v>5.8675000000000003E-4</v>
      </c>
      <c r="N109"/>
      <c r="O109" s="8">
        <v>170</v>
      </c>
      <c r="P109" s="7">
        <v>5.3231000000000003E-4</v>
      </c>
      <c r="Q109"/>
      <c r="R109" s="8">
        <v>0</v>
      </c>
      <c r="S109" s="7">
        <v>0</v>
      </c>
      <c r="T109"/>
      <c r="U109" s="8">
        <v>0</v>
      </c>
      <c r="V109" s="7">
        <v>0</v>
      </c>
      <c r="W109"/>
      <c r="X109" s="8">
        <v>0</v>
      </c>
      <c r="Y109" s="7">
        <v>0</v>
      </c>
      <c r="Z109"/>
      <c r="AA109" s="8">
        <v>0</v>
      </c>
      <c r="AB109" s="7">
        <v>0</v>
      </c>
      <c r="AC109"/>
      <c r="AD109" s="8">
        <v>0</v>
      </c>
      <c r="AE109" s="7">
        <v>0</v>
      </c>
      <c r="AF109"/>
      <c r="AG109" s="8">
        <v>0</v>
      </c>
      <c r="AH109" s="7">
        <v>0</v>
      </c>
      <c r="AI109"/>
      <c r="AJ109" s="8">
        <v>0</v>
      </c>
      <c r="AK109" s="7">
        <v>0</v>
      </c>
      <c r="AL109"/>
      <c r="AM109" s="8">
        <v>0</v>
      </c>
      <c r="AN109" s="7">
        <v>0</v>
      </c>
    </row>
    <row r="110" spans="2:40" s="314" customFormat="1" ht="12.75" customHeight="1" x14ac:dyDescent="0.15">
      <c r="B110" s="5" t="s">
        <v>75</v>
      </c>
      <c r="C110" s="8">
        <v>38919.4</v>
      </c>
      <c r="D110" s="7">
        <v>5.8519000000000002E-3</v>
      </c>
      <c r="E110"/>
      <c r="F110" s="8">
        <v>3129.85</v>
      </c>
      <c r="G110" s="7">
        <v>8.0298499999999998E-3</v>
      </c>
      <c r="H110"/>
      <c r="I110" s="8">
        <v>3129.85</v>
      </c>
      <c r="J110" s="7">
        <v>7.4435100000000004E-3</v>
      </c>
      <c r="K110"/>
      <c r="L110" s="8">
        <v>3129.85</v>
      </c>
      <c r="M110" s="7">
        <v>5.4013400000000001E-3</v>
      </c>
      <c r="N110"/>
      <c r="O110" s="8">
        <v>3129.85</v>
      </c>
      <c r="P110" s="7">
        <v>9.8003199999999995E-3</v>
      </c>
      <c r="Q110"/>
      <c r="R110" s="8">
        <v>3300</v>
      </c>
      <c r="S110" s="7">
        <v>6.0105499999999999E-3</v>
      </c>
      <c r="T110"/>
      <c r="U110" s="8">
        <v>3300</v>
      </c>
      <c r="V110" s="7">
        <v>6.8071199999999998E-3</v>
      </c>
      <c r="W110"/>
      <c r="X110" s="8">
        <v>3300</v>
      </c>
      <c r="Y110" s="7">
        <v>9.6223300000000001E-3</v>
      </c>
      <c r="Z110"/>
      <c r="AA110" s="8">
        <v>3300</v>
      </c>
      <c r="AB110" s="7">
        <v>7.1832099999999998E-3</v>
      </c>
      <c r="AC110"/>
      <c r="AD110" s="8">
        <v>3300</v>
      </c>
      <c r="AE110" s="7">
        <v>4.1292000000000004E-3</v>
      </c>
      <c r="AF110"/>
      <c r="AG110" s="8">
        <v>3300</v>
      </c>
      <c r="AH110" s="7">
        <v>3.7775299999999999E-3</v>
      </c>
      <c r="AI110"/>
      <c r="AJ110" s="8">
        <v>3300</v>
      </c>
      <c r="AK110" s="7">
        <v>3.67308E-3</v>
      </c>
      <c r="AL110"/>
      <c r="AM110" s="8">
        <v>3300</v>
      </c>
      <c r="AN110" s="7">
        <v>6.1766200000000007E-3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1486188.3091</v>
      </c>
      <c r="D121" s="327">
        <v>0.22346237999999999</v>
      </c>
      <c r="E121"/>
      <c r="F121" s="326">
        <v>39412.28</v>
      </c>
      <c r="G121" s="327">
        <v>0.10111501000000001</v>
      </c>
      <c r="H121"/>
      <c r="I121" s="326">
        <v>41741.43</v>
      </c>
      <c r="J121" s="327">
        <v>9.9270849999999994E-2</v>
      </c>
      <c r="K121"/>
      <c r="L121" s="326">
        <v>185791.67</v>
      </c>
      <c r="M121" s="327">
        <v>0.32062984999999999</v>
      </c>
      <c r="N121"/>
      <c r="O121" s="326">
        <v>-26189.98</v>
      </c>
      <c r="P121" s="327">
        <v>-8.2007189999999994E-2</v>
      </c>
      <c r="Q121"/>
      <c r="R121" s="326">
        <v>99323.180200000003</v>
      </c>
      <c r="S121" s="327">
        <v>0.18090501</v>
      </c>
      <c r="T121"/>
      <c r="U121" s="326">
        <v>38667.598700000002</v>
      </c>
      <c r="V121" s="327">
        <v>7.9762120000000006E-2</v>
      </c>
      <c r="W121"/>
      <c r="X121" s="326">
        <v>-32139.417099999999</v>
      </c>
      <c r="Y121" s="327">
        <v>-9.3713999999999992E-2</v>
      </c>
      <c r="Z121"/>
      <c r="AA121" s="326">
        <v>48248.392</v>
      </c>
      <c r="AB121" s="327">
        <v>0.10502381</v>
      </c>
      <c r="AC121"/>
      <c r="AD121" s="326">
        <v>269683.1593</v>
      </c>
      <c r="AE121" s="327">
        <v>0.33744678</v>
      </c>
      <c r="AF121"/>
      <c r="AG121" s="326">
        <v>356524.4118</v>
      </c>
      <c r="AH121" s="327">
        <v>0.40811592000000002</v>
      </c>
      <c r="AI121"/>
      <c r="AJ121" s="326">
        <v>358296.53529999999</v>
      </c>
      <c r="AK121" s="327">
        <v>0.39880315999999999</v>
      </c>
      <c r="AL121"/>
      <c r="AM121" s="326">
        <v>106829.04889999999</v>
      </c>
      <c r="AN121" s="327">
        <v>0.19995210999999999</v>
      </c>
    </row>
    <row r="122" spans="2:40" s="314" customFormat="1" ht="12.75" customHeight="1" x14ac:dyDescent="0.15">
      <c r="B122" s="5" t="s">
        <v>85</v>
      </c>
      <c r="C122" s="8">
        <v>199517.62040000001</v>
      </c>
      <c r="D122" s="7">
        <v>2.9999350000000001E-2</v>
      </c>
      <c r="E122"/>
      <c r="F122" s="8">
        <v>11693.09</v>
      </c>
      <c r="G122" s="7">
        <v>2.999945E-2</v>
      </c>
      <c r="H122"/>
      <c r="I122" s="8">
        <v>12610.48</v>
      </c>
      <c r="J122" s="7">
        <v>2.9990659999999999E-2</v>
      </c>
      <c r="K122"/>
      <c r="L122" s="8">
        <v>0</v>
      </c>
      <c r="M122" s="7">
        <v>0</v>
      </c>
      <c r="N122"/>
      <c r="O122" s="8">
        <v>26964.43</v>
      </c>
      <c r="P122" s="7">
        <v>8.4432179999999996E-2</v>
      </c>
      <c r="Q122"/>
      <c r="R122" s="8">
        <v>16471.049599999998</v>
      </c>
      <c r="S122" s="7">
        <v>0.03</v>
      </c>
      <c r="T122"/>
      <c r="U122" s="8">
        <v>14543.5944</v>
      </c>
      <c r="V122" s="7">
        <v>0.03</v>
      </c>
      <c r="W122"/>
      <c r="X122" s="8">
        <v>10288.564700000001</v>
      </c>
      <c r="Y122" s="7">
        <v>0.03</v>
      </c>
      <c r="Z122"/>
      <c r="AA122" s="8">
        <v>13782.1296</v>
      </c>
      <c r="AB122" s="7">
        <v>0.03</v>
      </c>
      <c r="AC122"/>
      <c r="AD122" s="8">
        <v>23975.617200000001</v>
      </c>
      <c r="AE122" s="7">
        <v>0.03</v>
      </c>
      <c r="AF122"/>
      <c r="AG122" s="8">
        <v>26207.584200000001</v>
      </c>
      <c r="AH122" s="7">
        <v>0.03</v>
      </c>
      <c r="AI122"/>
      <c r="AJ122" s="8">
        <v>26952.885600000001</v>
      </c>
      <c r="AK122" s="7">
        <v>0.03</v>
      </c>
      <c r="AL122"/>
      <c r="AM122" s="8">
        <v>16028.195100000001</v>
      </c>
      <c r="AN122" s="7">
        <v>0.03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1286670.6887000001</v>
      </c>
      <c r="D124" s="327">
        <v>0.19346303000000001</v>
      </c>
      <c r="E124"/>
      <c r="F124" s="326">
        <v>27719.19</v>
      </c>
      <c r="G124" s="327">
        <v>7.111555E-2</v>
      </c>
      <c r="H124"/>
      <c r="I124" s="326">
        <v>29130.95</v>
      </c>
      <c r="J124" s="327">
        <v>6.9280190000000005E-2</v>
      </c>
      <c r="K124"/>
      <c r="L124" s="326">
        <v>185791.67</v>
      </c>
      <c r="M124" s="327">
        <v>0.32062984999999999</v>
      </c>
      <c r="N124"/>
      <c r="O124" s="326">
        <v>-53154.41</v>
      </c>
      <c r="P124" s="327">
        <v>-0.16643937</v>
      </c>
      <c r="Q124"/>
      <c r="R124" s="326">
        <v>82852.130499999999</v>
      </c>
      <c r="S124" s="327">
        <v>0.15090501000000001</v>
      </c>
      <c r="T124"/>
      <c r="U124" s="326">
        <v>24124.004400000002</v>
      </c>
      <c r="V124" s="327">
        <v>4.976212E-2</v>
      </c>
      <c r="W124"/>
      <c r="X124" s="326">
        <v>-42427.981800000001</v>
      </c>
      <c r="Y124" s="327">
        <v>-0.123714</v>
      </c>
      <c r="Z124"/>
      <c r="AA124" s="326">
        <v>34466.2624</v>
      </c>
      <c r="AB124" s="327">
        <v>7.5023809999999996E-2</v>
      </c>
      <c r="AC124"/>
      <c r="AD124" s="326">
        <v>245707.54209999999</v>
      </c>
      <c r="AE124" s="327">
        <v>0.30744677999999998</v>
      </c>
      <c r="AF124"/>
      <c r="AG124" s="326">
        <v>330316.82760000002</v>
      </c>
      <c r="AH124" s="327">
        <v>0.37811591999999999</v>
      </c>
      <c r="AI124"/>
      <c r="AJ124" s="326">
        <v>331343.64970000001</v>
      </c>
      <c r="AK124" s="327">
        <v>0.36880316000000002</v>
      </c>
      <c r="AL124"/>
      <c r="AM124" s="326">
        <v>90800.853799999997</v>
      </c>
      <c r="AN124" s="327">
        <v>0.16995210999999999</v>
      </c>
    </row>
    <row r="125" spans="2:40" s="314" customFormat="1" ht="12.75" customHeight="1" x14ac:dyDescent="0.15">
      <c r="B125" s="5" t="s">
        <v>87</v>
      </c>
      <c r="C125" s="8">
        <v>12188.32</v>
      </c>
      <c r="D125" s="7">
        <v>1.83263E-3</v>
      </c>
      <c r="E125"/>
      <c r="F125" s="8">
        <v>3047.08</v>
      </c>
      <c r="G125" s="7">
        <v>7.8174999999999998E-3</v>
      </c>
      <c r="H125"/>
      <c r="I125" s="8">
        <v>3047.08</v>
      </c>
      <c r="J125" s="7">
        <v>7.2466699999999993E-3</v>
      </c>
      <c r="K125"/>
      <c r="L125" s="8">
        <v>3047.08</v>
      </c>
      <c r="M125" s="7">
        <v>5.2585000000000002E-3</v>
      </c>
      <c r="N125"/>
      <c r="O125" s="8">
        <v>3047.08</v>
      </c>
      <c r="P125" s="7">
        <v>9.54115E-3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1274482.3687</v>
      </c>
      <c r="D127" s="327">
        <v>0.19163041</v>
      </c>
      <c r="E127"/>
      <c r="F127" s="326">
        <v>24672.11</v>
      </c>
      <c r="G127" s="327">
        <v>6.3298050000000008E-2</v>
      </c>
      <c r="H127"/>
      <c r="I127" s="326">
        <v>26083.87</v>
      </c>
      <c r="J127" s="327">
        <v>6.2033519999999988E-2</v>
      </c>
      <c r="K127"/>
      <c r="L127" s="326">
        <v>182744.59</v>
      </c>
      <c r="M127" s="327">
        <v>0.31537134999999999</v>
      </c>
      <c r="N127"/>
      <c r="O127" s="326">
        <v>-56201.49</v>
      </c>
      <c r="P127" s="327">
        <v>-0.17598052</v>
      </c>
      <c r="Q127"/>
      <c r="R127" s="326">
        <v>82852.130499999999</v>
      </c>
      <c r="S127" s="327">
        <v>0.15090501000000001</v>
      </c>
      <c r="T127"/>
      <c r="U127" s="326">
        <v>24124.004400000002</v>
      </c>
      <c r="V127" s="327">
        <v>4.976212E-2</v>
      </c>
      <c r="W127"/>
      <c r="X127" s="326">
        <v>-42427.981800000001</v>
      </c>
      <c r="Y127" s="327">
        <v>-0.123714</v>
      </c>
      <c r="Z127"/>
      <c r="AA127" s="326">
        <v>34466.2624</v>
      </c>
      <c r="AB127" s="327">
        <v>7.5023809999999996E-2</v>
      </c>
      <c r="AC127"/>
      <c r="AD127" s="326">
        <v>245707.54209999999</v>
      </c>
      <c r="AE127" s="327">
        <v>0.30744677999999998</v>
      </c>
      <c r="AF127"/>
      <c r="AG127" s="326">
        <v>330316.82760000002</v>
      </c>
      <c r="AH127" s="327">
        <v>0.37811591999999999</v>
      </c>
      <c r="AI127"/>
      <c r="AJ127" s="326">
        <v>331343.64970000001</v>
      </c>
      <c r="AK127" s="327">
        <v>0.36880316000000002</v>
      </c>
      <c r="AL127"/>
      <c r="AM127" s="326">
        <v>90800.853799999997</v>
      </c>
      <c r="AN127" s="327">
        <v>0.16995210999999999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141112.93030000001</v>
      </c>
      <c r="D129" s="327">
        <v>2.1217659999999999E-2</v>
      </c>
      <c r="E129"/>
      <c r="F129" s="326">
        <v>11693.09</v>
      </c>
      <c r="G129" s="327">
        <v>2.999945E-2</v>
      </c>
      <c r="H129"/>
      <c r="I129" s="326">
        <v>12610.48</v>
      </c>
      <c r="J129" s="327">
        <v>2.9990659999999999E-2</v>
      </c>
      <c r="K129"/>
      <c r="L129" s="326">
        <v>11589.13</v>
      </c>
      <c r="M129" s="327">
        <v>1.9999929999999999E-2</v>
      </c>
      <c r="N129"/>
      <c r="O129" s="326">
        <v>6387.15</v>
      </c>
      <c r="P129" s="327">
        <v>1.9999719999999999E-2</v>
      </c>
      <c r="Q129"/>
      <c r="R129" s="326">
        <v>10980.6998</v>
      </c>
      <c r="S129" s="327">
        <v>0.02</v>
      </c>
      <c r="T129"/>
      <c r="U129" s="326">
        <v>9695.7296000000006</v>
      </c>
      <c r="V129" s="327">
        <v>0.02</v>
      </c>
      <c r="W129"/>
      <c r="X129" s="326">
        <v>6859.0430999999999</v>
      </c>
      <c r="Y129" s="327">
        <v>0.02</v>
      </c>
      <c r="Z129"/>
      <c r="AA129" s="326">
        <v>9188.0864000000001</v>
      </c>
      <c r="AB129" s="327">
        <v>0.02</v>
      </c>
      <c r="AC129"/>
      <c r="AD129" s="326">
        <v>15983.7448</v>
      </c>
      <c r="AE129" s="327">
        <v>0.02</v>
      </c>
      <c r="AF129"/>
      <c r="AG129" s="326">
        <v>17471.7228</v>
      </c>
      <c r="AH129" s="327">
        <v>0.02</v>
      </c>
      <c r="AI129"/>
      <c r="AJ129" s="326">
        <v>17968.590400000001</v>
      </c>
      <c r="AK129" s="327">
        <v>0.02</v>
      </c>
      <c r="AL129"/>
      <c r="AM129" s="326">
        <v>10685.463400000001</v>
      </c>
      <c r="AN129" s="327">
        <v>0.02</v>
      </c>
    </row>
    <row r="130" spans="2:40" s="314" customFormat="1" ht="12.75" customHeight="1" x14ac:dyDescent="0.15">
      <c r="B130" s="5" t="s">
        <v>90</v>
      </c>
      <c r="C130" s="8">
        <v>141112.93030000001</v>
      </c>
      <c r="D130" s="7">
        <v>2.1217659999999999E-2</v>
      </c>
      <c r="E130"/>
      <c r="F130" s="8">
        <v>11693.09</v>
      </c>
      <c r="G130" s="7">
        <v>2.999945E-2</v>
      </c>
      <c r="H130"/>
      <c r="I130" s="8">
        <v>12610.48</v>
      </c>
      <c r="J130" s="7">
        <v>2.9990659999999999E-2</v>
      </c>
      <c r="K130"/>
      <c r="L130" s="8">
        <v>11589.13</v>
      </c>
      <c r="M130" s="7">
        <v>1.9999929999999999E-2</v>
      </c>
      <c r="N130"/>
      <c r="O130" s="8">
        <v>6387.15</v>
      </c>
      <c r="P130" s="7">
        <v>1.9999719999999999E-2</v>
      </c>
      <c r="Q130"/>
      <c r="R130" s="8">
        <v>10980.6998</v>
      </c>
      <c r="S130" s="7">
        <v>0.02</v>
      </c>
      <c r="T130"/>
      <c r="U130" s="8">
        <v>9695.7296000000006</v>
      </c>
      <c r="V130" s="7">
        <v>0.02</v>
      </c>
      <c r="W130"/>
      <c r="X130" s="8">
        <v>6859.0430999999999</v>
      </c>
      <c r="Y130" s="7">
        <v>0.02</v>
      </c>
      <c r="Z130"/>
      <c r="AA130" s="8">
        <v>9188.0864000000001</v>
      </c>
      <c r="AB130" s="7">
        <v>0.02</v>
      </c>
      <c r="AC130"/>
      <c r="AD130" s="8">
        <v>15983.7448</v>
      </c>
      <c r="AE130" s="7">
        <v>0.02</v>
      </c>
      <c r="AF130"/>
      <c r="AG130" s="8">
        <v>17471.7228</v>
      </c>
      <c r="AH130" s="7">
        <v>0.02</v>
      </c>
      <c r="AI130"/>
      <c r="AJ130" s="8">
        <v>17968.590400000001</v>
      </c>
      <c r="AK130" s="7">
        <v>0.02</v>
      </c>
      <c r="AL130"/>
      <c r="AM130" s="8">
        <v>10685.463400000001</v>
      </c>
      <c r="AN130" s="7">
        <v>0.02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1133369.4384999999</v>
      </c>
      <c r="D134" s="327">
        <v>0.17041275</v>
      </c>
      <c r="E134"/>
      <c r="F134" s="326">
        <v>12979.02</v>
      </c>
      <c r="G134" s="327">
        <v>3.3298599999999998E-2</v>
      </c>
      <c r="H134"/>
      <c r="I134" s="326">
        <v>13473.39</v>
      </c>
      <c r="J134" s="327">
        <v>3.2042859999999999E-2</v>
      </c>
      <c r="K134"/>
      <c r="L134" s="326">
        <v>171155.46</v>
      </c>
      <c r="M134" s="327">
        <v>0.29537142</v>
      </c>
      <c r="N134"/>
      <c r="O134" s="326">
        <v>-62588.639999999999</v>
      </c>
      <c r="P134" s="327">
        <v>-0.19598024</v>
      </c>
      <c r="Q134"/>
      <c r="R134" s="326">
        <v>71871.430800000002</v>
      </c>
      <c r="S134" s="327">
        <v>0.13090500999999999</v>
      </c>
      <c r="T134"/>
      <c r="U134" s="326">
        <v>14428.274799999999</v>
      </c>
      <c r="V134" s="327">
        <v>2.976212E-2</v>
      </c>
      <c r="W134"/>
      <c r="X134" s="326">
        <v>-49287.024899999997</v>
      </c>
      <c r="Y134" s="327">
        <v>-0.14371400000000001</v>
      </c>
      <c r="Z134"/>
      <c r="AA134" s="326">
        <v>25278.175999999999</v>
      </c>
      <c r="AB134" s="327">
        <v>5.5023809999999999E-2</v>
      </c>
      <c r="AC134"/>
      <c r="AD134" s="326">
        <v>229723.79730000001</v>
      </c>
      <c r="AE134" s="327">
        <v>0.28744678000000001</v>
      </c>
      <c r="AF134"/>
      <c r="AG134" s="326">
        <v>312845.10479999997</v>
      </c>
      <c r="AH134" s="327">
        <v>0.35811591999999998</v>
      </c>
      <c r="AI134"/>
      <c r="AJ134" s="326">
        <v>313375.05930000002</v>
      </c>
      <c r="AK134" s="327">
        <v>0.34880316</v>
      </c>
      <c r="AL134"/>
      <c r="AM134" s="326">
        <v>80115.390400000004</v>
      </c>
      <c r="AN134" s="327">
        <v>0.14995211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1996548.88</v>
      </c>
      <c r="D136" s="327">
        <v>0.30019989000000002</v>
      </c>
      <c r="E136"/>
      <c r="F136" s="326">
        <v>159757.01999999999</v>
      </c>
      <c r="G136" s="327">
        <v>0.40986800000000001</v>
      </c>
      <c r="H136"/>
      <c r="I136" s="326">
        <v>159757.01999999999</v>
      </c>
      <c r="J136" s="327">
        <v>0.37993942000000003</v>
      </c>
      <c r="K136"/>
      <c r="L136" s="326">
        <v>180379.1</v>
      </c>
      <c r="M136" s="327">
        <v>0.31128910999999998</v>
      </c>
      <c r="N136"/>
      <c r="O136" s="326">
        <v>180379.1</v>
      </c>
      <c r="P136" s="327">
        <v>0.56481077999999996</v>
      </c>
      <c r="Q136"/>
      <c r="R136" s="326">
        <v>164534.57999999999</v>
      </c>
      <c r="S136" s="327">
        <v>0.29967959</v>
      </c>
      <c r="T136"/>
      <c r="U136" s="326">
        <v>164534.57999999999</v>
      </c>
      <c r="V136" s="327">
        <v>0.33939597999999999</v>
      </c>
      <c r="W136"/>
      <c r="X136" s="326">
        <v>164534.57999999999</v>
      </c>
      <c r="Y136" s="327">
        <v>0.47975957000000002</v>
      </c>
      <c r="Z136"/>
      <c r="AA136" s="326">
        <v>164534.57999999999</v>
      </c>
      <c r="AB136" s="327">
        <v>0.35814765999999998</v>
      </c>
      <c r="AC136"/>
      <c r="AD136" s="326">
        <v>164534.57999999999</v>
      </c>
      <c r="AE136" s="327">
        <v>0.20587738999999999</v>
      </c>
      <c r="AF136"/>
      <c r="AG136" s="326">
        <v>164534.57999999999</v>
      </c>
      <c r="AH136" s="327">
        <v>0.18834385000000001</v>
      </c>
      <c r="AI136"/>
      <c r="AJ136" s="326">
        <v>164534.57999999999</v>
      </c>
      <c r="AK136" s="327">
        <v>0.18313577</v>
      </c>
      <c r="AL136"/>
      <c r="AM136" s="326">
        <v>164534.57999999999</v>
      </c>
      <c r="AN136" s="327">
        <v>0.30795964999999997</v>
      </c>
    </row>
    <row r="137" spans="2:40" s="314" customFormat="1" ht="12.75" customHeight="1" x14ac:dyDescent="0.15">
      <c r="B137" s="5" t="s">
        <v>95</v>
      </c>
      <c r="C137" s="8">
        <v>1996548.88</v>
      </c>
      <c r="D137" s="7">
        <v>0.30019989000000002</v>
      </c>
      <c r="E137"/>
      <c r="F137" s="8">
        <v>159757.01999999999</v>
      </c>
      <c r="G137" s="7">
        <v>0.40986800000000001</v>
      </c>
      <c r="H137"/>
      <c r="I137" s="8">
        <v>159757.01999999999</v>
      </c>
      <c r="J137" s="7">
        <v>0.37993942000000003</v>
      </c>
      <c r="K137"/>
      <c r="L137" s="8">
        <v>180379.1</v>
      </c>
      <c r="M137" s="7">
        <v>0.31128910999999998</v>
      </c>
      <c r="N137"/>
      <c r="O137" s="8">
        <v>180379.1</v>
      </c>
      <c r="P137" s="7">
        <v>0.56481077999999996</v>
      </c>
      <c r="Q137"/>
      <c r="R137" s="8">
        <v>164534.57999999999</v>
      </c>
      <c r="S137" s="7">
        <v>0.29967959</v>
      </c>
      <c r="T137"/>
      <c r="U137" s="8">
        <v>164534.57999999999</v>
      </c>
      <c r="V137" s="7">
        <v>0.33939597999999999</v>
      </c>
      <c r="W137"/>
      <c r="X137" s="8">
        <v>164534.57999999999</v>
      </c>
      <c r="Y137" s="7">
        <v>0.47975957000000002</v>
      </c>
      <c r="Z137"/>
      <c r="AA137" s="8">
        <v>164534.57999999999</v>
      </c>
      <c r="AB137" s="7">
        <v>0.35814765999999998</v>
      </c>
      <c r="AC137"/>
      <c r="AD137" s="8">
        <v>164534.57999999999</v>
      </c>
      <c r="AE137" s="7">
        <v>0.20587738999999999</v>
      </c>
      <c r="AF137"/>
      <c r="AG137" s="8">
        <v>164534.57999999999</v>
      </c>
      <c r="AH137" s="7">
        <v>0.18834385000000001</v>
      </c>
      <c r="AI137"/>
      <c r="AJ137" s="8">
        <v>164534.57999999999</v>
      </c>
      <c r="AK137" s="7">
        <v>0.18313577</v>
      </c>
      <c r="AL137"/>
      <c r="AM137" s="8">
        <v>164534.57999999999</v>
      </c>
      <c r="AN137" s="7">
        <v>0.30795964999999997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-863179.44149999996</v>
      </c>
      <c r="D141" s="327">
        <v>-0.12978714</v>
      </c>
      <c r="E141"/>
      <c r="F141" s="326">
        <v>-146778</v>
      </c>
      <c r="G141" s="327">
        <v>-0.3765694</v>
      </c>
      <c r="H141"/>
      <c r="I141" s="326">
        <v>-146283.63</v>
      </c>
      <c r="J141" s="327">
        <v>-0.34789656000000002</v>
      </c>
      <c r="K141"/>
      <c r="L141" s="326">
        <v>-9223.64</v>
      </c>
      <c r="M141" s="327">
        <v>-1.5917690000000002E-2</v>
      </c>
      <c r="N141"/>
      <c r="O141" s="326">
        <v>-242967.74</v>
      </c>
      <c r="P141" s="327">
        <v>-0.76079100999999993</v>
      </c>
      <c r="Q141"/>
      <c r="R141" s="326">
        <v>-92663.1492</v>
      </c>
      <c r="S141" s="327">
        <v>-0.16877458000000001</v>
      </c>
      <c r="T141"/>
      <c r="U141" s="326">
        <v>-150106.3052</v>
      </c>
      <c r="V141" s="327">
        <v>-0.30963384999999999</v>
      </c>
      <c r="W141"/>
      <c r="X141" s="326">
        <v>-213821.60490000001</v>
      </c>
      <c r="Y141" s="327">
        <v>-0.62347357000000003</v>
      </c>
      <c r="Z141"/>
      <c r="AA141" s="326">
        <v>-139256.40400000001</v>
      </c>
      <c r="AB141" s="327">
        <v>-0.30312384999999997</v>
      </c>
      <c r="AC141"/>
      <c r="AD141" s="326">
        <v>65189.217299999997</v>
      </c>
      <c r="AE141" s="327">
        <v>8.1569389999999992E-2</v>
      </c>
      <c r="AF141"/>
      <c r="AG141" s="326">
        <v>148310.52480000001</v>
      </c>
      <c r="AH141" s="327">
        <v>0.16977207</v>
      </c>
      <c r="AI141"/>
      <c r="AJ141" s="326">
        <v>148840.47930000001</v>
      </c>
      <c r="AK141" s="327">
        <v>0.16566739999999999</v>
      </c>
      <c r="AL141"/>
      <c r="AM141" s="326">
        <v>-84419.189599999998</v>
      </c>
      <c r="AN141" s="327">
        <v>-0.15800754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-863179.44149999996</v>
      </c>
      <c r="D144" s="327">
        <v>-0.12978714</v>
      </c>
      <c r="E144"/>
      <c r="F144" s="326">
        <v>-146778</v>
      </c>
      <c r="G144" s="327">
        <v>-0.3765694</v>
      </c>
      <c r="H144"/>
      <c r="I144" s="326">
        <v>-146283.63</v>
      </c>
      <c r="J144" s="327">
        <v>-0.34789656000000002</v>
      </c>
      <c r="K144"/>
      <c r="L144" s="326">
        <v>-9223.64</v>
      </c>
      <c r="M144" s="327">
        <v>-1.5917690000000002E-2</v>
      </c>
      <c r="N144"/>
      <c r="O144" s="326">
        <v>-242967.74</v>
      </c>
      <c r="P144" s="327">
        <v>-0.76079100999999993</v>
      </c>
      <c r="Q144"/>
      <c r="R144" s="326">
        <v>-92663.1492</v>
      </c>
      <c r="S144" s="327">
        <v>-0.16877458000000001</v>
      </c>
      <c r="T144"/>
      <c r="U144" s="326">
        <v>-150106.3052</v>
      </c>
      <c r="V144" s="327">
        <v>-0.30963384999999999</v>
      </c>
      <c r="W144"/>
      <c r="X144" s="326">
        <v>-213821.60490000001</v>
      </c>
      <c r="Y144" s="327">
        <v>-0.62347357000000003</v>
      </c>
      <c r="Z144"/>
      <c r="AA144" s="326">
        <v>-139256.40400000001</v>
      </c>
      <c r="AB144" s="327">
        <v>-0.30312384999999997</v>
      </c>
      <c r="AC144"/>
      <c r="AD144" s="326">
        <v>65189.217299999997</v>
      </c>
      <c r="AE144" s="327">
        <v>8.1569389999999992E-2</v>
      </c>
      <c r="AF144"/>
      <c r="AG144" s="326">
        <v>148310.52480000001</v>
      </c>
      <c r="AH144" s="327">
        <v>0.16977207</v>
      </c>
      <c r="AI144"/>
      <c r="AJ144" s="326">
        <v>148840.47930000001</v>
      </c>
      <c r="AK144" s="327">
        <v>0.16566739999999999</v>
      </c>
      <c r="AL144"/>
      <c r="AM144" s="326">
        <v>-84419.189599999998</v>
      </c>
      <c r="AN144" s="327">
        <v>-0.15800754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-863179.44149999996</v>
      </c>
      <c r="D147" s="327">
        <v>-0.12978714</v>
      </c>
      <c r="E147"/>
      <c r="F147" s="326">
        <v>-146778</v>
      </c>
      <c r="G147" s="327">
        <v>-0.3765694</v>
      </c>
      <c r="H147"/>
      <c r="I147" s="326">
        <v>-146283.63</v>
      </c>
      <c r="J147" s="327">
        <v>-0.34789656000000002</v>
      </c>
      <c r="K147"/>
      <c r="L147" s="326">
        <v>-9223.64</v>
      </c>
      <c r="M147" s="327">
        <v>-1.5917690000000002E-2</v>
      </c>
      <c r="N147"/>
      <c r="O147" s="326">
        <v>-242967.74</v>
      </c>
      <c r="P147" s="327">
        <v>-0.76079100999999993</v>
      </c>
      <c r="Q147"/>
      <c r="R147" s="326">
        <v>-92663.1492</v>
      </c>
      <c r="S147" s="327">
        <v>-0.16877458000000001</v>
      </c>
      <c r="T147"/>
      <c r="U147" s="326">
        <v>-150106.3052</v>
      </c>
      <c r="V147" s="327">
        <v>-0.30963384999999999</v>
      </c>
      <c r="W147"/>
      <c r="X147" s="326">
        <v>-213821.60490000001</v>
      </c>
      <c r="Y147" s="327">
        <v>-0.62347357000000003</v>
      </c>
      <c r="Z147"/>
      <c r="AA147" s="326">
        <v>-139256.40400000001</v>
      </c>
      <c r="AB147" s="327">
        <v>-0.30312384999999997</v>
      </c>
      <c r="AC147"/>
      <c r="AD147" s="326">
        <v>65189.217299999997</v>
      </c>
      <c r="AE147" s="327">
        <v>8.1569389999999992E-2</v>
      </c>
      <c r="AF147"/>
      <c r="AG147" s="326">
        <v>148310.52480000001</v>
      </c>
      <c r="AH147" s="327">
        <v>0.16977207</v>
      </c>
      <c r="AI147"/>
      <c r="AJ147" s="326">
        <v>148840.47930000001</v>
      </c>
      <c r="AK147" s="327">
        <v>0.16566739999999999</v>
      </c>
      <c r="AL147"/>
      <c r="AM147" s="326">
        <v>-84419.189599999998</v>
      </c>
      <c r="AN147" s="327">
        <v>-0.15800754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-863179.44149999996</v>
      </c>
      <c r="D150" s="327">
        <v>-0.12978714</v>
      </c>
      <c r="E150"/>
      <c r="F150" s="326">
        <v>-146778</v>
      </c>
      <c r="G150" s="327">
        <v>-0.3765694</v>
      </c>
      <c r="H150"/>
      <c r="I150" s="326">
        <v>-146283.63</v>
      </c>
      <c r="J150" s="327">
        <v>-0.34789656000000002</v>
      </c>
      <c r="K150"/>
      <c r="L150" s="326">
        <v>-9223.64</v>
      </c>
      <c r="M150" s="327">
        <v>-1.5917690000000002E-2</v>
      </c>
      <c r="N150"/>
      <c r="O150" s="326">
        <v>-242967.74</v>
      </c>
      <c r="P150" s="327">
        <v>-0.76079100999999993</v>
      </c>
      <c r="Q150"/>
      <c r="R150" s="326">
        <v>-92663.1492</v>
      </c>
      <c r="S150" s="327">
        <v>-0.16877458000000001</v>
      </c>
      <c r="T150"/>
      <c r="U150" s="326">
        <v>-150106.3052</v>
      </c>
      <c r="V150" s="327">
        <v>-0.30963384999999999</v>
      </c>
      <c r="W150"/>
      <c r="X150" s="326">
        <v>-213821.60490000001</v>
      </c>
      <c r="Y150" s="327">
        <v>-0.62347357000000003</v>
      </c>
      <c r="Z150"/>
      <c r="AA150" s="326">
        <v>-139256.40400000001</v>
      </c>
      <c r="AB150" s="327">
        <v>-0.30312384999999997</v>
      </c>
      <c r="AC150"/>
      <c r="AD150" s="326">
        <v>65189.217299999997</v>
      </c>
      <c r="AE150" s="327">
        <v>8.1569389999999992E-2</v>
      </c>
      <c r="AF150"/>
      <c r="AG150" s="326">
        <v>148310.52480000001</v>
      </c>
      <c r="AH150" s="327">
        <v>0.16977207</v>
      </c>
      <c r="AI150"/>
      <c r="AJ150" s="326">
        <v>148840.47930000001</v>
      </c>
      <c r="AK150" s="327">
        <v>0.16566739999999999</v>
      </c>
      <c r="AL150"/>
      <c r="AM150" s="326">
        <v>-84419.189599999998</v>
      </c>
      <c r="AN150" s="327">
        <v>-0.15800754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-858544.00150000001</v>
      </c>
      <c r="D153" s="7">
        <v>-0.12909016000000001</v>
      </c>
      <c r="E153"/>
      <c r="F153" s="8">
        <v>-145619.14000000001</v>
      </c>
      <c r="G153" s="7">
        <v>-0.37359626000000001</v>
      </c>
      <c r="H153"/>
      <c r="I153" s="8">
        <v>-145124.76999999999</v>
      </c>
      <c r="J153" s="7">
        <v>-0.34514052000000001</v>
      </c>
      <c r="K153"/>
      <c r="L153" s="8">
        <v>-8064.78</v>
      </c>
      <c r="M153" s="7">
        <v>-1.3917789999999999E-2</v>
      </c>
      <c r="N153"/>
      <c r="O153" s="8">
        <v>-241808.88</v>
      </c>
      <c r="P153" s="7">
        <v>-0.75716234000000004</v>
      </c>
      <c r="Q153"/>
      <c r="R153" s="8">
        <v>-92663.1492</v>
      </c>
      <c r="S153" s="7">
        <v>-0.16877458000000001</v>
      </c>
      <c r="T153"/>
      <c r="U153" s="8">
        <v>-150106.3052</v>
      </c>
      <c r="V153" s="7">
        <v>-0.30963384999999999</v>
      </c>
      <c r="W153"/>
      <c r="X153" s="8">
        <v>-213821.60490000001</v>
      </c>
      <c r="Y153" s="7">
        <v>-0.62347357000000003</v>
      </c>
      <c r="Z153"/>
      <c r="AA153" s="8">
        <v>-139256.40400000001</v>
      </c>
      <c r="AB153" s="7">
        <v>-0.30312384999999997</v>
      </c>
      <c r="AC153"/>
      <c r="AD153" s="8">
        <v>65189.217299999997</v>
      </c>
      <c r="AE153" s="7">
        <v>8.1569389999999992E-2</v>
      </c>
      <c r="AF153"/>
      <c r="AG153" s="8">
        <v>148310.52480000001</v>
      </c>
      <c r="AH153" s="7">
        <v>0.16977207</v>
      </c>
      <c r="AI153"/>
      <c r="AJ153" s="8">
        <v>148840.47930000001</v>
      </c>
      <c r="AK153" s="7">
        <v>0.16566739999999999</v>
      </c>
      <c r="AL153"/>
      <c r="AM153" s="8">
        <v>-84419.189599999998</v>
      </c>
      <c r="AN153" s="7">
        <v>-0.15800754</v>
      </c>
    </row>
    <row r="154" spans="2:40" s="314" customFormat="1" ht="12.75" customHeight="1" x14ac:dyDescent="0.15">
      <c r="B154" s="5" t="s">
        <v>107</v>
      </c>
      <c r="C154" s="6">
        <v>-863179.44149999996</v>
      </c>
      <c r="D154" s="7">
        <v>-0.12978714</v>
      </c>
      <c r="E154"/>
      <c r="F154" s="8">
        <v>-146778</v>
      </c>
      <c r="G154" s="7">
        <v>-0.3765694</v>
      </c>
      <c r="H154"/>
      <c r="I154" s="8">
        <v>-146283.63</v>
      </c>
      <c r="J154" s="7">
        <v>-0.34789656000000002</v>
      </c>
      <c r="K154"/>
      <c r="L154" s="8">
        <v>-9223.64</v>
      </c>
      <c r="M154" s="7">
        <v>-1.5917690000000002E-2</v>
      </c>
      <c r="N154"/>
      <c r="O154" s="8">
        <v>-242967.74</v>
      </c>
      <c r="P154" s="7">
        <v>-0.76079100999999993</v>
      </c>
      <c r="Q154"/>
      <c r="R154" s="8">
        <v>-92663.1492</v>
      </c>
      <c r="S154" s="7">
        <v>-0.16877458000000001</v>
      </c>
      <c r="T154"/>
      <c r="U154" s="8">
        <v>-150106.3052</v>
      </c>
      <c r="V154" s="7">
        <v>-0.30963384999999999</v>
      </c>
      <c r="W154"/>
      <c r="X154" s="8">
        <v>-213821.60490000001</v>
      </c>
      <c r="Y154" s="7">
        <v>-0.62347357000000003</v>
      </c>
      <c r="Z154"/>
      <c r="AA154" s="8">
        <v>-139256.40400000001</v>
      </c>
      <c r="AB154" s="7">
        <v>-0.30312384999999997</v>
      </c>
      <c r="AC154"/>
      <c r="AD154" s="8">
        <v>65189.217299999997</v>
      </c>
      <c r="AE154" s="7">
        <v>8.1569389999999992E-2</v>
      </c>
      <c r="AF154"/>
      <c r="AG154" s="8">
        <v>148310.52480000001</v>
      </c>
      <c r="AH154" s="7">
        <v>0.16977207</v>
      </c>
      <c r="AI154"/>
      <c r="AJ154" s="8">
        <v>148840.47930000001</v>
      </c>
      <c r="AK154" s="7">
        <v>0.16566739999999999</v>
      </c>
      <c r="AL154"/>
      <c r="AM154" s="8">
        <v>-84419.189599999998</v>
      </c>
      <c r="AN154" s="7">
        <v>-0.15800754</v>
      </c>
    </row>
    <row r="155" spans="2:40" s="314" customFormat="1" ht="12.75" customHeight="1" x14ac:dyDescent="0.15">
      <c r="B155" s="325" t="s">
        <v>108</v>
      </c>
      <c r="C155" s="330">
        <v>224708.15040000001</v>
      </c>
      <c r="D155" s="327">
        <v>3.3786980000000001E-2</v>
      </c>
      <c r="E155"/>
      <c r="F155" s="326">
        <v>19488.490000000002</v>
      </c>
      <c r="G155" s="327">
        <v>4.9999109999999999E-2</v>
      </c>
      <c r="H155"/>
      <c r="I155" s="326">
        <v>21017.46</v>
      </c>
      <c r="J155" s="327">
        <v>4.9984420000000002E-2</v>
      </c>
      <c r="K155"/>
      <c r="L155" s="326">
        <v>23178.27</v>
      </c>
      <c r="M155" s="327">
        <v>3.9999880000000002E-2</v>
      </c>
      <c r="N155"/>
      <c r="O155" s="326">
        <v>12774.31</v>
      </c>
      <c r="P155" s="327">
        <v>3.9999470000000002E-2</v>
      </c>
      <c r="Q155"/>
      <c r="R155" s="326">
        <v>16471.049599999998</v>
      </c>
      <c r="S155" s="327">
        <v>0.03</v>
      </c>
      <c r="T155"/>
      <c r="U155" s="326">
        <v>14543.5944</v>
      </c>
      <c r="V155" s="327">
        <v>0.03</v>
      </c>
      <c r="W155"/>
      <c r="X155" s="326">
        <v>10288.564700000001</v>
      </c>
      <c r="Y155" s="327">
        <v>0.03</v>
      </c>
      <c r="Z155"/>
      <c r="AA155" s="326">
        <v>13782.1296</v>
      </c>
      <c r="AB155" s="327">
        <v>0.03</v>
      </c>
      <c r="AC155"/>
      <c r="AD155" s="326">
        <v>23975.617200000001</v>
      </c>
      <c r="AE155" s="327">
        <v>0.03</v>
      </c>
      <c r="AF155"/>
      <c r="AG155" s="326">
        <v>26207.584200000001</v>
      </c>
      <c r="AH155" s="327">
        <v>0.03</v>
      </c>
      <c r="AI155"/>
      <c r="AJ155" s="326">
        <v>26952.885600000001</v>
      </c>
      <c r="AK155" s="327">
        <v>0.03</v>
      </c>
      <c r="AL155"/>
      <c r="AM155" s="326">
        <v>16028.195100000001</v>
      </c>
      <c r="AN155" s="327">
        <v>0.03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66505.8802</v>
      </c>
      <c r="D158" s="7">
        <v>9.9997799999999998E-3</v>
      </c>
      <c r="E158"/>
      <c r="F158" s="8">
        <v>3897.7</v>
      </c>
      <c r="G158" s="7">
        <v>9.9998299999999995E-3</v>
      </c>
      <c r="H158"/>
      <c r="I158" s="8">
        <v>4203.49</v>
      </c>
      <c r="J158" s="7">
        <v>9.9968799999999997E-3</v>
      </c>
      <c r="K158"/>
      <c r="L158" s="8">
        <v>5794.57</v>
      </c>
      <c r="M158" s="7">
        <v>9.9999800000000003E-3</v>
      </c>
      <c r="N158"/>
      <c r="O158" s="8">
        <v>3193.58</v>
      </c>
      <c r="P158" s="7">
        <v>9.9998699999999992E-3</v>
      </c>
      <c r="Q158"/>
      <c r="R158" s="8">
        <v>5490.3499000000002</v>
      </c>
      <c r="S158" s="7">
        <v>0.01</v>
      </c>
      <c r="T158"/>
      <c r="U158" s="8">
        <v>4847.8648000000003</v>
      </c>
      <c r="V158" s="7">
        <v>0.01</v>
      </c>
      <c r="W158"/>
      <c r="X158" s="8">
        <v>3429.5216</v>
      </c>
      <c r="Y158" s="7">
        <v>0.01</v>
      </c>
      <c r="Z158"/>
      <c r="AA158" s="8">
        <v>4594.0432000000001</v>
      </c>
      <c r="AB158" s="7">
        <v>0.01</v>
      </c>
      <c r="AC158"/>
      <c r="AD158" s="8">
        <v>7991.8724000000002</v>
      </c>
      <c r="AE158" s="7">
        <v>0.01</v>
      </c>
      <c r="AF158"/>
      <c r="AG158" s="8">
        <v>8735.8613999999998</v>
      </c>
      <c r="AH158" s="7">
        <v>0.01</v>
      </c>
      <c r="AI158"/>
      <c r="AJ158" s="8">
        <v>8984.2952000000005</v>
      </c>
      <c r="AK158" s="7">
        <v>0.01</v>
      </c>
      <c r="AL158"/>
      <c r="AM158" s="8">
        <v>5342.7317000000003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85525.900399999999</v>
      </c>
      <c r="D159" s="7">
        <v>1.285962E-2</v>
      </c>
      <c r="E159"/>
      <c r="F159" s="8">
        <v>-9756.6</v>
      </c>
      <c r="G159" s="7">
        <v>-2.5031250000000001E-2</v>
      </c>
      <c r="H159"/>
      <c r="I159" s="8">
        <v>-9167.2900000000009</v>
      </c>
      <c r="J159" s="7">
        <v>-2.180195E-2</v>
      </c>
      <c r="K159"/>
      <c r="L159" s="8">
        <v>-7796.26</v>
      </c>
      <c r="M159" s="7">
        <v>-1.345439E-2</v>
      </c>
      <c r="N159"/>
      <c r="O159" s="8">
        <v>-11295.3</v>
      </c>
      <c r="P159" s="7">
        <v>-3.5368330000000003E-2</v>
      </c>
      <c r="Q159"/>
      <c r="R159" s="8">
        <v>13725.8747</v>
      </c>
      <c r="S159" s="7">
        <v>2.5000000000000001E-2</v>
      </c>
      <c r="T159"/>
      <c r="U159" s="8">
        <v>12119.662</v>
      </c>
      <c r="V159" s="7">
        <v>2.5000000000000001E-2</v>
      </c>
      <c r="W159"/>
      <c r="X159" s="8">
        <v>8573.8039000000008</v>
      </c>
      <c r="Y159" s="7">
        <v>2.5000000000000001E-2</v>
      </c>
      <c r="Z159"/>
      <c r="AA159" s="8">
        <v>11485.108</v>
      </c>
      <c r="AB159" s="7">
        <v>2.5000000000000001E-2</v>
      </c>
      <c r="AC159"/>
      <c r="AD159" s="8">
        <v>19979.681</v>
      </c>
      <c r="AE159" s="7">
        <v>2.5000000000000001E-2</v>
      </c>
      <c r="AF159"/>
      <c r="AG159" s="8">
        <v>21839.6535</v>
      </c>
      <c r="AH159" s="7">
        <v>2.5000000000000001E-2</v>
      </c>
      <c r="AI159"/>
      <c r="AJ159" s="8">
        <v>22460.738000000001</v>
      </c>
      <c r="AK159" s="7">
        <v>2.5000000000000001E-2</v>
      </c>
      <c r="AL159"/>
      <c r="AM159" s="8">
        <v>13356.829299999999</v>
      </c>
      <c r="AN159" s="7">
        <v>2.5000000000000001E-2</v>
      </c>
    </row>
    <row r="160" spans="2:40" s="314" customFormat="1" ht="12.75" customHeight="1" x14ac:dyDescent="0.15">
      <c r="B160" s="5" t="s">
        <v>113</v>
      </c>
      <c r="C160" s="6">
        <v>141112.93030000001</v>
      </c>
      <c r="D160" s="7">
        <v>2.1217659999999999E-2</v>
      </c>
      <c r="E160"/>
      <c r="F160" s="8">
        <v>11693.09</v>
      </c>
      <c r="G160" s="7">
        <v>2.999945E-2</v>
      </c>
      <c r="H160"/>
      <c r="I160" s="8">
        <v>12610.48</v>
      </c>
      <c r="J160" s="7">
        <v>2.9990659999999999E-2</v>
      </c>
      <c r="K160"/>
      <c r="L160" s="8">
        <v>11589.13</v>
      </c>
      <c r="M160" s="7">
        <v>1.9999929999999999E-2</v>
      </c>
      <c r="N160"/>
      <c r="O160" s="8">
        <v>6387.15</v>
      </c>
      <c r="P160" s="7">
        <v>1.9999719999999999E-2</v>
      </c>
      <c r="Q160"/>
      <c r="R160" s="8">
        <v>10980.6998</v>
      </c>
      <c r="S160" s="7">
        <v>0.02</v>
      </c>
      <c r="T160"/>
      <c r="U160" s="8">
        <v>9695.7296000000006</v>
      </c>
      <c r="V160" s="7">
        <v>0.02</v>
      </c>
      <c r="W160"/>
      <c r="X160" s="8">
        <v>6859.0430999999999</v>
      </c>
      <c r="Y160" s="7">
        <v>0.02</v>
      </c>
      <c r="Z160"/>
      <c r="AA160" s="8">
        <v>9188.0864000000001</v>
      </c>
      <c r="AB160" s="7">
        <v>0.02</v>
      </c>
      <c r="AC160"/>
      <c r="AD160" s="8">
        <v>15983.7448</v>
      </c>
      <c r="AE160" s="7">
        <v>0.02</v>
      </c>
      <c r="AF160"/>
      <c r="AG160" s="8">
        <v>17471.7228</v>
      </c>
      <c r="AH160" s="7">
        <v>0.02</v>
      </c>
      <c r="AI160"/>
      <c r="AJ160" s="8">
        <v>17968.590400000001</v>
      </c>
      <c r="AK160" s="7">
        <v>0.02</v>
      </c>
      <c r="AL160"/>
      <c r="AM160" s="8">
        <v>10685.463400000001</v>
      </c>
      <c r="AN160" s="7">
        <v>0.02</v>
      </c>
    </row>
    <row r="161" spans="2:40" s="314" customFormat="1" ht="12.75" customHeight="1" x14ac:dyDescent="0.15">
      <c r="B161" s="5" t="s">
        <v>114</v>
      </c>
      <c r="C161" s="6">
        <v>17089.34</v>
      </c>
      <c r="D161" s="7">
        <v>2.5695399999999999E-3</v>
      </c>
      <c r="E161"/>
      <c r="F161" s="8">
        <v>3897.7</v>
      </c>
      <c r="G161" s="7">
        <v>9.9998299999999995E-3</v>
      </c>
      <c r="H161"/>
      <c r="I161" s="8">
        <v>4203.49</v>
      </c>
      <c r="J161" s="7">
        <v>9.9968799999999997E-3</v>
      </c>
      <c r="K161"/>
      <c r="L161" s="8">
        <v>5794.57</v>
      </c>
      <c r="M161" s="7">
        <v>9.9999800000000003E-3</v>
      </c>
      <c r="N161"/>
      <c r="O161" s="8">
        <v>3193.58</v>
      </c>
      <c r="P161" s="7">
        <v>9.9998699999999992E-3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344177.30349999998</v>
      </c>
      <c r="D162" s="327">
        <v>5.1750289999999997E-2</v>
      </c>
      <c r="E162"/>
      <c r="F162" s="326">
        <v>16507.7</v>
      </c>
      <c r="G162" s="327">
        <v>4.2351680000000003E-2</v>
      </c>
      <c r="H162"/>
      <c r="I162" s="326">
        <v>20556.689999999999</v>
      </c>
      <c r="J162" s="327">
        <v>4.8888599999999997E-2</v>
      </c>
      <c r="K162"/>
      <c r="L162" s="326">
        <v>22033.16</v>
      </c>
      <c r="M162" s="327">
        <v>3.8023710000000002E-2</v>
      </c>
      <c r="N162"/>
      <c r="O162" s="326">
        <v>43806.17</v>
      </c>
      <c r="P162" s="327">
        <v>0.13716776</v>
      </c>
      <c r="Q162"/>
      <c r="R162" s="326">
        <v>27181.131300000001</v>
      </c>
      <c r="S162" s="327">
        <v>4.9507099999999998E-2</v>
      </c>
      <c r="T162"/>
      <c r="U162" s="326">
        <v>22808.9522</v>
      </c>
      <c r="V162" s="327">
        <v>4.7049479999999998E-2</v>
      </c>
      <c r="W162"/>
      <c r="X162" s="326">
        <v>17011</v>
      </c>
      <c r="Y162" s="327">
        <v>4.960167E-2</v>
      </c>
      <c r="Z162"/>
      <c r="AA162" s="326">
        <v>23436.25</v>
      </c>
      <c r="AB162" s="327">
        <v>5.1014429999999999E-2</v>
      </c>
      <c r="AC162"/>
      <c r="AD162" s="326">
        <v>37264.5</v>
      </c>
      <c r="AE162" s="327">
        <v>4.6628000000000003E-2</v>
      </c>
      <c r="AF162"/>
      <c r="AG162" s="326">
        <v>43273.25</v>
      </c>
      <c r="AH162" s="327">
        <v>4.9535179999999998E-2</v>
      </c>
      <c r="AI162"/>
      <c r="AJ162" s="326">
        <v>44011</v>
      </c>
      <c r="AK162" s="327">
        <v>4.8986590000000003E-2</v>
      </c>
      <c r="AL162"/>
      <c r="AM162" s="326">
        <v>26287.5</v>
      </c>
      <c r="AN162" s="327">
        <v>4.9202360000000001E-2</v>
      </c>
    </row>
    <row r="163" spans="2:40" s="314" customFormat="1" ht="12.75" customHeight="1" x14ac:dyDescent="0.15">
      <c r="B163" s="5" t="s">
        <v>116</v>
      </c>
      <c r="C163" s="6">
        <v>179564.99960000001</v>
      </c>
      <c r="D163" s="7">
        <v>2.6999289999999999E-2</v>
      </c>
      <c r="E163"/>
      <c r="F163" s="8">
        <v>9350.43</v>
      </c>
      <c r="G163" s="7">
        <v>2.3989190000000001E-2</v>
      </c>
      <c r="H163"/>
      <c r="I163" s="8">
        <v>11732.18</v>
      </c>
      <c r="J163" s="7">
        <v>2.7901860000000001E-2</v>
      </c>
      <c r="K163"/>
      <c r="L163" s="8">
        <v>14550.2</v>
      </c>
      <c r="M163" s="7">
        <v>2.511E-2</v>
      </c>
      <c r="N163"/>
      <c r="O163" s="8">
        <v>25840.26</v>
      </c>
      <c r="P163" s="7">
        <v>8.0912129999999999E-2</v>
      </c>
      <c r="Q163"/>
      <c r="R163" s="8">
        <v>13165.9938</v>
      </c>
      <c r="S163" s="7">
        <v>2.3980250000000002E-2</v>
      </c>
      <c r="T163"/>
      <c r="U163" s="8">
        <v>10779.435799999999</v>
      </c>
      <c r="V163" s="7">
        <v>2.223543E-2</v>
      </c>
      <c r="W163"/>
      <c r="X163" s="8">
        <v>7609</v>
      </c>
      <c r="Y163" s="7">
        <v>2.2186770000000001E-2</v>
      </c>
      <c r="Z163"/>
      <c r="AA163" s="8">
        <v>11068.75</v>
      </c>
      <c r="AB163" s="7">
        <v>2.4093699999999999E-2</v>
      </c>
      <c r="AC163"/>
      <c r="AD163" s="8">
        <v>18595.5</v>
      </c>
      <c r="AE163" s="7">
        <v>2.3268009999999999E-2</v>
      </c>
      <c r="AF163"/>
      <c r="AG163" s="8">
        <v>21911.75</v>
      </c>
      <c r="AH163" s="7">
        <v>2.5082529999999999E-2</v>
      </c>
      <c r="AI163"/>
      <c r="AJ163" s="8">
        <v>22309</v>
      </c>
      <c r="AK163" s="7">
        <v>2.483111E-2</v>
      </c>
      <c r="AL163"/>
      <c r="AM163" s="8">
        <v>12652.5</v>
      </c>
      <c r="AN163" s="7">
        <v>2.3681710000000002E-2</v>
      </c>
    </row>
    <row r="164" spans="2:40" s="314" customFormat="1" ht="12.75" customHeight="1" x14ac:dyDescent="0.15">
      <c r="B164" s="5" t="s">
        <v>117</v>
      </c>
      <c r="C164" s="6">
        <v>113467.60830000001</v>
      </c>
      <c r="D164" s="7">
        <v>1.706092E-2</v>
      </c>
      <c r="E164"/>
      <c r="F164" s="8">
        <v>3742</v>
      </c>
      <c r="G164" s="7">
        <v>9.6003700000000004E-3</v>
      </c>
      <c r="H164"/>
      <c r="I164" s="8">
        <v>10319.450000000001</v>
      </c>
      <c r="J164" s="7">
        <v>2.4542060000000001E-2</v>
      </c>
      <c r="K164"/>
      <c r="L164" s="8">
        <v>4157.2</v>
      </c>
      <c r="M164" s="7">
        <v>7.1742899999999998E-3</v>
      </c>
      <c r="N164"/>
      <c r="O164" s="8">
        <v>12597.58</v>
      </c>
      <c r="P164" s="7">
        <v>3.9446080000000001E-2</v>
      </c>
      <c r="Q164"/>
      <c r="R164" s="8">
        <v>9179.2813000000006</v>
      </c>
      <c r="S164" s="7">
        <v>1.6718940000000002E-2</v>
      </c>
      <c r="T164"/>
      <c r="U164" s="8">
        <v>7524.5969999999998</v>
      </c>
      <c r="V164" s="7">
        <v>1.5521470000000001E-2</v>
      </c>
      <c r="W164"/>
      <c r="X164" s="8">
        <v>5335</v>
      </c>
      <c r="Y164" s="7">
        <v>1.555611E-2</v>
      </c>
      <c r="Z164"/>
      <c r="AA164" s="8">
        <v>7806.25</v>
      </c>
      <c r="AB164" s="7">
        <v>1.6992110000000001E-2</v>
      </c>
      <c r="AC164"/>
      <c r="AD164" s="8">
        <v>13057.5</v>
      </c>
      <c r="AE164" s="7">
        <v>1.6338470000000001E-2</v>
      </c>
      <c r="AF164"/>
      <c r="AG164" s="8">
        <v>15301.25</v>
      </c>
      <c r="AH164" s="7">
        <v>1.7515449999999998E-2</v>
      </c>
      <c r="AI164"/>
      <c r="AJ164" s="8">
        <v>15585</v>
      </c>
      <c r="AK164" s="7">
        <v>1.7346940000000002E-2</v>
      </c>
      <c r="AL164"/>
      <c r="AM164" s="8">
        <v>8862.5</v>
      </c>
      <c r="AN164" s="7">
        <v>1.6587959999999999E-2</v>
      </c>
    </row>
    <row r="165" spans="2:40" s="314" customFormat="1" ht="12.75" customHeight="1" x14ac:dyDescent="0.15">
      <c r="B165" s="5" t="s">
        <v>118</v>
      </c>
      <c r="C165" s="6">
        <v>31394.400000000001</v>
      </c>
      <c r="D165" s="7">
        <v>4.7204400000000002E-3</v>
      </c>
      <c r="E165"/>
      <c r="F165" s="8">
        <v>2079.4899999999998</v>
      </c>
      <c r="G165" s="7">
        <v>5.3350799999999999E-3</v>
      </c>
      <c r="H165"/>
      <c r="I165" s="8">
        <v>-196.73</v>
      </c>
      <c r="J165" s="7">
        <v>-4.6787E-4</v>
      </c>
      <c r="K165"/>
      <c r="L165" s="8">
        <v>1247.1600000000001</v>
      </c>
      <c r="M165" s="7">
        <v>2.1522899999999998E-3</v>
      </c>
      <c r="N165"/>
      <c r="O165" s="8">
        <v>4264.4799999999996</v>
      </c>
      <c r="P165" s="7">
        <v>1.335312E-2</v>
      </c>
      <c r="Q165"/>
      <c r="R165" s="8">
        <v>3000</v>
      </c>
      <c r="S165" s="7">
        <v>5.4641300000000002E-3</v>
      </c>
      <c r="T165"/>
      <c r="U165" s="8">
        <v>3000</v>
      </c>
      <c r="V165" s="7">
        <v>6.1882899999999999E-3</v>
      </c>
      <c r="W165"/>
      <c r="X165" s="8">
        <v>3000</v>
      </c>
      <c r="Y165" s="7">
        <v>8.7475799999999996E-3</v>
      </c>
      <c r="Z165"/>
      <c r="AA165" s="8">
        <v>3000</v>
      </c>
      <c r="AB165" s="7">
        <v>6.5302000000000008E-3</v>
      </c>
      <c r="AC165"/>
      <c r="AD165" s="8">
        <v>3000</v>
      </c>
      <c r="AE165" s="7">
        <v>3.7538099999999998E-3</v>
      </c>
      <c r="AF165"/>
      <c r="AG165" s="8">
        <v>3000</v>
      </c>
      <c r="AH165" s="7">
        <v>3.4341200000000001E-3</v>
      </c>
      <c r="AI165"/>
      <c r="AJ165" s="8">
        <v>3000</v>
      </c>
      <c r="AK165" s="7">
        <v>3.3391599999999999E-3</v>
      </c>
      <c r="AL165"/>
      <c r="AM165" s="8">
        <v>3000</v>
      </c>
      <c r="AN165" s="7">
        <v>5.6151100000000004E-3</v>
      </c>
    </row>
    <row r="166" spans="2:40" s="314" customFormat="1" ht="12.75" customHeight="1" x14ac:dyDescent="0.15">
      <c r="B166" s="5" t="s">
        <v>119</v>
      </c>
      <c r="C166" s="6">
        <v>19750.295699999999</v>
      </c>
      <c r="D166" s="7">
        <v>2.96964E-3</v>
      </c>
      <c r="E166"/>
      <c r="F166" s="8">
        <v>1335.78</v>
      </c>
      <c r="G166" s="7">
        <v>3.4270400000000001E-3</v>
      </c>
      <c r="H166"/>
      <c r="I166" s="8">
        <v>-1298.21</v>
      </c>
      <c r="J166" s="7">
        <v>-3.0874499999999998E-3</v>
      </c>
      <c r="K166"/>
      <c r="L166" s="8">
        <v>2078.6</v>
      </c>
      <c r="M166" s="7">
        <v>3.5871399999999999E-3</v>
      </c>
      <c r="N166"/>
      <c r="O166" s="8">
        <v>1103.8499999999999</v>
      </c>
      <c r="P166" s="7">
        <v>3.45642E-3</v>
      </c>
      <c r="Q166"/>
      <c r="R166" s="8">
        <v>1835.8562999999999</v>
      </c>
      <c r="S166" s="7">
        <v>3.3437900000000001E-3</v>
      </c>
      <c r="T166"/>
      <c r="U166" s="8">
        <v>1504.9194</v>
      </c>
      <c r="V166" s="7">
        <v>3.10429E-3</v>
      </c>
      <c r="W166"/>
      <c r="X166" s="8">
        <v>1067</v>
      </c>
      <c r="Y166" s="7">
        <v>3.11122E-3</v>
      </c>
      <c r="Z166"/>
      <c r="AA166" s="8">
        <v>1561.25</v>
      </c>
      <c r="AB166" s="7">
        <v>3.3984200000000001E-3</v>
      </c>
      <c r="AC166"/>
      <c r="AD166" s="8">
        <v>2611.5</v>
      </c>
      <c r="AE166" s="7">
        <v>3.2676900000000002E-3</v>
      </c>
      <c r="AF166"/>
      <c r="AG166" s="8">
        <v>3060.25</v>
      </c>
      <c r="AH166" s="7">
        <v>3.5030899999999999E-3</v>
      </c>
      <c r="AI166"/>
      <c r="AJ166" s="8">
        <v>3117</v>
      </c>
      <c r="AK166" s="7">
        <v>3.4693900000000001E-3</v>
      </c>
      <c r="AL166"/>
      <c r="AM166" s="8">
        <v>1772.5</v>
      </c>
      <c r="AN166" s="7">
        <v>3.31759E-3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597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  <row r="169" spans="2:40" s="314" customFormat="1" ht="12.75" customHeight="1" x14ac:dyDescent="0.15"/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C5FA-C52D-4920-9142-12A7EDFFF8AD}">
  <sheetPr>
    <pageSetUpPr fitToPage="1"/>
  </sheetPr>
  <dimension ref="B2:O174"/>
  <sheetViews>
    <sheetView workbookViewId="0">
      <pane xSplit="2" ySplit="10" topLeftCell="C157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A170" sqref="A170:XFD178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141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Höchst'!C11</f>
        <v>9052061.0266999993</v>
      </c>
      <c r="D11" s="39">
        <f>'Data Entry Höchst'!F11</f>
        <v>548596.02</v>
      </c>
      <c r="E11" s="39">
        <f>'Data Entry Höchst'!I11</f>
        <v>665633.06000000006</v>
      </c>
      <c r="F11" s="39">
        <f>'Data Entry Höchst'!L11</f>
        <v>992235.08</v>
      </c>
      <c r="G11" s="39">
        <f>'Data Entry Höchst'!O11</f>
        <v>473670.48</v>
      </c>
      <c r="H11" s="39">
        <f>'Data Entry Höchst'!R11</f>
        <v>809538.63210000005</v>
      </c>
      <c r="I11" s="39">
        <f>'Data Entry Höchst'!U11</f>
        <v>839347.35990000004</v>
      </c>
      <c r="J11" s="39">
        <f>'Data Entry Höchst'!X11</f>
        <v>557946.26670000004</v>
      </c>
      <c r="K11" s="39">
        <f>'Data Entry Höchst'!AA11</f>
        <v>593907.04610000004</v>
      </c>
      <c r="L11" s="39">
        <f>'Data Entry Höchst'!AD11</f>
        <v>956936.44640000002</v>
      </c>
      <c r="M11" s="39">
        <f>'Data Entry Höchst'!AG11</f>
        <v>989479.37250000006</v>
      </c>
      <c r="N11" s="39">
        <f>'Data Entry Höchst'!AJ11</f>
        <v>1012919.1928</v>
      </c>
      <c r="O11" s="39">
        <f>'Data Entry Höchst'!AM11</f>
        <v>611852.07019999996</v>
      </c>
    </row>
    <row r="12" spans="2:15" ht="14" x14ac:dyDescent="0.15">
      <c r="B12" s="38" t="s">
        <v>22</v>
      </c>
      <c r="C12" s="39">
        <f>'Data Entry Höchst'!C12</f>
        <v>3439149.2259999998</v>
      </c>
      <c r="D12" s="39">
        <f>'Data Entry Höchst'!F12</f>
        <v>247480.08</v>
      </c>
      <c r="E12" s="39">
        <f>'Data Entry Höchst'!I12</f>
        <v>258391.19</v>
      </c>
      <c r="F12" s="39">
        <f>'Data Entry Höchst'!L12</f>
        <v>329267.92</v>
      </c>
      <c r="G12" s="39">
        <f>'Data Entry Höchst'!O12</f>
        <v>221562.65</v>
      </c>
      <c r="H12" s="39">
        <f>'Data Entry Höchst'!R12</f>
        <v>283178.9448</v>
      </c>
      <c r="I12" s="39">
        <f>'Data Entry Höchst'!U12</f>
        <v>288720.36940000003</v>
      </c>
      <c r="J12" s="39">
        <f>'Data Entry Höchst'!X12</f>
        <v>259131.45970000001</v>
      </c>
      <c r="K12" s="39">
        <f>'Data Entry Höchst'!AA12</f>
        <v>249384.3358</v>
      </c>
      <c r="L12" s="39">
        <f>'Data Entry Höchst'!AD12</f>
        <v>290473.2573</v>
      </c>
      <c r="M12" s="39">
        <f>'Data Entry Höchst'!AG12</f>
        <v>300864.49560000002</v>
      </c>
      <c r="N12" s="39">
        <f>'Data Entry Höchst'!AJ12</f>
        <v>399843.1053</v>
      </c>
      <c r="O12" s="39">
        <f>'Data Entry Höchst'!AM12</f>
        <v>310851.41810000001</v>
      </c>
    </row>
    <row r="13" spans="2:15" ht="14" x14ac:dyDescent="0.15">
      <c r="B13" s="38" t="s">
        <v>23</v>
      </c>
      <c r="C13" s="39">
        <f>'Data Entry Höchst'!C13</f>
        <v>2437030.1198999998</v>
      </c>
      <c r="D13" s="39">
        <f>'Data Entry Höchst'!F13</f>
        <v>79093.14</v>
      </c>
      <c r="E13" s="39">
        <f>'Data Entry Höchst'!I13</f>
        <v>176836.98</v>
      </c>
      <c r="F13" s="39">
        <f>'Data Entry Höchst'!L13</f>
        <v>291873.93</v>
      </c>
      <c r="G13" s="39">
        <f>'Data Entry Höchst'!O13</f>
        <v>74918.5</v>
      </c>
      <c r="H13" s="39">
        <f>'Data Entry Höchst'!R13</f>
        <v>253291.67019999999</v>
      </c>
      <c r="I13" s="39">
        <f>'Data Entry Höchst'!U13</f>
        <v>260858.27220000001</v>
      </c>
      <c r="J13" s="39">
        <f>'Data Entry Höchst'!X13</f>
        <v>79811.573799999998</v>
      </c>
      <c r="K13" s="39">
        <f>'Data Entry Höchst'!AA13</f>
        <v>121662.598</v>
      </c>
      <c r="L13" s="39">
        <f>'Data Entry Höchst'!AD13</f>
        <v>351025.78419999999</v>
      </c>
      <c r="M13" s="39">
        <f>'Data Entry Höchst'!AG13</f>
        <v>385114.61330000003</v>
      </c>
      <c r="N13" s="39">
        <f>'Data Entry Höchst'!AJ13</f>
        <v>292267.59539999999</v>
      </c>
      <c r="O13" s="39">
        <f>'Data Entry Höchst'!AM13</f>
        <v>70275.462799999994</v>
      </c>
    </row>
    <row r="14" spans="2:15" ht="14" x14ac:dyDescent="0.15">
      <c r="B14" s="38" t="s">
        <v>24</v>
      </c>
      <c r="C14" s="39">
        <f>'Data Entry Höchst'!C14</f>
        <v>110595</v>
      </c>
      <c r="D14" s="39">
        <f>'Data Entry Höchst'!F14</f>
        <v>9393</v>
      </c>
      <c r="E14" s="39">
        <f>'Data Entry Höchst'!I14</f>
        <v>8484</v>
      </c>
      <c r="F14" s="39">
        <f>'Data Entry Höchst'!L14</f>
        <v>9393</v>
      </c>
      <c r="G14" s="39">
        <f>'Data Entry Höchst'!O14</f>
        <v>9090</v>
      </c>
      <c r="H14" s="39">
        <f>'Data Entry Höchst'!R14</f>
        <v>9393</v>
      </c>
      <c r="I14" s="39">
        <f>'Data Entry Höchst'!U14</f>
        <v>9090</v>
      </c>
      <c r="J14" s="39">
        <f>'Data Entry Höchst'!X14</f>
        <v>9393</v>
      </c>
      <c r="K14" s="39">
        <f>'Data Entry Höchst'!AA14</f>
        <v>9393</v>
      </c>
      <c r="L14" s="39">
        <f>'Data Entry Höchst'!AD14</f>
        <v>9090</v>
      </c>
      <c r="M14" s="39">
        <f>'Data Entry Höchst'!AG14</f>
        <v>9393</v>
      </c>
      <c r="N14" s="39">
        <f>'Data Entry Höchst'!AJ14</f>
        <v>9090</v>
      </c>
      <c r="O14" s="39">
        <f>'Data Entry Höchst'!AM14</f>
        <v>9393</v>
      </c>
    </row>
    <row r="15" spans="2:15" ht="14" x14ac:dyDescent="0.15">
      <c r="B15" s="38" t="s">
        <v>25</v>
      </c>
      <c r="C15" s="39">
        <f>'Data Entry Höchst'!C15</f>
        <v>63650</v>
      </c>
      <c r="D15" s="39">
        <f>'Data Entry Höchst'!F15</f>
        <v>4455</v>
      </c>
      <c r="E15" s="39">
        <f>'Data Entry Höchst'!I15</f>
        <v>4909</v>
      </c>
      <c r="F15" s="39">
        <f>'Data Entry Höchst'!L15</f>
        <v>5861</v>
      </c>
      <c r="G15" s="39">
        <f>'Data Entry Höchst'!O15</f>
        <v>3796</v>
      </c>
      <c r="H15" s="39">
        <f>'Data Entry Höchst'!R15</f>
        <v>5761</v>
      </c>
      <c r="I15" s="39">
        <f>'Data Entry Höchst'!U15</f>
        <v>5538</v>
      </c>
      <c r="J15" s="39">
        <f>'Data Entry Höchst'!X15</f>
        <v>4788</v>
      </c>
      <c r="K15" s="39">
        <f>'Data Entry Höchst'!AA15</f>
        <v>4783</v>
      </c>
      <c r="L15" s="39">
        <f>'Data Entry Höchst'!AD15</f>
        <v>6103</v>
      </c>
      <c r="M15" s="39">
        <f>'Data Entry Höchst'!AG15</f>
        <v>6168</v>
      </c>
      <c r="N15" s="39">
        <f>'Data Entry Höchst'!AJ15</f>
        <v>6600</v>
      </c>
      <c r="O15" s="39">
        <f>'Data Entry Höchst'!AM15</f>
        <v>4888</v>
      </c>
    </row>
    <row r="16" spans="2:15" ht="14" x14ac:dyDescent="0.15">
      <c r="B16" s="38" t="s">
        <v>26</v>
      </c>
      <c r="C16" s="39">
        <f>'Data Entry Höchst'!C16</f>
        <v>58.005334780052998</v>
      </c>
      <c r="D16" s="39">
        <f>'Data Entry Höchst'!F16</f>
        <v>47.971893963589999</v>
      </c>
      <c r="E16" s="39">
        <f>'Data Entry Höchst'!I16</f>
        <v>58.250825082508001</v>
      </c>
      <c r="F16" s="39">
        <f>'Data Entry Höchst'!L16</f>
        <v>63.036303630363001</v>
      </c>
      <c r="G16" s="39">
        <f>'Data Entry Höchst'!O16</f>
        <v>42.431243124311997</v>
      </c>
      <c r="H16" s="39">
        <f>'Data Entry Höchst'!R16</f>
        <v>61.726817843074997</v>
      </c>
      <c r="I16" s="39">
        <f>'Data Entry Höchst'!U16</f>
        <v>61.331133113310997</v>
      </c>
      <c r="J16" s="39">
        <f>'Data Entry Höchst'!X16</f>
        <v>51.368040029809002</v>
      </c>
      <c r="K16" s="39">
        <f>'Data Entry Höchst'!AA16</f>
        <v>51.314808900244998</v>
      </c>
      <c r="L16" s="39">
        <f>'Data Entry Höchst'!AD16</f>
        <v>67.546754675467994</v>
      </c>
      <c r="M16" s="39">
        <f>'Data Entry Höchst'!AG16</f>
        <v>66.059831789631005</v>
      </c>
      <c r="N16" s="39">
        <f>'Data Entry Höchst'!AJ16</f>
        <v>73.014301430142993</v>
      </c>
      <c r="O16" s="39">
        <f>'Data Entry Höchst'!AM16</f>
        <v>52.432662621101002</v>
      </c>
    </row>
    <row r="17" spans="2:15" ht="14" x14ac:dyDescent="0.15">
      <c r="B17" s="38" t="s">
        <v>27</v>
      </c>
      <c r="C17" s="39">
        <f>'Data Entry Höchst'!C17</f>
        <v>92.561308884525005</v>
      </c>
      <c r="D17" s="39">
        <f>'Data Entry Höchst'!F17</f>
        <v>84.002866442200002</v>
      </c>
      <c r="E17" s="39">
        <f>'Data Entry Höchst'!I17</f>
        <v>100.11396211041</v>
      </c>
      <c r="F17" s="39">
        <f>'Data Entry Höchst'!L17</f>
        <v>115.35095376216</v>
      </c>
      <c r="G17" s="39">
        <f>'Data Entry Höchst'!O17</f>
        <v>82.401309272918994</v>
      </c>
      <c r="H17" s="39">
        <f>'Data Entry Höchst'!R17</f>
        <v>89.407362003124007</v>
      </c>
      <c r="I17" s="39">
        <f>'Data Entry Höchst'!U17</f>
        <v>93.561965149873998</v>
      </c>
      <c r="J17" s="39">
        <f>'Data Entry Höchst'!X17</f>
        <v>78.071410818713005</v>
      </c>
      <c r="K17" s="39">
        <f>'Data Entry Höchst'!AA17</f>
        <v>80.079029897553994</v>
      </c>
      <c r="L17" s="39">
        <f>'Data Entry Höchst'!AD17</f>
        <v>94.995248238570994</v>
      </c>
      <c r="M17" s="39">
        <f>'Data Entry Höchst'!AG17</f>
        <v>103.25802529182999</v>
      </c>
      <c r="N17" s="39">
        <f>'Data Entry Höchst'!AJ17</f>
        <v>94.957575757575995</v>
      </c>
      <c r="O17" s="39">
        <f>'Data Entry Höchst'!AM17</f>
        <v>82.559410801964006</v>
      </c>
    </row>
    <row r="18" spans="2:15" ht="14" x14ac:dyDescent="0.15">
      <c r="B18" s="38" t="s">
        <v>28</v>
      </c>
      <c r="C18" s="39">
        <f>'Data Entry Höchst'!C18</f>
        <v>52.626383927844998</v>
      </c>
      <c r="D18" s="39">
        <f>'Data Entry Höchst'!F18</f>
        <v>39.242684978174999</v>
      </c>
      <c r="E18" s="39">
        <f>'Data Entry Höchst'!I18</f>
        <v>57.258802451674001</v>
      </c>
      <c r="F18" s="39">
        <f>'Data Entry Höchst'!L18</f>
        <v>70.941702331523004</v>
      </c>
      <c r="G18" s="39">
        <f>'Data Entry Höchst'!O18</f>
        <v>33.608526952695001</v>
      </c>
      <c r="H18" s="39">
        <f>'Data Entry Höchst'!R18</f>
        <v>54.197361066752002</v>
      </c>
      <c r="I18" s="39">
        <f>'Data Entry Höchst'!U18</f>
        <v>56.121690099010003</v>
      </c>
      <c r="J18" s="39">
        <f>'Data Entry Höchst'!X18</f>
        <v>39.370373150218001</v>
      </c>
      <c r="K18" s="39">
        <f>'Data Entry Höchst'!AA18</f>
        <v>40.457574789737002</v>
      </c>
      <c r="L18" s="39">
        <f>'Data Entry Höchst'!AD18</f>
        <v>63.064466446645</v>
      </c>
      <c r="M18" s="39">
        <f>'Data Entry Höchst'!AG18</f>
        <v>67.060097945278002</v>
      </c>
      <c r="N18" s="39">
        <f>'Data Entry Höchst'!AJ18</f>
        <v>68.231023102310004</v>
      </c>
      <c r="O18" s="39">
        <f>'Data Entry Höchst'!AM18</f>
        <v>42.749962738209</v>
      </c>
    </row>
    <row r="19" spans="2:15" ht="14" x14ac:dyDescent="0.15">
      <c r="B19" s="38" t="s">
        <v>29</v>
      </c>
      <c r="C19" s="39">
        <f>'Data Entry Höchst'!C19</f>
        <v>81.848736621908998</v>
      </c>
      <c r="D19" s="39">
        <f>'Data Entry Höchst'!F19</f>
        <v>58.404771638454001</v>
      </c>
      <c r="E19" s="39">
        <f>'Data Entry Höchst'!I19</f>
        <v>78.457456388495999</v>
      </c>
      <c r="F19" s="39">
        <f>'Data Entry Höchst'!L19</f>
        <v>105.63558820398001</v>
      </c>
      <c r="G19" s="39">
        <f>'Data Entry Höchst'!O19</f>
        <v>52.108963696369997</v>
      </c>
      <c r="H19" s="39">
        <f>'Data Entry Höchst'!R19</f>
        <v>86.185311625679006</v>
      </c>
      <c r="I19" s="39">
        <f>'Data Entry Höchst'!U19</f>
        <v>92.337443333332999</v>
      </c>
      <c r="J19" s="39">
        <f>'Data Entry Höchst'!X19</f>
        <v>59.400220025551</v>
      </c>
      <c r="K19" s="39">
        <f>'Data Entry Höchst'!AA19</f>
        <v>63.228685840520001</v>
      </c>
      <c r="L19" s="39">
        <f>'Data Entry Höchst'!AD19</f>
        <v>105.27353645765</v>
      </c>
      <c r="M19" s="39">
        <f>'Data Entry Höchst'!AG19</f>
        <v>105.34220935803</v>
      </c>
      <c r="N19" s="39">
        <f>'Data Entry Höchst'!AJ19</f>
        <v>111.43225443343999</v>
      </c>
      <c r="O19" s="39">
        <f>'Data Entry Höchst'!AM19</f>
        <v>65.139153646332005</v>
      </c>
    </row>
    <row r="20" spans="2:15" ht="14" x14ac:dyDescent="0.15">
      <c r="B20" s="38" t="s">
        <v>30</v>
      </c>
      <c r="C20" s="39">
        <f>'Data Entry Höchst'!C20</f>
        <v>73082.331699999995</v>
      </c>
      <c r="D20" s="39">
        <f>'Data Entry Höchst'!F20</f>
        <v>5155</v>
      </c>
      <c r="E20" s="39">
        <f>'Data Entry Höchst'!I20</f>
        <v>5649</v>
      </c>
      <c r="F20" s="39">
        <f>'Data Entry Höchst'!L20</f>
        <v>6575</v>
      </c>
      <c r="G20" s="39">
        <f>'Data Entry Höchst'!O20</f>
        <v>4394</v>
      </c>
      <c r="H20" s="39">
        <f>'Data Entry Höchst'!R20</f>
        <v>6713.6140999999998</v>
      </c>
      <c r="I20" s="39">
        <f>'Data Entry Höchst'!U20</f>
        <v>6841.8495000000003</v>
      </c>
      <c r="J20" s="39">
        <f>'Data Entry Höchst'!X20</f>
        <v>2703</v>
      </c>
      <c r="K20" s="39">
        <f>'Data Entry Höchst'!AA20</f>
        <v>6362.4</v>
      </c>
      <c r="L20" s="39">
        <f>'Data Entry Höchst'!AD20</f>
        <v>7368.0681000000004</v>
      </c>
      <c r="M20" s="39">
        <f>'Data Entry Höchst'!AG20</f>
        <v>7446</v>
      </c>
      <c r="N20" s="39">
        <f>'Data Entry Höchst'!AJ20</f>
        <v>7964.4</v>
      </c>
      <c r="O20" s="39">
        <f>'Data Entry Höchst'!AM20</f>
        <v>5910</v>
      </c>
    </row>
    <row r="21" spans="2:15" ht="14" x14ac:dyDescent="0.15">
      <c r="B21" s="38" t="s">
        <v>31</v>
      </c>
      <c r="C21" s="39">
        <f>'Data Entry Höchst'!C21</f>
        <v>1.1392235771851</v>
      </c>
      <c r="D21" s="39">
        <f>'Data Entry Höchst'!F21</f>
        <v>1.1440301819795999</v>
      </c>
      <c r="E21" s="39">
        <f>'Data Entry Höchst'!I21</f>
        <v>1.143059490085</v>
      </c>
      <c r="F21" s="39">
        <f>'Data Entry Höchst'!L21</f>
        <v>1.1104543151495001</v>
      </c>
      <c r="G21" s="39">
        <f>'Data Entry Höchst'!O21</f>
        <v>1.1392273787917999</v>
      </c>
      <c r="H21" s="39">
        <f>'Data Entry Höchst'!R21</f>
        <v>1.1579189548119999</v>
      </c>
      <c r="I21" s="39">
        <f>'Data Entry Höchst'!U21</f>
        <v>1.2272375784753</v>
      </c>
      <c r="J21" s="39">
        <f>'Data Entry Höchst'!X21</f>
        <v>0.56020725388601</v>
      </c>
      <c r="K21" s="39">
        <f>'Data Entry Höchst'!AA21</f>
        <v>1.32</v>
      </c>
      <c r="L21" s="39">
        <f>'Data Entry Höchst'!AD21</f>
        <v>1.2000110912052</v>
      </c>
      <c r="M21" s="39">
        <f>'Data Entry Höchst'!AG21</f>
        <v>1.2</v>
      </c>
      <c r="N21" s="39">
        <f>'Data Entry Höchst'!AJ21</f>
        <v>1.2</v>
      </c>
      <c r="O21" s="39">
        <f>'Data Entry Höchst'!AM21</f>
        <v>1.2</v>
      </c>
    </row>
    <row r="22" spans="2:15" ht="14" x14ac:dyDescent="0.15">
      <c r="B22" s="38" t="s">
        <v>32</v>
      </c>
      <c r="C22" s="39">
        <f>'Data Entry Höchst'!C22</f>
        <v>51475.436999999998</v>
      </c>
      <c r="D22" s="39">
        <f>'Data Entry Höchst'!F22</f>
        <v>0</v>
      </c>
      <c r="E22" s="39">
        <f>'Data Entry Höchst'!I22</f>
        <v>0</v>
      </c>
      <c r="F22" s="39">
        <f>'Data Entry Höchst'!L22</f>
        <v>0</v>
      </c>
      <c r="G22" s="39">
        <f>'Data Entry Höchst'!O22</f>
        <v>0</v>
      </c>
      <c r="H22" s="39">
        <f>'Data Entry Höchst'!R22</f>
        <v>6372.3845000000001</v>
      </c>
      <c r="I22" s="39">
        <f>'Data Entry Höchst'!U22</f>
        <v>6859.2736999999997</v>
      </c>
      <c r="J22" s="39">
        <f>'Data Entry Höchst'!X22</f>
        <v>3405.4686000000002</v>
      </c>
      <c r="K22" s="39">
        <f>'Data Entry Höchst'!AA22</f>
        <v>5333.0149000000001</v>
      </c>
      <c r="L22" s="39">
        <f>'Data Entry Höchst'!AD22</f>
        <v>7805.4808000000003</v>
      </c>
      <c r="M22" s="39">
        <f>'Data Entry Höchst'!AG22</f>
        <v>7996.3851999999997</v>
      </c>
      <c r="N22" s="39">
        <f>'Data Entry Höchst'!AJ22</f>
        <v>8419.0872999999992</v>
      </c>
      <c r="O22" s="39">
        <f>'Data Entry Höchst'!AM22</f>
        <v>5284.3419999999996</v>
      </c>
    </row>
    <row r="23" spans="2:15" ht="14" x14ac:dyDescent="0.15">
      <c r="B23" s="38" t="s">
        <v>33</v>
      </c>
      <c r="C23" s="39">
        <f>'Data Entry Höchst'!C23</f>
        <v>41.342500000000001</v>
      </c>
      <c r="D23" s="39">
        <f>'Data Entry Höchst'!F23</f>
        <v>48.28</v>
      </c>
      <c r="E23" s="39">
        <f>'Data Entry Höchst'!I23</f>
        <v>46.51</v>
      </c>
      <c r="F23" s="39">
        <f>'Data Entry Höchst'!L23</f>
        <v>43.5</v>
      </c>
      <c r="G23" s="39">
        <f>'Data Entry Höchst'!O23</f>
        <v>45.12</v>
      </c>
      <c r="H23" s="39">
        <f>'Data Entry Höchst'!R23</f>
        <v>40.15</v>
      </c>
      <c r="I23" s="39">
        <f>'Data Entry Höchst'!U23</f>
        <v>40.15</v>
      </c>
      <c r="J23" s="39">
        <f>'Data Entry Höchst'!X23</f>
        <v>39.15</v>
      </c>
      <c r="K23" s="39">
        <f>'Data Entry Höchst'!AA23</f>
        <v>38.65</v>
      </c>
      <c r="L23" s="39">
        <f>'Data Entry Höchst'!AD23</f>
        <v>38.65</v>
      </c>
      <c r="M23" s="39">
        <f>'Data Entry Höchst'!AG23</f>
        <v>38.65</v>
      </c>
      <c r="N23" s="39">
        <f>'Data Entry Höchst'!AJ23</f>
        <v>38.65</v>
      </c>
      <c r="O23" s="39">
        <f>'Data Entry Höchst'!AM23</f>
        <v>38.65</v>
      </c>
    </row>
    <row r="24" spans="2:15" x14ac:dyDescent="0.15">
      <c r="C24" s="39">
        <f>'Data Entry Höchst'!C24</f>
        <v>0</v>
      </c>
      <c r="D24" s="39">
        <f>'Data Entry Höchst'!F24</f>
        <v>0</v>
      </c>
      <c r="E24" s="39">
        <f>'Data Entry Höchst'!I24</f>
        <v>0</v>
      </c>
      <c r="F24" s="39">
        <f>'Data Entry Höchst'!L24</f>
        <v>0</v>
      </c>
      <c r="G24" s="39">
        <f>'Data Entry Höchst'!O24</f>
        <v>0</v>
      </c>
      <c r="H24" s="39">
        <f>'Data Entry Höchst'!R24</f>
        <v>0</v>
      </c>
      <c r="I24" s="39">
        <f>'Data Entry Höchst'!U24</f>
        <v>0</v>
      </c>
      <c r="J24" s="39">
        <f>'Data Entry Höchst'!X24</f>
        <v>0</v>
      </c>
      <c r="K24" s="39">
        <f>'Data Entry Höchst'!AA24</f>
        <v>0</v>
      </c>
      <c r="L24" s="39">
        <f>'Data Entry Höchst'!AD24</f>
        <v>0</v>
      </c>
      <c r="M24" s="39">
        <f>'Data Entry Höchst'!AG24</f>
        <v>0</v>
      </c>
      <c r="N24" s="39">
        <f>'Data Entry Höchst'!AJ24</f>
        <v>0</v>
      </c>
      <c r="O24" s="39">
        <f>'Data Entry Höchst'!AM24</f>
        <v>0</v>
      </c>
    </row>
    <row r="25" spans="2:15" ht="14" x14ac:dyDescent="0.15">
      <c r="B25" s="38" t="s">
        <v>34</v>
      </c>
      <c r="C25" s="39">
        <f>'Data Entry Höchst'!C25</f>
        <v>0</v>
      </c>
      <c r="D25" s="39">
        <f>'Data Entry Höchst'!F25</f>
        <v>0</v>
      </c>
      <c r="E25" s="39">
        <f>'Data Entry Höchst'!I25</f>
        <v>0</v>
      </c>
      <c r="F25" s="39">
        <f>'Data Entry Höchst'!L25</f>
        <v>0</v>
      </c>
      <c r="G25" s="39">
        <f>'Data Entry Höchst'!O25</f>
        <v>0</v>
      </c>
      <c r="H25" s="39">
        <f>'Data Entry Höchst'!R25</f>
        <v>0</v>
      </c>
      <c r="I25" s="39">
        <f>'Data Entry Höchst'!U25</f>
        <v>0</v>
      </c>
      <c r="J25" s="39">
        <f>'Data Entry Höchst'!X25</f>
        <v>0</v>
      </c>
      <c r="K25" s="39">
        <f>'Data Entry Höchst'!AA25</f>
        <v>0</v>
      </c>
      <c r="L25" s="39">
        <f>'Data Entry Höchst'!AD25</f>
        <v>0</v>
      </c>
      <c r="M25" s="39">
        <f>'Data Entry Höchst'!AG25</f>
        <v>0</v>
      </c>
      <c r="N25" s="39">
        <f>'Data Entry Höchst'!AJ25</f>
        <v>0</v>
      </c>
      <c r="O25" s="39">
        <f>'Data Entry Höchst'!AM25</f>
        <v>0</v>
      </c>
    </row>
    <row r="26" spans="2:15" x14ac:dyDescent="0.15">
      <c r="B26" s="40"/>
      <c r="C26" s="39">
        <f>'Data Entry Höchst'!C26</f>
        <v>0</v>
      </c>
      <c r="D26" s="39">
        <f>'Data Entry Höchst'!F26</f>
        <v>0</v>
      </c>
      <c r="E26" s="39">
        <f>'Data Entry Höchst'!I26</f>
        <v>0</v>
      </c>
      <c r="F26" s="39">
        <f>'Data Entry Höchst'!L26</f>
        <v>0</v>
      </c>
      <c r="G26" s="39">
        <f>'Data Entry Höchst'!O26</f>
        <v>0</v>
      </c>
      <c r="H26" s="39">
        <f>'Data Entry Höchst'!R26</f>
        <v>0</v>
      </c>
      <c r="I26" s="39">
        <f>'Data Entry Höchst'!U26</f>
        <v>0</v>
      </c>
      <c r="J26" s="39">
        <f>'Data Entry Höchst'!X26</f>
        <v>0</v>
      </c>
      <c r="K26" s="39">
        <f>'Data Entry Höchst'!AA26</f>
        <v>0</v>
      </c>
      <c r="L26" s="39">
        <f>'Data Entry Höchst'!AD26</f>
        <v>0</v>
      </c>
      <c r="M26" s="39">
        <f>'Data Entry Höchst'!AG26</f>
        <v>0</v>
      </c>
      <c r="N26" s="39">
        <f>'Data Entry Höchst'!AJ26</f>
        <v>0</v>
      </c>
      <c r="O26" s="39">
        <f>'Data Entry Höchst'!AM26</f>
        <v>0</v>
      </c>
    </row>
    <row r="27" spans="2:15" ht="14" x14ac:dyDescent="0.15">
      <c r="B27" s="42" t="s">
        <v>21</v>
      </c>
      <c r="C27" s="39">
        <f>'Data Entry Höchst'!C27</f>
        <v>9052061.0266999993</v>
      </c>
      <c r="D27" s="39">
        <f>'Data Entry Höchst'!F27</f>
        <v>548596.02</v>
      </c>
      <c r="E27" s="39">
        <f>'Data Entry Höchst'!I27</f>
        <v>665633.06000000006</v>
      </c>
      <c r="F27" s="39">
        <f>'Data Entry Höchst'!L27</f>
        <v>992235.08</v>
      </c>
      <c r="G27" s="39">
        <f>'Data Entry Höchst'!O27</f>
        <v>473670.48</v>
      </c>
      <c r="H27" s="39">
        <f>'Data Entry Höchst'!R27</f>
        <v>809538.63210000005</v>
      </c>
      <c r="I27" s="39">
        <f>'Data Entry Höchst'!U27</f>
        <v>839347.35990000004</v>
      </c>
      <c r="J27" s="39">
        <f>'Data Entry Höchst'!X27</f>
        <v>557946.26670000004</v>
      </c>
      <c r="K27" s="39">
        <f>'Data Entry Höchst'!AA27</f>
        <v>593907.04610000004</v>
      </c>
      <c r="L27" s="39">
        <f>'Data Entry Höchst'!AD27</f>
        <v>956936.44640000002</v>
      </c>
      <c r="M27" s="39">
        <f>'Data Entry Höchst'!AG27</f>
        <v>989479.37250000006</v>
      </c>
      <c r="N27" s="39">
        <f>'Data Entry Höchst'!AJ27</f>
        <v>1012919.1928</v>
      </c>
      <c r="O27" s="39">
        <f>'Data Entry Höchst'!AM27</f>
        <v>611852.07019999996</v>
      </c>
    </row>
    <row r="28" spans="2:15" ht="14" x14ac:dyDescent="0.15">
      <c r="B28" s="38" t="s">
        <v>35</v>
      </c>
      <c r="C28" s="39">
        <f>'Data Entry Höchst'!C28</f>
        <v>5891527.3104999997</v>
      </c>
      <c r="D28" s="39">
        <f>'Data Entry Höchst'!F28</f>
        <v>374232.77</v>
      </c>
      <c r="E28" s="39">
        <f>'Data Entry Höchst'!I28</f>
        <v>491459.44</v>
      </c>
      <c r="F28" s="39">
        <f>'Data Entry Höchst'!L28</f>
        <v>676071.94</v>
      </c>
      <c r="G28" s="39">
        <f>'Data Entry Höchst'!O28</f>
        <v>312795.37</v>
      </c>
      <c r="H28" s="39">
        <f>'Data Entry Höchst'!R28</f>
        <v>515075.8125</v>
      </c>
      <c r="I28" s="39">
        <f>'Data Entry Höchst'!U28</f>
        <v>518146.163</v>
      </c>
      <c r="J28" s="39">
        <f>'Data Entry Höchst'!X28</f>
        <v>373805.91499999998</v>
      </c>
      <c r="K28" s="39">
        <f>'Data Entry Höchst'!AA28</f>
        <v>383018</v>
      </c>
      <c r="L28" s="39">
        <f>'Data Entry Höchst'!AD28</f>
        <v>579756</v>
      </c>
      <c r="M28" s="39">
        <f>'Data Entry Höchst'!AG28</f>
        <v>636895.5</v>
      </c>
      <c r="N28" s="39">
        <f>'Data Entry Höchst'!AJ28</f>
        <v>626720</v>
      </c>
      <c r="O28" s="39">
        <f>'Data Entry Höchst'!AM28</f>
        <v>403550.4</v>
      </c>
    </row>
    <row r="29" spans="2:15" ht="14" x14ac:dyDescent="0.15">
      <c r="B29" s="38" t="s">
        <v>36</v>
      </c>
      <c r="C29" s="39">
        <f>'Data Entry Höchst'!C29</f>
        <v>2724373.0145</v>
      </c>
      <c r="D29" s="39">
        <f>'Data Entry Höchst'!F29</f>
        <v>148534.5</v>
      </c>
      <c r="E29" s="39">
        <f>'Data Entry Höchst'!I29</f>
        <v>141248.60999999999</v>
      </c>
      <c r="F29" s="39">
        <f>'Data Entry Höchst'!L29</f>
        <v>289990.75</v>
      </c>
      <c r="G29" s="39">
        <f>'Data Entry Höchst'!O29</f>
        <v>123818.84</v>
      </c>
      <c r="H29" s="39">
        <f>'Data Entry Höchst'!R29</f>
        <v>249168.31770000001</v>
      </c>
      <c r="I29" s="39">
        <f>'Data Entry Höchst'!U29</f>
        <v>275855.11540000001</v>
      </c>
      <c r="J29" s="39">
        <f>'Data Entry Höchst'!X29</f>
        <v>154815.8517</v>
      </c>
      <c r="K29" s="39">
        <f>'Data Entry Höchst'!AA29</f>
        <v>182151.03659999999</v>
      </c>
      <c r="L29" s="39">
        <f>'Data Entry Höchst'!AD29</f>
        <v>332565.33789999998</v>
      </c>
      <c r="M29" s="39">
        <f>'Data Entry Höchst'!AG29</f>
        <v>309160.82250000001</v>
      </c>
      <c r="N29" s="39">
        <f>'Data Entry Höchst'!AJ29</f>
        <v>343096.41249999998</v>
      </c>
      <c r="O29" s="39">
        <f>'Data Entry Höchst'!AM29</f>
        <v>173967.42019999999</v>
      </c>
    </row>
    <row r="30" spans="2:15" ht="14" x14ac:dyDescent="0.15">
      <c r="B30" s="38" t="s">
        <v>37</v>
      </c>
      <c r="C30" s="39">
        <f>'Data Entry Höchst'!C30</f>
        <v>293270.50170000002</v>
      </c>
      <c r="D30" s="39">
        <f>'Data Entry Höchst'!F30</f>
        <v>20281.689999999999</v>
      </c>
      <c r="E30" s="39">
        <f>'Data Entry Höchst'!I30</f>
        <v>21052.91</v>
      </c>
      <c r="F30" s="39">
        <f>'Data Entry Höchst'!L30</f>
        <v>15476.89</v>
      </c>
      <c r="G30" s="39">
        <f>'Data Entry Höchst'!O30</f>
        <v>24980.73</v>
      </c>
      <c r="H30" s="39">
        <f>'Data Entry Höchst'!R30</f>
        <v>30294.501899999999</v>
      </c>
      <c r="I30" s="39">
        <f>'Data Entry Höchst'!U30</f>
        <v>28346.0815</v>
      </c>
      <c r="J30" s="39">
        <f>'Data Entry Höchst'!X30</f>
        <v>20624.5</v>
      </c>
      <c r="K30" s="39">
        <f>'Data Entry Höchst'!AA30</f>
        <v>20738.0095</v>
      </c>
      <c r="L30" s="39">
        <f>'Data Entry Höchst'!AD30</f>
        <v>29615.108499999998</v>
      </c>
      <c r="M30" s="39">
        <f>'Data Entry Höchst'!AG30</f>
        <v>28423.05</v>
      </c>
      <c r="N30" s="39">
        <f>'Data Entry Höchst'!AJ30</f>
        <v>30602.780299999999</v>
      </c>
      <c r="O30" s="39">
        <f>'Data Entry Höchst'!AM30</f>
        <v>22834.25</v>
      </c>
    </row>
    <row r="31" spans="2:15" ht="14" x14ac:dyDescent="0.15">
      <c r="B31" s="38" t="s">
        <v>38</v>
      </c>
      <c r="C31" s="39">
        <f>'Data Entry Höchst'!C31</f>
        <v>142890.20000000001</v>
      </c>
      <c r="D31" s="39">
        <f>'Data Entry Höchst'!F31</f>
        <v>5547.06</v>
      </c>
      <c r="E31" s="39">
        <f>'Data Entry Höchst'!I31</f>
        <v>11872.1</v>
      </c>
      <c r="F31" s="39">
        <f>'Data Entry Höchst'!L31</f>
        <v>10695.5</v>
      </c>
      <c r="G31" s="39">
        <f>'Data Entry Höchst'!O31</f>
        <v>12075.54</v>
      </c>
      <c r="H31" s="39">
        <f>'Data Entry Höchst'!R31</f>
        <v>15000</v>
      </c>
      <c r="I31" s="39">
        <f>'Data Entry Höchst'!U31</f>
        <v>17000</v>
      </c>
      <c r="J31" s="39">
        <f>'Data Entry Höchst'!X31</f>
        <v>8700</v>
      </c>
      <c r="K31" s="39">
        <f>'Data Entry Höchst'!AA31</f>
        <v>8000</v>
      </c>
      <c r="L31" s="39">
        <f>'Data Entry Höchst'!AD31</f>
        <v>15000</v>
      </c>
      <c r="M31" s="39">
        <f>'Data Entry Höchst'!AG31</f>
        <v>15000</v>
      </c>
      <c r="N31" s="39">
        <f>'Data Entry Höchst'!AJ31</f>
        <v>12500</v>
      </c>
      <c r="O31" s="39">
        <f>'Data Entry Höchst'!AM31</f>
        <v>11500</v>
      </c>
    </row>
    <row r="32" spans="2:15" x14ac:dyDescent="0.15">
      <c r="B32" s="40"/>
      <c r="C32" s="39">
        <f>'Data Entry Höchst'!C32</f>
        <v>0</v>
      </c>
      <c r="D32" s="39">
        <f>'Data Entry Höchst'!F32</f>
        <v>0</v>
      </c>
      <c r="E32" s="39">
        <f>'Data Entry Höchst'!I32</f>
        <v>0</v>
      </c>
      <c r="F32" s="39">
        <f>'Data Entry Höchst'!L32</f>
        <v>0</v>
      </c>
      <c r="G32" s="39">
        <f>'Data Entry Höchst'!O32</f>
        <v>0</v>
      </c>
      <c r="H32" s="39">
        <f>'Data Entry Höchst'!R32</f>
        <v>0</v>
      </c>
      <c r="I32" s="39">
        <f>'Data Entry Höchst'!U32</f>
        <v>0</v>
      </c>
      <c r="J32" s="39">
        <f>'Data Entry Höchst'!X32</f>
        <v>0</v>
      </c>
      <c r="K32" s="39">
        <f>'Data Entry Höchst'!AA32</f>
        <v>0</v>
      </c>
      <c r="L32" s="39">
        <f>'Data Entry Höchst'!AD32</f>
        <v>0</v>
      </c>
      <c r="M32" s="39">
        <f>'Data Entry Höchst'!AG32</f>
        <v>0</v>
      </c>
      <c r="N32" s="39">
        <f>'Data Entry Höchst'!AJ32</f>
        <v>0</v>
      </c>
      <c r="O32" s="39">
        <f>'Data Entry Höchst'!AM32</f>
        <v>0</v>
      </c>
    </row>
    <row r="33" spans="2:15" ht="14" x14ac:dyDescent="0.15">
      <c r="B33" s="44" t="s">
        <v>39</v>
      </c>
      <c r="C33" s="39">
        <f>'Data Entry Höchst'!C33</f>
        <v>0</v>
      </c>
      <c r="D33" s="39">
        <f>'Data Entry Höchst'!F33</f>
        <v>0</v>
      </c>
      <c r="E33" s="39">
        <f>'Data Entry Höchst'!I33</f>
        <v>0</v>
      </c>
      <c r="F33" s="39">
        <f>'Data Entry Höchst'!L33</f>
        <v>0</v>
      </c>
      <c r="G33" s="39">
        <f>'Data Entry Höchst'!O33</f>
        <v>0</v>
      </c>
      <c r="H33" s="39">
        <f>'Data Entry Höchst'!R33</f>
        <v>0</v>
      </c>
      <c r="I33" s="39">
        <f>'Data Entry Höchst'!U33</f>
        <v>0</v>
      </c>
      <c r="J33" s="39">
        <f>'Data Entry Höchst'!X33</f>
        <v>0</v>
      </c>
      <c r="K33" s="39">
        <f>'Data Entry Höchst'!AA33</f>
        <v>0</v>
      </c>
      <c r="L33" s="39">
        <f>'Data Entry Höchst'!AD33</f>
        <v>0</v>
      </c>
      <c r="M33" s="39">
        <f>'Data Entry Höchst'!AG33</f>
        <v>0</v>
      </c>
      <c r="N33" s="39">
        <f>'Data Entry Höchst'!AJ33</f>
        <v>0</v>
      </c>
      <c r="O33" s="39">
        <f>'Data Entry Höchst'!AM33</f>
        <v>0</v>
      </c>
    </row>
    <row r="34" spans="2:15" ht="14" x14ac:dyDescent="0.15">
      <c r="B34" s="42" t="s">
        <v>35</v>
      </c>
      <c r="C34" s="39">
        <f>'Data Entry Höchst'!C34</f>
        <v>5891527.3104999997</v>
      </c>
      <c r="D34" s="39">
        <f>'Data Entry Höchst'!F34</f>
        <v>374232.77</v>
      </c>
      <c r="E34" s="39">
        <f>'Data Entry Höchst'!I34</f>
        <v>491459.44</v>
      </c>
      <c r="F34" s="39">
        <f>'Data Entry Höchst'!L34</f>
        <v>676071.94</v>
      </c>
      <c r="G34" s="39">
        <f>'Data Entry Höchst'!O34</f>
        <v>312795.37</v>
      </c>
      <c r="H34" s="39">
        <f>'Data Entry Höchst'!R34</f>
        <v>515075.8125</v>
      </c>
      <c r="I34" s="39">
        <f>'Data Entry Höchst'!U34</f>
        <v>518146.163</v>
      </c>
      <c r="J34" s="39">
        <f>'Data Entry Höchst'!X34</f>
        <v>373805.91499999998</v>
      </c>
      <c r="K34" s="39">
        <f>'Data Entry Höchst'!AA34</f>
        <v>383018</v>
      </c>
      <c r="L34" s="39">
        <f>'Data Entry Höchst'!AD34</f>
        <v>579756</v>
      </c>
      <c r="M34" s="39">
        <f>'Data Entry Höchst'!AG34</f>
        <v>636895.5</v>
      </c>
      <c r="N34" s="39">
        <f>'Data Entry Höchst'!AJ34</f>
        <v>626720</v>
      </c>
      <c r="O34" s="39">
        <f>'Data Entry Höchst'!AM34</f>
        <v>403550.4</v>
      </c>
    </row>
    <row r="35" spans="2:15" ht="14" x14ac:dyDescent="0.15">
      <c r="B35" s="38" t="s">
        <v>22</v>
      </c>
      <c r="C35" s="39">
        <f>'Data Entry Höchst'!C35</f>
        <v>1475416.1987000001</v>
      </c>
      <c r="D35" s="39">
        <f>'Data Entry Höchst'!F35</f>
        <v>110467.76</v>
      </c>
      <c r="E35" s="39">
        <f>'Data Entry Höchst'!I35</f>
        <v>114775.14</v>
      </c>
      <c r="F35" s="39">
        <f>'Data Entry Höchst'!L35</f>
        <v>144728.84</v>
      </c>
      <c r="G35" s="39">
        <f>'Data Entry Höchst'!O35</f>
        <v>83134.64</v>
      </c>
      <c r="H35" s="39">
        <f>'Data Entry Höchst'!R35</f>
        <v>130294.0736</v>
      </c>
      <c r="I35" s="39">
        <f>'Data Entry Höchst'!U35</f>
        <v>124617.2279</v>
      </c>
      <c r="J35" s="39">
        <f>'Data Entry Höchst'!X35</f>
        <v>115845.2234</v>
      </c>
      <c r="K35" s="39">
        <f>'Data Entry Höchst'!AA35</f>
        <v>112887.8343</v>
      </c>
      <c r="L35" s="39">
        <f>'Data Entry Höchst'!AD35</f>
        <v>127558.2789</v>
      </c>
      <c r="M35" s="39">
        <f>'Data Entry Höchst'!AG35</f>
        <v>132700.704</v>
      </c>
      <c r="N35" s="39">
        <f>'Data Entry Höchst'!AJ35</f>
        <v>158925.1925</v>
      </c>
      <c r="O35" s="39">
        <f>'Data Entry Höchst'!AM35</f>
        <v>119481.2841</v>
      </c>
    </row>
    <row r="36" spans="2:15" ht="14" x14ac:dyDescent="0.15">
      <c r="B36" s="38" t="s">
        <v>40</v>
      </c>
      <c r="C36" s="39">
        <f>'Data Entry Höchst'!C36</f>
        <v>975566.60770000005</v>
      </c>
      <c r="D36" s="39">
        <f>'Data Entry Höchst'!F36</f>
        <v>55749.33</v>
      </c>
      <c r="E36" s="39">
        <f>'Data Entry Höchst'!I36</f>
        <v>76109.759999999995</v>
      </c>
      <c r="F36" s="39">
        <f>'Data Entry Höchst'!L36</f>
        <v>160992.82999999999</v>
      </c>
      <c r="G36" s="39">
        <f>'Data Entry Höchst'!O36</f>
        <v>8241.51</v>
      </c>
      <c r="H36" s="39">
        <f>'Data Entry Höchst'!R36</f>
        <v>85256.944300000003</v>
      </c>
      <c r="I36" s="39">
        <f>'Data Entry Höchst'!U36</f>
        <v>85691.012499999997</v>
      </c>
      <c r="J36" s="39">
        <f>'Data Entry Höchst'!X36</f>
        <v>71377.299899999998</v>
      </c>
      <c r="K36" s="39">
        <f>'Data Entry Höchst'!AA36</f>
        <v>70607.483999999997</v>
      </c>
      <c r="L36" s="39">
        <f>'Data Entry Höchst'!AD36</f>
        <v>93098.046000000002</v>
      </c>
      <c r="M36" s="39">
        <f>'Data Entry Höchst'!AG36</f>
        <v>98302.2448</v>
      </c>
      <c r="N36" s="39">
        <f>'Data Entry Höchst'!AJ36</f>
        <v>100412.0563</v>
      </c>
      <c r="O36" s="39">
        <f>'Data Entry Höchst'!AM36</f>
        <v>69728.089900000006</v>
      </c>
    </row>
    <row r="37" spans="2:15" ht="14" x14ac:dyDescent="0.15">
      <c r="B37" s="42" t="s">
        <v>41</v>
      </c>
      <c r="C37" s="39">
        <f>'Data Entry Höchst'!C37</f>
        <v>3440544.5041999999</v>
      </c>
      <c r="D37" s="39">
        <f>'Data Entry Höchst'!F37</f>
        <v>208015.68</v>
      </c>
      <c r="E37" s="39">
        <f>'Data Entry Höchst'!I37</f>
        <v>300574.53999999998</v>
      </c>
      <c r="F37" s="39">
        <f>'Data Entry Höchst'!L37</f>
        <v>370350.27</v>
      </c>
      <c r="G37" s="39">
        <f>'Data Entry Höchst'!O37</f>
        <v>221419.22</v>
      </c>
      <c r="H37" s="39">
        <f>'Data Entry Höchst'!R37</f>
        <v>299524.79460000002</v>
      </c>
      <c r="I37" s="39">
        <f>'Data Entry Höchst'!U37</f>
        <v>307837.92259999999</v>
      </c>
      <c r="J37" s="39">
        <f>'Data Entry Höchst'!X37</f>
        <v>186583.39180000001</v>
      </c>
      <c r="K37" s="39">
        <f>'Data Entry Höchst'!AA37</f>
        <v>199522.68169999999</v>
      </c>
      <c r="L37" s="39">
        <f>'Data Entry Höchst'!AD37</f>
        <v>359099.67509999999</v>
      </c>
      <c r="M37" s="39">
        <f>'Data Entry Höchst'!AG37</f>
        <v>405892.55119999999</v>
      </c>
      <c r="N37" s="39">
        <f>'Data Entry Höchst'!AJ37</f>
        <v>367382.7512</v>
      </c>
      <c r="O37" s="39">
        <f>'Data Entry Höchst'!AM37</f>
        <v>214341.02600000001</v>
      </c>
    </row>
    <row r="38" spans="2:15" x14ac:dyDescent="0.15">
      <c r="B38" s="40"/>
      <c r="C38" s="39">
        <f>'Data Entry Höchst'!C38</f>
        <v>0</v>
      </c>
      <c r="D38" s="39">
        <f>'Data Entry Höchst'!F38</f>
        <v>0</v>
      </c>
      <c r="E38" s="39">
        <f>'Data Entry Höchst'!I38</f>
        <v>0</v>
      </c>
      <c r="F38" s="39">
        <f>'Data Entry Höchst'!L38</f>
        <v>0</v>
      </c>
      <c r="G38" s="39">
        <f>'Data Entry Höchst'!O38</f>
        <v>0</v>
      </c>
      <c r="H38" s="39">
        <f>'Data Entry Höchst'!R38</f>
        <v>0</v>
      </c>
      <c r="I38" s="39">
        <f>'Data Entry Höchst'!U38</f>
        <v>0</v>
      </c>
      <c r="J38" s="39">
        <f>'Data Entry Höchst'!X38</f>
        <v>0</v>
      </c>
      <c r="K38" s="39">
        <f>'Data Entry Höchst'!AA38</f>
        <v>0</v>
      </c>
      <c r="L38" s="39">
        <f>'Data Entry Höchst'!AD38</f>
        <v>0</v>
      </c>
      <c r="M38" s="39">
        <f>'Data Entry Höchst'!AG38</f>
        <v>0</v>
      </c>
      <c r="N38" s="39">
        <f>'Data Entry Höchst'!AJ38</f>
        <v>0</v>
      </c>
      <c r="O38" s="39">
        <f>'Data Entry Höchst'!AM38</f>
        <v>0</v>
      </c>
    </row>
    <row r="39" spans="2:15" ht="14" x14ac:dyDescent="0.15">
      <c r="B39" s="44" t="s">
        <v>42</v>
      </c>
      <c r="C39" s="39">
        <f>'Data Entry Höchst'!C39</f>
        <v>0</v>
      </c>
      <c r="D39" s="39">
        <f>'Data Entry Höchst'!F39</f>
        <v>0</v>
      </c>
      <c r="E39" s="39">
        <f>'Data Entry Höchst'!I39</f>
        <v>0</v>
      </c>
      <c r="F39" s="39">
        <f>'Data Entry Höchst'!L39</f>
        <v>0</v>
      </c>
      <c r="G39" s="39">
        <f>'Data Entry Höchst'!O39</f>
        <v>0</v>
      </c>
      <c r="H39" s="39">
        <f>'Data Entry Höchst'!R39</f>
        <v>0</v>
      </c>
      <c r="I39" s="39">
        <f>'Data Entry Höchst'!U39</f>
        <v>0</v>
      </c>
      <c r="J39" s="39">
        <f>'Data Entry Höchst'!X39</f>
        <v>0</v>
      </c>
      <c r="K39" s="39">
        <f>'Data Entry Höchst'!AA39</f>
        <v>0</v>
      </c>
      <c r="L39" s="39">
        <f>'Data Entry Höchst'!AD39</f>
        <v>0</v>
      </c>
      <c r="M39" s="39">
        <f>'Data Entry Höchst'!AG39</f>
        <v>0</v>
      </c>
      <c r="N39" s="39">
        <f>'Data Entry Höchst'!AJ39</f>
        <v>0</v>
      </c>
      <c r="O39" s="39">
        <f>'Data Entry Höchst'!AM39</f>
        <v>0</v>
      </c>
    </row>
    <row r="40" spans="2:15" ht="14" x14ac:dyDescent="0.15">
      <c r="B40" s="38" t="s">
        <v>43</v>
      </c>
      <c r="C40" s="39">
        <f>'Data Entry Höchst'!C40</f>
        <v>1684776.3997</v>
      </c>
      <c r="D40" s="39">
        <f>'Data Entry Höchst'!F40</f>
        <v>87622.49</v>
      </c>
      <c r="E40" s="39">
        <f>'Data Entry Höchst'!I40</f>
        <v>92001.82</v>
      </c>
      <c r="F40" s="39">
        <f>'Data Entry Höchst'!L40</f>
        <v>164353.35999999999</v>
      </c>
      <c r="G40" s="39">
        <f>'Data Entry Höchst'!O40</f>
        <v>73657.399999999994</v>
      </c>
      <c r="H40" s="39">
        <f>'Data Entry Höchst'!R40</f>
        <v>152648.28270000001</v>
      </c>
      <c r="I40" s="39">
        <f>'Data Entry Höchst'!U40</f>
        <v>180975.26329999999</v>
      </c>
      <c r="J40" s="39">
        <f>'Data Entry Höchst'!X40</f>
        <v>94116.073199999999</v>
      </c>
      <c r="K40" s="39">
        <f>'Data Entry Höchst'!AA40</f>
        <v>102848.4218</v>
      </c>
      <c r="L40" s="39">
        <f>'Data Entry Höchst'!AD40</f>
        <v>218489.97760000001</v>
      </c>
      <c r="M40" s="39">
        <f>'Data Entry Höchst'!AG40</f>
        <v>191391.31909999999</v>
      </c>
      <c r="N40" s="39">
        <f>'Data Entry Höchst'!AJ40</f>
        <v>219875.52739999999</v>
      </c>
      <c r="O40" s="39">
        <f>'Data Entry Höchst'!AM40</f>
        <v>106796.46460000001</v>
      </c>
    </row>
    <row r="41" spans="2:15" ht="14" x14ac:dyDescent="0.15">
      <c r="B41" s="38" t="s">
        <v>44</v>
      </c>
      <c r="C41" s="39">
        <f>'Data Entry Höchst'!C41</f>
        <v>592103.98970000003</v>
      </c>
      <c r="D41" s="39">
        <f>'Data Entry Höchst'!F41</f>
        <v>33444.449999999997</v>
      </c>
      <c r="E41" s="39">
        <f>'Data Entry Höchst'!I41</f>
        <v>32398.59</v>
      </c>
      <c r="F41" s="39">
        <f>'Data Entry Höchst'!L41</f>
        <v>77007.37</v>
      </c>
      <c r="G41" s="39">
        <f>'Data Entry Höchst'!O41</f>
        <v>27076.79</v>
      </c>
      <c r="H41" s="39">
        <f>'Data Entry Höchst'!R41</f>
        <v>52536.845000000001</v>
      </c>
      <c r="I41" s="39">
        <f>'Data Entry Höchst'!U41</f>
        <v>59560.531999999999</v>
      </c>
      <c r="J41" s="39">
        <f>'Data Entry Höchst'!X41</f>
        <v>31808.9935</v>
      </c>
      <c r="K41" s="39">
        <f>'Data Entry Höchst'!AA41</f>
        <v>41327.824800000002</v>
      </c>
      <c r="L41" s="39">
        <f>'Data Entry Höchst'!AD41</f>
        <v>64352.6803</v>
      </c>
      <c r="M41" s="39">
        <f>'Data Entry Höchst'!AG41</f>
        <v>67088.833400000003</v>
      </c>
      <c r="N41" s="39">
        <f>'Data Entry Höchst'!AJ41</f>
        <v>71170.465100000001</v>
      </c>
      <c r="O41" s="39">
        <f>'Data Entry Höchst'!AM41</f>
        <v>34330.615599999997</v>
      </c>
    </row>
    <row r="42" spans="2:15" ht="14" x14ac:dyDescent="0.15">
      <c r="B42" s="38" t="s">
        <v>45</v>
      </c>
      <c r="C42" s="39">
        <f>'Data Entry Höchst'!C42</f>
        <v>447492.625</v>
      </c>
      <c r="D42" s="39">
        <f>'Data Entry Höchst'!F42</f>
        <v>27467.56</v>
      </c>
      <c r="E42" s="39">
        <f>'Data Entry Höchst'!I42</f>
        <v>16848.2</v>
      </c>
      <c r="F42" s="39">
        <f>'Data Entry Höchst'!L42</f>
        <v>48630.02</v>
      </c>
      <c r="G42" s="39">
        <f>'Data Entry Höchst'!O42</f>
        <v>23084.65</v>
      </c>
      <c r="H42" s="39">
        <f>'Data Entry Höchst'!R42</f>
        <v>43983.19</v>
      </c>
      <c r="I42" s="39">
        <f>'Data Entry Höchst'!U42</f>
        <v>35319.32</v>
      </c>
      <c r="J42" s="39">
        <f>'Data Entry Höchst'!X42</f>
        <v>28890.785</v>
      </c>
      <c r="K42" s="39">
        <f>'Data Entry Höchst'!AA42</f>
        <v>37974.79</v>
      </c>
      <c r="L42" s="39">
        <f>'Data Entry Höchst'!AD42</f>
        <v>49722.68</v>
      </c>
      <c r="M42" s="39">
        <f>'Data Entry Höchst'!AG42</f>
        <v>50680.67</v>
      </c>
      <c r="N42" s="39">
        <f>'Data Entry Höchst'!AJ42</f>
        <v>52050.42</v>
      </c>
      <c r="O42" s="39">
        <f>'Data Entry Höchst'!AM42</f>
        <v>32840.339999999997</v>
      </c>
    </row>
    <row r="43" spans="2:15" ht="14" x14ac:dyDescent="0.15">
      <c r="B43" s="42" t="s">
        <v>36</v>
      </c>
      <c r="C43" s="39">
        <f>'Data Entry Höchst'!C43</f>
        <v>2724373.0145</v>
      </c>
      <c r="D43" s="39">
        <f>'Data Entry Höchst'!F43</f>
        <v>148534.5</v>
      </c>
      <c r="E43" s="39">
        <f>'Data Entry Höchst'!I43</f>
        <v>141248.60999999999</v>
      </c>
      <c r="F43" s="39">
        <f>'Data Entry Höchst'!L43</f>
        <v>289990.75</v>
      </c>
      <c r="G43" s="39">
        <f>'Data Entry Höchst'!O43</f>
        <v>123818.84</v>
      </c>
      <c r="H43" s="39">
        <f>'Data Entry Höchst'!R43</f>
        <v>249168.31770000001</v>
      </c>
      <c r="I43" s="39">
        <f>'Data Entry Höchst'!U43</f>
        <v>275855.11540000001</v>
      </c>
      <c r="J43" s="39">
        <f>'Data Entry Höchst'!X43</f>
        <v>154815.8517</v>
      </c>
      <c r="K43" s="39">
        <f>'Data Entry Höchst'!AA43</f>
        <v>182151.03659999999</v>
      </c>
      <c r="L43" s="39">
        <f>'Data Entry Höchst'!AD43</f>
        <v>332565.33789999998</v>
      </c>
      <c r="M43" s="39">
        <f>'Data Entry Höchst'!AG43</f>
        <v>309160.82250000001</v>
      </c>
      <c r="N43" s="39">
        <f>'Data Entry Höchst'!AJ43</f>
        <v>343096.41249999998</v>
      </c>
      <c r="O43" s="39">
        <f>'Data Entry Höchst'!AM43</f>
        <v>173967.42019999999</v>
      </c>
    </row>
    <row r="44" spans="2:15" ht="14" x14ac:dyDescent="0.15">
      <c r="B44" s="38" t="s">
        <v>46</v>
      </c>
      <c r="C44" s="39">
        <f>'Data Entry Höchst'!C44</f>
        <v>544850.88089999999</v>
      </c>
      <c r="D44" s="39">
        <f>'Data Entry Höchst'!F44</f>
        <v>35202.120000000003</v>
      </c>
      <c r="E44" s="39">
        <f>'Data Entry Höchst'!I44</f>
        <v>40240.550000000003</v>
      </c>
      <c r="F44" s="39">
        <f>'Data Entry Höchst'!L44</f>
        <v>61642</v>
      </c>
      <c r="G44" s="39">
        <f>'Data Entry Höchst'!O44</f>
        <v>28924.59</v>
      </c>
      <c r="H44" s="39">
        <f>'Data Entry Höchst'!R44</f>
        <v>46134.042600000001</v>
      </c>
      <c r="I44" s="39">
        <f>'Data Entry Höchst'!U44</f>
        <v>53705.741699999999</v>
      </c>
      <c r="J44" s="39">
        <f>'Data Entry Höchst'!X44</f>
        <v>27726.763599999998</v>
      </c>
      <c r="K44" s="39">
        <f>'Data Entry Höchst'!AA44</f>
        <v>32242.632799999999</v>
      </c>
      <c r="L44" s="39">
        <f>'Data Entry Höchst'!AD44</f>
        <v>63976.560899999997</v>
      </c>
      <c r="M44" s="39">
        <f>'Data Entry Höchst'!AG44</f>
        <v>56919.115700000002</v>
      </c>
      <c r="N44" s="39">
        <f>'Data Entry Höchst'!AJ44</f>
        <v>64899.358200000002</v>
      </c>
      <c r="O44" s="39">
        <f>'Data Entry Höchst'!AM44</f>
        <v>33237.405400000003</v>
      </c>
    </row>
    <row r="45" spans="2:15" ht="14" x14ac:dyDescent="0.15">
      <c r="B45" s="38" t="s">
        <v>47</v>
      </c>
      <c r="C45" s="39">
        <f>'Data Entry Höchst'!C45</f>
        <v>93716.199500000002</v>
      </c>
      <c r="D45" s="39">
        <f>'Data Entry Höchst'!F45</f>
        <v>7933.84</v>
      </c>
      <c r="E45" s="39">
        <f>'Data Entry Höchst'!I45</f>
        <v>6693.51</v>
      </c>
      <c r="F45" s="39">
        <f>'Data Entry Höchst'!L45</f>
        <v>13859.93</v>
      </c>
      <c r="G45" s="39">
        <f>'Data Entry Höchst'!O45</f>
        <v>4428.3999999999996</v>
      </c>
      <c r="H45" s="39">
        <f>'Data Entry Höchst'!R45</f>
        <v>7599.6801999999998</v>
      </c>
      <c r="I45" s="39">
        <f>'Data Entry Höchst'!U45</f>
        <v>8518.8868999999995</v>
      </c>
      <c r="J45" s="39">
        <f>'Data Entry Höchst'!X45</f>
        <v>4563.8185999999996</v>
      </c>
      <c r="K45" s="39">
        <f>'Data Entry Höchst'!AA45</f>
        <v>6147.7964000000002</v>
      </c>
      <c r="L45" s="39">
        <f>'Data Entry Höchst'!AD45</f>
        <v>9201.3179</v>
      </c>
      <c r="M45" s="39">
        <f>'Data Entry Höchst'!AG45</f>
        <v>9494.3104999999996</v>
      </c>
      <c r="N45" s="39">
        <f>'Data Entry Höchst'!AJ45</f>
        <v>10037.6986</v>
      </c>
      <c r="O45" s="39">
        <f>'Data Entry Höchst'!AM45</f>
        <v>5237.0104000000001</v>
      </c>
    </row>
    <row r="46" spans="2:15" ht="14" x14ac:dyDescent="0.15">
      <c r="B46" s="38" t="s">
        <v>48</v>
      </c>
      <c r="C46" s="39">
        <f>'Data Entry Höchst'!C46</f>
        <v>29056.03</v>
      </c>
      <c r="D46" s="39">
        <f>'Data Entry Höchst'!F46</f>
        <v>-19.399999999999999</v>
      </c>
      <c r="E46" s="39">
        <f>'Data Entry Höchst'!I46</f>
        <v>246.18</v>
      </c>
      <c r="F46" s="39">
        <f>'Data Entry Höchst'!L46</f>
        <v>963.7</v>
      </c>
      <c r="G46" s="39">
        <f>'Data Entry Höchst'!O46</f>
        <v>-134.44999999999999</v>
      </c>
      <c r="H46" s="39">
        <f>'Data Entry Höchst'!R46</f>
        <v>4000</v>
      </c>
      <c r="I46" s="39">
        <f>'Data Entry Höchst'!U46</f>
        <v>5500</v>
      </c>
      <c r="J46" s="39">
        <f>'Data Entry Höchst'!X46</f>
        <v>2000</v>
      </c>
      <c r="K46" s="39">
        <f>'Data Entry Höchst'!AA46</f>
        <v>2000</v>
      </c>
      <c r="L46" s="39">
        <f>'Data Entry Höchst'!AD46</f>
        <v>5000</v>
      </c>
      <c r="M46" s="39">
        <f>'Data Entry Höchst'!AG46</f>
        <v>3500</v>
      </c>
      <c r="N46" s="39">
        <f>'Data Entry Höchst'!AJ46</f>
        <v>3000</v>
      </c>
      <c r="O46" s="39">
        <f>'Data Entry Höchst'!AM46</f>
        <v>3000</v>
      </c>
    </row>
    <row r="47" spans="2:15" ht="14" x14ac:dyDescent="0.15">
      <c r="B47" s="42" t="s">
        <v>49</v>
      </c>
      <c r="C47" s="39">
        <f>'Data Entry Höchst'!C47</f>
        <v>667623.11029999994</v>
      </c>
      <c r="D47" s="39">
        <f>'Data Entry Höchst'!F47</f>
        <v>43116.56</v>
      </c>
      <c r="E47" s="39">
        <f>'Data Entry Höchst'!I47</f>
        <v>47180.24</v>
      </c>
      <c r="F47" s="39">
        <f>'Data Entry Höchst'!L47</f>
        <v>76465.63</v>
      </c>
      <c r="G47" s="39">
        <f>'Data Entry Höchst'!O47</f>
        <v>33218.54</v>
      </c>
      <c r="H47" s="39">
        <f>'Data Entry Höchst'!R47</f>
        <v>57733.722800000003</v>
      </c>
      <c r="I47" s="39">
        <f>'Data Entry Höchst'!U47</f>
        <v>67724.628500000006</v>
      </c>
      <c r="J47" s="39">
        <f>'Data Entry Höchst'!X47</f>
        <v>34290.5821</v>
      </c>
      <c r="K47" s="39">
        <f>'Data Entry Höchst'!AA47</f>
        <v>40390.429199999999</v>
      </c>
      <c r="L47" s="39">
        <f>'Data Entry Höchst'!AD47</f>
        <v>78177.878800000006</v>
      </c>
      <c r="M47" s="39">
        <f>'Data Entry Höchst'!AG47</f>
        <v>69913.426200000002</v>
      </c>
      <c r="N47" s="39">
        <f>'Data Entry Höchst'!AJ47</f>
        <v>77937.056800000006</v>
      </c>
      <c r="O47" s="39">
        <f>'Data Entry Höchst'!AM47</f>
        <v>41474.4159</v>
      </c>
    </row>
    <row r="48" spans="2:15" ht="14" x14ac:dyDescent="0.15">
      <c r="B48" s="38" t="s">
        <v>22</v>
      </c>
      <c r="C48" s="39">
        <f>'Data Entry Höchst'!C48</f>
        <v>1404468.7784</v>
      </c>
      <c r="D48" s="39">
        <f>'Data Entry Höchst'!F48</f>
        <v>89533.07</v>
      </c>
      <c r="E48" s="39">
        <f>'Data Entry Höchst'!I48</f>
        <v>96769.31</v>
      </c>
      <c r="F48" s="39">
        <f>'Data Entry Höchst'!L48</f>
        <v>137315.96</v>
      </c>
      <c r="G48" s="39">
        <f>'Data Entry Höchst'!O48</f>
        <v>102707.68</v>
      </c>
      <c r="H48" s="39">
        <f>'Data Entry Höchst'!R48</f>
        <v>112039.6308</v>
      </c>
      <c r="I48" s="39">
        <f>'Data Entry Höchst'!U48</f>
        <v>121731.24830000001</v>
      </c>
      <c r="J48" s="39">
        <f>'Data Entry Höchst'!X48</f>
        <v>102190.15670000001</v>
      </c>
      <c r="K48" s="39">
        <f>'Data Entry Höchst'!AA48</f>
        <v>96838.285099999994</v>
      </c>
      <c r="L48" s="39">
        <f>'Data Entry Höchst'!AD48</f>
        <v>123185.5998</v>
      </c>
      <c r="M48" s="39">
        <f>'Data Entry Höchst'!AG48</f>
        <v>123115.9425</v>
      </c>
      <c r="N48" s="39">
        <f>'Data Entry Höchst'!AJ48</f>
        <v>184596.68580000001</v>
      </c>
      <c r="O48" s="39">
        <f>'Data Entry Höchst'!AM48</f>
        <v>114445.20940000001</v>
      </c>
    </row>
    <row r="49" spans="2:15" ht="14" x14ac:dyDescent="0.15">
      <c r="B49" s="38" t="s">
        <v>40</v>
      </c>
      <c r="C49" s="39">
        <f>'Data Entry Höchst'!C49</f>
        <v>134983.2837</v>
      </c>
      <c r="D49" s="39">
        <f>'Data Entry Höchst'!F49</f>
        <v>4182.53</v>
      </c>
      <c r="E49" s="39">
        <f>'Data Entry Höchst'!I49</f>
        <v>2349.16</v>
      </c>
      <c r="F49" s="39">
        <f>'Data Entry Höchst'!L49</f>
        <v>9715.76</v>
      </c>
      <c r="G49" s="39">
        <f>'Data Entry Höchst'!O49</f>
        <v>24517.08</v>
      </c>
      <c r="H49" s="39">
        <f>'Data Entry Höchst'!R49</f>
        <v>11234.78</v>
      </c>
      <c r="I49" s="39">
        <f>'Data Entry Höchst'!U49</f>
        <v>13613.9912</v>
      </c>
      <c r="J49" s="39">
        <f>'Data Entry Höchst'!X49</f>
        <v>8533.9418000000005</v>
      </c>
      <c r="K49" s="39">
        <f>'Data Entry Höchst'!AA49</f>
        <v>9882.1638999999996</v>
      </c>
      <c r="L49" s="39">
        <f>'Data Entry Höchst'!AD49</f>
        <v>13892.825000000001</v>
      </c>
      <c r="M49" s="39">
        <f>'Data Entry Höchst'!AG49</f>
        <v>12404.5002</v>
      </c>
      <c r="N49" s="39">
        <f>'Data Entry Höchst'!AJ49</f>
        <v>12882.162700000001</v>
      </c>
      <c r="O49" s="39">
        <f>'Data Entry Höchst'!AM49</f>
        <v>11774.3889</v>
      </c>
    </row>
    <row r="50" spans="2:15" ht="14" x14ac:dyDescent="0.15">
      <c r="B50" s="42" t="s">
        <v>41</v>
      </c>
      <c r="C50" s="39">
        <f>'Data Entry Höchst'!C50</f>
        <v>517297.84220000001</v>
      </c>
      <c r="D50" s="39">
        <f>'Data Entry Höchst'!F50</f>
        <v>11702.34</v>
      </c>
      <c r="E50" s="39">
        <f>'Data Entry Höchst'!I50</f>
        <v>-5050.1000000000004</v>
      </c>
      <c r="F50" s="39">
        <f>'Data Entry Höchst'!L50</f>
        <v>66493.399999999994</v>
      </c>
      <c r="G50" s="39">
        <f>'Data Entry Höchst'!O50</f>
        <v>-36624.46</v>
      </c>
      <c r="H50" s="39">
        <f>'Data Entry Höchst'!R50</f>
        <v>68160.184200000003</v>
      </c>
      <c r="I50" s="39">
        <f>'Data Entry Höchst'!U50</f>
        <v>72785.247300000003</v>
      </c>
      <c r="J50" s="39">
        <f>'Data Entry Höchst'!X50</f>
        <v>9801.1710000000003</v>
      </c>
      <c r="K50" s="39">
        <f>'Data Entry Höchst'!AA50</f>
        <v>35040.158499999998</v>
      </c>
      <c r="L50" s="39">
        <f>'Data Entry Höchst'!AD50</f>
        <v>117309.0343</v>
      </c>
      <c r="M50" s="39">
        <f>'Data Entry Höchst'!AG50</f>
        <v>103726.9537</v>
      </c>
      <c r="N50" s="39">
        <f>'Data Entry Höchst'!AJ50</f>
        <v>67680.507199999993</v>
      </c>
      <c r="O50" s="39">
        <f>'Data Entry Höchst'!AM50</f>
        <v>6273.4059999999999</v>
      </c>
    </row>
    <row r="51" spans="2:15" x14ac:dyDescent="0.15">
      <c r="B51" s="40"/>
      <c r="C51" s="39">
        <f>'Data Entry Höchst'!C51</f>
        <v>0</v>
      </c>
      <c r="D51" s="39">
        <f>'Data Entry Höchst'!F51</f>
        <v>0</v>
      </c>
      <c r="E51" s="39">
        <f>'Data Entry Höchst'!I51</f>
        <v>0</v>
      </c>
      <c r="F51" s="39">
        <f>'Data Entry Höchst'!L51</f>
        <v>0</v>
      </c>
      <c r="G51" s="39">
        <f>'Data Entry Höchst'!O51</f>
        <v>0</v>
      </c>
      <c r="H51" s="39">
        <f>'Data Entry Höchst'!R51</f>
        <v>0</v>
      </c>
      <c r="I51" s="39">
        <f>'Data Entry Höchst'!U51</f>
        <v>0</v>
      </c>
      <c r="J51" s="39">
        <f>'Data Entry Höchst'!X51</f>
        <v>0</v>
      </c>
      <c r="K51" s="39">
        <f>'Data Entry Höchst'!AA51</f>
        <v>0</v>
      </c>
      <c r="L51" s="39">
        <f>'Data Entry Höchst'!AD51</f>
        <v>0</v>
      </c>
      <c r="M51" s="39">
        <f>'Data Entry Höchst'!AG51</f>
        <v>0</v>
      </c>
      <c r="N51" s="39">
        <f>'Data Entry Höchst'!AJ51</f>
        <v>0</v>
      </c>
      <c r="O51" s="39">
        <f>'Data Entry Höchst'!AM51</f>
        <v>0</v>
      </c>
    </row>
    <row r="52" spans="2:15" ht="14" x14ac:dyDescent="0.15">
      <c r="B52" s="44" t="s">
        <v>50</v>
      </c>
      <c r="C52" s="39">
        <f>'Data Entry Höchst'!C52</f>
        <v>0</v>
      </c>
      <c r="D52" s="39">
        <f>'Data Entry Höchst'!F52</f>
        <v>0</v>
      </c>
      <c r="E52" s="39">
        <f>'Data Entry Höchst'!I52</f>
        <v>0</v>
      </c>
      <c r="F52" s="39">
        <f>'Data Entry Höchst'!L52</f>
        <v>0</v>
      </c>
      <c r="G52" s="39">
        <f>'Data Entry Höchst'!O52</f>
        <v>0</v>
      </c>
      <c r="H52" s="39">
        <f>'Data Entry Höchst'!R52</f>
        <v>0</v>
      </c>
      <c r="I52" s="39">
        <f>'Data Entry Höchst'!U52</f>
        <v>0</v>
      </c>
      <c r="J52" s="39">
        <f>'Data Entry Höchst'!X52</f>
        <v>0</v>
      </c>
      <c r="K52" s="39">
        <f>'Data Entry Höchst'!AA52</f>
        <v>0</v>
      </c>
      <c r="L52" s="39">
        <f>'Data Entry Höchst'!AD52</f>
        <v>0</v>
      </c>
      <c r="M52" s="39">
        <f>'Data Entry Höchst'!AG52</f>
        <v>0</v>
      </c>
      <c r="N52" s="39">
        <f>'Data Entry Höchst'!AJ52</f>
        <v>0</v>
      </c>
      <c r="O52" s="39">
        <f>'Data Entry Höchst'!AM52</f>
        <v>0</v>
      </c>
    </row>
    <row r="53" spans="2:15" ht="14" x14ac:dyDescent="0.15">
      <c r="B53" s="38" t="s">
        <v>37</v>
      </c>
      <c r="C53" s="39">
        <f>'Data Entry Höchst'!C53</f>
        <v>293270.50170000002</v>
      </c>
      <c r="D53" s="39">
        <f>'Data Entry Höchst'!F53</f>
        <v>20281.689999999999</v>
      </c>
      <c r="E53" s="39">
        <f>'Data Entry Höchst'!I53</f>
        <v>21052.91</v>
      </c>
      <c r="F53" s="39">
        <f>'Data Entry Höchst'!L53</f>
        <v>15476.89</v>
      </c>
      <c r="G53" s="39">
        <f>'Data Entry Höchst'!O53</f>
        <v>24980.73</v>
      </c>
      <c r="H53" s="39">
        <f>'Data Entry Höchst'!R53</f>
        <v>30294.501899999999</v>
      </c>
      <c r="I53" s="39">
        <f>'Data Entry Höchst'!U53</f>
        <v>28346.0815</v>
      </c>
      <c r="J53" s="39">
        <f>'Data Entry Höchst'!X53</f>
        <v>20624.5</v>
      </c>
      <c r="K53" s="39">
        <f>'Data Entry Höchst'!AA53</f>
        <v>20738.0095</v>
      </c>
      <c r="L53" s="39">
        <f>'Data Entry Höchst'!AD53</f>
        <v>29615.108499999998</v>
      </c>
      <c r="M53" s="39">
        <f>'Data Entry Höchst'!AG53</f>
        <v>28423.05</v>
      </c>
      <c r="N53" s="39">
        <f>'Data Entry Höchst'!AJ53</f>
        <v>30602.780299999999</v>
      </c>
      <c r="O53" s="39">
        <f>'Data Entry Höchst'!AM53</f>
        <v>22834.25</v>
      </c>
    </row>
    <row r="54" spans="2:15" ht="14" x14ac:dyDescent="0.15">
      <c r="B54" s="38" t="s">
        <v>49</v>
      </c>
      <c r="C54" s="39">
        <f>'Data Entry Höchst'!C54</f>
        <v>6084.65</v>
      </c>
      <c r="D54" s="39">
        <f>'Data Entry Höchst'!F54</f>
        <v>0</v>
      </c>
      <c r="E54" s="39">
        <f>'Data Entry Höchst'!I54</f>
        <v>168.24</v>
      </c>
      <c r="F54" s="39">
        <f>'Data Entry Höchst'!L54</f>
        <v>62.54</v>
      </c>
      <c r="G54" s="39">
        <f>'Data Entry Höchst'!O54</f>
        <v>297.47000000000003</v>
      </c>
      <c r="H54" s="39">
        <f>'Data Entry Höchst'!R54</f>
        <v>740.80399999999997</v>
      </c>
      <c r="I54" s="39">
        <f>'Data Entry Höchst'!U54</f>
        <v>730.1</v>
      </c>
      <c r="J54" s="39">
        <f>'Data Entry Höchst'!X54</f>
        <v>619.1</v>
      </c>
      <c r="K54" s="39">
        <f>'Data Entry Höchst'!AA54</f>
        <v>568.86</v>
      </c>
      <c r="L54" s="39">
        <f>'Data Entry Höchst'!AD54</f>
        <v>757.22</v>
      </c>
      <c r="M54" s="39">
        <f>'Data Entry Höchst'!AG54</f>
        <v>760.34</v>
      </c>
      <c r="N54" s="39">
        <f>'Data Entry Höchst'!AJ54</f>
        <v>731.07600000000002</v>
      </c>
      <c r="O54" s="39">
        <f>'Data Entry Höchst'!AM54</f>
        <v>648.9</v>
      </c>
    </row>
    <row r="55" spans="2:15" ht="14" x14ac:dyDescent="0.15">
      <c r="B55" s="38" t="s">
        <v>22</v>
      </c>
      <c r="C55" s="39">
        <f>'Data Entry Höchst'!C55</f>
        <v>0</v>
      </c>
      <c r="D55" s="39">
        <f>'Data Entry Höchst'!F55</f>
        <v>0</v>
      </c>
      <c r="E55" s="39">
        <f>'Data Entry Höchst'!I55</f>
        <v>0</v>
      </c>
      <c r="F55" s="39">
        <f>'Data Entry Höchst'!L55</f>
        <v>0</v>
      </c>
      <c r="G55" s="39">
        <f>'Data Entry Höchst'!O55</f>
        <v>0</v>
      </c>
      <c r="H55" s="39">
        <f>'Data Entry Höchst'!R55</f>
        <v>0</v>
      </c>
      <c r="I55" s="39">
        <f>'Data Entry Höchst'!U55</f>
        <v>0</v>
      </c>
      <c r="J55" s="39">
        <f>'Data Entry Höchst'!X55</f>
        <v>0</v>
      </c>
      <c r="K55" s="39">
        <f>'Data Entry Höchst'!AA55</f>
        <v>0</v>
      </c>
      <c r="L55" s="39">
        <f>'Data Entry Höchst'!AD55</f>
        <v>0</v>
      </c>
      <c r="M55" s="39">
        <f>'Data Entry Höchst'!AG55</f>
        <v>0</v>
      </c>
      <c r="N55" s="39">
        <f>'Data Entry Höchst'!AJ55</f>
        <v>0</v>
      </c>
      <c r="O55" s="39">
        <f>'Data Entry Höchst'!AM55</f>
        <v>0</v>
      </c>
    </row>
    <row r="56" spans="2:15" ht="14" x14ac:dyDescent="0.15">
      <c r="B56" s="38" t="s">
        <v>40</v>
      </c>
      <c r="C56" s="39">
        <f>'Data Entry Höchst'!C56</f>
        <v>0</v>
      </c>
      <c r="D56" s="39">
        <f>'Data Entry Höchst'!F56</f>
        <v>0</v>
      </c>
      <c r="E56" s="39">
        <f>'Data Entry Höchst'!I56</f>
        <v>0</v>
      </c>
      <c r="F56" s="39">
        <f>'Data Entry Höchst'!L56</f>
        <v>0</v>
      </c>
      <c r="G56" s="39">
        <f>'Data Entry Höchst'!O56</f>
        <v>0</v>
      </c>
      <c r="H56" s="39">
        <f>'Data Entry Höchst'!R56</f>
        <v>0</v>
      </c>
      <c r="I56" s="39">
        <f>'Data Entry Höchst'!U56</f>
        <v>0</v>
      </c>
      <c r="J56" s="39">
        <f>'Data Entry Höchst'!X56</f>
        <v>0</v>
      </c>
      <c r="K56" s="39">
        <f>'Data Entry Höchst'!AA56</f>
        <v>0</v>
      </c>
      <c r="L56" s="39">
        <f>'Data Entry Höchst'!AD56</f>
        <v>0</v>
      </c>
      <c r="M56" s="39">
        <f>'Data Entry Höchst'!AG56</f>
        <v>0</v>
      </c>
      <c r="N56" s="39">
        <f>'Data Entry Höchst'!AJ56</f>
        <v>0</v>
      </c>
      <c r="O56" s="39">
        <f>'Data Entry Höchst'!AM56</f>
        <v>0</v>
      </c>
    </row>
    <row r="57" spans="2:15" ht="14" x14ac:dyDescent="0.15">
      <c r="B57" s="42" t="s">
        <v>41</v>
      </c>
      <c r="C57" s="39">
        <f>'Data Entry Höchst'!C57</f>
        <v>287185.8517</v>
      </c>
      <c r="D57" s="39">
        <f>'Data Entry Höchst'!F57</f>
        <v>20281.689999999999</v>
      </c>
      <c r="E57" s="39">
        <f>'Data Entry Höchst'!I57</f>
        <v>20884.669999999998</v>
      </c>
      <c r="F57" s="39">
        <f>'Data Entry Höchst'!L57</f>
        <v>15414.35</v>
      </c>
      <c r="G57" s="39">
        <f>'Data Entry Höchst'!O57</f>
        <v>24683.26</v>
      </c>
      <c r="H57" s="39">
        <f>'Data Entry Höchst'!R57</f>
        <v>29553.697899999999</v>
      </c>
      <c r="I57" s="39">
        <f>'Data Entry Höchst'!U57</f>
        <v>27615.981500000002</v>
      </c>
      <c r="J57" s="39">
        <f>'Data Entry Höchst'!X57</f>
        <v>20005.400000000001</v>
      </c>
      <c r="K57" s="39">
        <f>'Data Entry Höchst'!AA57</f>
        <v>20169.1495</v>
      </c>
      <c r="L57" s="39">
        <f>'Data Entry Höchst'!AD57</f>
        <v>28857.888500000001</v>
      </c>
      <c r="M57" s="39">
        <f>'Data Entry Höchst'!AG57</f>
        <v>27662.71</v>
      </c>
      <c r="N57" s="39">
        <f>'Data Entry Höchst'!AJ57</f>
        <v>29871.704300000001</v>
      </c>
      <c r="O57" s="39">
        <f>'Data Entry Höchst'!AM57</f>
        <v>22185.35</v>
      </c>
    </row>
    <row r="58" spans="2:15" x14ac:dyDescent="0.15">
      <c r="B58" s="40"/>
      <c r="C58" s="39">
        <f>'Data Entry Höchst'!C58</f>
        <v>0</v>
      </c>
      <c r="D58" s="39">
        <f>'Data Entry Höchst'!F58</f>
        <v>0</v>
      </c>
      <c r="E58" s="39">
        <f>'Data Entry Höchst'!I58</f>
        <v>0</v>
      </c>
      <c r="F58" s="39">
        <f>'Data Entry Höchst'!L58</f>
        <v>0</v>
      </c>
      <c r="G58" s="39">
        <f>'Data Entry Höchst'!O58</f>
        <v>0</v>
      </c>
      <c r="H58" s="39">
        <f>'Data Entry Höchst'!R58</f>
        <v>0</v>
      </c>
      <c r="I58" s="39">
        <f>'Data Entry Höchst'!U58</f>
        <v>0</v>
      </c>
      <c r="J58" s="39">
        <f>'Data Entry Höchst'!X58</f>
        <v>0</v>
      </c>
      <c r="K58" s="39">
        <f>'Data Entry Höchst'!AA58</f>
        <v>0</v>
      </c>
      <c r="L58" s="39">
        <f>'Data Entry Höchst'!AD58</f>
        <v>0</v>
      </c>
      <c r="M58" s="39">
        <f>'Data Entry Höchst'!AG58</f>
        <v>0</v>
      </c>
      <c r="N58" s="39">
        <f>'Data Entry Höchst'!AJ58</f>
        <v>0</v>
      </c>
      <c r="O58" s="39">
        <f>'Data Entry Höchst'!AM58</f>
        <v>0</v>
      </c>
    </row>
    <row r="59" spans="2:15" ht="14" x14ac:dyDescent="0.15">
      <c r="B59" s="44" t="s">
        <v>38</v>
      </c>
      <c r="C59" s="39">
        <f>'Data Entry Höchst'!C59</f>
        <v>0</v>
      </c>
      <c r="D59" s="39">
        <f>'Data Entry Höchst'!F59</f>
        <v>0</v>
      </c>
      <c r="E59" s="39">
        <f>'Data Entry Höchst'!I59</f>
        <v>0</v>
      </c>
      <c r="F59" s="39">
        <f>'Data Entry Höchst'!L59</f>
        <v>0</v>
      </c>
      <c r="G59" s="39">
        <f>'Data Entry Höchst'!O59</f>
        <v>0</v>
      </c>
      <c r="H59" s="39">
        <f>'Data Entry Höchst'!R59</f>
        <v>0</v>
      </c>
      <c r="I59" s="39">
        <f>'Data Entry Höchst'!U59</f>
        <v>0</v>
      </c>
      <c r="J59" s="39">
        <f>'Data Entry Höchst'!X59</f>
        <v>0</v>
      </c>
      <c r="K59" s="39">
        <f>'Data Entry Höchst'!AA59</f>
        <v>0</v>
      </c>
      <c r="L59" s="39">
        <f>'Data Entry Höchst'!AD59</f>
        <v>0</v>
      </c>
      <c r="M59" s="39">
        <f>'Data Entry Höchst'!AG59</f>
        <v>0</v>
      </c>
      <c r="N59" s="39">
        <f>'Data Entry Höchst'!AJ59</f>
        <v>0</v>
      </c>
      <c r="O59" s="39">
        <f>'Data Entry Höchst'!AM59</f>
        <v>0</v>
      </c>
    </row>
    <row r="60" spans="2:15" ht="14" x14ac:dyDescent="0.15">
      <c r="B60" s="42" t="s">
        <v>38</v>
      </c>
      <c r="C60" s="39">
        <f>'Data Entry Höchst'!C60</f>
        <v>142890.20000000001</v>
      </c>
      <c r="D60" s="39">
        <f>'Data Entry Höchst'!F60</f>
        <v>5547.06</v>
      </c>
      <c r="E60" s="39">
        <f>'Data Entry Höchst'!I60</f>
        <v>11872.1</v>
      </c>
      <c r="F60" s="39">
        <f>'Data Entry Höchst'!L60</f>
        <v>10695.5</v>
      </c>
      <c r="G60" s="39">
        <f>'Data Entry Höchst'!O60</f>
        <v>12075.54</v>
      </c>
      <c r="H60" s="39">
        <f>'Data Entry Höchst'!R60</f>
        <v>15000</v>
      </c>
      <c r="I60" s="39">
        <f>'Data Entry Höchst'!U60</f>
        <v>17000</v>
      </c>
      <c r="J60" s="39">
        <f>'Data Entry Höchst'!X60</f>
        <v>8700</v>
      </c>
      <c r="K60" s="39">
        <f>'Data Entry Höchst'!AA60</f>
        <v>8000</v>
      </c>
      <c r="L60" s="39">
        <f>'Data Entry Höchst'!AD60</f>
        <v>15000</v>
      </c>
      <c r="M60" s="39">
        <f>'Data Entry Höchst'!AG60</f>
        <v>15000</v>
      </c>
      <c r="N60" s="39">
        <f>'Data Entry Höchst'!AJ60</f>
        <v>12500</v>
      </c>
      <c r="O60" s="39">
        <f>'Data Entry Höchst'!AM60</f>
        <v>11500</v>
      </c>
    </row>
    <row r="61" spans="2:15" x14ac:dyDescent="0.15">
      <c r="B61" s="40"/>
      <c r="C61" s="39">
        <f>'Data Entry Höchst'!C61</f>
        <v>0</v>
      </c>
      <c r="D61" s="39">
        <f>'Data Entry Höchst'!F61</f>
        <v>0</v>
      </c>
      <c r="E61" s="39">
        <f>'Data Entry Höchst'!I61</f>
        <v>0</v>
      </c>
      <c r="F61" s="39">
        <f>'Data Entry Höchst'!L61</f>
        <v>0</v>
      </c>
      <c r="G61" s="39">
        <f>'Data Entry Höchst'!O61</f>
        <v>0</v>
      </c>
      <c r="H61" s="39">
        <f>'Data Entry Höchst'!R61</f>
        <v>0</v>
      </c>
      <c r="I61" s="39">
        <f>'Data Entry Höchst'!U61</f>
        <v>0</v>
      </c>
      <c r="J61" s="39">
        <f>'Data Entry Höchst'!X61</f>
        <v>0</v>
      </c>
      <c r="K61" s="39">
        <f>'Data Entry Höchst'!AA61</f>
        <v>0</v>
      </c>
      <c r="L61" s="39">
        <f>'Data Entry Höchst'!AD61</f>
        <v>0</v>
      </c>
      <c r="M61" s="39">
        <f>'Data Entry Höchst'!AG61</f>
        <v>0</v>
      </c>
      <c r="N61" s="39">
        <f>'Data Entry Höchst'!AJ61</f>
        <v>0</v>
      </c>
      <c r="O61" s="39">
        <f>'Data Entry Höchst'!AM61</f>
        <v>0</v>
      </c>
    </row>
    <row r="62" spans="2:15" ht="14" x14ac:dyDescent="0.15">
      <c r="B62" s="44" t="s">
        <v>51</v>
      </c>
      <c r="C62" s="39">
        <f>'Data Entry Höchst'!C62</f>
        <v>0</v>
      </c>
      <c r="D62" s="39">
        <f>'Data Entry Höchst'!F62</f>
        <v>0</v>
      </c>
      <c r="E62" s="39">
        <f>'Data Entry Höchst'!I62</f>
        <v>0</v>
      </c>
      <c r="F62" s="39">
        <f>'Data Entry Höchst'!L62</f>
        <v>0</v>
      </c>
      <c r="G62" s="39">
        <f>'Data Entry Höchst'!O62</f>
        <v>0</v>
      </c>
      <c r="H62" s="39">
        <f>'Data Entry Höchst'!R62</f>
        <v>0</v>
      </c>
      <c r="I62" s="39">
        <f>'Data Entry Höchst'!U62</f>
        <v>0</v>
      </c>
      <c r="J62" s="39">
        <f>'Data Entry Höchst'!X62</f>
        <v>0</v>
      </c>
      <c r="K62" s="39">
        <f>'Data Entry Höchst'!AA62</f>
        <v>0</v>
      </c>
      <c r="L62" s="39">
        <f>'Data Entry Höchst'!AD62</f>
        <v>0</v>
      </c>
      <c r="M62" s="39">
        <f>'Data Entry Höchst'!AG62</f>
        <v>0</v>
      </c>
      <c r="N62" s="39">
        <f>'Data Entry Höchst'!AJ62</f>
        <v>0</v>
      </c>
      <c r="O62" s="39">
        <f>'Data Entry Höchst'!AM62</f>
        <v>0</v>
      </c>
    </row>
    <row r="63" spans="2:15" ht="14" x14ac:dyDescent="0.15">
      <c r="B63" s="42" t="s">
        <v>52</v>
      </c>
      <c r="C63" s="39">
        <f>'Data Entry Höchst'!C63</f>
        <v>4387918.398</v>
      </c>
      <c r="D63" s="39">
        <f>'Data Entry Höchst'!F63</f>
        <v>245546.77</v>
      </c>
      <c r="E63" s="39">
        <f>'Data Entry Höchst'!I63</f>
        <v>328281.21000000002</v>
      </c>
      <c r="F63" s="39">
        <f>'Data Entry Höchst'!L63</f>
        <v>462953.52</v>
      </c>
      <c r="G63" s="39">
        <f>'Data Entry Höchst'!O63</f>
        <v>221553.56</v>
      </c>
      <c r="H63" s="39">
        <f>'Data Entry Höchst'!R63</f>
        <v>412238.67660000001</v>
      </c>
      <c r="I63" s="39">
        <f>'Data Entry Höchst'!U63</f>
        <v>425239.15149999998</v>
      </c>
      <c r="J63" s="39">
        <f>'Data Entry Höchst'!X63</f>
        <v>225089.96280000001</v>
      </c>
      <c r="K63" s="39">
        <f>'Data Entry Höchst'!AA63</f>
        <v>262731.98969999998</v>
      </c>
      <c r="L63" s="39">
        <f>'Data Entry Höchst'!AD63</f>
        <v>520266.59779999999</v>
      </c>
      <c r="M63" s="39">
        <f>'Data Entry Höchst'!AG63</f>
        <v>552282.21490000002</v>
      </c>
      <c r="N63" s="39">
        <f>'Data Entry Höchst'!AJ63</f>
        <v>477434.96269999997</v>
      </c>
      <c r="O63" s="39">
        <f>'Data Entry Höchst'!AM63</f>
        <v>254299.78200000001</v>
      </c>
    </row>
    <row r="64" spans="2:15" x14ac:dyDescent="0.15">
      <c r="B64" s="40"/>
      <c r="C64" s="39">
        <f>'Data Entry Höchst'!C64</f>
        <v>0</v>
      </c>
      <c r="D64" s="39">
        <f>'Data Entry Höchst'!F64</f>
        <v>0</v>
      </c>
      <c r="E64" s="39">
        <f>'Data Entry Höchst'!I64</f>
        <v>0</v>
      </c>
      <c r="F64" s="39">
        <f>'Data Entry Höchst'!L64</f>
        <v>0</v>
      </c>
      <c r="G64" s="39">
        <f>'Data Entry Höchst'!O64</f>
        <v>0</v>
      </c>
      <c r="H64" s="39">
        <f>'Data Entry Höchst'!R64</f>
        <v>0</v>
      </c>
      <c r="I64" s="39">
        <f>'Data Entry Höchst'!U64</f>
        <v>0</v>
      </c>
      <c r="J64" s="39">
        <f>'Data Entry Höchst'!X64</f>
        <v>0</v>
      </c>
      <c r="K64" s="39">
        <f>'Data Entry Höchst'!AA64</f>
        <v>0</v>
      </c>
      <c r="L64" s="39">
        <f>'Data Entry Höchst'!AD64</f>
        <v>0</v>
      </c>
      <c r="M64" s="39">
        <f>'Data Entry Höchst'!AG64</f>
        <v>0</v>
      </c>
      <c r="N64" s="39">
        <f>'Data Entry Höchst'!AJ64</f>
        <v>0</v>
      </c>
      <c r="O64" s="39">
        <f>'Data Entry Höchst'!AM64</f>
        <v>0</v>
      </c>
    </row>
    <row r="65" spans="2:15" ht="14" x14ac:dyDescent="0.15">
      <c r="B65" s="44" t="s">
        <v>53</v>
      </c>
      <c r="C65" s="39">
        <f>'Data Entry Höchst'!C65</f>
        <v>0</v>
      </c>
      <c r="D65" s="39">
        <f>'Data Entry Höchst'!F65</f>
        <v>0</v>
      </c>
      <c r="E65" s="39">
        <f>'Data Entry Höchst'!I65</f>
        <v>0</v>
      </c>
      <c r="F65" s="39">
        <f>'Data Entry Höchst'!L65</f>
        <v>0</v>
      </c>
      <c r="G65" s="39">
        <f>'Data Entry Höchst'!O65</f>
        <v>0</v>
      </c>
      <c r="H65" s="39">
        <f>'Data Entry Höchst'!R65</f>
        <v>0</v>
      </c>
      <c r="I65" s="39">
        <f>'Data Entry Höchst'!U65</f>
        <v>0</v>
      </c>
      <c r="J65" s="39">
        <f>'Data Entry Höchst'!X65</f>
        <v>0</v>
      </c>
      <c r="K65" s="39">
        <f>'Data Entry Höchst'!AA65</f>
        <v>0</v>
      </c>
      <c r="L65" s="39">
        <f>'Data Entry Höchst'!AD65</f>
        <v>0</v>
      </c>
      <c r="M65" s="39">
        <f>'Data Entry Höchst'!AG65</f>
        <v>0</v>
      </c>
      <c r="N65" s="39">
        <f>'Data Entry Höchst'!AJ65</f>
        <v>0</v>
      </c>
      <c r="O65" s="39">
        <f>'Data Entry Höchst'!AM65</f>
        <v>0</v>
      </c>
    </row>
    <row r="66" spans="2:15" ht="14" x14ac:dyDescent="0.15">
      <c r="B66" s="38" t="s">
        <v>22</v>
      </c>
      <c r="C66" s="39">
        <f>'Data Entry Höchst'!C66</f>
        <v>250133.58540000001</v>
      </c>
      <c r="D66" s="39">
        <f>'Data Entry Höchst'!F66</f>
        <v>28444.38</v>
      </c>
      <c r="E66" s="39">
        <f>'Data Entry Höchst'!I66</f>
        <v>20845.38</v>
      </c>
      <c r="F66" s="39">
        <f>'Data Entry Höchst'!L66</f>
        <v>17177.400000000001</v>
      </c>
      <c r="G66" s="39">
        <f>'Data Entry Höchst'!O66</f>
        <v>16673.38</v>
      </c>
      <c r="H66" s="39">
        <f>'Data Entry Höchst'!R66</f>
        <v>15807.449699999999</v>
      </c>
      <c r="I66" s="39">
        <f>'Data Entry Höchst'!U66</f>
        <v>15807.449699999999</v>
      </c>
      <c r="J66" s="39">
        <f>'Data Entry Höchst'!X66</f>
        <v>17563.648499999999</v>
      </c>
      <c r="K66" s="39">
        <f>'Data Entry Höchst'!AA66</f>
        <v>16674.023000000001</v>
      </c>
      <c r="L66" s="39">
        <f>'Data Entry Höchst'!AD66</f>
        <v>12519.8238</v>
      </c>
      <c r="M66" s="39">
        <f>'Data Entry Höchst'!AG66</f>
        <v>16110.0708</v>
      </c>
      <c r="N66" s="39">
        <f>'Data Entry Höchst'!AJ66</f>
        <v>20346.648499999999</v>
      </c>
      <c r="O66" s="39">
        <f>'Data Entry Höchst'!AM66</f>
        <v>52163.931400000001</v>
      </c>
    </row>
    <row r="67" spans="2:15" ht="14" x14ac:dyDescent="0.15">
      <c r="B67" s="38" t="s">
        <v>40</v>
      </c>
      <c r="C67" s="39">
        <f>'Data Entry Höchst'!C67</f>
        <v>196888.09280000001</v>
      </c>
      <c r="D67" s="39">
        <f>'Data Entry Höchst'!F67</f>
        <v>20741.18</v>
      </c>
      <c r="E67" s="39">
        <f>'Data Entry Höchst'!I67</f>
        <v>14680.18</v>
      </c>
      <c r="F67" s="39">
        <f>'Data Entry Höchst'!L67</f>
        <v>15897.42</v>
      </c>
      <c r="G67" s="39">
        <f>'Data Entry Höchst'!O67</f>
        <v>11454.4</v>
      </c>
      <c r="H67" s="39">
        <f>'Data Entry Höchst'!R67</f>
        <v>17016.0422</v>
      </c>
      <c r="I67" s="39">
        <f>'Data Entry Höchst'!U67</f>
        <v>17534.714100000001</v>
      </c>
      <c r="J67" s="39">
        <f>'Data Entry Höchst'!X67</f>
        <v>12638.334999999999</v>
      </c>
      <c r="K67" s="39">
        <f>'Data Entry Höchst'!AA67</f>
        <v>13264.052600000001</v>
      </c>
      <c r="L67" s="39">
        <f>'Data Entry Höchst'!AD67</f>
        <v>18432.440399999999</v>
      </c>
      <c r="M67" s="39">
        <f>'Data Entry Höchst'!AG67</f>
        <v>18959.6358</v>
      </c>
      <c r="N67" s="39">
        <f>'Data Entry Höchst'!AJ67</f>
        <v>22693.236700000001</v>
      </c>
      <c r="O67" s="39">
        <f>'Data Entry Höchst'!AM67</f>
        <v>13576.456</v>
      </c>
    </row>
    <row r="68" spans="2:15" ht="14" x14ac:dyDescent="0.15">
      <c r="B68" s="42" t="s">
        <v>41</v>
      </c>
      <c r="C68" s="39">
        <f>'Data Entry Höchst'!C68</f>
        <v>-447021.67810000002</v>
      </c>
      <c r="D68" s="39">
        <f>'Data Entry Höchst'!F68</f>
        <v>-49185.56</v>
      </c>
      <c r="E68" s="39">
        <f>'Data Entry Höchst'!I68</f>
        <v>-35525.56</v>
      </c>
      <c r="F68" s="39">
        <f>'Data Entry Höchst'!L68</f>
        <v>-33074.82</v>
      </c>
      <c r="G68" s="39">
        <f>'Data Entry Höchst'!O68</f>
        <v>-28127.78</v>
      </c>
      <c r="H68" s="39">
        <f>'Data Entry Höchst'!R68</f>
        <v>-32823.491900000001</v>
      </c>
      <c r="I68" s="39">
        <f>'Data Entry Höchst'!U68</f>
        <v>-33342.163699999997</v>
      </c>
      <c r="J68" s="39">
        <f>'Data Entry Höchst'!X68</f>
        <v>-30201.983499999998</v>
      </c>
      <c r="K68" s="39">
        <f>'Data Entry Höchst'!AA68</f>
        <v>-29938.0756</v>
      </c>
      <c r="L68" s="39">
        <f>'Data Entry Höchst'!AD68</f>
        <v>-30952.264200000001</v>
      </c>
      <c r="M68" s="39">
        <f>'Data Entry Höchst'!AG68</f>
        <v>-35069.706599999998</v>
      </c>
      <c r="N68" s="39">
        <f>'Data Entry Höchst'!AJ68</f>
        <v>-43039.885199999997</v>
      </c>
      <c r="O68" s="39">
        <f>'Data Entry Höchst'!AM68</f>
        <v>-65740.387400000007</v>
      </c>
    </row>
    <row r="69" spans="2:15" x14ac:dyDescent="0.15">
      <c r="B69" s="40"/>
      <c r="C69" s="39">
        <f>'Data Entry Höchst'!C69</f>
        <v>0</v>
      </c>
      <c r="D69" s="39">
        <f>'Data Entry Höchst'!F69</f>
        <v>0</v>
      </c>
      <c r="E69" s="39">
        <f>'Data Entry Höchst'!I69</f>
        <v>0</v>
      </c>
      <c r="F69" s="39">
        <f>'Data Entry Höchst'!L69</f>
        <v>0</v>
      </c>
      <c r="G69" s="39">
        <f>'Data Entry Höchst'!O69</f>
        <v>0</v>
      </c>
      <c r="H69" s="39">
        <f>'Data Entry Höchst'!R69</f>
        <v>0</v>
      </c>
      <c r="I69" s="39">
        <f>'Data Entry Höchst'!U69</f>
        <v>0</v>
      </c>
      <c r="J69" s="39">
        <f>'Data Entry Höchst'!X69</f>
        <v>0</v>
      </c>
      <c r="K69" s="39">
        <f>'Data Entry Höchst'!AA69</f>
        <v>0</v>
      </c>
      <c r="L69" s="39">
        <f>'Data Entry Höchst'!AD69</f>
        <v>0</v>
      </c>
      <c r="M69" s="39">
        <f>'Data Entry Höchst'!AG69</f>
        <v>0</v>
      </c>
      <c r="N69" s="39">
        <f>'Data Entry Höchst'!AJ69</f>
        <v>0</v>
      </c>
      <c r="O69" s="39">
        <f>'Data Entry Höchst'!AM69</f>
        <v>0</v>
      </c>
    </row>
    <row r="70" spans="2:15" ht="14" x14ac:dyDescent="0.15">
      <c r="B70" s="44" t="s">
        <v>54</v>
      </c>
      <c r="C70" s="39">
        <f>'Data Entry Höchst'!C70</f>
        <v>0</v>
      </c>
      <c r="D70" s="39">
        <f>'Data Entry Höchst'!F70</f>
        <v>0</v>
      </c>
      <c r="E70" s="39">
        <f>'Data Entry Höchst'!I70</f>
        <v>0</v>
      </c>
      <c r="F70" s="39">
        <f>'Data Entry Höchst'!L70</f>
        <v>0</v>
      </c>
      <c r="G70" s="39">
        <f>'Data Entry Höchst'!O70</f>
        <v>0</v>
      </c>
      <c r="H70" s="39">
        <f>'Data Entry Höchst'!R70</f>
        <v>0</v>
      </c>
      <c r="I70" s="39">
        <f>'Data Entry Höchst'!U70</f>
        <v>0</v>
      </c>
      <c r="J70" s="39">
        <f>'Data Entry Höchst'!X70</f>
        <v>0</v>
      </c>
      <c r="K70" s="39">
        <f>'Data Entry Höchst'!AA70</f>
        <v>0</v>
      </c>
      <c r="L70" s="39">
        <f>'Data Entry Höchst'!AD70</f>
        <v>0</v>
      </c>
      <c r="M70" s="39">
        <f>'Data Entry Höchst'!AG70</f>
        <v>0</v>
      </c>
      <c r="N70" s="39">
        <f>'Data Entry Höchst'!AJ70</f>
        <v>0</v>
      </c>
      <c r="O70" s="39">
        <f>'Data Entry Höchst'!AM70</f>
        <v>0</v>
      </c>
    </row>
    <row r="71" spans="2:15" ht="14" x14ac:dyDescent="0.15">
      <c r="B71" s="38" t="s">
        <v>55</v>
      </c>
      <c r="C71" s="39">
        <f>'Data Entry Höchst'!C71</f>
        <v>22584.6</v>
      </c>
      <c r="D71" s="39">
        <f>'Data Entry Höchst'!F71</f>
        <v>1201.8499999999999</v>
      </c>
      <c r="E71" s="39">
        <f>'Data Entry Höchst'!I71</f>
        <v>3632.28</v>
      </c>
      <c r="F71" s="39">
        <f>'Data Entry Höchst'!L71</f>
        <v>2956.34</v>
      </c>
      <c r="G71" s="39">
        <f>'Data Entry Höchst'!O71</f>
        <v>1202.1300000000001</v>
      </c>
      <c r="H71" s="39">
        <f>'Data Entry Höchst'!R71</f>
        <v>1699</v>
      </c>
      <c r="I71" s="39">
        <f>'Data Entry Höchst'!U71</f>
        <v>1699</v>
      </c>
      <c r="J71" s="39">
        <f>'Data Entry Höchst'!X71</f>
        <v>1699</v>
      </c>
      <c r="K71" s="39">
        <f>'Data Entry Höchst'!AA71</f>
        <v>1699</v>
      </c>
      <c r="L71" s="39">
        <f>'Data Entry Höchst'!AD71</f>
        <v>1699</v>
      </c>
      <c r="M71" s="39">
        <f>'Data Entry Höchst'!AG71</f>
        <v>1699</v>
      </c>
      <c r="N71" s="39">
        <f>'Data Entry Höchst'!AJ71</f>
        <v>1699</v>
      </c>
      <c r="O71" s="39">
        <f>'Data Entry Höchst'!AM71</f>
        <v>1699</v>
      </c>
    </row>
    <row r="72" spans="2:15" ht="14" x14ac:dyDescent="0.15">
      <c r="B72" s="38" t="s">
        <v>56</v>
      </c>
      <c r="C72" s="39">
        <f>'Data Entry Höchst'!C72</f>
        <v>136974.90299999999</v>
      </c>
      <c r="D72" s="39">
        <f>'Data Entry Höchst'!F72</f>
        <v>10375.120000000001</v>
      </c>
      <c r="E72" s="39">
        <f>'Data Entry Höchst'!I72</f>
        <v>9676.93</v>
      </c>
      <c r="F72" s="39">
        <f>'Data Entry Höchst'!L72</f>
        <v>7379.13</v>
      </c>
      <c r="G72" s="39">
        <f>'Data Entry Höchst'!O72</f>
        <v>4955.24</v>
      </c>
      <c r="H72" s="39">
        <f>'Data Entry Höchst'!R72</f>
        <v>13071</v>
      </c>
      <c r="I72" s="39">
        <f>'Data Entry Höchst'!U72</f>
        <v>13071</v>
      </c>
      <c r="J72" s="39">
        <f>'Data Entry Höchst'!X72</f>
        <v>13071</v>
      </c>
      <c r="K72" s="39">
        <f>'Data Entry Höchst'!AA72</f>
        <v>13071.003000000001</v>
      </c>
      <c r="L72" s="39">
        <f>'Data Entry Höchst'!AD72</f>
        <v>13071</v>
      </c>
      <c r="M72" s="39">
        <f>'Data Entry Höchst'!AG72</f>
        <v>13071</v>
      </c>
      <c r="N72" s="39">
        <f>'Data Entry Höchst'!AJ72</f>
        <v>13091</v>
      </c>
      <c r="O72" s="39">
        <f>'Data Entry Höchst'!AM72</f>
        <v>13071.48</v>
      </c>
    </row>
    <row r="73" spans="2:15" ht="14" x14ac:dyDescent="0.15">
      <c r="B73" s="38" t="s">
        <v>40</v>
      </c>
      <c r="C73" s="39">
        <f>'Data Entry Höchst'!C73</f>
        <v>5000</v>
      </c>
      <c r="D73" s="39">
        <f>'Data Entry Höchst'!F73</f>
        <v>0</v>
      </c>
      <c r="E73" s="39">
        <f>'Data Entry Höchst'!I73</f>
        <v>0</v>
      </c>
      <c r="F73" s="39">
        <f>'Data Entry Höchst'!L73</f>
        <v>0</v>
      </c>
      <c r="G73" s="39">
        <f>'Data Entry Höchst'!O73</f>
        <v>0</v>
      </c>
      <c r="H73" s="39">
        <f>'Data Entry Höchst'!R73</f>
        <v>625</v>
      </c>
      <c r="I73" s="39">
        <f>'Data Entry Höchst'!U73</f>
        <v>625</v>
      </c>
      <c r="J73" s="39">
        <f>'Data Entry Höchst'!X73</f>
        <v>625</v>
      </c>
      <c r="K73" s="39">
        <f>'Data Entry Höchst'!AA73</f>
        <v>625</v>
      </c>
      <c r="L73" s="39">
        <f>'Data Entry Höchst'!AD73</f>
        <v>625</v>
      </c>
      <c r="M73" s="39">
        <f>'Data Entry Höchst'!AG73</f>
        <v>625</v>
      </c>
      <c r="N73" s="39">
        <f>'Data Entry Höchst'!AJ73</f>
        <v>625</v>
      </c>
      <c r="O73" s="39">
        <f>'Data Entry Höchst'!AM73</f>
        <v>625</v>
      </c>
    </row>
    <row r="74" spans="2:15" ht="14" x14ac:dyDescent="0.15">
      <c r="B74" s="42" t="s">
        <v>41</v>
      </c>
      <c r="C74" s="39">
        <f>'Data Entry Höchst'!C74</f>
        <v>-164559.503</v>
      </c>
      <c r="D74" s="39">
        <f>'Data Entry Höchst'!F74</f>
        <v>-11576.97</v>
      </c>
      <c r="E74" s="39">
        <f>'Data Entry Höchst'!I74</f>
        <v>-13309.21</v>
      </c>
      <c r="F74" s="39">
        <f>'Data Entry Höchst'!L74</f>
        <v>-10335.469999999999</v>
      </c>
      <c r="G74" s="39">
        <f>'Data Entry Höchst'!O74</f>
        <v>-6157.37</v>
      </c>
      <c r="H74" s="39">
        <f>'Data Entry Höchst'!R74</f>
        <v>-15395</v>
      </c>
      <c r="I74" s="39">
        <f>'Data Entry Höchst'!U74</f>
        <v>-15395</v>
      </c>
      <c r="J74" s="39">
        <f>'Data Entry Höchst'!X74</f>
        <v>-15395</v>
      </c>
      <c r="K74" s="39">
        <f>'Data Entry Höchst'!AA74</f>
        <v>-15395.003000000001</v>
      </c>
      <c r="L74" s="39">
        <f>'Data Entry Höchst'!AD74</f>
        <v>-15395</v>
      </c>
      <c r="M74" s="39">
        <f>'Data Entry Höchst'!AG74</f>
        <v>-15395</v>
      </c>
      <c r="N74" s="39">
        <f>'Data Entry Höchst'!AJ74</f>
        <v>-15415</v>
      </c>
      <c r="O74" s="39">
        <f>'Data Entry Höchst'!AM74</f>
        <v>-15395.48</v>
      </c>
    </row>
    <row r="75" spans="2:15" x14ac:dyDescent="0.15">
      <c r="B75" s="40"/>
      <c r="C75" s="39">
        <f>'Data Entry Höchst'!C75</f>
        <v>0</v>
      </c>
      <c r="D75" s="39">
        <f>'Data Entry Höchst'!F75</f>
        <v>0</v>
      </c>
      <c r="E75" s="39">
        <f>'Data Entry Höchst'!I75</f>
        <v>0</v>
      </c>
      <c r="F75" s="39">
        <f>'Data Entry Höchst'!L75</f>
        <v>0</v>
      </c>
      <c r="G75" s="39">
        <f>'Data Entry Höchst'!O75</f>
        <v>0</v>
      </c>
      <c r="H75" s="39">
        <f>'Data Entry Höchst'!R75</f>
        <v>0</v>
      </c>
      <c r="I75" s="39">
        <f>'Data Entry Höchst'!U75</f>
        <v>0</v>
      </c>
      <c r="J75" s="39">
        <f>'Data Entry Höchst'!X75</f>
        <v>0</v>
      </c>
      <c r="K75" s="39">
        <f>'Data Entry Höchst'!AA75</f>
        <v>0</v>
      </c>
      <c r="L75" s="39">
        <f>'Data Entry Höchst'!AD75</f>
        <v>0</v>
      </c>
      <c r="M75" s="39">
        <f>'Data Entry Höchst'!AG75</f>
        <v>0</v>
      </c>
      <c r="N75" s="39">
        <f>'Data Entry Höchst'!AJ75</f>
        <v>0</v>
      </c>
      <c r="O75" s="39">
        <f>'Data Entry Höchst'!AM75</f>
        <v>0</v>
      </c>
    </row>
    <row r="76" spans="2:15" ht="14" x14ac:dyDescent="0.15">
      <c r="B76" s="44" t="s">
        <v>57</v>
      </c>
      <c r="C76" s="39">
        <f>'Data Entry Höchst'!C76</f>
        <v>0</v>
      </c>
      <c r="D76" s="39">
        <f>'Data Entry Höchst'!F76</f>
        <v>0</v>
      </c>
      <c r="E76" s="39">
        <f>'Data Entry Höchst'!I76</f>
        <v>0</v>
      </c>
      <c r="F76" s="39">
        <f>'Data Entry Höchst'!L76</f>
        <v>0</v>
      </c>
      <c r="G76" s="39">
        <f>'Data Entry Höchst'!O76</f>
        <v>0</v>
      </c>
      <c r="H76" s="39">
        <f>'Data Entry Höchst'!R76</f>
        <v>0</v>
      </c>
      <c r="I76" s="39">
        <f>'Data Entry Höchst'!U76</f>
        <v>0</v>
      </c>
      <c r="J76" s="39">
        <f>'Data Entry Höchst'!X76</f>
        <v>0</v>
      </c>
      <c r="K76" s="39">
        <f>'Data Entry Höchst'!AA76</f>
        <v>0</v>
      </c>
      <c r="L76" s="39">
        <f>'Data Entry Höchst'!AD76</f>
        <v>0</v>
      </c>
      <c r="M76" s="39">
        <f>'Data Entry Höchst'!AG76</f>
        <v>0</v>
      </c>
      <c r="N76" s="39">
        <f>'Data Entry Höchst'!AJ76</f>
        <v>0</v>
      </c>
      <c r="O76" s="39">
        <f>'Data Entry Höchst'!AM76</f>
        <v>0</v>
      </c>
    </row>
    <row r="77" spans="2:15" ht="14" x14ac:dyDescent="0.15">
      <c r="B77" s="38" t="s">
        <v>22</v>
      </c>
      <c r="C77" s="39">
        <f>'Data Entry Höchst'!C77</f>
        <v>135770.9559</v>
      </c>
      <c r="D77" s="39">
        <f>'Data Entry Höchst'!F77</f>
        <v>5564.87</v>
      </c>
      <c r="E77" s="39">
        <f>'Data Entry Höchst'!I77</f>
        <v>12648.57</v>
      </c>
      <c r="F77" s="39">
        <f>'Data Entry Höchst'!L77</f>
        <v>14877</v>
      </c>
      <c r="G77" s="39">
        <f>'Data Entry Höchst'!O77</f>
        <v>7101.62</v>
      </c>
      <c r="H77" s="39">
        <f>'Data Entry Höchst'!R77</f>
        <v>12143.0795</v>
      </c>
      <c r="I77" s="39">
        <f>'Data Entry Höchst'!U77</f>
        <v>12590.2104</v>
      </c>
      <c r="J77" s="39">
        <f>'Data Entry Höchst'!X77</f>
        <v>8369.1939999999995</v>
      </c>
      <c r="K77" s="39">
        <f>'Data Entry Höchst'!AA77</f>
        <v>8908.6057000000001</v>
      </c>
      <c r="L77" s="39">
        <f>'Data Entry Höchst'!AD77</f>
        <v>14354.046700000001</v>
      </c>
      <c r="M77" s="39">
        <f>'Data Entry Höchst'!AG77</f>
        <v>14842.1906</v>
      </c>
      <c r="N77" s="39">
        <f>'Data Entry Höchst'!AJ77</f>
        <v>15193.787899999999</v>
      </c>
      <c r="O77" s="39">
        <f>'Data Entry Höchst'!AM77</f>
        <v>9177.7811000000002</v>
      </c>
    </row>
    <row r="78" spans="2:15" ht="14" x14ac:dyDescent="0.15">
      <c r="B78" s="38" t="s">
        <v>40</v>
      </c>
      <c r="C78" s="39">
        <f>'Data Entry Höchst'!C78</f>
        <v>371511.0307</v>
      </c>
      <c r="D78" s="39">
        <f>'Data Entry Höchst'!F78</f>
        <v>26204.34</v>
      </c>
      <c r="E78" s="39">
        <f>'Data Entry Höchst'!I78</f>
        <v>20310.89</v>
      </c>
      <c r="F78" s="39">
        <f>'Data Entry Höchst'!L78</f>
        <v>36087.96</v>
      </c>
      <c r="G78" s="39">
        <f>'Data Entry Höchst'!O78</f>
        <v>24837.31</v>
      </c>
      <c r="H78" s="39">
        <f>'Data Entry Höchst'!R78</f>
        <v>33019.004800000002</v>
      </c>
      <c r="I78" s="39">
        <f>'Data Entry Höchst'!U78</f>
        <v>33992.894500000002</v>
      </c>
      <c r="J78" s="39">
        <f>'Data Entry Höchst'!X78</f>
        <v>25763.371899999998</v>
      </c>
      <c r="K78" s="39">
        <f>'Data Entry Höchst'!AA78</f>
        <v>26558.0857</v>
      </c>
      <c r="L78" s="39">
        <f>'Data Entry Höchst'!AD78</f>
        <v>38334.476699999999</v>
      </c>
      <c r="M78" s="39">
        <f>'Data Entry Höchst'!AG78</f>
        <v>39238.608099999998</v>
      </c>
      <c r="N78" s="39">
        <f>'Data Entry Höchst'!AJ78</f>
        <v>39348.317900000002</v>
      </c>
      <c r="O78" s="39">
        <f>'Data Entry Höchst'!AM78</f>
        <v>27815.771100000002</v>
      </c>
    </row>
    <row r="79" spans="2:15" ht="14" x14ac:dyDescent="0.15">
      <c r="B79" s="42" t="s">
        <v>41</v>
      </c>
      <c r="C79" s="39">
        <f>'Data Entry Höchst'!C79</f>
        <v>-507281.9865</v>
      </c>
      <c r="D79" s="39">
        <f>'Data Entry Höchst'!F79</f>
        <v>-31769.21</v>
      </c>
      <c r="E79" s="39">
        <f>'Data Entry Höchst'!I79</f>
        <v>-32959.46</v>
      </c>
      <c r="F79" s="39">
        <f>'Data Entry Höchst'!L79</f>
        <v>-50964.959999999999</v>
      </c>
      <c r="G79" s="39">
        <f>'Data Entry Höchst'!O79</f>
        <v>-31938.93</v>
      </c>
      <c r="H79" s="39">
        <f>'Data Entry Höchst'!R79</f>
        <v>-45162.084300000002</v>
      </c>
      <c r="I79" s="39">
        <f>'Data Entry Höchst'!U79</f>
        <v>-46583.104899999998</v>
      </c>
      <c r="J79" s="39">
        <f>'Data Entry Höchst'!X79</f>
        <v>-34132.565900000001</v>
      </c>
      <c r="K79" s="39">
        <f>'Data Entry Höchst'!AA79</f>
        <v>-35466.691400000003</v>
      </c>
      <c r="L79" s="39">
        <f>'Data Entry Höchst'!AD79</f>
        <v>-52688.523399999998</v>
      </c>
      <c r="M79" s="39">
        <f>'Data Entry Höchst'!AG79</f>
        <v>-54080.798699999999</v>
      </c>
      <c r="N79" s="39">
        <f>'Data Entry Höchst'!AJ79</f>
        <v>-54542.105799999998</v>
      </c>
      <c r="O79" s="39">
        <f>'Data Entry Höchst'!AM79</f>
        <v>-36993.552100000001</v>
      </c>
    </row>
    <row r="80" spans="2:15" x14ac:dyDescent="0.15">
      <c r="B80" s="40"/>
      <c r="C80" s="39">
        <f>'Data Entry Höchst'!C80</f>
        <v>0</v>
      </c>
      <c r="D80" s="39">
        <f>'Data Entry Höchst'!F80</f>
        <v>0</v>
      </c>
      <c r="E80" s="39">
        <f>'Data Entry Höchst'!I80</f>
        <v>0</v>
      </c>
      <c r="F80" s="39">
        <f>'Data Entry Höchst'!L80</f>
        <v>0</v>
      </c>
      <c r="G80" s="39">
        <f>'Data Entry Höchst'!O80</f>
        <v>0</v>
      </c>
      <c r="H80" s="39">
        <f>'Data Entry Höchst'!R80</f>
        <v>0</v>
      </c>
      <c r="I80" s="39">
        <f>'Data Entry Höchst'!U80</f>
        <v>0</v>
      </c>
      <c r="J80" s="39">
        <f>'Data Entry Höchst'!X80</f>
        <v>0</v>
      </c>
      <c r="K80" s="39">
        <f>'Data Entry Höchst'!AA80</f>
        <v>0</v>
      </c>
      <c r="L80" s="39">
        <f>'Data Entry Höchst'!AD80</f>
        <v>0</v>
      </c>
      <c r="M80" s="39">
        <f>'Data Entry Höchst'!AG80</f>
        <v>0</v>
      </c>
      <c r="N80" s="39">
        <f>'Data Entry Höchst'!AJ80</f>
        <v>0</v>
      </c>
      <c r="O80" s="39">
        <f>'Data Entry Höchst'!AM80</f>
        <v>0</v>
      </c>
    </row>
    <row r="81" spans="2:15" ht="14" x14ac:dyDescent="0.15">
      <c r="B81" s="44" t="s">
        <v>58</v>
      </c>
      <c r="C81" s="39">
        <f>'Data Entry Höchst'!C81</f>
        <v>0</v>
      </c>
      <c r="D81" s="39">
        <f>'Data Entry Höchst'!F81</f>
        <v>0</v>
      </c>
      <c r="E81" s="39">
        <f>'Data Entry Höchst'!I81</f>
        <v>0</v>
      </c>
      <c r="F81" s="39">
        <f>'Data Entry Höchst'!L81</f>
        <v>0</v>
      </c>
      <c r="G81" s="39">
        <f>'Data Entry Höchst'!O81</f>
        <v>0</v>
      </c>
      <c r="H81" s="39">
        <f>'Data Entry Höchst'!R81</f>
        <v>0</v>
      </c>
      <c r="I81" s="39">
        <f>'Data Entry Höchst'!U81</f>
        <v>0</v>
      </c>
      <c r="J81" s="39">
        <f>'Data Entry Höchst'!X81</f>
        <v>0</v>
      </c>
      <c r="K81" s="39">
        <f>'Data Entry Höchst'!AA81</f>
        <v>0</v>
      </c>
      <c r="L81" s="39">
        <f>'Data Entry Höchst'!AD81</f>
        <v>0</v>
      </c>
      <c r="M81" s="39">
        <f>'Data Entry Höchst'!AG81</f>
        <v>0</v>
      </c>
      <c r="N81" s="39">
        <f>'Data Entry Höchst'!AJ81</f>
        <v>0</v>
      </c>
      <c r="O81" s="39">
        <f>'Data Entry Höchst'!AM81</f>
        <v>0</v>
      </c>
    </row>
    <row r="82" spans="2:15" ht="14" x14ac:dyDescent="0.15">
      <c r="B82" s="38" t="s">
        <v>22</v>
      </c>
      <c r="C82" s="39">
        <f>'Data Entry Höchst'!C82</f>
        <v>173359.70759999999</v>
      </c>
      <c r="D82" s="39">
        <f>'Data Entry Höchst'!F82</f>
        <v>13470</v>
      </c>
      <c r="E82" s="39">
        <f>'Data Entry Höchst'!I82</f>
        <v>13352.79</v>
      </c>
      <c r="F82" s="39">
        <f>'Data Entry Höchst'!L82</f>
        <v>15168.72</v>
      </c>
      <c r="G82" s="39">
        <f>'Data Entry Höchst'!O82</f>
        <v>11945.33</v>
      </c>
      <c r="H82" s="39">
        <f>'Data Entry Höchst'!R82</f>
        <v>12894.7112</v>
      </c>
      <c r="I82" s="39">
        <f>'Data Entry Höchst'!U82</f>
        <v>13974.233099999999</v>
      </c>
      <c r="J82" s="39">
        <f>'Data Entry Höchst'!X82</f>
        <v>15163.2371</v>
      </c>
      <c r="K82" s="39">
        <f>'Data Entry Höchst'!AA82</f>
        <v>14075.5877</v>
      </c>
      <c r="L82" s="39">
        <f>'Data Entry Höchst'!AD82</f>
        <v>12855.508</v>
      </c>
      <c r="M82" s="39">
        <f>'Data Entry Höchst'!AG82</f>
        <v>14095.5877</v>
      </c>
      <c r="N82" s="39">
        <f>'Data Entry Höchst'!AJ82</f>
        <v>20780.7906</v>
      </c>
      <c r="O82" s="39">
        <f>'Data Entry Höchst'!AM82</f>
        <v>15583.2122</v>
      </c>
    </row>
    <row r="83" spans="2:15" ht="14" x14ac:dyDescent="0.15">
      <c r="B83" s="38" t="s">
        <v>40</v>
      </c>
      <c r="C83" s="39">
        <f>'Data Entry Höchst'!C83</f>
        <v>335482.88</v>
      </c>
      <c r="D83" s="39">
        <f>'Data Entry Höchst'!F83</f>
        <v>24884.74</v>
      </c>
      <c r="E83" s="39">
        <f>'Data Entry Höchst'!I83</f>
        <v>45266.53</v>
      </c>
      <c r="F83" s="39">
        <f>'Data Entry Höchst'!L83</f>
        <v>33148.660000000003</v>
      </c>
      <c r="G83" s="39">
        <f>'Data Entry Höchst'!O83</f>
        <v>31790.95</v>
      </c>
      <c r="H83" s="39">
        <f>'Data Entry Höchst'!R83</f>
        <v>24152</v>
      </c>
      <c r="I83" s="39">
        <f>'Data Entry Höchst'!U83</f>
        <v>27152</v>
      </c>
      <c r="J83" s="39">
        <f>'Data Entry Höchst'!X83</f>
        <v>21352</v>
      </c>
      <c r="K83" s="39">
        <f>'Data Entry Höchst'!AA83</f>
        <v>22152</v>
      </c>
      <c r="L83" s="39">
        <f>'Data Entry Höchst'!AD83</f>
        <v>29152</v>
      </c>
      <c r="M83" s="39">
        <f>'Data Entry Höchst'!AG83</f>
        <v>24152</v>
      </c>
      <c r="N83" s="39">
        <f>'Data Entry Höchst'!AJ83</f>
        <v>22640</v>
      </c>
      <c r="O83" s="39">
        <f>'Data Entry Höchst'!AM83</f>
        <v>29640</v>
      </c>
    </row>
    <row r="84" spans="2:15" ht="14" x14ac:dyDescent="0.15">
      <c r="B84" s="42" t="s">
        <v>41</v>
      </c>
      <c r="C84" s="39">
        <f>'Data Entry Höchst'!C84</f>
        <v>-508842.58760000003</v>
      </c>
      <c r="D84" s="39">
        <f>'Data Entry Höchst'!F84</f>
        <v>-38354.74</v>
      </c>
      <c r="E84" s="39">
        <f>'Data Entry Höchst'!I84</f>
        <v>-58619.32</v>
      </c>
      <c r="F84" s="39">
        <f>'Data Entry Höchst'!L84</f>
        <v>-48317.38</v>
      </c>
      <c r="G84" s="39">
        <f>'Data Entry Höchst'!O84</f>
        <v>-43736.28</v>
      </c>
      <c r="H84" s="39">
        <f>'Data Entry Höchst'!R84</f>
        <v>-37046.711199999998</v>
      </c>
      <c r="I84" s="39">
        <f>'Data Entry Höchst'!U84</f>
        <v>-41126.233099999998</v>
      </c>
      <c r="J84" s="39">
        <f>'Data Entry Höchst'!X84</f>
        <v>-36515.237099999998</v>
      </c>
      <c r="K84" s="39">
        <f>'Data Entry Höchst'!AA84</f>
        <v>-36227.587699999996</v>
      </c>
      <c r="L84" s="39">
        <f>'Data Entry Höchst'!AD84</f>
        <v>-42007.508000000002</v>
      </c>
      <c r="M84" s="39">
        <f>'Data Entry Höchst'!AG84</f>
        <v>-38247.587699999996</v>
      </c>
      <c r="N84" s="39">
        <f>'Data Entry Höchst'!AJ84</f>
        <v>-43420.7906</v>
      </c>
      <c r="O84" s="39">
        <f>'Data Entry Höchst'!AM84</f>
        <v>-45223.212200000002</v>
      </c>
    </row>
    <row r="85" spans="2:15" x14ac:dyDescent="0.15">
      <c r="B85" s="40"/>
      <c r="C85" s="39">
        <f>'Data Entry Höchst'!C85</f>
        <v>0</v>
      </c>
      <c r="D85" s="39">
        <f>'Data Entry Höchst'!F85</f>
        <v>0</v>
      </c>
      <c r="E85" s="39">
        <f>'Data Entry Höchst'!I85</f>
        <v>0</v>
      </c>
      <c r="F85" s="39">
        <f>'Data Entry Höchst'!L85</f>
        <v>0</v>
      </c>
      <c r="G85" s="39">
        <f>'Data Entry Höchst'!O85</f>
        <v>0</v>
      </c>
      <c r="H85" s="39">
        <f>'Data Entry Höchst'!R85</f>
        <v>0</v>
      </c>
      <c r="I85" s="39">
        <f>'Data Entry Höchst'!U85</f>
        <v>0</v>
      </c>
      <c r="J85" s="39">
        <f>'Data Entry Höchst'!X85</f>
        <v>0</v>
      </c>
      <c r="K85" s="39">
        <f>'Data Entry Höchst'!AA85</f>
        <v>0</v>
      </c>
      <c r="L85" s="39">
        <f>'Data Entry Höchst'!AD85</f>
        <v>0</v>
      </c>
      <c r="M85" s="39">
        <f>'Data Entry Höchst'!AG85</f>
        <v>0</v>
      </c>
      <c r="N85" s="39">
        <f>'Data Entry Höchst'!AJ85</f>
        <v>0</v>
      </c>
      <c r="O85" s="39">
        <f>'Data Entry Höchst'!AM85</f>
        <v>0</v>
      </c>
    </row>
    <row r="86" spans="2:15" ht="14" x14ac:dyDescent="0.15">
      <c r="B86" s="44" t="s">
        <v>59</v>
      </c>
      <c r="C86" s="39">
        <f>'Data Entry Höchst'!C86</f>
        <v>0</v>
      </c>
      <c r="D86" s="39">
        <f>'Data Entry Höchst'!F86</f>
        <v>0</v>
      </c>
      <c r="E86" s="39">
        <f>'Data Entry Höchst'!I86</f>
        <v>0</v>
      </c>
      <c r="F86" s="39">
        <f>'Data Entry Höchst'!L86</f>
        <v>0</v>
      </c>
      <c r="G86" s="39">
        <f>'Data Entry Höchst'!O86</f>
        <v>0</v>
      </c>
      <c r="H86" s="39">
        <f>'Data Entry Höchst'!R86</f>
        <v>0</v>
      </c>
      <c r="I86" s="39">
        <f>'Data Entry Höchst'!U86</f>
        <v>0</v>
      </c>
      <c r="J86" s="39">
        <f>'Data Entry Höchst'!X86</f>
        <v>0</v>
      </c>
      <c r="K86" s="39">
        <f>'Data Entry Höchst'!AA86</f>
        <v>0</v>
      </c>
      <c r="L86" s="39">
        <f>'Data Entry Höchst'!AD86</f>
        <v>0</v>
      </c>
      <c r="M86" s="39">
        <f>'Data Entry Höchst'!AG86</f>
        <v>0</v>
      </c>
      <c r="N86" s="39">
        <f>'Data Entry Höchst'!AJ86</f>
        <v>0</v>
      </c>
      <c r="O86" s="39">
        <f>'Data Entry Höchst'!AM86</f>
        <v>0</v>
      </c>
    </row>
    <row r="87" spans="2:15" ht="14" x14ac:dyDescent="0.15">
      <c r="B87" s="42" t="s">
        <v>41</v>
      </c>
      <c r="C87" s="39">
        <f>'Data Entry Höchst'!C87</f>
        <v>-323182.52279999998</v>
      </c>
      <c r="D87" s="39">
        <f>'Data Entry Höchst'!F87</f>
        <v>-35567.15</v>
      </c>
      <c r="E87" s="39">
        <f>'Data Entry Höchst'!I87</f>
        <v>-11030.68</v>
      </c>
      <c r="F87" s="39">
        <f>'Data Entry Höchst'!L87</f>
        <v>-28386.959999999999</v>
      </c>
      <c r="G87" s="39">
        <f>'Data Entry Höchst'!O87</f>
        <v>-36674.699999999997</v>
      </c>
      <c r="H87" s="39">
        <f>'Data Entry Höchst'!R87</f>
        <v>-28519.719000000001</v>
      </c>
      <c r="I87" s="39">
        <f>'Data Entry Höchst'!U87</f>
        <v>-27934.377499999999</v>
      </c>
      <c r="J87" s="39">
        <f>'Data Entry Höchst'!X87</f>
        <v>-29033.602500000001</v>
      </c>
      <c r="K87" s="39">
        <f>'Data Entry Höchst'!AA87</f>
        <v>-24042.034</v>
      </c>
      <c r="L87" s="39">
        <f>'Data Entry Höchst'!AD87</f>
        <v>-28197.518</v>
      </c>
      <c r="M87" s="39">
        <f>'Data Entry Höchst'!AG87</f>
        <v>-24374.5085</v>
      </c>
      <c r="N87" s="39">
        <f>'Data Entry Höchst'!AJ87</f>
        <v>-28749.585800000001</v>
      </c>
      <c r="O87" s="39">
        <f>'Data Entry Höchst'!AM87</f>
        <v>-20671.6875</v>
      </c>
    </row>
    <row r="88" spans="2:15" x14ac:dyDescent="0.15">
      <c r="B88" s="40"/>
      <c r="C88" s="39">
        <f>'Data Entry Höchst'!C88</f>
        <v>0</v>
      </c>
      <c r="D88" s="39">
        <f>'Data Entry Höchst'!F88</f>
        <v>0</v>
      </c>
      <c r="E88" s="39">
        <f>'Data Entry Höchst'!I88</f>
        <v>0</v>
      </c>
      <c r="F88" s="39">
        <f>'Data Entry Höchst'!L88</f>
        <v>0</v>
      </c>
      <c r="G88" s="39">
        <f>'Data Entry Höchst'!O88</f>
        <v>0</v>
      </c>
      <c r="H88" s="39">
        <f>'Data Entry Höchst'!R88</f>
        <v>0</v>
      </c>
      <c r="I88" s="39">
        <f>'Data Entry Höchst'!U88</f>
        <v>0</v>
      </c>
      <c r="J88" s="39">
        <f>'Data Entry Höchst'!X88</f>
        <v>0</v>
      </c>
      <c r="K88" s="39">
        <f>'Data Entry Höchst'!AA88</f>
        <v>0</v>
      </c>
      <c r="L88" s="39">
        <f>'Data Entry Höchst'!AD88</f>
        <v>0</v>
      </c>
      <c r="M88" s="39">
        <f>'Data Entry Höchst'!AG88</f>
        <v>0</v>
      </c>
      <c r="N88" s="39">
        <f>'Data Entry Höchst'!AJ88</f>
        <v>0</v>
      </c>
      <c r="O88" s="39">
        <f>'Data Entry Höchst'!AM88</f>
        <v>0</v>
      </c>
    </row>
    <row r="89" spans="2:15" ht="14" x14ac:dyDescent="0.15">
      <c r="B89" s="42" t="s">
        <v>23</v>
      </c>
      <c r="C89" s="39">
        <f>'Data Entry Höchst'!C89</f>
        <v>2437030.1198999998</v>
      </c>
      <c r="D89" s="39">
        <f>'Data Entry Höchst'!F89</f>
        <v>79093.14</v>
      </c>
      <c r="E89" s="39">
        <f>'Data Entry Höchst'!I89</f>
        <v>176836.98</v>
      </c>
      <c r="F89" s="39">
        <f>'Data Entry Höchst'!L89</f>
        <v>291873.93</v>
      </c>
      <c r="G89" s="39">
        <f>'Data Entry Höchst'!O89</f>
        <v>74918.5</v>
      </c>
      <c r="H89" s="39">
        <f>'Data Entry Höchst'!R89</f>
        <v>253291.67019999999</v>
      </c>
      <c r="I89" s="39">
        <f>'Data Entry Höchst'!U89</f>
        <v>260858.27220000001</v>
      </c>
      <c r="J89" s="39">
        <f>'Data Entry Höchst'!X89</f>
        <v>79811.573799999998</v>
      </c>
      <c r="K89" s="39">
        <f>'Data Entry Höchst'!AA89</f>
        <v>121662.598</v>
      </c>
      <c r="L89" s="39">
        <f>'Data Entry Höchst'!AD89</f>
        <v>351025.78419999999</v>
      </c>
      <c r="M89" s="39">
        <f>'Data Entry Höchst'!AG89</f>
        <v>385114.61330000003</v>
      </c>
      <c r="N89" s="39">
        <f>'Data Entry Höchst'!AJ89</f>
        <v>292267.59539999999</v>
      </c>
      <c r="O89" s="39">
        <f>'Data Entry Höchst'!AM89</f>
        <v>70275.462799999994</v>
      </c>
    </row>
    <row r="90" spans="2:15" x14ac:dyDescent="0.15">
      <c r="B90" s="40"/>
      <c r="C90" s="39">
        <f>'Data Entry Höchst'!C90</f>
        <v>0</v>
      </c>
      <c r="D90" s="39">
        <f>'Data Entry Höchst'!F90</f>
        <v>0</v>
      </c>
      <c r="E90" s="39">
        <f>'Data Entry Höchst'!I90</f>
        <v>0</v>
      </c>
      <c r="F90" s="39">
        <f>'Data Entry Höchst'!L90</f>
        <v>0</v>
      </c>
      <c r="G90" s="39">
        <f>'Data Entry Höchst'!O90</f>
        <v>0</v>
      </c>
      <c r="H90" s="39">
        <f>'Data Entry Höchst'!R90</f>
        <v>0</v>
      </c>
      <c r="I90" s="39">
        <f>'Data Entry Höchst'!U90</f>
        <v>0</v>
      </c>
      <c r="J90" s="39">
        <f>'Data Entry Höchst'!X90</f>
        <v>0</v>
      </c>
      <c r="K90" s="39">
        <f>'Data Entry Höchst'!AA90</f>
        <v>0</v>
      </c>
      <c r="L90" s="39">
        <f>'Data Entry Höchst'!AD90</f>
        <v>0</v>
      </c>
      <c r="M90" s="39">
        <f>'Data Entry Höchst'!AG90</f>
        <v>0</v>
      </c>
      <c r="N90" s="39">
        <f>'Data Entry Höchst'!AJ90</f>
        <v>0</v>
      </c>
      <c r="O90" s="39">
        <f>'Data Entry Höchst'!AM90</f>
        <v>0</v>
      </c>
    </row>
    <row r="91" spans="2:15" ht="14" x14ac:dyDescent="0.15">
      <c r="B91" s="42" t="s">
        <v>60</v>
      </c>
      <c r="C91" s="39">
        <f>'Data Entry Höchst'!C91</f>
        <v>0</v>
      </c>
      <c r="D91" s="39">
        <f>'Data Entry Höchst'!F91</f>
        <v>0</v>
      </c>
      <c r="E91" s="39">
        <f>'Data Entry Höchst'!I91</f>
        <v>0</v>
      </c>
      <c r="F91" s="39">
        <f>'Data Entry Höchst'!L91</f>
        <v>0</v>
      </c>
      <c r="G91" s="39">
        <f>'Data Entry Höchst'!O91</f>
        <v>0</v>
      </c>
      <c r="H91" s="39">
        <f>'Data Entry Höchst'!R91</f>
        <v>0</v>
      </c>
      <c r="I91" s="39">
        <f>'Data Entry Höchst'!U91</f>
        <v>0</v>
      </c>
      <c r="J91" s="39">
        <f>'Data Entry Höchst'!X91</f>
        <v>0</v>
      </c>
      <c r="K91" s="39">
        <f>'Data Entry Höchst'!AA91</f>
        <v>0</v>
      </c>
      <c r="L91" s="39">
        <f>'Data Entry Höchst'!AD91</f>
        <v>0</v>
      </c>
      <c r="M91" s="39">
        <f>'Data Entry Höchst'!AG91</f>
        <v>0</v>
      </c>
      <c r="N91" s="39">
        <f>'Data Entry Höchst'!AJ91</f>
        <v>0</v>
      </c>
      <c r="O91" s="39">
        <f>'Data Entry Höchst'!AM91</f>
        <v>0</v>
      </c>
    </row>
    <row r="92" spans="2:15" ht="14" x14ac:dyDescent="0.15">
      <c r="B92" s="38" t="s">
        <v>61</v>
      </c>
      <c r="C92" s="39">
        <f>'Data Entry Höchst'!C92</f>
        <v>0</v>
      </c>
      <c r="D92" s="39">
        <f>'Data Entry Höchst'!F92</f>
        <v>0</v>
      </c>
      <c r="E92" s="39">
        <f>'Data Entry Höchst'!I92</f>
        <v>0</v>
      </c>
      <c r="F92" s="39">
        <f>'Data Entry Höchst'!L92</f>
        <v>0</v>
      </c>
      <c r="G92" s="39">
        <f>'Data Entry Höchst'!O92</f>
        <v>0</v>
      </c>
      <c r="H92" s="39">
        <f>'Data Entry Höchst'!R92</f>
        <v>0</v>
      </c>
      <c r="I92" s="39">
        <f>'Data Entry Höchst'!U92</f>
        <v>0</v>
      </c>
      <c r="J92" s="39">
        <f>'Data Entry Höchst'!X92</f>
        <v>0</v>
      </c>
      <c r="K92" s="39">
        <f>'Data Entry Höchst'!AA92</f>
        <v>0</v>
      </c>
      <c r="L92" s="39">
        <f>'Data Entry Höchst'!AD92</f>
        <v>0</v>
      </c>
      <c r="M92" s="39">
        <f>'Data Entry Höchst'!AG92</f>
        <v>0</v>
      </c>
      <c r="N92" s="39">
        <f>'Data Entry Höchst'!AJ92</f>
        <v>0</v>
      </c>
      <c r="O92" s="39">
        <f>'Data Entry Höchst'!AM92</f>
        <v>0</v>
      </c>
    </row>
    <row r="93" spans="2:15" ht="14" x14ac:dyDescent="0.15">
      <c r="B93" s="38" t="s">
        <v>62</v>
      </c>
      <c r="C93" s="39">
        <f>'Data Entry Höchst'!C93</f>
        <v>0</v>
      </c>
      <c r="D93" s="39">
        <f>'Data Entry Höchst'!F93</f>
        <v>0</v>
      </c>
      <c r="E93" s="39">
        <f>'Data Entry Höchst'!I93</f>
        <v>0</v>
      </c>
      <c r="F93" s="39">
        <f>'Data Entry Höchst'!L93</f>
        <v>0</v>
      </c>
      <c r="G93" s="39">
        <f>'Data Entry Höchst'!O93</f>
        <v>0</v>
      </c>
      <c r="H93" s="39">
        <f>'Data Entry Höchst'!R93</f>
        <v>0</v>
      </c>
      <c r="I93" s="39">
        <f>'Data Entry Höchst'!U93</f>
        <v>0</v>
      </c>
      <c r="J93" s="39">
        <f>'Data Entry Höchst'!X93</f>
        <v>0</v>
      </c>
      <c r="K93" s="39">
        <f>'Data Entry Höchst'!AA93</f>
        <v>0</v>
      </c>
      <c r="L93" s="39">
        <f>'Data Entry Höchst'!AD93</f>
        <v>0</v>
      </c>
      <c r="M93" s="39">
        <f>'Data Entry Höchst'!AG93</f>
        <v>0</v>
      </c>
      <c r="N93" s="39">
        <f>'Data Entry Höchst'!AJ93</f>
        <v>0</v>
      </c>
      <c r="O93" s="39">
        <f>'Data Entry Höchst'!AM93</f>
        <v>0</v>
      </c>
    </row>
    <row r="94" spans="2:15" ht="14" x14ac:dyDescent="0.15">
      <c r="B94" s="38" t="s">
        <v>63</v>
      </c>
      <c r="C94" s="39">
        <f>'Data Entry Höchst'!C94</f>
        <v>0</v>
      </c>
      <c r="D94" s="39">
        <f>'Data Entry Höchst'!F94</f>
        <v>0</v>
      </c>
      <c r="E94" s="39">
        <f>'Data Entry Höchst'!I94</f>
        <v>0</v>
      </c>
      <c r="F94" s="39">
        <f>'Data Entry Höchst'!L94</f>
        <v>0</v>
      </c>
      <c r="G94" s="39">
        <f>'Data Entry Höchst'!O94</f>
        <v>0</v>
      </c>
      <c r="H94" s="39">
        <f>'Data Entry Höchst'!R94</f>
        <v>0</v>
      </c>
      <c r="I94" s="39">
        <f>'Data Entry Höchst'!U94</f>
        <v>0</v>
      </c>
      <c r="J94" s="39">
        <f>'Data Entry Höchst'!X94</f>
        <v>0</v>
      </c>
      <c r="K94" s="39">
        <f>'Data Entry Höchst'!AA94</f>
        <v>0</v>
      </c>
      <c r="L94" s="39">
        <f>'Data Entry Höchst'!AD94</f>
        <v>0</v>
      </c>
      <c r="M94" s="39">
        <f>'Data Entry Höchst'!AG94</f>
        <v>0</v>
      </c>
      <c r="N94" s="39">
        <f>'Data Entry Höchst'!AJ94</f>
        <v>0</v>
      </c>
      <c r="O94" s="39">
        <f>'Data Entry Höchst'!AM94</f>
        <v>0</v>
      </c>
    </row>
    <row r="95" spans="2:15" ht="14" x14ac:dyDescent="0.15">
      <c r="B95" s="38" t="s">
        <v>64</v>
      </c>
      <c r="C95" s="39">
        <f>'Data Entry Höchst'!C95</f>
        <v>0</v>
      </c>
      <c r="D95" s="39">
        <f>'Data Entry Höchst'!F95</f>
        <v>0</v>
      </c>
      <c r="E95" s="39">
        <f>'Data Entry Höchst'!I95</f>
        <v>0</v>
      </c>
      <c r="F95" s="39">
        <f>'Data Entry Höchst'!L95</f>
        <v>0</v>
      </c>
      <c r="G95" s="39">
        <f>'Data Entry Höchst'!O95</f>
        <v>0</v>
      </c>
      <c r="H95" s="39">
        <f>'Data Entry Höchst'!R95</f>
        <v>0</v>
      </c>
      <c r="I95" s="39">
        <f>'Data Entry Höchst'!U95</f>
        <v>0</v>
      </c>
      <c r="J95" s="39">
        <f>'Data Entry Höchst'!X95</f>
        <v>0</v>
      </c>
      <c r="K95" s="39">
        <f>'Data Entry Höchst'!AA95</f>
        <v>0</v>
      </c>
      <c r="L95" s="39">
        <f>'Data Entry Höchst'!AD95</f>
        <v>0</v>
      </c>
      <c r="M95" s="39">
        <f>'Data Entry Höchst'!AG95</f>
        <v>0</v>
      </c>
      <c r="N95" s="39">
        <f>'Data Entry Höchst'!AJ95</f>
        <v>0</v>
      </c>
      <c r="O95" s="39">
        <f>'Data Entry Höchst'!AM95</f>
        <v>0</v>
      </c>
    </row>
    <row r="96" spans="2:15" x14ac:dyDescent="0.15">
      <c r="B96" s="40"/>
      <c r="C96" s="39">
        <f>'Data Entry Höchst'!C96</f>
        <v>0</v>
      </c>
      <c r="D96" s="39">
        <f>'Data Entry Höchst'!F96</f>
        <v>0</v>
      </c>
      <c r="E96" s="39">
        <f>'Data Entry Höchst'!I96</f>
        <v>0</v>
      </c>
      <c r="F96" s="39">
        <f>'Data Entry Höchst'!L96</f>
        <v>0</v>
      </c>
      <c r="G96" s="39">
        <f>'Data Entry Höchst'!O96</f>
        <v>0</v>
      </c>
      <c r="H96" s="39">
        <f>'Data Entry Höchst'!R96</f>
        <v>0</v>
      </c>
      <c r="I96" s="39">
        <f>'Data Entry Höchst'!U96</f>
        <v>0</v>
      </c>
      <c r="J96" s="39">
        <f>'Data Entry Höchst'!X96</f>
        <v>0</v>
      </c>
      <c r="K96" s="39">
        <f>'Data Entry Höchst'!AA96</f>
        <v>0</v>
      </c>
      <c r="L96" s="39">
        <f>'Data Entry Höchst'!AD96</f>
        <v>0</v>
      </c>
      <c r="M96" s="39">
        <f>'Data Entry Höchst'!AG96</f>
        <v>0</v>
      </c>
      <c r="N96" s="39">
        <f>'Data Entry Höchst'!AJ96</f>
        <v>0</v>
      </c>
      <c r="O96" s="39">
        <f>'Data Entry Höchst'!AM96</f>
        <v>0</v>
      </c>
    </row>
    <row r="97" spans="2:15" ht="14" x14ac:dyDescent="0.15">
      <c r="B97" s="42" t="s">
        <v>65</v>
      </c>
      <c r="C97" s="39">
        <f>'Data Entry Höchst'!C97</f>
        <v>0</v>
      </c>
      <c r="D97" s="39">
        <f>'Data Entry Höchst'!F97</f>
        <v>0</v>
      </c>
      <c r="E97" s="39">
        <f>'Data Entry Höchst'!I97</f>
        <v>0</v>
      </c>
      <c r="F97" s="39">
        <f>'Data Entry Höchst'!L97</f>
        <v>0</v>
      </c>
      <c r="G97" s="39">
        <f>'Data Entry Höchst'!O97</f>
        <v>0</v>
      </c>
      <c r="H97" s="39">
        <f>'Data Entry Höchst'!R97</f>
        <v>0</v>
      </c>
      <c r="I97" s="39">
        <f>'Data Entry Höchst'!U97</f>
        <v>0</v>
      </c>
      <c r="J97" s="39">
        <f>'Data Entry Höchst'!X97</f>
        <v>0</v>
      </c>
      <c r="K97" s="39">
        <f>'Data Entry Höchst'!AA97</f>
        <v>0</v>
      </c>
      <c r="L97" s="39">
        <f>'Data Entry Höchst'!AD97</f>
        <v>0</v>
      </c>
      <c r="M97" s="39">
        <f>'Data Entry Höchst'!AG97</f>
        <v>0</v>
      </c>
      <c r="N97" s="39">
        <f>'Data Entry Höchst'!AJ97</f>
        <v>0</v>
      </c>
      <c r="O97" s="39">
        <f>'Data Entry Höchst'!AM97</f>
        <v>0</v>
      </c>
    </row>
    <row r="98" spans="2:15" ht="14" x14ac:dyDescent="0.15">
      <c r="B98" s="38" t="s">
        <v>66</v>
      </c>
      <c r="C98" s="39">
        <f>'Data Entry Höchst'!C98</f>
        <v>0</v>
      </c>
      <c r="D98" s="39">
        <f>'Data Entry Höchst'!F98</f>
        <v>0</v>
      </c>
      <c r="E98" s="39">
        <f>'Data Entry Höchst'!I98</f>
        <v>0</v>
      </c>
      <c r="F98" s="39">
        <f>'Data Entry Höchst'!L98</f>
        <v>0</v>
      </c>
      <c r="G98" s="39">
        <f>'Data Entry Höchst'!O98</f>
        <v>0</v>
      </c>
      <c r="H98" s="39">
        <f>'Data Entry Höchst'!R98</f>
        <v>0</v>
      </c>
      <c r="I98" s="39">
        <f>'Data Entry Höchst'!U98</f>
        <v>0</v>
      </c>
      <c r="J98" s="39">
        <f>'Data Entry Höchst'!X98</f>
        <v>0</v>
      </c>
      <c r="K98" s="39">
        <f>'Data Entry Höchst'!AA98</f>
        <v>0</v>
      </c>
      <c r="L98" s="39">
        <f>'Data Entry Höchst'!AD98</f>
        <v>0</v>
      </c>
      <c r="M98" s="39">
        <f>'Data Entry Höchst'!AG98</f>
        <v>0</v>
      </c>
      <c r="N98" s="39">
        <f>'Data Entry Höchst'!AJ98</f>
        <v>0</v>
      </c>
      <c r="O98" s="39">
        <f>'Data Entry Höchst'!AM98</f>
        <v>0</v>
      </c>
    </row>
    <row r="99" spans="2:15" ht="14" x14ac:dyDescent="0.15">
      <c r="B99" s="38" t="s">
        <v>67</v>
      </c>
      <c r="C99" s="39">
        <f>'Data Entry Höchst'!C99</f>
        <v>0</v>
      </c>
      <c r="D99" s="39">
        <f>'Data Entry Höchst'!F99</f>
        <v>0</v>
      </c>
      <c r="E99" s="39">
        <f>'Data Entry Höchst'!I99</f>
        <v>0</v>
      </c>
      <c r="F99" s="39">
        <f>'Data Entry Höchst'!L99</f>
        <v>0</v>
      </c>
      <c r="G99" s="39">
        <f>'Data Entry Höchst'!O99</f>
        <v>0</v>
      </c>
      <c r="H99" s="39">
        <f>'Data Entry Höchst'!R99</f>
        <v>0</v>
      </c>
      <c r="I99" s="39">
        <f>'Data Entry Höchst'!U99</f>
        <v>0</v>
      </c>
      <c r="J99" s="39">
        <f>'Data Entry Höchst'!X99</f>
        <v>0</v>
      </c>
      <c r="K99" s="39">
        <f>'Data Entry Höchst'!AA99</f>
        <v>0</v>
      </c>
      <c r="L99" s="39">
        <f>'Data Entry Höchst'!AD99</f>
        <v>0</v>
      </c>
      <c r="M99" s="39">
        <f>'Data Entry Höchst'!AG99</f>
        <v>0</v>
      </c>
      <c r="N99" s="39">
        <f>'Data Entry Höchst'!AJ99</f>
        <v>0</v>
      </c>
      <c r="O99" s="39">
        <f>'Data Entry Höchst'!AM99</f>
        <v>0</v>
      </c>
    </row>
    <row r="100" spans="2:15" x14ac:dyDescent="0.15">
      <c r="B100" s="40"/>
      <c r="C100" s="39">
        <f>'Data Entry Höchst'!C100</f>
        <v>0</v>
      </c>
      <c r="D100" s="39">
        <f>'Data Entry Höchst'!F100</f>
        <v>0</v>
      </c>
      <c r="E100" s="39">
        <f>'Data Entry Höchst'!I100</f>
        <v>0</v>
      </c>
      <c r="F100" s="39">
        <f>'Data Entry Höchst'!L100</f>
        <v>0</v>
      </c>
      <c r="G100" s="39">
        <f>'Data Entry Höchst'!O100</f>
        <v>0</v>
      </c>
      <c r="H100" s="39">
        <f>'Data Entry Höchst'!R100</f>
        <v>0</v>
      </c>
      <c r="I100" s="39">
        <f>'Data Entry Höchst'!U100</f>
        <v>0</v>
      </c>
      <c r="J100" s="39">
        <f>'Data Entry Höchst'!X100</f>
        <v>0</v>
      </c>
      <c r="K100" s="39">
        <f>'Data Entry Höchst'!AA100</f>
        <v>0</v>
      </c>
      <c r="L100" s="39">
        <f>'Data Entry Höchst'!AD100</f>
        <v>0</v>
      </c>
      <c r="M100" s="39">
        <f>'Data Entry Höchst'!AG100</f>
        <v>0</v>
      </c>
      <c r="N100" s="39">
        <f>'Data Entry Höchst'!AJ100</f>
        <v>0</v>
      </c>
      <c r="O100" s="39">
        <f>'Data Entry Höchst'!AM100</f>
        <v>0</v>
      </c>
    </row>
    <row r="101" spans="2:15" ht="28" x14ac:dyDescent="0.15">
      <c r="B101" s="42" t="s">
        <v>68</v>
      </c>
      <c r="C101" s="39">
        <f>'Data Entry Höchst'!C101</f>
        <v>0</v>
      </c>
      <c r="D101" s="39">
        <f>'Data Entry Höchst'!F101</f>
        <v>0</v>
      </c>
      <c r="E101" s="39">
        <f>'Data Entry Höchst'!I101</f>
        <v>0</v>
      </c>
      <c r="F101" s="39">
        <f>'Data Entry Höchst'!L101</f>
        <v>0</v>
      </c>
      <c r="G101" s="39">
        <f>'Data Entry Höchst'!O101</f>
        <v>0</v>
      </c>
      <c r="H101" s="39">
        <f>'Data Entry Höchst'!R101</f>
        <v>0</v>
      </c>
      <c r="I101" s="39">
        <f>'Data Entry Höchst'!U101</f>
        <v>0</v>
      </c>
      <c r="J101" s="39">
        <f>'Data Entry Höchst'!X101</f>
        <v>0</v>
      </c>
      <c r="K101" s="39">
        <f>'Data Entry Höchst'!AA101</f>
        <v>0</v>
      </c>
      <c r="L101" s="39">
        <f>'Data Entry Höchst'!AD101</f>
        <v>0</v>
      </c>
      <c r="M101" s="39">
        <f>'Data Entry Höchst'!AG101</f>
        <v>0</v>
      </c>
      <c r="N101" s="39">
        <f>'Data Entry Höchst'!AJ101</f>
        <v>0</v>
      </c>
      <c r="O101" s="39">
        <f>'Data Entry Höchst'!AM101</f>
        <v>0</v>
      </c>
    </row>
    <row r="102" spans="2:15" x14ac:dyDescent="0.15">
      <c r="B102" s="40"/>
      <c r="C102" s="39">
        <f>'Data Entry Höchst'!C102</f>
        <v>0</v>
      </c>
      <c r="D102" s="39">
        <f>'Data Entry Höchst'!F102</f>
        <v>0</v>
      </c>
      <c r="E102" s="39">
        <f>'Data Entry Höchst'!I102</f>
        <v>0</v>
      </c>
      <c r="F102" s="39">
        <f>'Data Entry Höchst'!L102</f>
        <v>0</v>
      </c>
      <c r="G102" s="39">
        <f>'Data Entry Höchst'!O102</f>
        <v>0</v>
      </c>
      <c r="H102" s="39">
        <f>'Data Entry Höchst'!R102</f>
        <v>0</v>
      </c>
      <c r="I102" s="39">
        <f>'Data Entry Höchst'!U102</f>
        <v>0</v>
      </c>
      <c r="J102" s="39">
        <f>'Data Entry Höchst'!X102</f>
        <v>0</v>
      </c>
      <c r="K102" s="39">
        <f>'Data Entry Höchst'!AA102</f>
        <v>0</v>
      </c>
      <c r="L102" s="39">
        <f>'Data Entry Höchst'!AD102</f>
        <v>0</v>
      </c>
      <c r="M102" s="39">
        <f>'Data Entry Höchst'!AG102</f>
        <v>0</v>
      </c>
      <c r="N102" s="39">
        <f>'Data Entry Höchst'!AJ102</f>
        <v>0</v>
      </c>
      <c r="O102" s="39">
        <f>'Data Entry Höchst'!AM102</f>
        <v>0</v>
      </c>
    </row>
    <row r="103" spans="2:15" ht="14" x14ac:dyDescent="0.15">
      <c r="B103" s="42" t="s">
        <v>69</v>
      </c>
      <c r="C103" s="39">
        <f>'Data Entry Höchst'!C103</f>
        <v>2437030.1198999998</v>
      </c>
      <c r="D103" s="39">
        <f>'Data Entry Höchst'!F103</f>
        <v>79093.14</v>
      </c>
      <c r="E103" s="39">
        <f>'Data Entry Höchst'!I103</f>
        <v>176836.98</v>
      </c>
      <c r="F103" s="39">
        <f>'Data Entry Höchst'!L103</f>
        <v>291873.93</v>
      </c>
      <c r="G103" s="39">
        <f>'Data Entry Höchst'!O103</f>
        <v>74918.5</v>
      </c>
      <c r="H103" s="39">
        <f>'Data Entry Höchst'!R103</f>
        <v>253291.67019999999</v>
      </c>
      <c r="I103" s="39">
        <f>'Data Entry Höchst'!U103</f>
        <v>260858.27220000001</v>
      </c>
      <c r="J103" s="39">
        <f>'Data Entry Höchst'!X103</f>
        <v>79811.573799999998</v>
      </c>
      <c r="K103" s="39">
        <f>'Data Entry Höchst'!AA103</f>
        <v>121662.598</v>
      </c>
      <c r="L103" s="39">
        <f>'Data Entry Höchst'!AD103</f>
        <v>351025.78419999999</v>
      </c>
      <c r="M103" s="39">
        <f>'Data Entry Höchst'!AG103</f>
        <v>385114.61330000003</v>
      </c>
      <c r="N103" s="39">
        <f>'Data Entry Höchst'!AJ103</f>
        <v>292267.59539999999</v>
      </c>
      <c r="O103" s="39">
        <f>'Data Entry Höchst'!AM103</f>
        <v>70275.462799999994</v>
      </c>
    </row>
    <row r="104" spans="2:15" x14ac:dyDescent="0.15">
      <c r="B104" s="40"/>
      <c r="C104" s="39">
        <f>'Data Entry Höchst'!C104</f>
        <v>0</v>
      </c>
      <c r="D104" s="39">
        <f>'Data Entry Höchst'!F104</f>
        <v>0</v>
      </c>
      <c r="E104" s="39">
        <f>'Data Entry Höchst'!I104</f>
        <v>0</v>
      </c>
      <c r="F104" s="39">
        <f>'Data Entry Höchst'!L104</f>
        <v>0</v>
      </c>
      <c r="G104" s="39">
        <f>'Data Entry Höchst'!O104</f>
        <v>0</v>
      </c>
      <c r="H104" s="39">
        <f>'Data Entry Höchst'!R104</f>
        <v>0</v>
      </c>
      <c r="I104" s="39">
        <f>'Data Entry Höchst'!U104</f>
        <v>0</v>
      </c>
      <c r="J104" s="39">
        <f>'Data Entry Höchst'!X104</f>
        <v>0</v>
      </c>
      <c r="K104" s="39">
        <f>'Data Entry Höchst'!AA104</f>
        <v>0</v>
      </c>
      <c r="L104" s="39">
        <f>'Data Entry Höchst'!AD104</f>
        <v>0</v>
      </c>
      <c r="M104" s="39">
        <f>'Data Entry Höchst'!AG104</f>
        <v>0</v>
      </c>
      <c r="N104" s="39">
        <f>'Data Entry Höchst'!AJ104</f>
        <v>0</v>
      </c>
      <c r="O104" s="39">
        <f>'Data Entry Höchst'!AM104</f>
        <v>0</v>
      </c>
    </row>
    <row r="105" spans="2:15" ht="14" x14ac:dyDescent="0.15">
      <c r="B105" s="42" t="s">
        <v>70</v>
      </c>
      <c r="C105" s="39">
        <f>'Data Entry Höchst'!C105</f>
        <v>174458.89</v>
      </c>
      <c r="D105" s="39">
        <f>'Data Entry Höchst'!F105</f>
        <v>10523.03</v>
      </c>
      <c r="E105" s="39">
        <f>'Data Entry Höchst'!I105</f>
        <v>9403.0300000000007</v>
      </c>
      <c r="F105" s="39">
        <f>'Data Entry Höchst'!L105</f>
        <v>9523.0300000000007</v>
      </c>
      <c r="G105" s="39">
        <f>'Data Entry Höchst'!O105</f>
        <v>40544.120000000003</v>
      </c>
      <c r="H105" s="39">
        <f>'Data Entry Höchst'!R105</f>
        <v>13058.21</v>
      </c>
      <c r="I105" s="39">
        <f>'Data Entry Höchst'!U105</f>
        <v>13058.21</v>
      </c>
      <c r="J105" s="39">
        <f>'Data Entry Höchst'!X105</f>
        <v>13058.21</v>
      </c>
      <c r="K105" s="39">
        <f>'Data Entry Höchst'!AA105</f>
        <v>13058.21</v>
      </c>
      <c r="L105" s="39">
        <f>'Data Entry Höchst'!AD105</f>
        <v>13058.21</v>
      </c>
      <c r="M105" s="39">
        <f>'Data Entry Höchst'!AG105</f>
        <v>13058.21</v>
      </c>
      <c r="N105" s="39">
        <f>'Data Entry Höchst'!AJ105</f>
        <v>13058.21</v>
      </c>
      <c r="O105" s="39">
        <f>'Data Entry Höchst'!AM105</f>
        <v>13058.21</v>
      </c>
    </row>
    <row r="106" spans="2:15" ht="14" x14ac:dyDescent="0.15">
      <c r="B106" s="38" t="s">
        <v>71</v>
      </c>
      <c r="C106" s="39">
        <f>'Data Entry Höchst'!C106</f>
        <v>88220.37</v>
      </c>
      <c r="D106" s="39">
        <f>'Data Entry Höchst'!F106</f>
        <v>4699.82</v>
      </c>
      <c r="E106" s="39">
        <f>'Data Entry Höchst'!I106</f>
        <v>4699.82</v>
      </c>
      <c r="F106" s="39">
        <f>'Data Entry Höchst'!L106</f>
        <v>4699.82</v>
      </c>
      <c r="G106" s="39">
        <f>'Data Entry Höchst'!O106</f>
        <v>35720.910000000003</v>
      </c>
      <c r="H106" s="39">
        <f>'Data Entry Höchst'!R106</f>
        <v>4800</v>
      </c>
      <c r="I106" s="39">
        <f>'Data Entry Höchst'!U106</f>
        <v>4800</v>
      </c>
      <c r="J106" s="39">
        <f>'Data Entry Höchst'!X106</f>
        <v>4800</v>
      </c>
      <c r="K106" s="39">
        <f>'Data Entry Höchst'!AA106</f>
        <v>4800</v>
      </c>
      <c r="L106" s="39">
        <f>'Data Entry Höchst'!AD106</f>
        <v>4800</v>
      </c>
      <c r="M106" s="39">
        <f>'Data Entry Höchst'!AG106</f>
        <v>4800</v>
      </c>
      <c r="N106" s="39">
        <f>'Data Entry Höchst'!AJ106</f>
        <v>4800</v>
      </c>
      <c r="O106" s="39">
        <f>'Data Entry Höchst'!AM106</f>
        <v>4800</v>
      </c>
    </row>
    <row r="107" spans="2:15" ht="14" x14ac:dyDescent="0.15">
      <c r="B107" s="38" t="s">
        <v>72</v>
      </c>
      <c r="C107" s="39">
        <f>'Data Entry Höchst'!C107</f>
        <v>12000</v>
      </c>
      <c r="D107" s="39">
        <f>'Data Entry Höchst'!F107</f>
        <v>0</v>
      </c>
      <c r="E107" s="39">
        <f>'Data Entry Höchst'!I107</f>
        <v>0</v>
      </c>
      <c r="F107" s="39">
        <f>'Data Entry Höchst'!L107</f>
        <v>0</v>
      </c>
      <c r="G107" s="39">
        <f>'Data Entry Höchst'!O107</f>
        <v>0</v>
      </c>
      <c r="H107" s="39">
        <f>'Data Entry Höchst'!R107</f>
        <v>1500</v>
      </c>
      <c r="I107" s="39">
        <f>'Data Entry Höchst'!U107</f>
        <v>1500</v>
      </c>
      <c r="J107" s="39">
        <f>'Data Entry Höchst'!X107</f>
        <v>1500</v>
      </c>
      <c r="K107" s="39">
        <f>'Data Entry Höchst'!AA107</f>
        <v>1500</v>
      </c>
      <c r="L107" s="39">
        <f>'Data Entry Höchst'!AD107</f>
        <v>1500</v>
      </c>
      <c r="M107" s="39">
        <f>'Data Entry Höchst'!AG107</f>
        <v>1500</v>
      </c>
      <c r="N107" s="39">
        <f>'Data Entry Höchst'!AJ107</f>
        <v>1500</v>
      </c>
      <c r="O107" s="39">
        <f>'Data Entry Höchst'!AM107</f>
        <v>1500</v>
      </c>
    </row>
    <row r="108" spans="2:15" ht="14" x14ac:dyDescent="0.15">
      <c r="B108" s="38" t="s">
        <v>73</v>
      </c>
      <c r="C108" s="39">
        <f>'Data Entry Höchst'!C108</f>
        <v>9000</v>
      </c>
      <c r="D108" s="39">
        <f>'Data Entry Höchst'!F108</f>
        <v>1000</v>
      </c>
      <c r="E108" s="39">
        <f>'Data Entry Höchst'!I108</f>
        <v>0</v>
      </c>
      <c r="F108" s="39">
        <f>'Data Entry Höchst'!L108</f>
        <v>0</v>
      </c>
      <c r="G108" s="39">
        <f>'Data Entry Höchst'!O108</f>
        <v>0</v>
      </c>
      <c r="H108" s="39">
        <f>'Data Entry Höchst'!R108</f>
        <v>1000</v>
      </c>
      <c r="I108" s="39">
        <f>'Data Entry Höchst'!U108</f>
        <v>1000</v>
      </c>
      <c r="J108" s="39">
        <f>'Data Entry Höchst'!X108</f>
        <v>1000</v>
      </c>
      <c r="K108" s="39">
        <f>'Data Entry Höchst'!AA108</f>
        <v>1000</v>
      </c>
      <c r="L108" s="39">
        <f>'Data Entry Höchst'!AD108</f>
        <v>1000</v>
      </c>
      <c r="M108" s="39">
        <f>'Data Entry Höchst'!AG108</f>
        <v>1000</v>
      </c>
      <c r="N108" s="39">
        <f>'Data Entry Höchst'!AJ108</f>
        <v>1000</v>
      </c>
      <c r="O108" s="39">
        <f>'Data Entry Höchst'!AM108</f>
        <v>1000</v>
      </c>
    </row>
    <row r="109" spans="2:15" ht="14" x14ac:dyDescent="0.15">
      <c r="B109" s="38" t="s">
        <v>74</v>
      </c>
      <c r="C109" s="39">
        <f>'Data Entry Höchst'!C109</f>
        <v>7200</v>
      </c>
      <c r="D109" s="39">
        <f>'Data Entry Höchst'!F109</f>
        <v>120</v>
      </c>
      <c r="E109" s="39">
        <f>'Data Entry Höchst'!I109</f>
        <v>0</v>
      </c>
      <c r="F109" s="39">
        <f>'Data Entry Höchst'!L109</f>
        <v>120</v>
      </c>
      <c r="G109" s="39">
        <f>'Data Entry Höchst'!O109</f>
        <v>120</v>
      </c>
      <c r="H109" s="39">
        <f>'Data Entry Höchst'!R109</f>
        <v>855</v>
      </c>
      <c r="I109" s="39">
        <f>'Data Entry Höchst'!U109</f>
        <v>855</v>
      </c>
      <c r="J109" s="39">
        <f>'Data Entry Höchst'!X109</f>
        <v>855</v>
      </c>
      <c r="K109" s="39">
        <f>'Data Entry Höchst'!AA109</f>
        <v>855</v>
      </c>
      <c r="L109" s="39">
        <f>'Data Entry Höchst'!AD109</f>
        <v>855</v>
      </c>
      <c r="M109" s="39">
        <f>'Data Entry Höchst'!AG109</f>
        <v>855</v>
      </c>
      <c r="N109" s="39">
        <f>'Data Entry Höchst'!AJ109</f>
        <v>855</v>
      </c>
      <c r="O109" s="39">
        <f>'Data Entry Höchst'!AM109</f>
        <v>855</v>
      </c>
    </row>
    <row r="110" spans="2:15" ht="14" x14ac:dyDescent="0.15">
      <c r="B110" s="38" t="s">
        <v>75</v>
      </c>
      <c r="C110" s="39">
        <f>'Data Entry Höchst'!C110</f>
        <v>56438.52</v>
      </c>
      <c r="D110" s="39">
        <f>'Data Entry Höchst'!F110</f>
        <v>4703.21</v>
      </c>
      <c r="E110" s="39">
        <f>'Data Entry Höchst'!I110</f>
        <v>4703.21</v>
      </c>
      <c r="F110" s="39">
        <f>'Data Entry Höchst'!L110</f>
        <v>4703.21</v>
      </c>
      <c r="G110" s="39">
        <f>'Data Entry Höchst'!O110</f>
        <v>4703.21</v>
      </c>
      <c r="H110" s="39">
        <f>'Data Entry Höchst'!R110</f>
        <v>4703.21</v>
      </c>
      <c r="I110" s="39">
        <f>'Data Entry Höchst'!U110</f>
        <v>4703.21</v>
      </c>
      <c r="J110" s="39">
        <f>'Data Entry Höchst'!X110</f>
        <v>4703.21</v>
      </c>
      <c r="K110" s="39">
        <f>'Data Entry Höchst'!AA110</f>
        <v>4703.21</v>
      </c>
      <c r="L110" s="39">
        <f>'Data Entry Höchst'!AD110</f>
        <v>4703.21</v>
      </c>
      <c r="M110" s="39">
        <f>'Data Entry Höchst'!AG110</f>
        <v>4703.21</v>
      </c>
      <c r="N110" s="39">
        <f>'Data Entry Höchst'!AJ110</f>
        <v>4703.21</v>
      </c>
      <c r="O110" s="39">
        <f>'Data Entry Höchst'!AM110</f>
        <v>4703.21</v>
      </c>
    </row>
    <row r="111" spans="2:15" ht="14" x14ac:dyDescent="0.15">
      <c r="B111" s="38" t="s">
        <v>76</v>
      </c>
      <c r="C111" s="39">
        <f>'Data Entry Höchst'!C111</f>
        <v>1600</v>
      </c>
      <c r="D111" s="39">
        <f>'Data Entry Höchst'!F111</f>
        <v>0</v>
      </c>
      <c r="E111" s="39">
        <f>'Data Entry Höchst'!I111</f>
        <v>0</v>
      </c>
      <c r="F111" s="39">
        <f>'Data Entry Höchst'!L111</f>
        <v>0</v>
      </c>
      <c r="G111" s="39">
        <f>'Data Entry Höchst'!O111</f>
        <v>0</v>
      </c>
      <c r="H111" s="39">
        <f>'Data Entry Höchst'!R111</f>
        <v>200</v>
      </c>
      <c r="I111" s="39">
        <f>'Data Entry Höchst'!U111</f>
        <v>200</v>
      </c>
      <c r="J111" s="39">
        <f>'Data Entry Höchst'!X111</f>
        <v>200</v>
      </c>
      <c r="K111" s="39">
        <f>'Data Entry Höchst'!AA111</f>
        <v>200</v>
      </c>
      <c r="L111" s="39">
        <f>'Data Entry Höchst'!AD111</f>
        <v>200</v>
      </c>
      <c r="M111" s="39">
        <f>'Data Entry Höchst'!AG111</f>
        <v>200</v>
      </c>
      <c r="N111" s="39">
        <f>'Data Entry Höchst'!AJ111</f>
        <v>200</v>
      </c>
      <c r="O111" s="39">
        <f>'Data Entry Höchst'!AM111</f>
        <v>200</v>
      </c>
    </row>
    <row r="112" spans="2:15" ht="14" x14ac:dyDescent="0.15">
      <c r="B112" s="38" t="s">
        <v>77</v>
      </c>
      <c r="C112" s="39">
        <f>'Data Entry Höchst'!C112</f>
        <v>0</v>
      </c>
      <c r="D112" s="39">
        <f>'Data Entry Höchst'!F112</f>
        <v>0</v>
      </c>
      <c r="E112" s="39">
        <f>'Data Entry Höchst'!I112</f>
        <v>0</v>
      </c>
      <c r="F112" s="39">
        <f>'Data Entry Höchst'!L112</f>
        <v>0</v>
      </c>
      <c r="G112" s="39">
        <f>'Data Entry Höchst'!O112</f>
        <v>0</v>
      </c>
      <c r="H112" s="39">
        <f>'Data Entry Höchst'!R112</f>
        <v>0</v>
      </c>
      <c r="I112" s="39">
        <f>'Data Entry Höchst'!U112</f>
        <v>0</v>
      </c>
      <c r="J112" s="39">
        <f>'Data Entry Höchst'!X112</f>
        <v>0</v>
      </c>
      <c r="K112" s="39">
        <f>'Data Entry Höchst'!AA112</f>
        <v>0</v>
      </c>
      <c r="L112" s="39">
        <f>'Data Entry Höchst'!AD112</f>
        <v>0</v>
      </c>
      <c r="M112" s="39">
        <f>'Data Entry Höchst'!AG112</f>
        <v>0</v>
      </c>
      <c r="N112" s="39">
        <f>'Data Entry Höchst'!AJ112</f>
        <v>0</v>
      </c>
      <c r="O112" s="39">
        <f>'Data Entry Höchst'!AM112</f>
        <v>0</v>
      </c>
    </row>
    <row r="113" spans="2:15" ht="14" x14ac:dyDescent="0.15">
      <c r="B113" s="38" t="s">
        <v>78</v>
      </c>
      <c r="C113" s="39">
        <f>'Data Entry Höchst'!C113</f>
        <v>0</v>
      </c>
      <c r="D113" s="39">
        <f>'Data Entry Höchst'!F113</f>
        <v>0</v>
      </c>
      <c r="E113" s="39">
        <f>'Data Entry Höchst'!I113</f>
        <v>0</v>
      </c>
      <c r="F113" s="39">
        <f>'Data Entry Höchst'!L113</f>
        <v>0</v>
      </c>
      <c r="G113" s="39">
        <f>'Data Entry Höchst'!O113</f>
        <v>0</v>
      </c>
      <c r="H113" s="39">
        <f>'Data Entry Höchst'!R113</f>
        <v>0</v>
      </c>
      <c r="I113" s="39">
        <f>'Data Entry Höchst'!U113</f>
        <v>0</v>
      </c>
      <c r="J113" s="39">
        <f>'Data Entry Höchst'!X113</f>
        <v>0</v>
      </c>
      <c r="K113" s="39">
        <f>'Data Entry Höchst'!AA113</f>
        <v>0</v>
      </c>
      <c r="L113" s="39">
        <f>'Data Entry Höchst'!AD113</f>
        <v>0</v>
      </c>
      <c r="M113" s="39">
        <f>'Data Entry Höchst'!AG113</f>
        <v>0</v>
      </c>
      <c r="N113" s="39">
        <f>'Data Entry Höchst'!AJ113</f>
        <v>0</v>
      </c>
      <c r="O113" s="39">
        <f>'Data Entry Höchst'!AM113</f>
        <v>0</v>
      </c>
    </row>
    <row r="114" spans="2:15" ht="14" x14ac:dyDescent="0.15">
      <c r="B114" s="38" t="s">
        <v>79</v>
      </c>
      <c r="C114" s="39">
        <f>'Data Entry Höchst'!C114</f>
        <v>0</v>
      </c>
      <c r="D114" s="39">
        <f>'Data Entry Höchst'!F114</f>
        <v>0</v>
      </c>
      <c r="E114" s="39">
        <f>'Data Entry Höchst'!I114</f>
        <v>0</v>
      </c>
      <c r="F114" s="39">
        <f>'Data Entry Höchst'!L114</f>
        <v>0</v>
      </c>
      <c r="G114" s="39">
        <f>'Data Entry Höchst'!O114</f>
        <v>0</v>
      </c>
      <c r="H114" s="39">
        <f>'Data Entry Höchst'!R114</f>
        <v>0</v>
      </c>
      <c r="I114" s="39">
        <f>'Data Entry Höchst'!U114</f>
        <v>0</v>
      </c>
      <c r="J114" s="39">
        <f>'Data Entry Höchst'!X114</f>
        <v>0</v>
      </c>
      <c r="K114" s="39">
        <f>'Data Entry Höchst'!AA114</f>
        <v>0</v>
      </c>
      <c r="L114" s="39">
        <f>'Data Entry Höchst'!AD114</f>
        <v>0</v>
      </c>
      <c r="M114" s="39">
        <f>'Data Entry Höchst'!AG114</f>
        <v>0</v>
      </c>
      <c r="N114" s="39">
        <f>'Data Entry Höchst'!AJ114</f>
        <v>0</v>
      </c>
      <c r="O114" s="39">
        <f>'Data Entry Höchst'!AM114</f>
        <v>0</v>
      </c>
    </row>
    <row r="115" spans="2:15" ht="14" x14ac:dyDescent="0.15">
      <c r="B115" s="38" t="s">
        <v>80</v>
      </c>
      <c r="C115" s="39">
        <f>'Data Entry Höchst'!C115</f>
        <v>0</v>
      </c>
      <c r="D115" s="39">
        <f>'Data Entry Höchst'!F115</f>
        <v>0</v>
      </c>
      <c r="E115" s="39">
        <f>'Data Entry Höchst'!I115</f>
        <v>0</v>
      </c>
      <c r="F115" s="39">
        <f>'Data Entry Höchst'!L115</f>
        <v>0</v>
      </c>
      <c r="G115" s="39">
        <f>'Data Entry Höchst'!O115</f>
        <v>0</v>
      </c>
      <c r="H115" s="39">
        <f>'Data Entry Höchst'!R115</f>
        <v>0</v>
      </c>
      <c r="I115" s="39">
        <f>'Data Entry Höchst'!U115</f>
        <v>0</v>
      </c>
      <c r="J115" s="39">
        <f>'Data Entry Höchst'!X115</f>
        <v>0</v>
      </c>
      <c r="K115" s="39">
        <f>'Data Entry Höchst'!AA115</f>
        <v>0</v>
      </c>
      <c r="L115" s="39">
        <f>'Data Entry Höchst'!AD115</f>
        <v>0</v>
      </c>
      <c r="M115" s="39">
        <f>'Data Entry Höchst'!AG115</f>
        <v>0</v>
      </c>
      <c r="N115" s="39">
        <f>'Data Entry Höchst'!AJ115</f>
        <v>0</v>
      </c>
      <c r="O115" s="39">
        <f>'Data Entry Höchst'!AM115</f>
        <v>0</v>
      </c>
    </row>
    <row r="116" spans="2:15" x14ac:dyDescent="0.15">
      <c r="B116" s="40"/>
      <c r="C116" s="39">
        <f>'Data Entry Höchst'!C116</f>
        <v>0</v>
      </c>
      <c r="D116" s="39">
        <f>'Data Entry Höchst'!F116</f>
        <v>0</v>
      </c>
      <c r="E116" s="39">
        <f>'Data Entry Höchst'!I116</f>
        <v>0</v>
      </c>
      <c r="F116" s="39">
        <f>'Data Entry Höchst'!L116</f>
        <v>0</v>
      </c>
      <c r="G116" s="39">
        <f>'Data Entry Höchst'!O116</f>
        <v>0</v>
      </c>
      <c r="H116" s="39">
        <f>'Data Entry Höchst'!R116</f>
        <v>0</v>
      </c>
      <c r="I116" s="39">
        <f>'Data Entry Höchst'!U116</f>
        <v>0</v>
      </c>
      <c r="J116" s="39">
        <f>'Data Entry Höchst'!X116</f>
        <v>0</v>
      </c>
      <c r="K116" s="39">
        <f>'Data Entry Höchst'!AA116</f>
        <v>0</v>
      </c>
      <c r="L116" s="39">
        <f>'Data Entry Höchst'!AD116</f>
        <v>0</v>
      </c>
      <c r="M116" s="39">
        <f>'Data Entry Höchst'!AG116</f>
        <v>0</v>
      </c>
      <c r="N116" s="39">
        <f>'Data Entry Höchst'!AJ116</f>
        <v>0</v>
      </c>
      <c r="O116" s="39">
        <f>'Data Entry Höchst'!AM116</f>
        <v>0</v>
      </c>
    </row>
    <row r="117" spans="2:15" ht="14" x14ac:dyDescent="0.15">
      <c r="B117" s="42" t="s">
        <v>81</v>
      </c>
      <c r="C117" s="39">
        <f>'Data Entry Höchst'!C117</f>
        <v>0</v>
      </c>
      <c r="D117" s="39">
        <f>'Data Entry Höchst'!F117</f>
        <v>0</v>
      </c>
      <c r="E117" s="39">
        <f>'Data Entry Höchst'!I117</f>
        <v>0</v>
      </c>
      <c r="F117" s="39">
        <f>'Data Entry Höchst'!L117</f>
        <v>0</v>
      </c>
      <c r="G117" s="39">
        <f>'Data Entry Höchst'!O117</f>
        <v>0</v>
      </c>
      <c r="H117" s="39">
        <f>'Data Entry Höchst'!R117</f>
        <v>0</v>
      </c>
      <c r="I117" s="39">
        <f>'Data Entry Höchst'!U117</f>
        <v>0</v>
      </c>
      <c r="J117" s="39">
        <f>'Data Entry Höchst'!X117</f>
        <v>0</v>
      </c>
      <c r="K117" s="39">
        <f>'Data Entry Höchst'!AA117</f>
        <v>0</v>
      </c>
      <c r="L117" s="39">
        <f>'Data Entry Höchst'!AD117</f>
        <v>0</v>
      </c>
      <c r="M117" s="39">
        <f>'Data Entry Höchst'!AG117</f>
        <v>0</v>
      </c>
      <c r="N117" s="39">
        <f>'Data Entry Höchst'!AJ117</f>
        <v>0</v>
      </c>
      <c r="O117" s="39">
        <f>'Data Entry Höchst'!AM117</f>
        <v>0</v>
      </c>
    </row>
    <row r="118" spans="2:15" ht="14" x14ac:dyDescent="0.15">
      <c r="B118" s="38" t="s">
        <v>82</v>
      </c>
      <c r="C118" s="39">
        <f>'Data Entry Höchst'!C118</f>
        <v>0</v>
      </c>
      <c r="D118" s="39">
        <f>'Data Entry Höchst'!F118</f>
        <v>0</v>
      </c>
      <c r="E118" s="39">
        <f>'Data Entry Höchst'!I118</f>
        <v>0</v>
      </c>
      <c r="F118" s="39">
        <f>'Data Entry Höchst'!L118</f>
        <v>0</v>
      </c>
      <c r="G118" s="39">
        <f>'Data Entry Höchst'!O118</f>
        <v>0</v>
      </c>
      <c r="H118" s="39">
        <f>'Data Entry Höchst'!R118</f>
        <v>0</v>
      </c>
      <c r="I118" s="39">
        <f>'Data Entry Höchst'!U118</f>
        <v>0</v>
      </c>
      <c r="J118" s="39">
        <f>'Data Entry Höchst'!X118</f>
        <v>0</v>
      </c>
      <c r="K118" s="39">
        <f>'Data Entry Höchst'!AA118</f>
        <v>0</v>
      </c>
      <c r="L118" s="39">
        <f>'Data Entry Höchst'!AD118</f>
        <v>0</v>
      </c>
      <c r="M118" s="39">
        <f>'Data Entry Höchst'!AG118</f>
        <v>0</v>
      </c>
      <c r="N118" s="39">
        <f>'Data Entry Höchst'!AJ118</f>
        <v>0</v>
      </c>
      <c r="O118" s="39">
        <f>'Data Entry Höchst'!AM118</f>
        <v>0</v>
      </c>
    </row>
    <row r="119" spans="2:15" ht="14" x14ac:dyDescent="0.15">
      <c r="B119" s="38" t="s">
        <v>83</v>
      </c>
      <c r="C119" s="39">
        <f>'Data Entry Höchst'!C119</f>
        <v>0</v>
      </c>
      <c r="D119" s="39">
        <f>'Data Entry Höchst'!F119</f>
        <v>0</v>
      </c>
      <c r="E119" s="39">
        <f>'Data Entry Höchst'!I119</f>
        <v>0</v>
      </c>
      <c r="F119" s="39">
        <f>'Data Entry Höchst'!L119</f>
        <v>0</v>
      </c>
      <c r="G119" s="39">
        <f>'Data Entry Höchst'!O119</f>
        <v>0</v>
      </c>
      <c r="H119" s="39">
        <f>'Data Entry Höchst'!R119</f>
        <v>0</v>
      </c>
      <c r="I119" s="39">
        <f>'Data Entry Höchst'!U119</f>
        <v>0</v>
      </c>
      <c r="J119" s="39">
        <f>'Data Entry Höchst'!X119</f>
        <v>0</v>
      </c>
      <c r="K119" s="39">
        <f>'Data Entry Höchst'!AA119</f>
        <v>0</v>
      </c>
      <c r="L119" s="39">
        <f>'Data Entry Höchst'!AD119</f>
        <v>0</v>
      </c>
      <c r="M119" s="39">
        <f>'Data Entry Höchst'!AG119</f>
        <v>0</v>
      </c>
      <c r="N119" s="39">
        <f>'Data Entry Höchst'!AJ119</f>
        <v>0</v>
      </c>
      <c r="O119" s="39">
        <f>'Data Entry Höchst'!AM119</f>
        <v>0</v>
      </c>
    </row>
    <row r="120" spans="2:15" x14ac:dyDescent="0.15">
      <c r="B120" s="40"/>
      <c r="C120" s="39">
        <f>'Data Entry Höchst'!C120</f>
        <v>0</v>
      </c>
      <c r="D120" s="39">
        <f>'Data Entry Höchst'!F120</f>
        <v>0</v>
      </c>
      <c r="E120" s="39">
        <f>'Data Entry Höchst'!I120</f>
        <v>0</v>
      </c>
      <c r="F120" s="39">
        <f>'Data Entry Höchst'!L120</f>
        <v>0</v>
      </c>
      <c r="G120" s="39">
        <f>'Data Entry Höchst'!O120</f>
        <v>0</v>
      </c>
      <c r="H120" s="39">
        <f>'Data Entry Höchst'!R120</f>
        <v>0</v>
      </c>
      <c r="I120" s="39">
        <f>'Data Entry Höchst'!U120</f>
        <v>0</v>
      </c>
      <c r="J120" s="39">
        <f>'Data Entry Höchst'!X120</f>
        <v>0</v>
      </c>
      <c r="K120" s="39">
        <f>'Data Entry Höchst'!AA120</f>
        <v>0</v>
      </c>
      <c r="L120" s="39">
        <f>'Data Entry Höchst'!AD120</f>
        <v>0</v>
      </c>
      <c r="M120" s="39">
        <f>'Data Entry Höchst'!AG120</f>
        <v>0</v>
      </c>
      <c r="N120" s="39">
        <f>'Data Entry Höchst'!AJ120</f>
        <v>0</v>
      </c>
      <c r="O120" s="39">
        <f>'Data Entry Höchst'!AM120</f>
        <v>0</v>
      </c>
    </row>
    <row r="121" spans="2:15" ht="14" x14ac:dyDescent="0.15">
      <c r="B121" s="42" t="s">
        <v>84</v>
      </c>
      <c r="C121" s="39">
        <f>'Data Entry Höchst'!C121</f>
        <v>2262571.2299000002</v>
      </c>
      <c r="D121" s="39">
        <f>'Data Entry Höchst'!F121</f>
        <v>68570.11</v>
      </c>
      <c r="E121" s="39">
        <f>'Data Entry Höchst'!I121</f>
        <v>167433.95000000001</v>
      </c>
      <c r="F121" s="39">
        <f>'Data Entry Höchst'!L121</f>
        <v>282350.90000000002</v>
      </c>
      <c r="G121" s="39">
        <f>'Data Entry Höchst'!O121</f>
        <v>34374.379999999997</v>
      </c>
      <c r="H121" s="39">
        <f>'Data Entry Höchst'!R121</f>
        <v>240233.4602</v>
      </c>
      <c r="I121" s="39">
        <f>'Data Entry Höchst'!U121</f>
        <v>247800.06219999999</v>
      </c>
      <c r="J121" s="39">
        <f>'Data Entry Höchst'!X121</f>
        <v>66753.363800000006</v>
      </c>
      <c r="K121" s="39">
        <f>'Data Entry Höchst'!AA121</f>
        <v>108604.38800000001</v>
      </c>
      <c r="L121" s="39">
        <f>'Data Entry Höchst'!AD121</f>
        <v>337967.57419999997</v>
      </c>
      <c r="M121" s="39">
        <f>'Data Entry Höchst'!AG121</f>
        <v>372056.40330000001</v>
      </c>
      <c r="N121" s="39">
        <f>'Data Entry Höchst'!AJ121</f>
        <v>279209.38540000003</v>
      </c>
      <c r="O121" s="39">
        <f>'Data Entry Höchst'!AM121</f>
        <v>57217.252800000002</v>
      </c>
    </row>
    <row r="122" spans="2:15" ht="14" x14ac:dyDescent="0.15">
      <c r="B122" s="38" t="s">
        <v>85</v>
      </c>
      <c r="C122" s="39">
        <f>'Data Entry Höchst'!C122</f>
        <v>226267.1398</v>
      </c>
      <c r="D122" s="39">
        <f>'Data Entry Höchst'!F122</f>
        <v>13709.35</v>
      </c>
      <c r="E122" s="39">
        <f>'Data Entry Höchst'!I122</f>
        <v>16628.599999999999</v>
      </c>
      <c r="F122" s="39">
        <f>'Data Entry Höchst'!L122</f>
        <v>0</v>
      </c>
      <c r="G122" s="39">
        <f>'Data Entry Höchst'!O122</f>
        <v>36631.03</v>
      </c>
      <c r="H122" s="39">
        <f>'Data Entry Höchst'!R122</f>
        <v>20238.465800000002</v>
      </c>
      <c r="I122" s="39">
        <f>'Data Entry Höchst'!U122</f>
        <v>20983.684000000001</v>
      </c>
      <c r="J122" s="39">
        <f>'Data Entry Höchst'!X122</f>
        <v>13948.6567</v>
      </c>
      <c r="K122" s="39">
        <f>'Data Entry Höchst'!AA122</f>
        <v>14847.6762</v>
      </c>
      <c r="L122" s="39">
        <f>'Data Entry Höchst'!AD122</f>
        <v>23923.411199999999</v>
      </c>
      <c r="M122" s="39">
        <f>'Data Entry Höchst'!AG122</f>
        <v>24736.9843</v>
      </c>
      <c r="N122" s="39">
        <f>'Data Entry Höchst'!AJ122</f>
        <v>25322.979800000001</v>
      </c>
      <c r="O122" s="39">
        <f>'Data Entry Höchst'!AM122</f>
        <v>15296.301799999999</v>
      </c>
    </row>
    <row r="123" spans="2:15" x14ac:dyDescent="0.15">
      <c r="B123" s="40"/>
      <c r="C123" s="39">
        <f>'Data Entry Höchst'!C123</f>
        <v>0</v>
      </c>
      <c r="D123" s="39">
        <f>'Data Entry Höchst'!F123</f>
        <v>0</v>
      </c>
      <c r="E123" s="39">
        <f>'Data Entry Höchst'!I123</f>
        <v>0</v>
      </c>
      <c r="F123" s="39">
        <f>'Data Entry Höchst'!L123</f>
        <v>0</v>
      </c>
      <c r="G123" s="39">
        <f>'Data Entry Höchst'!O123</f>
        <v>0</v>
      </c>
      <c r="H123" s="39">
        <f>'Data Entry Höchst'!R123</f>
        <v>0</v>
      </c>
      <c r="I123" s="39">
        <f>'Data Entry Höchst'!U123</f>
        <v>0</v>
      </c>
      <c r="J123" s="39">
        <f>'Data Entry Höchst'!X123</f>
        <v>0</v>
      </c>
      <c r="K123" s="39">
        <f>'Data Entry Höchst'!AA123</f>
        <v>0</v>
      </c>
      <c r="L123" s="39">
        <f>'Data Entry Höchst'!AD123</f>
        <v>0</v>
      </c>
      <c r="M123" s="39">
        <f>'Data Entry Höchst'!AG123</f>
        <v>0</v>
      </c>
      <c r="N123" s="39">
        <f>'Data Entry Höchst'!AJ123</f>
        <v>0</v>
      </c>
      <c r="O123" s="39">
        <f>'Data Entry Höchst'!AM123</f>
        <v>0</v>
      </c>
    </row>
    <row r="124" spans="2:15" ht="14" x14ac:dyDescent="0.15">
      <c r="B124" s="42" t="s">
        <v>86</v>
      </c>
      <c r="C124" s="39">
        <f>'Data Entry Höchst'!C124</f>
        <v>2036304.0900999999</v>
      </c>
      <c r="D124" s="39">
        <f>'Data Entry Höchst'!F124</f>
        <v>54860.76</v>
      </c>
      <c r="E124" s="39">
        <f>'Data Entry Höchst'!I124</f>
        <v>150805.35</v>
      </c>
      <c r="F124" s="39">
        <f>'Data Entry Höchst'!L124</f>
        <v>282350.90000000002</v>
      </c>
      <c r="G124" s="39">
        <f>'Data Entry Höchst'!O124</f>
        <v>-2256.65</v>
      </c>
      <c r="H124" s="39">
        <f>'Data Entry Höchst'!R124</f>
        <v>219994.9944</v>
      </c>
      <c r="I124" s="39">
        <f>'Data Entry Höchst'!U124</f>
        <v>226816.37820000001</v>
      </c>
      <c r="J124" s="39">
        <f>'Data Entry Höchst'!X124</f>
        <v>52804.7071</v>
      </c>
      <c r="K124" s="39">
        <f>'Data Entry Höchst'!AA124</f>
        <v>93756.711800000005</v>
      </c>
      <c r="L124" s="39">
        <f>'Data Entry Höchst'!AD124</f>
        <v>314044.163</v>
      </c>
      <c r="M124" s="39">
        <f>'Data Entry Höchst'!AG124</f>
        <v>347319.41899999999</v>
      </c>
      <c r="N124" s="39">
        <f>'Data Entry Höchst'!AJ124</f>
        <v>253886.4056</v>
      </c>
      <c r="O124" s="39">
        <f>'Data Entry Höchst'!AM124</f>
        <v>41920.951000000001</v>
      </c>
    </row>
    <row r="125" spans="2:15" ht="14" x14ac:dyDescent="0.15">
      <c r="B125" s="38" t="s">
        <v>87</v>
      </c>
      <c r="C125" s="39">
        <f>'Data Entry Höchst'!C125</f>
        <v>0</v>
      </c>
      <c r="D125" s="39">
        <f>'Data Entry Höchst'!F125</f>
        <v>0</v>
      </c>
      <c r="E125" s="39">
        <f>'Data Entry Höchst'!I125</f>
        <v>0</v>
      </c>
      <c r="F125" s="39">
        <f>'Data Entry Höchst'!L125</f>
        <v>0</v>
      </c>
      <c r="G125" s="39">
        <f>'Data Entry Höchst'!O125</f>
        <v>0</v>
      </c>
      <c r="H125" s="39">
        <f>'Data Entry Höchst'!R125</f>
        <v>0</v>
      </c>
      <c r="I125" s="39">
        <f>'Data Entry Höchst'!U125</f>
        <v>0</v>
      </c>
      <c r="J125" s="39">
        <f>'Data Entry Höchst'!X125</f>
        <v>0</v>
      </c>
      <c r="K125" s="39">
        <f>'Data Entry Höchst'!AA125</f>
        <v>0</v>
      </c>
      <c r="L125" s="39">
        <f>'Data Entry Höchst'!AD125</f>
        <v>0</v>
      </c>
      <c r="M125" s="39">
        <f>'Data Entry Höchst'!AG125</f>
        <v>0</v>
      </c>
      <c r="N125" s="39">
        <f>'Data Entry Höchst'!AJ125</f>
        <v>0</v>
      </c>
      <c r="O125" s="39">
        <f>'Data Entry Höchst'!AM125</f>
        <v>0</v>
      </c>
    </row>
    <row r="126" spans="2:15" x14ac:dyDescent="0.15">
      <c r="B126" s="40"/>
      <c r="C126" s="39">
        <f>'Data Entry Höchst'!C126</f>
        <v>0</v>
      </c>
      <c r="D126" s="39">
        <f>'Data Entry Höchst'!F126</f>
        <v>0</v>
      </c>
      <c r="E126" s="39">
        <f>'Data Entry Höchst'!I126</f>
        <v>0</v>
      </c>
      <c r="F126" s="39">
        <f>'Data Entry Höchst'!L126</f>
        <v>0</v>
      </c>
      <c r="G126" s="39">
        <f>'Data Entry Höchst'!O126</f>
        <v>0</v>
      </c>
      <c r="H126" s="39">
        <f>'Data Entry Höchst'!R126</f>
        <v>0</v>
      </c>
      <c r="I126" s="39">
        <f>'Data Entry Höchst'!U126</f>
        <v>0</v>
      </c>
      <c r="J126" s="39">
        <f>'Data Entry Höchst'!X126</f>
        <v>0</v>
      </c>
      <c r="K126" s="39">
        <f>'Data Entry Höchst'!AA126</f>
        <v>0</v>
      </c>
      <c r="L126" s="39">
        <f>'Data Entry Höchst'!AD126</f>
        <v>0</v>
      </c>
      <c r="M126" s="39">
        <f>'Data Entry Höchst'!AG126</f>
        <v>0</v>
      </c>
      <c r="N126" s="39">
        <f>'Data Entry Höchst'!AJ126</f>
        <v>0</v>
      </c>
      <c r="O126" s="39">
        <f>'Data Entry Höchst'!AM126</f>
        <v>0</v>
      </c>
    </row>
    <row r="127" spans="2:15" ht="14" x14ac:dyDescent="0.15">
      <c r="B127" s="42" t="s">
        <v>88</v>
      </c>
      <c r="C127" s="39">
        <f>'Data Entry Höchst'!C127</f>
        <v>2036304.0900999999</v>
      </c>
      <c r="D127" s="39">
        <f>'Data Entry Höchst'!F127</f>
        <v>54860.76</v>
      </c>
      <c r="E127" s="39">
        <f>'Data Entry Höchst'!I127</f>
        <v>150805.35</v>
      </c>
      <c r="F127" s="39">
        <f>'Data Entry Höchst'!L127</f>
        <v>282350.90000000002</v>
      </c>
      <c r="G127" s="39">
        <f>'Data Entry Höchst'!O127</f>
        <v>-2256.65</v>
      </c>
      <c r="H127" s="39">
        <f>'Data Entry Höchst'!R127</f>
        <v>219994.9944</v>
      </c>
      <c r="I127" s="39">
        <f>'Data Entry Höchst'!U127</f>
        <v>226816.37820000001</v>
      </c>
      <c r="J127" s="39">
        <f>'Data Entry Höchst'!X127</f>
        <v>52804.7071</v>
      </c>
      <c r="K127" s="39">
        <f>'Data Entry Höchst'!AA127</f>
        <v>93756.711800000005</v>
      </c>
      <c r="L127" s="39">
        <f>'Data Entry Höchst'!AD127</f>
        <v>314044.163</v>
      </c>
      <c r="M127" s="39">
        <f>'Data Entry Höchst'!AG127</f>
        <v>347319.41899999999</v>
      </c>
      <c r="N127" s="39">
        <f>'Data Entry Höchst'!AJ127</f>
        <v>253886.4056</v>
      </c>
      <c r="O127" s="39">
        <f>'Data Entry Höchst'!AM127</f>
        <v>41920.951000000001</v>
      </c>
    </row>
    <row r="128" spans="2:15" x14ac:dyDescent="0.15">
      <c r="B128" s="40"/>
      <c r="C128" s="39">
        <f>'Data Entry Höchst'!C128</f>
        <v>0</v>
      </c>
      <c r="D128" s="39">
        <f>'Data Entry Höchst'!F128</f>
        <v>0</v>
      </c>
      <c r="E128" s="39">
        <f>'Data Entry Höchst'!I128</f>
        <v>0</v>
      </c>
      <c r="F128" s="39">
        <f>'Data Entry Höchst'!L128</f>
        <v>0</v>
      </c>
      <c r="G128" s="39">
        <f>'Data Entry Höchst'!O128</f>
        <v>0</v>
      </c>
      <c r="H128" s="39">
        <f>'Data Entry Höchst'!R128</f>
        <v>0</v>
      </c>
      <c r="I128" s="39">
        <f>'Data Entry Höchst'!U128</f>
        <v>0</v>
      </c>
      <c r="J128" s="39">
        <f>'Data Entry Höchst'!X128</f>
        <v>0</v>
      </c>
      <c r="K128" s="39">
        <f>'Data Entry Höchst'!AA128</f>
        <v>0</v>
      </c>
      <c r="L128" s="39">
        <f>'Data Entry Höchst'!AD128</f>
        <v>0</v>
      </c>
      <c r="M128" s="39">
        <f>'Data Entry Höchst'!AG128</f>
        <v>0</v>
      </c>
      <c r="N128" s="39">
        <f>'Data Entry Höchst'!AJ128</f>
        <v>0</v>
      </c>
      <c r="O128" s="39">
        <f>'Data Entry Höchst'!AM128</f>
        <v>0</v>
      </c>
    </row>
    <row r="129" spans="2:15" ht="14" x14ac:dyDescent="0.15">
      <c r="B129" s="42" t="s">
        <v>89</v>
      </c>
      <c r="C129" s="39">
        <f>'Data Entry Höchst'!C129</f>
        <v>193148.88759999999</v>
      </c>
      <c r="D129" s="39">
        <f>'Data Entry Höchst'!F129</f>
        <v>16451.22</v>
      </c>
      <c r="E129" s="39">
        <f>'Data Entry Höchst'!I129</f>
        <v>19954.32</v>
      </c>
      <c r="F129" s="39">
        <f>'Data Entry Höchst'!L129</f>
        <v>19835.990000000002</v>
      </c>
      <c r="G129" s="39">
        <f>'Data Entry Höchst'!O129</f>
        <v>9468.83</v>
      </c>
      <c r="H129" s="39">
        <f>'Data Entry Höchst'!R129</f>
        <v>16190.7726</v>
      </c>
      <c r="I129" s="39">
        <f>'Data Entry Höchst'!U129</f>
        <v>16786.947199999999</v>
      </c>
      <c r="J129" s="39">
        <f>'Data Entry Höchst'!X129</f>
        <v>11158.925300000001</v>
      </c>
      <c r="K129" s="39">
        <f>'Data Entry Höchst'!AA129</f>
        <v>11878.1409</v>
      </c>
      <c r="L129" s="39">
        <f>'Data Entry Höchst'!AD129</f>
        <v>19138.728899999998</v>
      </c>
      <c r="M129" s="39">
        <f>'Data Entry Höchst'!AG129</f>
        <v>19789.5874</v>
      </c>
      <c r="N129" s="39">
        <f>'Data Entry Höchst'!AJ129</f>
        <v>20258.383900000001</v>
      </c>
      <c r="O129" s="39">
        <f>'Data Entry Höchst'!AM129</f>
        <v>12237.0414</v>
      </c>
    </row>
    <row r="130" spans="2:15" ht="14" x14ac:dyDescent="0.15">
      <c r="B130" s="38" t="s">
        <v>90</v>
      </c>
      <c r="C130" s="39">
        <f>'Data Entry Höchst'!C130</f>
        <v>193148.88759999999</v>
      </c>
      <c r="D130" s="39">
        <f>'Data Entry Höchst'!F130</f>
        <v>16451.22</v>
      </c>
      <c r="E130" s="39">
        <f>'Data Entry Höchst'!I130</f>
        <v>19954.32</v>
      </c>
      <c r="F130" s="39">
        <f>'Data Entry Höchst'!L130</f>
        <v>19835.990000000002</v>
      </c>
      <c r="G130" s="39">
        <f>'Data Entry Höchst'!O130</f>
        <v>9468.83</v>
      </c>
      <c r="H130" s="39">
        <f>'Data Entry Höchst'!R130</f>
        <v>16190.7726</v>
      </c>
      <c r="I130" s="39">
        <f>'Data Entry Höchst'!U130</f>
        <v>16786.947199999999</v>
      </c>
      <c r="J130" s="39">
        <f>'Data Entry Höchst'!X130</f>
        <v>11158.925300000001</v>
      </c>
      <c r="K130" s="39">
        <f>'Data Entry Höchst'!AA130</f>
        <v>11878.1409</v>
      </c>
      <c r="L130" s="39">
        <f>'Data Entry Höchst'!AD130</f>
        <v>19138.728899999998</v>
      </c>
      <c r="M130" s="39">
        <f>'Data Entry Höchst'!AG130</f>
        <v>19789.5874</v>
      </c>
      <c r="N130" s="39">
        <f>'Data Entry Höchst'!AJ130</f>
        <v>20258.383900000001</v>
      </c>
      <c r="O130" s="39">
        <f>'Data Entry Höchst'!AM130</f>
        <v>12237.0414</v>
      </c>
    </row>
    <row r="131" spans="2:15" ht="14" x14ac:dyDescent="0.15">
      <c r="B131" s="38" t="s">
        <v>91</v>
      </c>
      <c r="C131" s="39">
        <f>'Data Entry Höchst'!C131</f>
        <v>0</v>
      </c>
      <c r="D131" s="39">
        <f>'Data Entry Höchst'!F131</f>
        <v>0</v>
      </c>
      <c r="E131" s="39">
        <f>'Data Entry Höchst'!I131</f>
        <v>0</v>
      </c>
      <c r="F131" s="39">
        <f>'Data Entry Höchst'!L131</f>
        <v>0</v>
      </c>
      <c r="G131" s="39">
        <f>'Data Entry Höchst'!O131</f>
        <v>0</v>
      </c>
      <c r="H131" s="39">
        <f>'Data Entry Höchst'!R131</f>
        <v>0</v>
      </c>
      <c r="I131" s="39">
        <f>'Data Entry Höchst'!U131</f>
        <v>0</v>
      </c>
      <c r="J131" s="39">
        <f>'Data Entry Höchst'!X131</f>
        <v>0</v>
      </c>
      <c r="K131" s="39">
        <f>'Data Entry Höchst'!AA131</f>
        <v>0</v>
      </c>
      <c r="L131" s="39">
        <f>'Data Entry Höchst'!AD131</f>
        <v>0</v>
      </c>
      <c r="M131" s="39">
        <f>'Data Entry Höchst'!AG131</f>
        <v>0</v>
      </c>
      <c r="N131" s="39">
        <f>'Data Entry Höchst'!AJ131</f>
        <v>0</v>
      </c>
      <c r="O131" s="39">
        <f>'Data Entry Höchst'!AM131</f>
        <v>0</v>
      </c>
    </row>
    <row r="132" spans="2:15" ht="14" x14ac:dyDescent="0.15">
      <c r="B132" s="38" t="s">
        <v>92</v>
      </c>
      <c r="C132" s="39">
        <f>'Data Entry Höchst'!C132</f>
        <v>0</v>
      </c>
      <c r="D132" s="39">
        <f>'Data Entry Höchst'!F132</f>
        <v>0</v>
      </c>
      <c r="E132" s="39">
        <f>'Data Entry Höchst'!I132</f>
        <v>0</v>
      </c>
      <c r="F132" s="39">
        <f>'Data Entry Höchst'!L132</f>
        <v>0</v>
      </c>
      <c r="G132" s="39">
        <f>'Data Entry Höchst'!O132</f>
        <v>0</v>
      </c>
      <c r="H132" s="39">
        <f>'Data Entry Höchst'!R132</f>
        <v>0</v>
      </c>
      <c r="I132" s="39">
        <f>'Data Entry Höchst'!U132</f>
        <v>0</v>
      </c>
      <c r="J132" s="39">
        <f>'Data Entry Höchst'!X132</f>
        <v>0</v>
      </c>
      <c r="K132" s="39">
        <f>'Data Entry Höchst'!AA132</f>
        <v>0</v>
      </c>
      <c r="L132" s="39">
        <f>'Data Entry Höchst'!AD132</f>
        <v>0</v>
      </c>
      <c r="M132" s="39">
        <f>'Data Entry Höchst'!AG132</f>
        <v>0</v>
      </c>
      <c r="N132" s="39">
        <f>'Data Entry Höchst'!AJ132</f>
        <v>0</v>
      </c>
      <c r="O132" s="39">
        <f>'Data Entry Höchst'!AM132</f>
        <v>0</v>
      </c>
    </row>
    <row r="133" spans="2:15" x14ac:dyDescent="0.15">
      <c r="B133" s="40"/>
      <c r="C133" s="39">
        <f>'Data Entry Höchst'!C133</f>
        <v>0</v>
      </c>
      <c r="D133" s="39">
        <f>'Data Entry Höchst'!F133</f>
        <v>0</v>
      </c>
      <c r="E133" s="39">
        <f>'Data Entry Höchst'!I133</f>
        <v>0</v>
      </c>
      <c r="F133" s="39">
        <f>'Data Entry Höchst'!L133</f>
        <v>0</v>
      </c>
      <c r="G133" s="39">
        <f>'Data Entry Höchst'!O133</f>
        <v>0</v>
      </c>
      <c r="H133" s="39">
        <f>'Data Entry Höchst'!R133</f>
        <v>0</v>
      </c>
      <c r="I133" s="39">
        <f>'Data Entry Höchst'!U133</f>
        <v>0</v>
      </c>
      <c r="J133" s="39">
        <f>'Data Entry Höchst'!X133</f>
        <v>0</v>
      </c>
      <c r="K133" s="39">
        <f>'Data Entry Höchst'!AA133</f>
        <v>0</v>
      </c>
      <c r="L133" s="39">
        <f>'Data Entry Höchst'!AD133</f>
        <v>0</v>
      </c>
      <c r="M133" s="39">
        <f>'Data Entry Höchst'!AG133</f>
        <v>0</v>
      </c>
      <c r="N133" s="39">
        <f>'Data Entry Höchst'!AJ133</f>
        <v>0</v>
      </c>
      <c r="O133" s="39">
        <f>'Data Entry Höchst'!AM133</f>
        <v>0</v>
      </c>
    </row>
    <row r="134" spans="2:15" ht="14" x14ac:dyDescent="0.15">
      <c r="B134" s="42" t="s">
        <v>93</v>
      </c>
      <c r="C134" s="39">
        <f>'Data Entry Höchst'!C134</f>
        <v>1843155.2024999999</v>
      </c>
      <c r="D134" s="39">
        <f>'Data Entry Höchst'!F134</f>
        <v>38409.54</v>
      </c>
      <c r="E134" s="39">
        <f>'Data Entry Höchst'!I134</f>
        <v>130851.03</v>
      </c>
      <c r="F134" s="39">
        <f>'Data Entry Höchst'!L134</f>
        <v>262514.90999999997</v>
      </c>
      <c r="G134" s="39">
        <f>'Data Entry Höchst'!O134</f>
        <v>-11725.48</v>
      </c>
      <c r="H134" s="39">
        <f>'Data Entry Höchst'!R134</f>
        <v>203804.2218</v>
      </c>
      <c r="I134" s="39">
        <f>'Data Entry Höchst'!U134</f>
        <v>210029.43100000001</v>
      </c>
      <c r="J134" s="39">
        <f>'Data Entry Höchst'!X134</f>
        <v>41645.781799999997</v>
      </c>
      <c r="K134" s="39">
        <f>'Data Entry Höchst'!AA134</f>
        <v>81878.570900000006</v>
      </c>
      <c r="L134" s="39">
        <f>'Data Entry Höchst'!AD134</f>
        <v>294905.43410000001</v>
      </c>
      <c r="M134" s="39">
        <f>'Data Entry Höchst'!AG134</f>
        <v>327529.83159999998</v>
      </c>
      <c r="N134" s="39">
        <f>'Data Entry Höchst'!AJ134</f>
        <v>233628.02170000001</v>
      </c>
      <c r="O134" s="39">
        <f>'Data Entry Höchst'!AM134</f>
        <v>29683.909599999999</v>
      </c>
    </row>
    <row r="135" spans="2:15" x14ac:dyDescent="0.15">
      <c r="B135" s="40"/>
      <c r="C135" s="39">
        <f>'Data Entry Höchst'!C135</f>
        <v>0</v>
      </c>
      <c r="D135" s="39">
        <f>'Data Entry Höchst'!F135</f>
        <v>0</v>
      </c>
      <c r="E135" s="39">
        <f>'Data Entry Höchst'!I135</f>
        <v>0</v>
      </c>
      <c r="F135" s="39">
        <f>'Data Entry Höchst'!L135</f>
        <v>0</v>
      </c>
      <c r="G135" s="39">
        <f>'Data Entry Höchst'!O135</f>
        <v>0</v>
      </c>
      <c r="H135" s="39">
        <f>'Data Entry Höchst'!R135</f>
        <v>0</v>
      </c>
      <c r="I135" s="39">
        <f>'Data Entry Höchst'!U135</f>
        <v>0</v>
      </c>
      <c r="J135" s="39">
        <f>'Data Entry Höchst'!X135</f>
        <v>0</v>
      </c>
      <c r="K135" s="39">
        <f>'Data Entry Höchst'!AA135</f>
        <v>0</v>
      </c>
      <c r="L135" s="39">
        <f>'Data Entry Höchst'!AD135</f>
        <v>0</v>
      </c>
      <c r="M135" s="39">
        <f>'Data Entry Höchst'!AG135</f>
        <v>0</v>
      </c>
      <c r="N135" s="39">
        <f>'Data Entry Höchst'!AJ135</f>
        <v>0</v>
      </c>
      <c r="O135" s="39">
        <f>'Data Entry Höchst'!AM135</f>
        <v>0</v>
      </c>
    </row>
    <row r="136" spans="2:15" ht="14" x14ac:dyDescent="0.15">
      <c r="B136" s="42" t="s">
        <v>94</v>
      </c>
      <c r="C136" s="39">
        <f>'Data Entry Höchst'!C136</f>
        <v>3058785.28</v>
      </c>
      <c r="D136" s="39">
        <f>'Data Entry Höchst'!F136</f>
        <v>251565.44</v>
      </c>
      <c r="E136" s="39">
        <f>'Data Entry Höchst'!I136</f>
        <v>251565.44</v>
      </c>
      <c r="F136" s="39">
        <f>'Data Entry Höchst'!L136</f>
        <v>251565.44</v>
      </c>
      <c r="G136" s="39">
        <f>'Data Entry Höchst'!O136</f>
        <v>251565.44</v>
      </c>
      <c r="H136" s="39">
        <f>'Data Entry Höchst'!R136</f>
        <v>256565.44</v>
      </c>
      <c r="I136" s="39">
        <f>'Data Entry Höchst'!U136</f>
        <v>256565.44</v>
      </c>
      <c r="J136" s="39">
        <f>'Data Entry Höchst'!X136</f>
        <v>256565.44</v>
      </c>
      <c r="K136" s="39">
        <f>'Data Entry Höchst'!AA136</f>
        <v>256565.44</v>
      </c>
      <c r="L136" s="39">
        <f>'Data Entry Höchst'!AD136</f>
        <v>256565.44</v>
      </c>
      <c r="M136" s="39">
        <f>'Data Entry Höchst'!AG136</f>
        <v>256565.44</v>
      </c>
      <c r="N136" s="39">
        <f>'Data Entry Höchst'!AJ136</f>
        <v>256565.44</v>
      </c>
      <c r="O136" s="39">
        <f>'Data Entry Höchst'!AM136</f>
        <v>256565.44</v>
      </c>
    </row>
    <row r="137" spans="2:15" ht="14" x14ac:dyDescent="0.15">
      <c r="B137" s="38" t="s">
        <v>95</v>
      </c>
      <c r="C137" s="39">
        <f>'Data Entry Höchst'!C137</f>
        <v>3058785.28</v>
      </c>
      <c r="D137" s="39">
        <f>'Data Entry Höchst'!F137</f>
        <v>251565.44</v>
      </c>
      <c r="E137" s="39">
        <f>'Data Entry Höchst'!I137</f>
        <v>251565.44</v>
      </c>
      <c r="F137" s="39">
        <f>'Data Entry Höchst'!L137</f>
        <v>251565.44</v>
      </c>
      <c r="G137" s="39">
        <f>'Data Entry Höchst'!O137</f>
        <v>251565.44</v>
      </c>
      <c r="H137" s="39">
        <f>'Data Entry Höchst'!R137</f>
        <v>256565.44</v>
      </c>
      <c r="I137" s="39">
        <f>'Data Entry Höchst'!U137</f>
        <v>256565.44</v>
      </c>
      <c r="J137" s="39">
        <f>'Data Entry Höchst'!X137</f>
        <v>256565.44</v>
      </c>
      <c r="K137" s="39">
        <f>'Data Entry Höchst'!AA137</f>
        <v>256565.44</v>
      </c>
      <c r="L137" s="39">
        <f>'Data Entry Höchst'!AD137</f>
        <v>256565.44</v>
      </c>
      <c r="M137" s="39">
        <f>'Data Entry Höchst'!AG137</f>
        <v>256565.44</v>
      </c>
      <c r="N137" s="39">
        <f>'Data Entry Höchst'!AJ137</f>
        <v>256565.44</v>
      </c>
      <c r="O137" s="39">
        <f>'Data Entry Höchst'!AM137</f>
        <v>256565.44</v>
      </c>
    </row>
    <row r="138" spans="2:15" ht="14" x14ac:dyDescent="0.15">
      <c r="B138" s="38" t="s">
        <v>96</v>
      </c>
      <c r="C138" s="39">
        <f>'Data Entry Höchst'!C138</f>
        <v>0</v>
      </c>
      <c r="D138" s="39">
        <f>'Data Entry Höchst'!F138</f>
        <v>0</v>
      </c>
      <c r="E138" s="39">
        <f>'Data Entry Höchst'!I138</f>
        <v>0</v>
      </c>
      <c r="F138" s="39">
        <f>'Data Entry Höchst'!L138</f>
        <v>0</v>
      </c>
      <c r="G138" s="39">
        <f>'Data Entry Höchst'!O138</f>
        <v>0</v>
      </c>
      <c r="H138" s="39">
        <f>'Data Entry Höchst'!R138</f>
        <v>0</v>
      </c>
      <c r="I138" s="39">
        <f>'Data Entry Höchst'!U138</f>
        <v>0</v>
      </c>
      <c r="J138" s="39">
        <f>'Data Entry Höchst'!X138</f>
        <v>0</v>
      </c>
      <c r="K138" s="39">
        <f>'Data Entry Höchst'!AA138</f>
        <v>0</v>
      </c>
      <c r="L138" s="39">
        <f>'Data Entry Höchst'!AD138</f>
        <v>0</v>
      </c>
      <c r="M138" s="39">
        <f>'Data Entry Höchst'!AG138</f>
        <v>0</v>
      </c>
      <c r="N138" s="39">
        <f>'Data Entry Höchst'!AJ138</f>
        <v>0</v>
      </c>
      <c r="O138" s="39">
        <f>'Data Entry Höchst'!AM138</f>
        <v>0</v>
      </c>
    </row>
    <row r="139" spans="2:15" ht="14" x14ac:dyDescent="0.15">
      <c r="B139" s="38" t="s">
        <v>97</v>
      </c>
      <c r="C139" s="39">
        <f>'Data Entry Höchst'!C139</f>
        <v>0</v>
      </c>
      <c r="D139" s="39">
        <f>'Data Entry Höchst'!F139</f>
        <v>0</v>
      </c>
      <c r="E139" s="39">
        <f>'Data Entry Höchst'!I139</f>
        <v>0</v>
      </c>
      <c r="F139" s="39">
        <f>'Data Entry Höchst'!L139</f>
        <v>0</v>
      </c>
      <c r="G139" s="39">
        <f>'Data Entry Höchst'!O139</f>
        <v>0</v>
      </c>
      <c r="H139" s="39">
        <f>'Data Entry Höchst'!R139</f>
        <v>0</v>
      </c>
      <c r="I139" s="39">
        <f>'Data Entry Höchst'!U139</f>
        <v>0</v>
      </c>
      <c r="J139" s="39">
        <f>'Data Entry Höchst'!X139</f>
        <v>0</v>
      </c>
      <c r="K139" s="39">
        <f>'Data Entry Höchst'!AA139</f>
        <v>0</v>
      </c>
      <c r="L139" s="39">
        <f>'Data Entry Höchst'!AD139</f>
        <v>0</v>
      </c>
      <c r="M139" s="39">
        <f>'Data Entry Höchst'!AG139</f>
        <v>0</v>
      </c>
      <c r="N139" s="39">
        <f>'Data Entry Höchst'!AJ139</f>
        <v>0</v>
      </c>
      <c r="O139" s="39">
        <f>'Data Entry Höchst'!AM139</f>
        <v>0</v>
      </c>
    </row>
    <row r="140" spans="2:15" x14ac:dyDescent="0.15">
      <c r="B140" s="40"/>
      <c r="C140" s="39">
        <f>'Data Entry Höchst'!C140</f>
        <v>0</v>
      </c>
      <c r="D140" s="39">
        <f>'Data Entry Höchst'!F140</f>
        <v>0</v>
      </c>
      <c r="E140" s="39">
        <f>'Data Entry Höchst'!I140</f>
        <v>0</v>
      </c>
      <c r="F140" s="39">
        <f>'Data Entry Höchst'!L140</f>
        <v>0</v>
      </c>
      <c r="G140" s="39">
        <f>'Data Entry Höchst'!O140</f>
        <v>0</v>
      </c>
      <c r="H140" s="39">
        <f>'Data Entry Höchst'!R140</f>
        <v>0</v>
      </c>
      <c r="I140" s="39">
        <f>'Data Entry Höchst'!U140</f>
        <v>0</v>
      </c>
      <c r="J140" s="39">
        <f>'Data Entry Höchst'!X140</f>
        <v>0</v>
      </c>
      <c r="K140" s="39">
        <f>'Data Entry Höchst'!AA140</f>
        <v>0</v>
      </c>
      <c r="L140" s="39">
        <f>'Data Entry Höchst'!AD140</f>
        <v>0</v>
      </c>
      <c r="M140" s="39">
        <f>'Data Entry Höchst'!AG140</f>
        <v>0</v>
      </c>
      <c r="N140" s="39">
        <f>'Data Entry Höchst'!AJ140</f>
        <v>0</v>
      </c>
      <c r="O140" s="39">
        <f>'Data Entry Höchst'!AM140</f>
        <v>0</v>
      </c>
    </row>
    <row r="141" spans="2:15" ht="28" x14ac:dyDescent="0.15">
      <c r="B141" s="42" t="s">
        <v>98</v>
      </c>
      <c r="C141" s="39">
        <f>'Data Entry Höchst'!C141</f>
        <v>-1215630.0774999999</v>
      </c>
      <c r="D141" s="39">
        <f>'Data Entry Höchst'!F141</f>
        <v>-213155.9</v>
      </c>
      <c r="E141" s="39">
        <f>'Data Entry Höchst'!I141</f>
        <v>-120714.41</v>
      </c>
      <c r="F141" s="39">
        <f>'Data Entry Höchst'!L141</f>
        <v>10949.47</v>
      </c>
      <c r="G141" s="39">
        <f>'Data Entry Höchst'!O141</f>
        <v>-263290.92</v>
      </c>
      <c r="H141" s="39">
        <f>'Data Entry Höchst'!R141</f>
        <v>-52761.218200000003</v>
      </c>
      <c r="I141" s="39">
        <f>'Data Entry Höchst'!U141</f>
        <v>-46536.008999999998</v>
      </c>
      <c r="J141" s="39">
        <f>'Data Entry Höchst'!X141</f>
        <v>-214919.65820000001</v>
      </c>
      <c r="K141" s="39">
        <f>'Data Entry Höchst'!AA141</f>
        <v>-174686.86910000001</v>
      </c>
      <c r="L141" s="39">
        <f>'Data Entry Höchst'!AD141</f>
        <v>38339.994100000004</v>
      </c>
      <c r="M141" s="39">
        <f>'Data Entry Höchst'!AG141</f>
        <v>70964.391600000003</v>
      </c>
      <c r="N141" s="39">
        <f>'Data Entry Höchst'!AJ141</f>
        <v>-22937.418300000001</v>
      </c>
      <c r="O141" s="39">
        <f>'Data Entry Höchst'!AM141</f>
        <v>-226881.53039999999</v>
      </c>
    </row>
    <row r="142" spans="2:15" ht="14" x14ac:dyDescent="0.15">
      <c r="B142" s="38" t="s">
        <v>99</v>
      </c>
      <c r="C142" s="39">
        <f>'Data Entry Höchst'!C142</f>
        <v>0</v>
      </c>
      <c r="D142" s="39">
        <f>'Data Entry Höchst'!F142</f>
        <v>0</v>
      </c>
      <c r="E142" s="39">
        <f>'Data Entry Höchst'!I142</f>
        <v>0</v>
      </c>
      <c r="F142" s="39">
        <f>'Data Entry Höchst'!L142</f>
        <v>0</v>
      </c>
      <c r="G142" s="39">
        <f>'Data Entry Höchst'!O142</f>
        <v>0</v>
      </c>
      <c r="H142" s="39">
        <f>'Data Entry Höchst'!R142</f>
        <v>0</v>
      </c>
      <c r="I142" s="39">
        <f>'Data Entry Höchst'!U142</f>
        <v>0</v>
      </c>
      <c r="J142" s="39">
        <f>'Data Entry Höchst'!X142</f>
        <v>0</v>
      </c>
      <c r="K142" s="39">
        <f>'Data Entry Höchst'!AA142</f>
        <v>0</v>
      </c>
      <c r="L142" s="39">
        <f>'Data Entry Höchst'!AD142</f>
        <v>0</v>
      </c>
      <c r="M142" s="39">
        <f>'Data Entry Höchst'!AG142</f>
        <v>0</v>
      </c>
      <c r="N142" s="39">
        <f>'Data Entry Höchst'!AJ142</f>
        <v>0</v>
      </c>
      <c r="O142" s="39">
        <f>'Data Entry Höchst'!AM142</f>
        <v>0</v>
      </c>
    </row>
    <row r="143" spans="2:15" x14ac:dyDescent="0.15">
      <c r="B143" s="40"/>
      <c r="C143" s="39">
        <f>'Data Entry Höchst'!C143</f>
        <v>0</v>
      </c>
      <c r="D143" s="39">
        <f>'Data Entry Höchst'!F143</f>
        <v>0</v>
      </c>
      <c r="E143" s="39">
        <f>'Data Entry Höchst'!I143</f>
        <v>0</v>
      </c>
      <c r="F143" s="39">
        <f>'Data Entry Höchst'!L143</f>
        <v>0</v>
      </c>
      <c r="G143" s="39">
        <f>'Data Entry Höchst'!O143</f>
        <v>0</v>
      </c>
      <c r="H143" s="39">
        <f>'Data Entry Höchst'!R143</f>
        <v>0</v>
      </c>
      <c r="I143" s="39">
        <f>'Data Entry Höchst'!U143</f>
        <v>0</v>
      </c>
      <c r="J143" s="39">
        <f>'Data Entry Höchst'!X143</f>
        <v>0</v>
      </c>
      <c r="K143" s="39">
        <f>'Data Entry Höchst'!AA143</f>
        <v>0</v>
      </c>
      <c r="L143" s="39">
        <f>'Data Entry Höchst'!AD143</f>
        <v>0</v>
      </c>
      <c r="M143" s="39">
        <f>'Data Entry Höchst'!AG143</f>
        <v>0</v>
      </c>
      <c r="N143" s="39">
        <f>'Data Entry Höchst'!AJ143</f>
        <v>0</v>
      </c>
      <c r="O143" s="39">
        <f>'Data Entry Höchst'!AM143</f>
        <v>0</v>
      </c>
    </row>
    <row r="144" spans="2:15" ht="14" x14ac:dyDescent="0.15">
      <c r="B144" s="42" t="s">
        <v>100</v>
      </c>
      <c r="C144" s="39">
        <f>'Data Entry Höchst'!C144</f>
        <v>-1215630.0774999999</v>
      </c>
      <c r="D144" s="39">
        <f>'Data Entry Höchst'!F144</f>
        <v>-213155.9</v>
      </c>
      <c r="E144" s="39">
        <f>'Data Entry Höchst'!I144</f>
        <v>-120714.41</v>
      </c>
      <c r="F144" s="39">
        <f>'Data Entry Höchst'!L144</f>
        <v>10949.47</v>
      </c>
      <c r="G144" s="39">
        <f>'Data Entry Höchst'!O144</f>
        <v>-263290.92</v>
      </c>
      <c r="H144" s="39">
        <f>'Data Entry Höchst'!R144</f>
        <v>-52761.218200000003</v>
      </c>
      <c r="I144" s="39">
        <f>'Data Entry Höchst'!U144</f>
        <v>-46536.008999999998</v>
      </c>
      <c r="J144" s="39">
        <f>'Data Entry Höchst'!X144</f>
        <v>-214919.65820000001</v>
      </c>
      <c r="K144" s="39">
        <f>'Data Entry Höchst'!AA144</f>
        <v>-174686.86910000001</v>
      </c>
      <c r="L144" s="39">
        <f>'Data Entry Höchst'!AD144</f>
        <v>38339.994100000004</v>
      </c>
      <c r="M144" s="39">
        <f>'Data Entry Höchst'!AG144</f>
        <v>70964.391600000003</v>
      </c>
      <c r="N144" s="39">
        <f>'Data Entry Höchst'!AJ144</f>
        <v>-22937.418300000001</v>
      </c>
      <c r="O144" s="39">
        <f>'Data Entry Höchst'!AM144</f>
        <v>-226881.53039999999</v>
      </c>
    </row>
    <row r="145" spans="2:15" ht="14" x14ac:dyDescent="0.15">
      <c r="B145" s="38" t="s">
        <v>101</v>
      </c>
      <c r="C145" s="39">
        <f>'Data Entry Höchst'!C145</f>
        <v>0</v>
      </c>
      <c r="D145" s="39">
        <f>'Data Entry Höchst'!F145</f>
        <v>0</v>
      </c>
      <c r="E145" s="39">
        <f>'Data Entry Höchst'!I145</f>
        <v>0</v>
      </c>
      <c r="F145" s="39">
        <f>'Data Entry Höchst'!L145</f>
        <v>0</v>
      </c>
      <c r="G145" s="39">
        <f>'Data Entry Höchst'!O145</f>
        <v>0</v>
      </c>
      <c r="H145" s="39">
        <f>'Data Entry Höchst'!R145</f>
        <v>0</v>
      </c>
      <c r="I145" s="39">
        <f>'Data Entry Höchst'!U145</f>
        <v>0</v>
      </c>
      <c r="J145" s="39">
        <f>'Data Entry Höchst'!X145</f>
        <v>0</v>
      </c>
      <c r="K145" s="39">
        <f>'Data Entry Höchst'!AA145</f>
        <v>0</v>
      </c>
      <c r="L145" s="39">
        <f>'Data Entry Höchst'!AD145</f>
        <v>0</v>
      </c>
      <c r="M145" s="39">
        <f>'Data Entry Höchst'!AG145</f>
        <v>0</v>
      </c>
      <c r="N145" s="39">
        <f>'Data Entry Höchst'!AJ145</f>
        <v>0</v>
      </c>
      <c r="O145" s="39">
        <f>'Data Entry Höchst'!AM145</f>
        <v>0</v>
      </c>
    </row>
    <row r="146" spans="2:15" x14ac:dyDescent="0.15">
      <c r="B146" s="40"/>
      <c r="C146" s="39">
        <f>'Data Entry Höchst'!C146</f>
        <v>0</v>
      </c>
      <c r="D146" s="39">
        <f>'Data Entry Höchst'!F146</f>
        <v>0</v>
      </c>
      <c r="E146" s="39">
        <f>'Data Entry Höchst'!I146</f>
        <v>0</v>
      </c>
      <c r="F146" s="39">
        <f>'Data Entry Höchst'!L146</f>
        <v>0</v>
      </c>
      <c r="G146" s="39">
        <f>'Data Entry Höchst'!O146</f>
        <v>0</v>
      </c>
      <c r="H146" s="39">
        <f>'Data Entry Höchst'!R146</f>
        <v>0</v>
      </c>
      <c r="I146" s="39">
        <f>'Data Entry Höchst'!U146</f>
        <v>0</v>
      </c>
      <c r="J146" s="39">
        <f>'Data Entry Höchst'!X146</f>
        <v>0</v>
      </c>
      <c r="K146" s="39">
        <f>'Data Entry Höchst'!AA146</f>
        <v>0</v>
      </c>
      <c r="L146" s="39">
        <f>'Data Entry Höchst'!AD146</f>
        <v>0</v>
      </c>
      <c r="M146" s="39">
        <f>'Data Entry Höchst'!AG146</f>
        <v>0</v>
      </c>
      <c r="N146" s="39">
        <f>'Data Entry Höchst'!AJ146</f>
        <v>0</v>
      </c>
      <c r="O146" s="39">
        <f>'Data Entry Höchst'!AM146</f>
        <v>0</v>
      </c>
    </row>
    <row r="147" spans="2:15" ht="28" x14ac:dyDescent="0.15">
      <c r="B147" s="42" t="s">
        <v>102</v>
      </c>
      <c r="C147" s="39">
        <f>'Data Entry Höchst'!C147</f>
        <v>-1215630.0774999999</v>
      </c>
      <c r="D147" s="39">
        <f>'Data Entry Höchst'!F147</f>
        <v>-213155.9</v>
      </c>
      <c r="E147" s="39">
        <f>'Data Entry Höchst'!I147</f>
        <v>-120714.41</v>
      </c>
      <c r="F147" s="39">
        <f>'Data Entry Höchst'!L147</f>
        <v>10949.47</v>
      </c>
      <c r="G147" s="39">
        <f>'Data Entry Höchst'!O147</f>
        <v>-263290.92</v>
      </c>
      <c r="H147" s="39">
        <f>'Data Entry Höchst'!R147</f>
        <v>-52761.218200000003</v>
      </c>
      <c r="I147" s="39">
        <f>'Data Entry Höchst'!U147</f>
        <v>-46536.008999999998</v>
      </c>
      <c r="J147" s="39">
        <f>'Data Entry Höchst'!X147</f>
        <v>-214919.65820000001</v>
      </c>
      <c r="K147" s="39">
        <f>'Data Entry Höchst'!AA147</f>
        <v>-174686.86910000001</v>
      </c>
      <c r="L147" s="39">
        <f>'Data Entry Höchst'!AD147</f>
        <v>38339.994100000004</v>
      </c>
      <c r="M147" s="39">
        <f>'Data Entry Höchst'!AG147</f>
        <v>70964.391600000003</v>
      </c>
      <c r="N147" s="39">
        <f>'Data Entry Höchst'!AJ147</f>
        <v>-22937.418300000001</v>
      </c>
      <c r="O147" s="39">
        <f>'Data Entry Höchst'!AM147</f>
        <v>-226881.53039999999</v>
      </c>
    </row>
    <row r="148" spans="2:15" ht="14" x14ac:dyDescent="0.15">
      <c r="B148" s="38" t="s">
        <v>103</v>
      </c>
      <c r="C148" s="39">
        <f>'Data Entry Höchst'!C148</f>
        <v>0</v>
      </c>
      <c r="D148" s="39">
        <f>'Data Entry Höchst'!F148</f>
        <v>0</v>
      </c>
      <c r="E148" s="39">
        <f>'Data Entry Höchst'!I148</f>
        <v>0</v>
      </c>
      <c r="F148" s="39">
        <f>'Data Entry Höchst'!L148</f>
        <v>0</v>
      </c>
      <c r="G148" s="39">
        <f>'Data Entry Höchst'!O148</f>
        <v>0</v>
      </c>
      <c r="H148" s="39">
        <f>'Data Entry Höchst'!R148</f>
        <v>0</v>
      </c>
      <c r="I148" s="39">
        <f>'Data Entry Höchst'!U148</f>
        <v>0</v>
      </c>
      <c r="J148" s="39">
        <f>'Data Entry Höchst'!X148</f>
        <v>0</v>
      </c>
      <c r="K148" s="39">
        <f>'Data Entry Höchst'!AA148</f>
        <v>0</v>
      </c>
      <c r="L148" s="39">
        <f>'Data Entry Höchst'!AD148</f>
        <v>0</v>
      </c>
      <c r="M148" s="39">
        <f>'Data Entry Höchst'!AG148</f>
        <v>0</v>
      </c>
      <c r="N148" s="39">
        <f>'Data Entry Höchst'!AJ148</f>
        <v>0</v>
      </c>
      <c r="O148" s="39">
        <f>'Data Entry Höchst'!AM148</f>
        <v>0</v>
      </c>
    </row>
    <row r="149" spans="2:15" x14ac:dyDescent="0.15">
      <c r="B149" s="40"/>
      <c r="C149" s="39">
        <f>'Data Entry Höchst'!C149</f>
        <v>0</v>
      </c>
      <c r="D149" s="39">
        <f>'Data Entry Höchst'!F149</f>
        <v>0</v>
      </c>
      <c r="E149" s="39">
        <f>'Data Entry Höchst'!I149</f>
        <v>0</v>
      </c>
      <c r="F149" s="39">
        <f>'Data Entry Höchst'!L149</f>
        <v>0</v>
      </c>
      <c r="G149" s="39">
        <f>'Data Entry Höchst'!O149</f>
        <v>0</v>
      </c>
      <c r="H149" s="39">
        <f>'Data Entry Höchst'!R149</f>
        <v>0</v>
      </c>
      <c r="I149" s="39">
        <f>'Data Entry Höchst'!U149</f>
        <v>0</v>
      </c>
      <c r="J149" s="39">
        <f>'Data Entry Höchst'!X149</f>
        <v>0</v>
      </c>
      <c r="K149" s="39">
        <f>'Data Entry Höchst'!AA149</f>
        <v>0</v>
      </c>
      <c r="L149" s="39">
        <f>'Data Entry Höchst'!AD149</f>
        <v>0</v>
      </c>
      <c r="M149" s="39">
        <f>'Data Entry Höchst'!AG149</f>
        <v>0</v>
      </c>
      <c r="N149" s="39">
        <f>'Data Entry Höchst'!AJ149</f>
        <v>0</v>
      </c>
      <c r="O149" s="39">
        <f>'Data Entry Höchst'!AM149</f>
        <v>0</v>
      </c>
    </row>
    <row r="150" spans="2:15" ht="14" x14ac:dyDescent="0.15">
      <c r="B150" s="42" t="s">
        <v>104</v>
      </c>
      <c r="C150" s="39">
        <f>'Data Entry Höchst'!C150</f>
        <v>-1215630.0774999999</v>
      </c>
      <c r="D150" s="39">
        <f>'Data Entry Höchst'!F150</f>
        <v>-213155.9</v>
      </c>
      <c r="E150" s="39">
        <f>'Data Entry Höchst'!I150</f>
        <v>-120714.41</v>
      </c>
      <c r="F150" s="39">
        <f>'Data Entry Höchst'!L150</f>
        <v>10949.47</v>
      </c>
      <c r="G150" s="39">
        <f>'Data Entry Höchst'!O150</f>
        <v>-263290.92</v>
      </c>
      <c r="H150" s="39">
        <f>'Data Entry Höchst'!R150</f>
        <v>-52761.218200000003</v>
      </c>
      <c r="I150" s="39">
        <f>'Data Entry Höchst'!U150</f>
        <v>-46536.008999999998</v>
      </c>
      <c r="J150" s="39">
        <f>'Data Entry Höchst'!X150</f>
        <v>-214919.65820000001</v>
      </c>
      <c r="K150" s="39">
        <f>'Data Entry Höchst'!AA150</f>
        <v>-174686.86910000001</v>
      </c>
      <c r="L150" s="39">
        <f>'Data Entry Höchst'!AD150</f>
        <v>38339.994100000004</v>
      </c>
      <c r="M150" s="39">
        <f>'Data Entry Höchst'!AG150</f>
        <v>70964.391600000003</v>
      </c>
      <c r="N150" s="39">
        <f>'Data Entry Höchst'!AJ150</f>
        <v>-22937.418300000001</v>
      </c>
      <c r="O150" s="39">
        <f>'Data Entry Höchst'!AM150</f>
        <v>-226881.53039999999</v>
      </c>
    </row>
    <row r="151" spans="2:15" x14ac:dyDescent="0.15">
      <c r="B151" s="40"/>
      <c r="C151" s="39">
        <f>'Data Entry Höchst'!C151</f>
        <v>0</v>
      </c>
      <c r="D151" s="39">
        <f>'Data Entry Höchst'!F151</f>
        <v>0</v>
      </c>
      <c r="E151" s="39">
        <f>'Data Entry Höchst'!I151</f>
        <v>0</v>
      </c>
      <c r="F151" s="39">
        <f>'Data Entry Höchst'!L151</f>
        <v>0</v>
      </c>
      <c r="G151" s="39">
        <f>'Data Entry Höchst'!O151</f>
        <v>0</v>
      </c>
      <c r="H151" s="39">
        <f>'Data Entry Höchst'!R151</f>
        <v>0</v>
      </c>
      <c r="I151" s="39">
        <f>'Data Entry Höchst'!U151</f>
        <v>0</v>
      </c>
      <c r="J151" s="39">
        <f>'Data Entry Höchst'!X151</f>
        <v>0</v>
      </c>
      <c r="K151" s="39">
        <f>'Data Entry Höchst'!AA151</f>
        <v>0</v>
      </c>
      <c r="L151" s="39">
        <f>'Data Entry Höchst'!AD151</f>
        <v>0</v>
      </c>
      <c r="M151" s="39">
        <f>'Data Entry Höchst'!AG151</f>
        <v>0</v>
      </c>
      <c r="N151" s="39">
        <f>'Data Entry Höchst'!AJ151</f>
        <v>0</v>
      </c>
      <c r="O151" s="39">
        <f>'Data Entry Höchst'!AM151</f>
        <v>0</v>
      </c>
    </row>
    <row r="152" spans="2:15" ht="14" x14ac:dyDescent="0.15">
      <c r="B152" s="44" t="s">
        <v>105</v>
      </c>
      <c r="C152" s="39">
        <f>'Data Entry Höchst'!C152</f>
        <v>0</v>
      </c>
      <c r="D152" s="39">
        <f>'Data Entry Höchst'!F152</f>
        <v>0</v>
      </c>
      <c r="E152" s="39">
        <f>'Data Entry Höchst'!I152</f>
        <v>0</v>
      </c>
      <c r="F152" s="39">
        <f>'Data Entry Höchst'!L152</f>
        <v>0</v>
      </c>
      <c r="G152" s="39">
        <f>'Data Entry Höchst'!O152</f>
        <v>0</v>
      </c>
      <c r="H152" s="39">
        <f>'Data Entry Höchst'!R152</f>
        <v>0</v>
      </c>
      <c r="I152" s="39">
        <f>'Data Entry Höchst'!U152</f>
        <v>0</v>
      </c>
      <c r="J152" s="39">
        <f>'Data Entry Höchst'!X152</f>
        <v>0</v>
      </c>
      <c r="K152" s="39">
        <f>'Data Entry Höchst'!AA152</f>
        <v>0</v>
      </c>
      <c r="L152" s="39">
        <f>'Data Entry Höchst'!AD152</f>
        <v>0</v>
      </c>
      <c r="M152" s="39">
        <f>'Data Entry Höchst'!AG152</f>
        <v>0</v>
      </c>
      <c r="N152" s="39">
        <f>'Data Entry Höchst'!AJ152</f>
        <v>0</v>
      </c>
      <c r="O152" s="39">
        <f>'Data Entry Höchst'!AM152</f>
        <v>0</v>
      </c>
    </row>
    <row r="153" spans="2:15" ht="14" x14ac:dyDescent="0.15">
      <c r="B153" s="38" t="s">
        <v>106</v>
      </c>
      <c r="C153" s="39">
        <f>'Data Entry Höchst'!C153</f>
        <v>-1205030.0774999999</v>
      </c>
      <c r="D153" s="39">
        <f>'Data Entry Höchst'!F153</f>
        <v>-212155.9</v>
      </c>
      <c r="E153" s="39">
        <f>'Data Entry Höchst'!I153</f>
        <v>-120714.41</v>
      </c>
      <c r="F153" s="39">
        <f>'Data Entry Höchst'!L153</f>
        <v>10949.47</v>
      </c>
      <c r="G153" s="39">
        <f>'Data Entry Höchst'!O153</f>
        <v>-263290.92</v>
      </c>
      <c r="H153" s="39">
        <f>'Data Entry Höchst'!R153</f>
        <v>-51561.218200000003</v>
      </c>
      <c r="I153" s="39">
        <f>'Data Entry Höchst'!U153</f>
        <v>-45336.008999999998</v>
      </c>
      <c r="J153" s="39">
        <f>'Data Entry Höchst'!X153</f>
        <v>-213719.65820000001</v>
      </c>
      <c r="K153" s="39">
        <f>'Data Entry Höchst'!AA153</f>
        <v>-173486.86910000001</v>
      </c>
      <c r="L153" s="39">
        <f>'Data Entry Höchst'!AD153</f>
        <v>39539.994100000004</v>
      </c>
      <c r="M153" s="39">
        <f>'Data Entry Höchst'!AG153</f>
        <v>72164.391600000003</v>
      </c>
      <c r="N153" s="39">
        <f>'Data Entry Höchst'!AJ153</f>
        <v>-21737.418300000001</v>
      </c>
      <c r="O153" s="39">
        <f>'Data Entry Höchst'!AM153</f>
        <v>-225681.53039999999</v>
      </c>
    </row>
    <row r="154" spans="2:15" ht="14" x14ac:dyDescent="0.15">
      <c r="B154" s="38" t="s">
        <v>107</v>
      </c>
      <c r="C154" s="39">
        <f>'Data Entry Höchst'!C154</f>
        <v>-1214030.0774999999</v>
      </c>
      <c r="D154" s="39">
        <f>'Data Entry Höchst'!F154</f>
        <v>-213155.9</v>
      </c>
      <c r="E154" s="39">
        <f>'Data Entry Höchst'!I154</f>
        <v>-120714.41</v>
      </c>
      <c r="F154" s="39">
        <f>'Data Entry Höchst'!L154</f>
        <v>10949.47</v>
      </c>
      <c r="G154" s="39">
        <f>'Data Entry Höchst'!O154</f>
        <v>-263290.92</v>
      </c>
      <c r="H154" s="39">
        <f>'Data Entry Höchst'!R154</f>
        <v>-52561.218200000003</v>
      </c>
      <c r="I154" s="39">
        <f>'Data Entry Höchst'!U154</f>
        <v>-46336.008999999998</v>
      </c>
      <c r="J154" s="39">
        <f>'Data Entry Höchst'!X154</f>
        <v>-214719.65820000001</v>
      </c>
      <c r="K154" s="39">
        <f>'Data Entry Höchst'!AA154</f>
        <v>-174486.86910000001</v>
      </c>
      <c r="L154" s="39">
        <f>'Data Entry Höchst'!AD154</f>
        <v>38539.994100000004</v>
      </c>
      <c r="M154" s="39">
        <f>'Data Entry Höchst'!AG154</f>
        <v>71164.391600000003</v>
      </c>
      <c r="N154" s="39">
        <f>'Data Entry Höchst'!AJ154</f>
        <v>-22737.418300000001</v>
      </c>
      <c r="O154" s="39">
        <f>'Data Entry Höchst'!AM154</f>
        <v>-226681.53039999999</v>
      </c>
    </row>
    <row r="155" spans="2:15" ht="14" x14ac:dyDescent="0.15">
      <c r="B155" s="42" t="s">
        <v>108</v>
      </c>
      <c r="C155" s="39">
        <f>'Data Entry Höchst'!C155</f>
        <v>310443.33169999998</v>
      </c>
      <c r="D155" s="39">
        <f>'Data Entry Höchst'!F155</f>
        <v>27418.7</v>
      </c>
      <c r="E155" s="39">
        <f>'Data Entry Höchst'!I155</f>
        <v>36719.97</v>
      </c>
      <c r="F155" s="39">
        <f>'Data Entry Höchst'!L155</f>
        <v>36209.22</v>
      </c>
      <c r="G155" s="39">
        <f>'Data Entry Höchst'!O155</f>
        <v>18937.650000000001</v>
      </c>
      <c r="H155" s="39">
        <f>'Data Entry Höchst'!R155</f>
        <v>24286.159</v>
      </c>
      <c r="I155" s="39">
        <f>'Data Entry Höchst'!U155</f>
        <v>25180.4208</v>
      </c>
      <c r="J155" s="39">
        <f>'Data Entry Höchst'!X155</f>
        <v>16738.387999999999</v>
      </c>
      <c r="K155" s="39">
        <f>'Data Entry Höchst'!AA155</f>
        <v>17817.2114</v>
      </c>
      <c r="L155" s="39">
        <f>'Data Entry Höchst'!AD155</f>
        <v>28708.093400000002</v>
      </c>
      <c r="M155" s="39">
        <f>'Data Entry Höchst'!AG155</f>
        <v>29684.3812</v>
      </c>
      <c r="N155" s="39">
        <f>'Data Entry Höchst'!AJ155</f>
        <v>30387.575799999999</v>
      </c>
      <c r="O155" s="39">
        <f>'Data Entry Höchst'!AM155</f>
        <v>18355.562099999999</v>
      </c>
    </row>
    <row r="156" spans="2:15" ht="14" x14ac:dyDescent="0.15">
      <c r="B156" s="38" t="s">
        <v>109</v>
      </c>
      <c r="C156" s="39">
        <f>'Data Entry Höchst'!C156</f>
        <v>0</v>
      </c>
      <c r="D156" s="39">
        <f>'Data Entry Höchst'!F156</f>
        <v>0</v>
      </c>
      <c r="E156" s="39">
        <f>'Data Entry Höchst'!I156</f>
        <v>0</v>
      </c>
      <c r="F156" s="39">
        <f>'Data Entry Höchst'!L156</f>
        <v>0</v>
      </c>
      <c r="G156" s="39">
        <f>'Data Entry Höchst'!O156</f>
        <v>0</v>
      </c>
      <c r="H156" s="39">
        <f>'Data Entry Höchst'!R156</f>
        <v>0</v>
      </c>
      <c r="I156" s="39">
        <f>'Data Entry Höchst'!U156</f>
        <v>0</v>
      </c>
      <c r="J156" s="39">
        <f>'Data Entry Höchst'!X156</f>
        <v>0</v>
      </c>
      <c r="K156" s="39">
        <f>'Data Entry Höchst'!AA156</f>
        <v>0</v>
      </c>
      <c r="L156" s="39">
        <f>'Data Entry Höchst'!AD156</f>
        <v>0</v>
      </c>
      <c r="M156" s="39">
        <f>'Data Entry Höchst'!AG156</f>
        <v>0</v>
      </c>
      <c r="N156" s="39">
        <f>'Data Entry Höchst'!AJ156</f>
        <v>0</v>
      </c>
      <c r="O156" s="39">
        <f>'Data Entry Höchst'!AM156</f>
        <v>0</v>
      </c>
    </row>
    <row r="157" spans="2:15" ht="14" x14ac:dyDescent="0.15">
      <c r="B157" s="38" t="s">
        <v>110</v>
      </c>
      <c r="C157" s="39">
        <f>'Data Entry Höchst'!C157</f>
        <v>0</v>
      </c>
      <c r="D157" s="39">
        <f>'Data Entry Höchst'!F157</f>
        <v>0</v>
      </c>
      <c r="E157" s="39">
        <f>'Data Entry Höchst'!I157</f>
        <v>0</v>
      </c>
      <c r="F157" s="39">
        <f>'Data Entry Höchst'!L157</f>
        <v>0</v>
      </c>
      <c r="G157" s="39">
        <f>'Data Entry Höchst'!O157</f>
        <v>0</v>
      </c>
      <c r="H157" s="39">
        <f>'Data Entry Höchst'!R157</f>
        <v>0</v>
      </c>
      <c r="I157" s="39">
        <f>'Data Entry Höchst'!U157</f>
        <v>0</v>
      </c>
      <c r="J157" s="39">
        <f>'Data Entry Höchst'!X157</f>
        <v>0</v>
      </c>
      <c r="K157" s="39">
        <f>'Data Entry Höchst'!AA157</f>
        <v>0</v>
      </c>
      <c r="L157" s="39">
        <f>'Data Entry Höchst'!AD157</f>
        <v>0</v>
      </c>
      <c r="M157" s="39">
        <f>'Data Entry Höchst'!AG157</f>
        <v>0</v>
      </c>
      <c r="N157" s="39">
        <f>'Data Entry Höchst'!AJ157</f>
        <v>0</v>
      </c>
      <c r="O157" s="39">
        <f>'Data Entry Höchst'!AM157</f>
        <v>0</v>
      </c>
    </row>
    <row r="158" spans="2:15" ht="14" x14ac:dyDescent="0.15">
      <c r="B158" s="38" t="s">
        <v>111</v>
      </c>
      <c r="C158" s="39">
        <f>'Data Entry Höchst'!C158</f>
        <v>90506.853900000002</v>
      </c>
      <c r="D158" s="39">
        <f>'Data Entry Höchst'!F158</f>
        <v>5483.74</v>
      </c>
      <c r="E158" s="39">
        <f>'Data Entry Höchst'!I158</f>
        <v>6651.44</v>
      </c>
      <c r="F158" s="39">
        <f>'Data Entry Höchst'!L158</f>
        <v>9918</v>
      </c>
      <c r="G158" s="39">
        <f>'Data Entry Höchst'!O158</f>
        <v>4734.41</v>
      </c>
      <c r="H158" s="39">
        <f>'Data Entry Höchst'!R158</f>
        <v>8095.3863000000001</v>
      </c>
      <c r="I158" s="39">
        <f>'Data Entry Höchst'!U158</f>
        <v>8393.4735999999994</v>
      </c>
      <c r="J158" s="39">
        <f>'Data Entry Höchst'!X158</f>
        <v>5579.4627</v>
      </c>
      <c r="K158" s="39">
        <f>'Data Entry Höchst'!AA158</f>
        <v>5939.0704999999998</v>
      </c>
      <c r="L158" s="39">
        <f>'Data Entry Höchst'!AD158</f>
        <v>9569.3644999999997</v>
      </c>
      <c r="M158" s="39">
        <f>'Data Entry Höchst'!AG158</f>
        <v>9894.7937000000002</v>
      </c>
      <c r="N158" s="39">
        <f>'Data Entry Höchst'!AJ158</f>
        <v>10129.1919</v>
      </c>
      <c r="O158" s="39">
        <f>'Data Entry Höchst'!AM158</f>
        <v>6118.5207</v>
      </c>
    </row>
    <row r="159" spans="2:15" ht="14" x14ac:dyDescent="0.15">
      <c r="B159" s="38" t="s">
        <v>112</v>
      </c>
      <c r="C159" s="39">
        <f>'Data Entry Höchst'!C159</f>
        <v>137098.93979999999</v>
      </c>
      <c r="D159" s="39">
        <f>'Data Entry Höchst'!F159</f>
        <v>-15588.66</v>
      </c>
      <c r="E159" s="39">
        <f>'Data Entry Höchst'!I159</f>
        <v>-494.94</v>
      </c>
      <c r="F159" s="39">
        <f>'Data Entry Höchst'!L159</f>
        <v>-711.06</v>
      </c>
      <c r="G159" s="39">
        <f>'Data Entry Höchst'!O159</f>
        <v>-5404.56</v>
      </c>
      <c r="H159" s="39">
        <f>'Data Entry Höchst'!R159</f>
        <v>20238.465800000002</v>
      </c>
      <c r="I159" s="39">
        <f>'Data Entry Höchst'!U159</f>
        <v>20983.684000000001</v>
      </c>
      <c r="J159" s="39">
        <f>'Data Entry Höchst'!X159</f>
        <v>13948.6567</v>
      </c>
      <c r="K159" s="39">
        <f>'Data Entry Höchst'!AA159</f>
        <v>14847.6762</v>
      </c>
      <c r="L159" s="39">
        <f>'Data Entry Höchst'!AD159</f>
        <v>23923.411199999999</v>
      </c>
      <c r="M159" s="39">
        <f>'Data Entry Höchst'!AG159</f>
        <v>24736.9843</v>
      </c>
      <c r="N159" s="39">
        <f>'Data Entry Höchst'!AJ159</f>
        <v>25322.979800000001</v>
      </c>
      <c r="O159" s="39">
        <f>'Data Entry Höchst'!AM159</f>
        <v>15296.301799999999</v>
      </c>
    </row>
    <row r="160" spans="2:15" ht="14" x14ac:dyDescent="0.15">
      <c r="B160" s="38" t="s">
        <v>113</v>
      </c>
      <c r="C160" s="39">
        <f>'Data Entry Höchst'!C160</f>
        <v>193148.88759999999</v>
      </c>
      <c r="D160" s="39">
        <f>'Data Entry Höchst'!F160</f>
        <v>16451.22</v>
      </c>
      <c r="E160" s="39">
        <f>'Data Entry Höchst'!I160</f>
        <v>19954.32</v>
      </c>
      <c r="F160" s="39">
        <f>'Data Entry Höchst'!L160</f>
        <v>19835.990000000002</v>
      </c>
      <c r="G160" s="39">
        <f>'Data Entry Höchst'!O160</f>
        <v>9468.83</v>
      </c>
      <c r="H160" s="39">
        <f>'Data Entry Höchst'!R160</f>
        <v>16190.7726</v>
      </c>
      <c r="I160" s="39">
        <f>'Data Entry Höchst'!U160</f>
        <v>16786.947199999999</v>
      </c>
      <c r="J160" s="39">
        <f>'Data Entry Höchst'!X160</f>
        <v>11158.925300000001</v>
      </c>
      <c r="K160" s="39">
        <f>'Data Entry Höchst'!AA160</f>
        <v>11878.1409</v>
      </c>
      <c r="L160" s="39">
        <f>'Data Entry Höchst'!AD160</f>
        <v>19138.728899999998</v>
      </c>
      <c r="M160" s="39">
        <f>'Data Entry Höchst'!AG160</f>
        <v>19789.5874</v>
      </c>
      <c r="N160" s="39">
        <f>'Data Entry Höchst'!AJ160</f>
        <v>20258.383900000001</v>
      </c>
      <c r="O160" s="39">
        <f>'Data Entry Höchst'!AM160</f>
        <v>12237.0414</v>
      </c>
    </row>
    <row r="161" spans="2:15" ht="14" x14ac:dyDescent="0.15">
      <c r="B161" s="38" t="s">
        <v>114</v>
      </c>
      <c r="C161" s="39">
        <f>'Data Entry Höchst'!C161</f>
        <v>26787.59</v>
      </c>
      <c r="D161" s="39">
        <f>'Data Entry Höchst'!F161</f>
        <v>5483.74</v>
      </c>
      <c r="E161" s="39">
        <f>'Data Entry Höchst'!I161</f>
        <v>10114.209999999999</v>
      </c>
      <c r="F161" s="39">
        <f>'Data Entry Höchst'!L161</f>
        <v>6455.23</v>
      </c>
      <c r="G161" s="39">
        <f>'Data Entry Höchst'!O161</f>
        <v>4734.41</v>
      </c>
      <c r="H161" s="39">
        <f>'Data Entry Höchst'!R161</f>
        <v>0</v>
      </c>
      <c r="I161" s="39">
        <f>'Data Entry Höchst'!U161</f>
        <v>0</v>
      </c>
      <c r="J161" s="39">
        <f>'Data Entry Höchst'!X161</f>
        <v>0</v>
      </c>
      <c r="K161" s="39">
        <f>'Data Entry Höchst'!AA161</f>
        <v>0</v>
      </c>
      <c r="L161" s="39">
        <f>'Data Entry Höchst'!AD161</f>
        <v>0</v>
      </c>
      <c r="M161" s="39">
        <f>'Data Entry Höchst'!AG161</f>
        <v>0</v>
      </c>
      <c r="N161" s="39">
        <f>'Data Entry Höchst'!AJ161</f>
        <v>0</v>
      </c>
      <c r="O161" s="39">
        <f>'Data Entry Höchst'!AM161</f>
        <v>0</v>
      </c>
    </row>
    <row r="162" spans="2:15" ht="14" x14ac:dyDescent="0.15">
      <c r="B162" s="42" t="s">
        <v>115</v>
      </c>
      <c r="C162" s="39">
        <f>'Data Entry Höchst'!C162</f>
        <v>398974.12939999998</v>
      </c>
      <c r="D162" s="39">
        <f>'Data Entry Höchst'!F162</f>
        <v>30258.66</v>
      </c>
      <c r="E162" s="39">
        <f>'Data Entry Höchst'!I162</f>
        <v>18323.68</v>
      </c>
      <c r="F162" s="39">
        <f>'Data Entry Höchst'!L162</f>
        <v>51129.79</v>
      </c>
      <c r="G162" s="39">
        <f>'Data Entry Höchst'!O162</f>
        <v>-2161.42</v>
      </c>
      <c r="H162" s="39">
        <f>'Data Entry Höchst'!R162</f>
        <v>38354.811900000001</v>
      </c>
      <c r="I162" s="39">
        <f>'Data Entry Höchst'!U162</f>
        <v>38638.0766</v>
      </c>
      <c r="J162" s="39">
        <f>'Data Entry Höchst'!X162</f>
        <v>28670.656200000001</v>
      </c>
      <c r="K162" s="39">
        <f>'Data Entry Höchst'!AA162</f>
        <v>29428.1852</v>
      </c>
      <c r="L162" s="39">
        <f>'Data Entry Höchst'!AD162</f>
        <v>42960.112200000003</v>
      </c>
      <c r="M162" s="39">
        <f>'Data Entry Höchst'!AG162</f>
        <v>46538.696900000003</v>
      </c>
      <c r="N162" s="39">
        <f>'Data Entry Höchst'!AJ162</f>
        <v>46057.866000000002</v>
      </c>
      <c r="O162" s="39">
        <f>'Data Entry Höchst'!AM162</f>
        <v>30775.0144</v>
      </c>
    </row>
    <row r="163" spans="2:15" ht="14" x14ac:dyDescent="0.15">
      <c r="B163" s="38" t="s">
        <v>116</v>
      </c>
      <c r="C163" s="39">
        <f>'Data Entry Höchst'!C163</f>
        <v>171840.41260000001</v>
      </c>
      <c r="D163" s="39">
        <f>'Data Entry Höchst'!F163</f>
        <v>13098.16</v>
      </c>
      <c r="E163" s="39">
        <f>'Data Entry Höchst'!I163</f>
        <v>13606.61</v>
      </c>
      <c r="F163" s="39">
        <f>'Data Entry Höchst'!L163</f>
        <v>23662.52</v>
      </c>
      <c r="G163" s="39">
        <f>'Data Entry Höchst'!O163</f>
        <v>-19820.75</v>
      </c>
      <c r="H163" s="39">
        <f>'Data Entry Höchst'!R163</f>
        <v>18027.653399999999</v>
      </c>
      <c r="I163" s="39">
        <f>'Data Entry Höchst'!U163</f>
        <v>18135.115699999998</v>
      </c>
      <c r="J163" s="39">
        <f>'Data Entry Höchst'!X163</f>
        <v>13083.207</v>
      </c>
      <c r="K163" s="39">
        <f>'Data Entry Höchst'!AA163</f>
        <v>13405.63</v>
      </c>
      <c r="L163" s="39">
        <f>'Data Entry Höchst'!AD163</f>
        <v>20291.46</v>
      </c>
      <c r="M163" s="39">
        <f>'Data Entry Höchst'!AG163</f>
        <v>22291.342499999999</v>
      </c>
      <c r="N163" s="39">
        <f>'Data Entry Höchst'!AJ163</f>
        <v>21935.200000000001</v>
      </c>
      <c r="O163" s="39">
        <f>'Data Entry Höchst'!AM163</f>
        <v>14124.263999999999</v>
      </c>
    </row>
    <row r="164" spans="2:15" ht="14" x14ac:dyDescent="0.15">
      <c r="B164" s="38" t="s">
        <v>117</v>
      </c>
      <c r="C164" s="39">
        <f>'Data Entry Höchst'!C164</f>
        <v>145279.59479999999</v>
      </c>
      <c r="D164" s="39">
        <f>'Data Entry Höchst'!F164</f>
        <v>9077.5499999999993</v>
      </c>
      <c r="E164" s="39">
        <f>'Data Entry Höchst'!I164</f>
        <v>2340.54</v>
      </c>
      <c r="F164" s="39">
        <f>'Data Entry Höchst'!L164</f>
        <v>21006.1</v>
      </c>
      <c r="G164" s="39">
        <f>'Data Entry Höchst'!O164</f>
        <v>13006.21</v>
      </c>
      <c r="H164" s="39">
        <f>'Data Entry Höchst'!R164</f>
        <v>12726.8953</v>
      </c>
      <c r="I164" s="39">
        <f>'Data Entry Höchst'!U164</f>
        <v>12753.6541</v>
      </c>
      <c r="J164" s="39">
        <f>'Data Entry Höchst'!X164</f>
        <v>9245.1478999999999</v>
      </c>
      <c r="K164" s="39">
        <f>'Data Entry Höchst'!AA164</f>
        <v>9500.4500000000007</v>
      </c>
      <c r="L164" s="39">
        <f>'Data Entry Höchst'!AD164</f>
        <v>14331.4</v>
      </c>
      <c r="M164" s="39">
        <f>'Data Entry Höchst'!AG164</f>
        <v>15747.387500000001</v>
      </c>
      <c r="N164" s="39">
        <f>'Data Entry Höchst'!AJ164</f>
        <v>15505.5</v>
      </c>
      <c r="O164" s="39">
        <f>'Data Entry Höchst'!AM164</f>
        <v>10038.76</v>
      </c>
    </row>
    <row r="165" spans="2:15" ht="14" x14ac:dyDescent="0.15">
      <c r="B165" s="38" t="s">
        <v>118</v>
      </c>
      <c r="C165" s="39">
        <f>'Data Entry Höchst'!C165</f>
        <v>38608.93</v>
      </c>
      <c r="D165" s="39">
        <f>'Data Entry Höchst'!F165</f>
        <v>5341.08</v>
      </c>
      <c r="E165" s="39">
        <f>'Data Entry Höchst'!I165</f>
        <v>-99.54</v>
      </c>
      <c r="F165" s="39">
        <f>'Data Entry Höchst'!L165</f>
        <v>1500</v>
      </c>
      <c r="G165" s="39">
        <f>'Data Entry Höchst'!O165</f>
        <v>3446.67</v>
      </c>
      <c r="H165" s="39">
        <f>'Data Entry Höchst'!R165</f>
        <v>3552.57</v>
      </c>
      <c r="I165" s="39">
        <f>'Data Entry Höchst'!U165</f>
        <v>3552.57</v>
      </c>
      <c r="J165" s="39">
        <f>'Data Entry Höchst'!X165</f>
        <v>3552.57</v>
      </c>
      <c r="K165" s="39">
        <f>'Data Entry Höchst'!AA165</f>
        <v>3552.57</v>
      </c>
      <c r="L165" s="39">
        <f>'Data Entry Höchst'!AD165</f>
        <v>3552.57</v>
      </c>
      <c r="M165" s="39">
        <f>'Data Entry Höchst'!AG165</f>
        <v>3552.57</v>
      </c>
      <c r="N165" s="39">
        <f>'Data Entry Höchst'!AJ165</f>
        <v>3552.57</v>
      </c>
      <c r="O165" s="39">
        <f>'Data Entry Höchst'!AM165</f>
        <v>3552.73</v>
      </c>
    </row>
    <row r="166" spans="2:15" ht="14" x14ac:dyDescent="0.15">
      <c r="B166" s="38" t="s">
        <v>119</v>
      </c>
      <c r="C166" s="39">
        <f>'Data Entry Höchst'!C166</f>
        <v>43245.192000000003</v>
      </c>
      <c r="D166" s="39">
        <f>'Data Entry Höchst'!F166</f>
        <v>2741.87</v>
      </c>
      <c r="E166" s="39">
        <f>'Data Entry Höchst'!I166</f>
        <v>2476.0700000000002</v>
      </c>
      <c r="F166" s="39">
        <f>'Data Entry Höchst'!L166</f>
        <v>4961.17</v>
      </c>
      <c r="G166" s="39">
        <f>'Data Entry Höchst'!O166</f>
        <v>1206.45</v>
      </c>
      <c r="H166" s="39">
        <f>'Data Entry Höchst'!R166</f>
        <v>4047.6932000000002</v>
      </c>
      <c r="I166" s="39">
        <f>'Data Entry Höchst'!U166</f>
        <v>4196.7367999999997</v>
      </c>
      <c r="J166" s="39">
        <f>'Data Entry Höchst'!X166</f>
        <v>2789.7312999999999</v>
      </c>
      <c r="K166" s="39">
        <f>'Data Entry Höchst'!AA166</f>
        <v>2969.5351999999998</v>
      </c>
      <c r="L166" s="39">
        <f>'Data Entry Höchst'!AD166</f>
        <v>4784.6822000000002</v>
      </c>
      <c r="M166" s="39">
        <f>'Data Entry Höchst'!AG166</f>
        <v>4947.3968999999997</v>
      </c>
      <c r="N166" s="39">
        <f>'Data Entry Höchst'!AJ166</f>
        <v>5064.5959999999995</v>
      </c>
      <c r="O166" s="39">
        <f>'Data Entry Höchst'!AM166</f>
        <v>3059.2604000000001</v>
      </c>
    </row>
    <row r="168" spans="2:15" ht="14" x14ac:dyDescent="0.15">
      <c r="B168" s="33" t="s">
        <v>142</v>
      </c>
    </row>
    <row r="170" spans="2:15" ht="14" x14ac:dyDescent="0.15">
      <c r="B170" s="299" t="s">
        <v>431</v>
      </c>
    </row>
    <row r="171" spans="2:15" ht="14" x14ac:dyDescent="0.15">
      <c r="B171" s="299" t="s">
        <v>432</v>
      </c>
      <c r="F171" s="223">
        <f>-F137+150000</f>
        <v>-101565.44</v>
      </c>
      <c r="G171" s="223">
        <f t="shared" ref="G171:L171" si="0">-G137+150000</f>
        <v>-101565.44</v>
      </c>
      <c r="H171" s="223">
        <f t="shared" si="0"/>
        <v>-106565.44</v>
      </c>
      <c r="I171" s="223">
        <f t="shared" si="0"/>
        <v>-106565.44</v>
      </c>
      <c r="J171" s="223">
        <f t="shared" si="0"/>
        <v>-106565.44</v>
      </c>
      <c r="K171" s="223">
        <f t="shared" si="0"/>
        <v>-106565.44</v>
      </c>
      <c r="L171" s="223">
        <f t="shared" si="0"/>
        <v>-106565.44</v>
      </c>
    </row>
    <row r="172" spans="2:15" ht="14" x14ac:dyDescent="0.15">
      <c r="B172" s="299" t="s">
        <v>433</v>
      </c>
      <c r="F172" s="223">
        <f>-F158</f>
        <v>-9918</v>
      </c>
      <c r="G172" s="223">
        <f t="shared" ref="G172:L172" si="1">-G158</f>
        <v>-4734.41</v>
      </c>
      <c r="H172" s="223">
        <f t="shared" si="1"/>
        <v>-8095.3863000000001</v>
      </c>
      <c r="I172" s="223">
        <f t="shared" si="1"/>
        <v>-8393.4735999999994</v>
      </c>
      <c r="J172" s="223">
        <f t="shared" si="1"/>
        <v>-5579.4627</v>
      </c>
      <c r="K172" s="223">
        <f t="shared" si="1"/>
        <v>-5939.0704999999998</v>
      </c>
      <c r="L172" s="223">
        <f t="shared" si="1"/>
        <v>-9569.3644999999997</v>
      </c>
    </row>
    <row r="173" spans="2:15" ht="14" x14ac:dyDescent="0.15">
      <c r="B173" s="299" t="s">
        <v>442</v>
      </c>
      <c r="F173" s="224">
        <f>+F150-F171-F172</f>
        <v>122432.91</v>
      </c>
      <c r="G173" s="224">
        <f t="shared" ref="G173:L173" si="2">+G150-G171-G172</f>
        <v>-156991.06999999998</v>
      </c>
      <c r="H173" s="224">
        <f t="shared" si="2"/>
        <v>61899.608099999998</v>
      </c>
      <c r="I173" s="224">
        <f t="shared" si="2"/>
        <v>68422.904600000009</v>
      </c>
      <c r="J173" s="224">
        <f t="shared" si="2"/>
        <v>-102774.7555</v>
      </c>
      <c r="K173" s="224">
        <f t="shared" si="2"/>
        <v>-62182.358600000007</v>
      </c>
      <c r="L173" s="224">
        <f t="shared" si="2"/>
        <v>154474.79860000001</v>
      </c>
      <c r="M173" s="224">
        <f>SUM(F173:L173)</f>
        <v>85282.037200000035</v>
      </c>
    </row>
    <row r="174" spans="2:15" ht="14" x14ac:dyDescent="0.15">
      <c r="B174" s="299" t="s">
        <v>443</v>
      </c>
      <c r="C174" s="299" t="s">
        <v>436</v>
      </c>
      <c r="F174" s="224"/>
      <c r="G174" s="224"/>
      <c r="H174" s="224"/>
      <c r="I174" s="224"/>
      <c r="J174" s="224"/>
      <c r="K174" s="224"/>
      <c r="L174" s="224"/>
      <c r="M174" s="224">
        <f>IF(SUM(J173:L173)*50%&gt;0,SUM(J173:L173)*50%,0)</f>
        <v>0</v>
      </c>
      <c r="N174" s="300" t="s">
        <v>444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9ECF-B230-4ABD-B425-69A163429F39}">
  <sheetPr>
    <pageSetUpPr fitToPage="1"/>
  </sheetPr>
  <dimension ref="B2:O168"/>
  <sheetViews>
    <sheetView workbookViewId="0">
      <pane xSplit="2" ySplit="10" topLeftCell="C45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A170" sqref="A170:XFD178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139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Seestern'!C11</f>
        <v>12640595.4835</v>
      </c>
      <c r="D11" s="39">
        <f>'Data entry Seestern'!F11</f>
        <v>1003836.87</v>
      </c>
      <c r="E11" s="39">
        <f>'Data entry Seestern'!I11</f>
        <v>798268.88</v>
      </c>
      <c r="F11" s="39">
        <f>'Data entry Seestern'!L11</f>
        <v>1148748.6499999999</v>
      </c>
      <c r="G11" s="39">
        <f>'Data entry Seestern'!O11</f>
        <v>747189.72</v>
      </c>
      <c r="H11" s="39">
        <f>'Data entry Seestern'!R11</f>
        <v>1088798.2856999999</v>
      </c>
      <c r="I11" s="39">
        <f>'Data entry Seestern'!U11</f>
        <v>924236.82770000002</v>
      </c>
      <c r="J11" s="39">
        <f>'Data entry Seestern'!X11</f>
        <v>616519.98580000002</v>
      </c>
      <c r="K11" s="39">
        <f>'Data entry Seestern'!AA11</f>
        <v>841221.80359999998</v>
      </c>
      <c r="L11" s="39">
        <f>'Data entry Seestern'!AD11</f>
        <v>1428155.8858</v>
      </c>
      <c r="M11" s="39">
        <f>'Data entry Seestern'!AG11</f>
        <v>1593802.5216999999</v>
      </c>
      <c r="N11" s="39">
        <f>'Data entry Seestern'!AJ11</f>
        <v>1512414.1421000001</v>
      </c>
      <c r="O11" s="39">
        <f>'Data entry Seestern'!AM11</f>
        <v>937401.91110000003</v>
      </c>
    </row>
    <row r="12" spans="2:15" ht="14" x14ac:dyDescent="0.15">
      <c r="B12" s="38" t="s">
        <v>22</v>
      </c>
      <c r="C12" s="39">
        <f>'Data entry Seestern'!C12</f>
        <v>4575455.8912000004</v>
      </c>
      <c r="D12" s="39">
        <f>'Data entry Seestern'!F12</f>
        <v>380128.33</v>
      </c>
      <c r="E12" s="39">
        <f>'Data entry Seestern'!I12</f>
        <v>373830.58</v>
      </c>
      <c r="F12" s="39">
        <f>'Data entry Seestern'!L12</f>
        <v>393698.25</v>
      </c>
      <c r="G12" s="39">
        <f>'Data entry Seestern'!O12</f>
        <v>355498.25</v>
      </c>
      <c r="H12" s="39">
        <f>'Data entry Seestern'!R12</f>
        <v>350236.96289999998</v>
      </c>
      <c r="I12" s="39">
        <f>'Data entry Seestern'!U12</f>
        <v>384031.41940000001</v>
      </c>
      <c r="J12" s="39">
        <f>'Data entry Seestern'!X12</f>
        <v>334953.56310000003</v>
      </c>
      <c r="K12" s="39">
        <f>'Data entry Seestern'!AA12</f>
        <v>355922.24410000001</v>
      </c>
      <c r="L12" s="39">
        <f>'Data entry Seestern'!AD12</f>
        <v>424078.85690000001</v>
      </c>
      <c r="M12" s="39">
        <f>'Data entry Seestern'!AG12</f>
        <v>418370.87439999997</v>
      </c>
      <c r="N12" s="39">
        <f>'Data entry Seestern'!AJ12</f>
        <v>429331.50319999998</v>
      </c>
      <c r="O12" s="39">
        <f>'Data entry Seestern'!AM12</f>
        <v>375375.05719999998</v>
      </c>
    </row>
    <row r="13" spans="2:15" ht="14" x14ac:dyDescent="0.15">
      <c r="B13" s="38" t="s">
        <v>23</v>
      </c>
      <c r="C13" s="39">
        <f>'Data entry Seestern'!C13</f>
        <v>3621737.8309999998</v>
      </c>
      <c r="D13" s="39">
        <f>'Data entry Seestern'!F13</f>
        <v>250174.25</v>
      </c>
      <c r="E13" s="39">
        <f>'Data entry Seestern'!I13</f>
        <v>96029.96</v>
      </c>
      <c r="F13" s="39">
        <f>'Data entry Seestern'!L13</f>
        <v>390799.5</v>
      </c>
      <c r="G13" s="39">
        <f>'Data entry Seestern'!O13</f>
        <v>82997.67</v>
      </c>
      <c r="H13" s="39">
        <f>'Data entry Seestern'!R13</f>
        <v>364755.87709999998</v>
      </c>
      <c r="I13" s="39">
        <f>'Data entry Seestern'!U13</f>
        <v>208799.6587</v>
      </c>
      <c r="J13" s="39">
        <f>'Data entry Seestern'!X13</f>
        <v>28270.582600000002</v>
      </c>
      <c r="K13" s="39">
        <f>'Data entry Seestern'!AA13</f>
        <v>168667.83069999999</v>
      </c>
      <c r="L13" s="39">
        <f>'Data entry Seestern'!AD13</f>
        <v>529259.40419999999</v>
      </c>
      <c r="M13" s="39">
        <f>'Data entry Seestern'!AG13</f>
        <v>697437.24560000002</v>
      </c>
      <c r="N13" s="39">
        <f>'Data entry Seestern'!AJ13</f>
        <v>602118.97560000001</v>
      </c>
      <c r="O13" s="39">
        <f>'Data entry Seestern'!AM13</f>
        <v>202426.87650000001</v>
      </c>
    </row>
    <row r="14" spans="2:15" ht="14" x14ac:dyDescent="0.15">
      <c r="B14" s="38" t="s">
        <v>24</v>
      </c>
      <c r="C14" s="39">
        <f>'Data entry Seestern'!C14</f>
        <v>95870</v>
      </c>
      <c r="D14" s="39">
        <f>'Data entry Seestern'!F14</f>
        <v>8184</v>
      </c>
      <c r="E14" s="39">
        <f>'Data entry Seestern'!I14</f>
        <v>7392</v>
      </c>
      <c r="F14" s="39">
        <f>'Data entry Seestern'!L14</f>
        <v>8184</v>
      </c>
      <c r="G14" s="39">
        <f>'Data entry Seestern'!O14</f>
        <v>7920</v>
      </c>
      <c r="H14" s="39">
        <f>'Data entry Seestern'!R14</f>
        <v>8122</v>
      </c>
      <c r="I14" s="39">
        <f>'Data entry Seestern'!U14</f>
        <v>7860</v>
      </c>
      <c r="J14" s="39">
        <f>'Data entry Seestern'!X14</f>
        <v>8122</v>
      </c>
      <c r="K14" s="39">
        <f>'Data entry Seestern'!AA14</f>
        <v>8122</v>
      </c>
      <c r="L14" s="39">
        <f>'Data entry Seestern'!AD14</f>
        <v>7860</v>
      </c>
      <c r="M14" s="39">
        <f>'Data entry Seestern'!AG14</f>
        <v>8122</v>
      </c>
      <c r="N14" s="39">
        <f>'Data entry Seestern'!AJ14</f>
        <v>7860</v>
      </c>
      <c r="O14" s="39">
        <f>'Data entry Seestern'!AM14</f>
        <v>8122</v>
      </c>
    </row>
    <row r="15" spans="2:15" ht="14" x14ac:dyDescent="0.15">
      <c r="B15" s="38" t="s">
        <v>25</v>
      </c>
      <c r="C15" s="39">
        <f>'Data entry Seestern'!C15</f>
        <v>56545</v>
      </c>
      <c r="D15" s="39">
        <f>'Data entry Seestern'!F15</f>
        <v>4972</v>
      </c>
      <c r="E15" s="39">
        <f>'Data entry Seestern'!I15</f>
        <v>3638</v>
      </c>
      <c r="F15" s="39">
        <f>'Data entry Seestern'!L15</f>
        <v>5070</v>
      </c>
      <c r="G15" s="39">
        <f>'Data entry Seestern'!O15</f>
        <v>3885</v>
      </c>
      <c r="H15" s="39">
        <f>'Data entry Seestern'!R15</f>
        <v>4716</v>
      </c>
      <c r="I15" s="39">
        <f>'Data entry Seestern'!U15</f>
        <v>4301</v>
      </c>
      <c r="J15" s="39">
        <f>'Data entry Seestern'!X15</f>
        <v>3350</v>
      </c>
      <c r="K15" s="39">
        <f>'Data entry Seestern'!AA15</f>
        <v>4823</v>
      </c>
      <c r="L15" s="39">
        <f>'Data entry Seestern'!AD15</f>
        <v>5960</v>
      </c>
      <c r="M15" s="39">
        <f>'Data entry Seestern'!AG15</f>
        <v>5460</v>
      </c>
      <c r="N15" s="39">
        <f>'Data entry Seestern'!AJ15</f>
        <v>5760</v>
      </c>
      <c r="O15" s="39">
        <f>'Data entry Seestern'!AM15</f>
        <v>4610</v>
      </c>
    </row>
    <row r="16" spans="2:15" ht="14" x14ac:dyDescent="0.15">
      <c r="B16" s="38" t="s">
        <v>26</v>
      </c>
      <c r="C16" s="39">
        <f>'Data entry Seestern'!C16</f>
        <v>59.006988630437</v>
      </c>
      <c r="D16" s="39">
        <f>'Data entry Seestern'!F16</f>
        <v>60.813782991201997</v>
      </c>
      <c r="E16" s="39">
        <f>'Data entry Seestern'!I16</f>
        <v>49.323593073593003</v>
      </c>
      <c r="F16" s="39">
        <f>'Data entry Seestern'!L16</f>
        <v>61.974584555230003</v>
      </c>
      <c r="G16" s="39">
        <f>'Data entry Seestern'!O16</f>
        <v>49.179292929292998</v>
      </c>
      <c r="H16" s="39">
        <f>'Data entry Seestern'!R16</f>
        <v>58.064516129032</v>
      </c>
      <c r="I16" s="39">
        <f>'Data entry Seestern'!U16</f>
        <v>54.720101781170001</v>
      </c>
      <c r="J16" s="39">
        <f>'Data entry Seestern'!X16</f>
        <v>41.245998522531004</v>
      </c>
      <c r="K16" s="39">
        <f>'Data entry Seestern'!AA16</f>
        <v>59.381925634079998</v>
      </c>
      <c r="L16" s="39">
        <f>'Data entry Seestern'!AD16</f>
        <v>75.826972010177997</v>
      </c>
      <c r="M16" s="39">
        <f>'Data entry Seestern'!AG16</f>
        <v>67.224821472543994</v>
      </c>
      <c r="N16" s="39">
        <f>'Data entry Seestern'!AJ16</f>
        <v>73.282442748091995</v>
      </c>
      <c r="O16" s="39">
        <f>'Data entry Seestern'!AM16</f>
        <v>56.759418862349001</v>
      </c>
    </row>
    <row r="17" spans="2:15" ht="14" x14ac:dyDescent="0.15">
      <c r="B17" s="38" t="s">
        <v>27</v>
      </c>
      <c r="C17" s="39">
        <f>'Data entry Seestern'!C17</f>
        <v>127.36617682731</v>
      </c>
      <c r="D17" s="39">
        <f>'Data entry Seestern'!F17</f>
        <v>118.58885156879001</v>
      </c>
      <c r="E17" s="39">
        <f>'Data entry Seestern'!I17</f>
        <v>107.13816382628001</v>
      </c>
      <c r="F17" s="39">
        <f>'Data entry Seestern'!L17</f>
        <v>129.39076134122001</v>
      </c>
      <c r="G17" s="39">
        <f>'Data entry Seestern'!O17</f>
        <v>98.936036036036</v>
      </c>
      <c r="H17" s="39">
        <f>'Data entry Seestern'!R17</f>
        <v>126.16722137405</v>
      </c>
      <c r="I17" s="39">
        <f>'Data entry Seestern'!U17</f>
        <v>117.36388095792</v>
      </c>
      <c r="J17" s="39">
        <f>'Data entry Seestern'!X17</f>
        <v>103.02985074627</v>
      </c>
      <c r="K17" s="39">
        <f>'Data entry Seestern'!AA17</f>
        <v>113.28088963301001</v>
      </c>
      <c r="L17" s="39">
        <f>'Data entry Seestern'!AD17</f>
        <v>130.05033557047</v>
      </c>
      <c r="M17" s="39">
        <f>'Data entry Seestern'!AG17</f>
        <v>184.39377289377001</v>
      </c>
      <c r="N17" s="39">
        <f>'Data entry Seestern'!AJ17</f>
        <v>153.91319444443999</v>
      </c>
      <c r="O17" s="39">
        <f>'Data entry Seestern'!AM17</f>
        <v>113.32537960953999</v>
      </c>
    </row>
    <row r="18" spans="2:15" ht="14" x14ac:dyDescent="0.15">
      <c r="B18" s="38" t="s">
        <v>28</v>
      </c>
      <c r="C18" s="39">
        <f>'Data entry Seestern'!C18</f>
        <v>74.183677883591997</v>
      </c>
      <c r="D18" s="39">
        <f>'Data entry Seestern'!F18</f>
        <v>71.388040078201001</v>
      </c>
      <c r="E18" s="39">
        <f>'Data entry Seestern'!I18</f>
        <v>51.698045183982998</v>
      </c>
      <c r="F18" s="39">
        <f>'Data entry Seestern'!L18</f>
        <v>79.708037634408996</v>
      </c>
      <c r="G18" s="39">
        <f>'Data entry Seestern'!O18</f>
        <v>47.868251262626003</v>
      </c>
      <c r="H18" s="39">
        <f>'Data entry Seestern'!R18</f>
        <v>72.088723959616004</v>
      </c>
      <c r="I18" s="39">
        <f>'Data entry Seestern'!U18</f>
        <v>63.140210178117002</v>
      </c>
      <c r="J18" s="39">
        <f>'Data entry Seestern'!X18</f>
        <v>41.633834031027</v>
      </c>
      <c r="K18" s="39">
        <f>'Data entry Seestern'!AA18</f>
        <v>66.221833378477996</v>
      </c>
      <c r="L18" s="39">
        <f>'Data entry Seestern'!AD18</f>
        <v>97.404580152671997</v>
      </c>
      <c r="M18" s="39">
        <f>'Data entry Seestern'!AG18</f>
        <v>122.91184437331</v>
      </c>
      <c r="N18" s="39">
        <f>'Data entry Seestern'!AJ18</f>
        <v>111.58269720102</v>
      </c>
      <c r="O18" s="39">
        <f>'Data entry Seestern'!AM18</f>
        <v>63.460970204383003</v>
      </c>
    </row>
    <row r="19" spans="2:15" ht="14" x14ac:dyDescent="0.15">
      <c r="B19" s="38" t="s">
        <v>29</v>
      </c>
      <c r="C19" s="39">
        <f>'Data entry Seestern'!C19</f>
        <v>131.85141841556</v>
      </c>
      <c r="D19" s="39">
        <f>'Data entry Seestern'!F19</f>
        <v>122.65846407625</v>
      </c>
      <c r="E19" s="39">
        <f>'Data entry Seestern'!I19</f>
        <v>107.99091991342</v>
      </c>
      <c r="F19" s="39">
        <f>'Data entry Seestern'!L19</f>
        <v>140.36518206256</v>
      </c>
      <c r="G19" s="39">
        <f>'Data entry Seestern'!O19</f>
        <v>94.342136363636001</v>
      </c>
      <c r="H19" s="39">
        <f>'Data entry Seestern'!R19</f>
        <v>134.05544024871</v>
      </c>
      <c r="I19" s="39">
        <f>'Data entry Seestern'!U19</f>
        <v>117.58738265903</v>
      </c>
      <c r="J19" s="39">
        <f>'Data entry Seestern'!X19</f>
        <v>75.907410219157995</v>
      </c>
      <c r="K19" s="39">
        <f>'Data entry Seestern'!AA19</f>
        <v>103.57323363704</v>
      </c>
      <c r="L19" s="39">
        <f>'Data entry Seestern'!AD19</f>
        <v>181.69922211196001</v>
      </c>
      <c r="M19" s="39">
        <f>'Data entry Seestern'!AG19</f>
        <v>196.23276553804001</v>
      </c>
      <c r="N19" s="39">
        <f>'Data entry Seestern'!AJ19</f>
        <v>192.41910204835</v>
      </c>
      <c r="O19" s="39">
        <f>'Data entry Seestern'!AM19</f>
        <v>115.41515773208999</v>
      </c>
    </row>
    <row r="20" spans="2:15" ht="14" x14ac:dyDescent="0.15">
      <c r="B20" s="38" t="s">
        <v>30</v>
      </c>
      <c r="C20" s="39">
        <f>'Data entry Seestern'!C20</f>
        <v>68225.440000000002</v>
      </c>
      <c r="D20" s="39">
        <f>'Data entry Seestern'!F20</f>
        <v>5821</v>
      </c>
      <c r="E20" s="39">
        <f>'Data entry Seestern'!I20</f>
        <v>4189</v>
      </c>
      <c r="F20" s="39">
        <f>'Data entry Seestern'!L20</f>
        <v>5898</v>
      </c>
      <c r="G20" s="39">
        <f>'Data entry Seestern'!O20</f>
        <v>4906</v>
      </c>
      <c r="H20" s="39">
        <f>'Data entry Seestern'!R20</f>
        <v>5347.19</v>
      </c>
      <c r="I20" s="39">
        <f>'Data entry Seestern'!U20</f>
        <v>5572.65</v>
      </c>
      <c r="J20" s="39">
        <f>'Data entry Seestern'!X20</f>
        <v>4556</v>
      </c>
      <c r="K20" s="39">
        <f>'Data entry Seestern'!AA20</f>
        <v>5787.6</v>
      </c>
      <c r="L20" s="39">
        <f>'Data entry Seestern'!AD20</f>
        <v>7152</v>
      </c>
      <c r="M20" s="39">
        <f>'Data entry Seestern'!AG20</f>
        <v>6552</v>
      </c>
      <c r="N20" s="39">
        <f>'Data entry Seestern'!AJ20</f>
        <v>6912</v>
      </c>
      <c r="O20" s="39">
        <f>'Data entry Seestern'!AM20</f>
        <v>5532</v>
      </c>
    </row>
    <row r="21" spans="2:15" ht="14" x14ac:dyDescent="0.15">
      <c r="B21" s="38" t="s">
        <v>31</v>
      </c>
      <c r="C21" s="39">
        <f>'Data entry Seestern'!C21</f>
        <v>1.2060357079724</v>
      </c>
      <c r="D21" s="39">
        <f>'Data entry Seestern'!F21</f>
        <v>1.1695800683141999</v>
      </c>
      <c r="E21" s="39">
        <f>'Data entry Seestern'!I21</f>
        <v>1.1489303346133</v>
      </c>
      <c r="F21" s="39">
        <f>'Data entry Seestern'!L21</f>
        <v>1.1628548895899</v>
      </c>
      <c r="G21" s="39">
        <f>'Data entry Seestern'!O21</f>
        <v>1.2595635430039001</v>
      </c>
      <c r="H21" s="39">
        <f>'Data entry Seestern'!R21</f>
        <v>1.1338401187447</v>
      </c>
      <c r="I21" s="39">
        <f>'Data entry Seestern'!U21</f>
        <v>1.2956637991165001</v>
      </c>
      <c r="J21" s="39">
        <f>'Data entry Seestern'!X21</f>
        <v>1.36</v>
      </c>
      <c r="K21" s="39">
        <f>'Data entry Seestern'!AA21</f>
        <v>1.2</v>
      </c>
      <c r="L21" s="39">
        <f>'Data entry Seestern'!AD21</f>
        <v>1.2</v>
      </c>
      <c r="M21" s="39">
        <f>'Data entry Seestern'!AG21</f>
        <v>1.2</v>
      </c>
      <c r="N21" s="39">
        <f>'Data entry Seestern'!AJ21</f>
        <v>1.2</v>
      </c>
      <c r="O21" s="39">
        <f>'Data entry Seestern'!AM21</f>
        <v>1.2</v>
      </c>
    </row>
    <row r="22" spans="2:15" ht="14" x14ac:dyDescent="0.15">
      <c r="B22" s="38" t="s">
        <v>32</v>
      </c>
      <c r="C22" s="39">
        <f>'Data entry Seestern'!C22</f>
        <v>110710.97319999999</v>
      </c>
      <c r="D22" s="39">
        <f>'Data entry Seestern'!F22</f>
        <v>0</v>
      </c>
      <c r="E22" s="39">
        <f>'Data entry Seestern'!I22</f>
        <v>0</v>
      </c>
      <c r="F22" s="39">
        <f>'Data entry Seestern'!L22</f>
        <v>0</v>
      </c>
      <c r="G22" s="39">
        <f>'Data entry Seestern'!O22</f>
        <v>0</v>
      </c>
      <c r="H22" s="39">
        <f>'Data entry Seestern'!R22</f>
        <v>12778.4967</v>
      </c>
      <c r="I22" s="39">
        <f>'Data entry Seestern'!U22</f>
        <v>11792.302600000001</v>
      </c>
      <c r="J22" s="39">
        <f>'Data entry Seestern'!X22</f>
        <v>10776.0203</v>
      </c>
      <c r="K22" s="39">
        <f>'Data entry Seestern'!AA22</f>
        <v>13228.5394</v>
      </c>
      <c r="L22" s="39">
        <f>'Data entry Seestern'!AD22</f>
        <v>16743.294099999999</v>
      </c>
      <c r="M22" s="39">
        <f>'Data entry Seestern'!AG22</f>
        <v>16969.363600000001</v>
      </c>
      <c r="N22" s="39">
        <f>'Data entry Seestern'!AJ22</f>
        <v>16479.459900000002</v>
      </c>
      <c r="O22" s="39">
        <f>'Data entry Seestern'!AM22</f>
        <v>11943.4966</v>
      </c>
    </row>
    <row r="23" spans="2:15" ht="14" x14ac:dyDescent="0.15">
      <c r="B23" s="38" t="s">
        <v>33</v>
      </c>
      <c r="C23" s="39">
        <f>'Data entry Seestern'!C23</f>
        <v>66.9358</v>
      </c>
      <c r="D23" s="39">
        <f>'Data entry Seestern'!F23</f>
        <v>69.75</v>
      </c>
      <c r="E23" s="39">
        <f>'Data entry Seestern'!I23</f>
        <v>69.72</v>
      </c>
      <c r="F23" s="39">
        <f>'Data entry Seestern'!L23</f>
        <v>67.989999999999995</v>
      </c>
      <c r="G23" s="39">
        <f>'Data entry Seestern'!O23</f>
        <v>64.67</v>
      </c>
      <c r="H23" s="39">
        <f>'Data entry Seestern'!R23</f>
        <v>59.2</v>
      </c>
      <c r="I23" s="39">
        <f>'Data entry Seestern'!U23</f>
        <v>66.7</v>
      </c>
      <c r="J23" s="39">
        <f>'Data entry Seestern'!X23</f>
        <v>66.7</v>
      </c>
      <c r="K23" s="39">
        <f>'Data entry Seestern'!AA23</f>
        <v>67.7</v>
      </c>
      <c r="L23" s="39">
        <f>'Data entry Seestern'!AD23</f>
        <v>67.7</v>
      </c>
      <c r="M23" s="39">
        <f>'Data entry Seestern'!AG23</f>
        <v>67.7</v>
      </c>
      <c r="N23" s="39">
        <f>'Data entry Seestern'!AJ23</f>
        <v>67.7</v>
      </c>
      <c r="O23" s="39">
        <f>'Data entry Seestern'!AM23</f>
        <v>67.7</v>
      </c>
    </row>
    <row r="24" spans="2:15" x14ac:dyDescent="0.15">
      <c r="C24" s="39">
        <f>'Data entry Seestern'!C24</f>
        <v>0</v>
      </c>
      <c r="D24" s="39">
        <f>'Data entry Seestern'!F24</f>
        <v>0</v>
      </c>
      <c r="E24" s="39">
        <f>'Data entry Seestern'!I24</f>
        <v>0</v>
      </c>
      <c r="F24" s="39">
        <f>'Data entry Seestern'!L24</f>
        <v>0</v>
      </c>
      <c r="G24" s="39">
        <f>'Data entry Seestern'!O24</f>
        <v>0</v>
      </c>
      <c r="H24" s="39">
        <f>'Data entry Seestern'!R24</f>
        <v>0</v>
      </c>
      <c r="I24" s="39">
        <f>'Data entry Seestern'!U24</f>
        <v>0</v>
      </c>
      <c r="J24" s="39">
        <f>'Data entry Seestern'!X24</f>
        <v>0</v>
      </c>
      <c r="K24" s="39">
        <f>'Data entry Seestern'!AA24</f>
        <v>0</v>
      </c>
      <c r="L24" s="39">
        <f>'Data entry Seestern'!AD24</f>
        <v>0</v>
      </c>
      <c r="M24" s="39">
        <f>'Data entry Seestern'!AG24</f>
        <v>0</v>
      </c>
      <c r="N24" s="39">
        <f>'Data entry Seestern'!AJ24</f>
        <v>0</v>
      </c>
      <c r="O24" s="39">
        <f>'Data entry Seestern'!AM24</f>
        <v>0</v>
      </c>
    </row>
    <row r="25" spans="2:15" ht="14" x14ac:dyDescent="0.15">
      <c r="B25" s="38" t="s">
        <v>34</v>
      </c>
      <c r="C25" s="39">
        <f>'Data entry Seestern'!C25</f>
        <v>0</v>
      </c>
      <c r="D25" s="39">
        <f>'Data entry Seestern'!F25</f>
        <v>0</v>
      </c>
      <c r="E25" s="39">
        <f>'Data entry Seestern'!I25</f>
        <v>0</v>
      </c>
      <c r="F25" s="39">
        <f>'Data entry Seestern'!L25</f>
        <v>0</v>
      </c>
      <c r="G25" s="39">
        <f>'Data entry Seestern'!O25</f>
        <v>0</v>
      </c>
      <c r="H25" s="39">
        <f>'Data entry Seestern'!R25</f>
        <v>0</v>
      </c>
      <c r="I25" s="39">
        <f>'Data entry Seestern'!U25</f>
        <v>0</v>
      </c>
      <c r="J25" s="39">
        <f>'Data entry Seestern'!X25</f>
        <v>0</v>
      </c>
      <c r="K25" s="39">
        <f>'Data entry Seestern'!AA25</f>
        <v>0</v>
      </c>
      <c r="L25" s="39">
        <f>'Data entry Seestern'!AD25</f>
        <v>0</v>
      </c>
      <c r="M25" s="39">
        <f>'Data entry Seestern'!AG25</f>
        <v>0</v>
      </c>
      <c r="N25" s="39">
        <f>'Data entry Seestern'!AJ25</f>
        <v>0</v>
      </c>
      <c r="O25" s="39">
        <f>'Data entry Seestern'!AM25</f>
        <v>0</v>
      </c>
    </row>
    <row r="26" spans="2:15" x14ac:dyDescent="0.15">
      <c r="B26" s="40"/>
      <c r="C26" s="39">
        <f>'Data entry Seestern'!C26</f>
        <v>0</v>
      </c>
      <c r="D26" s="39">
        <f>'Data entry Seestern'!F26</f>
        <v>0</v>
      </c>
      <c r="E26" s="39">
        <f>'Data entry Seestern'!I26</f>
        <v>0</v>
      </c>
      <c r="F26" s="39">
        <f>'Data entry Seestern'!L26</f>
        <v>0</v>
      </c>
      <c r="G26" s="39">
        <f>'Data entry Seestern'!O26</f>
        <v>0</v>
      </c>
      <c r="H26" s="39">
        <f>'Data entry Seestern'!R26</f>
        <v>0</v>
      </c>
      <c r="I26" s="39">
        <f>'Data entry Seestern'!U26</f>
        <v>0</v>
      </c>
      <c r="J26" s="39">
        <f>'Data entry Seestern'!X26</f>
        <v>0</v>
      </c>
      <c r="K26" s="39">
        <f>'Data entry Seestern'!AA26</f>
        <v>0</v>
      </c>
      <c r="L26" s="39">
        <f>'Data entry Seestern'!AD26</f>
        <v>0</v>
      </c>
      <c r="M26" s="39">
        <f>'Data entry Seestern'!AG26</f>
        <v>0</v>
      </c>
      <c r="N26" s="39">
        <f>'Data entry Seestern'!AJ26</f>
        <v>0</v>
      </c>
      <c r="O26" s="39">
        <f>'Data entry Seestern'!AM26</f>
        <v>0</v>
      </c>
    </row>
    <row r="27" spans="2:15" ht="14" x14ac:dyDescent="0.15">
      <c r="B27" s="42" t="s">
        <v>21</v>
      </c>
      <c r="C27" s="39">
        <f>'Data entry Seestern'!C27</f>
        <v>12640595.4835</v>
      </c>
      <c r="D27" s="39">
        <f>'Data entry Seestern'!F27</f>
        <v>1003836.87</v>
      </c>
      <c r="E27" s="39">
        <f>'Data entry Seestern'!I27</f>
        <v>798268.88</v>
      </c>
      <c r="F27" s="39">
        <f>'Data entry Seestern'!L27</f>
        <v>1148748.6499999999</v>
      </c>
      <c r="G27" s="39">
        <f>'Data entry Seestern'!O27</f>
        <v>747189.72</v>
      </c>
      <c r="H27" s="39">
        <f>'Data entry Seestern'!R27</f>
        <v>1088798.2856999999</v>
      </c>
      <c r="I27" s="39">
        <f>'Data entry Seestern'!U27</f>
        <v>924236.82770000002</v>
      </c>
      <c r="J27" s="39">
        <f>'Data entry Seestern'!X27</f>
        <v>616519.98580000002</v>
      </c>
      <c r="K27" s="39">
        <f>'Data entry Seestern'!AA27</f>
        <v>841221.80359999998</v>
      </c>
      <c r="L27" s="39">
        <f>'Data entry Seestern'!AD27</f>
        <v>1428155.8858</v>
      </c>
      <c r="M27" s="39">
        <f>'Data entry Seestern'!AG27</f>
        <v>1593802.5216999999</v>
      </c>
      <c r="N27" s="39">
        <f>'Data entry Seestern'!AJ27</f>
        <v>1512414.1421000001</v>
      </c>
      <c r="O27" s="39">
        <f>'Data entry Seestern'!AM27</f>
        <v>937401.91110000003</v>
      </c>
    </row>
    <row r="28" spans="2:15" ht="14" x14ac:dyDescent="0.15">
      <c r="B28" s="38" t="s">
        <v>35</v>
      </c>
      <c r="C28" s="39">
        <f>'Data entry Seestern'!C28</f>
        <v>7201920.4687000001</v>
      </c>
      <c r="D28" s="39">
        <f>'Data entry Seestern'!F28</f>
        <v>589623.77</v>
      </c>
      <c r="E28" s="39">
        <f>'Data entry Seestern'!I28</f>
        <v>389768.64</v>
      </c>
      <c r="F28" s="39">
        <f>'Data entry Seestern'!L28</f>
        <v>656011.16</v>
      </c>
      <c r="G28" s="39">
        <f>'Data entry Seestern'!O28</f>
        <v>384366.5</v>
      </c>
      <c r="H28" s="39">
        <f>'Data entry Seestern'!R28</f>
        <v>595004.61600000004</v>
      </c>
      <c r="I28" s="39">
        <f>'Data entry Seestern'!U28</f>
        <v>504782.05200000003</v>
      </c>
      <c r="J28" s="39">
        <f>'Data entry Seestern'!X28</f>
        <v>345150</v>
      </c>
      <c r="K28" s="39">
        <f>'Data entry Seestern'!AA28</f>
        <v>546353.73069999996</v>
      </c>
      <c r="L28" s="39">
        <f>'Data entry Seestern'!AD28</f>
        <v>775100</v>
      </c>
      <c r="M28" s="39">
        <f>'Data entry Seestern'!AG28</f>
        <v>1006790</v>
      </c>
      <c r="N28" s="39">
        <f>'Data entry Seestern'!AJ28</f>
        <v>886540</v>
      </c>
      <c r="O28" s="39">
        <f>'Data entry Seestern'!AM28</f>
        <v>522430</v>
      </c>
    </row>
    <row r="29" spans="2:15" ht="14" x14ac:dyDescent="0.15">
      <c r="B29" s="38" t="s">
        <v>36</v>
      </c>
      <c r="C29" s="39">
        <f>'Data entry Seestern'!C29</f>
        <v>4975300.8547999999</v>
      </c>
      <c r="D29" s="39">
        <f>'Data entry Seestern'!F29</f>
        <v>386135.73</v>
      </c>
      <c r="E29" s="39">
        <f>'Data entry Seestern'!I29</f>
        <v>380720.41</v>
      </c>
      <c r="F29" s="39">
        <f>'Data entry Seestern'!L29</f>
        <v>452507.84</v>
      </c>
      <c r="G29" s="39">
        <f>'Data entry Seestern'!O29</f>
        <v>342480.51</v>
      </c>
      <c r="H29" s="39">
        <f>'Data entry Seestern'!R29</f>
        <v>449499.14970000001</v>
      </c>
      <c r="I29" s="39">
        <f>'Data entry Seestern'!U29</f>
        <v>379856.55570000003</v>
      </c>
      <c r="J29" s="39">
        <f>'Data entry Seestern'!X29</f>
        <v>240375.98579999999</v>
      </c>
      <c r="K29" s="39">
        <f>'Data entry Seestern'!AA29</f>
        <v>254229.0129</v>
      </c>
      <c r="L29" s="39">
        <f>'Data entry Seestern'!AD29</f>
        <v>606477.68579999998</v>
      </c>
      <c r="M29" s="39">
        <f>'Data entry Seestern'!AG29</f>
        <v>536088.32169999997</v>
      </c>
      <c r="N29" s="39">
        <f>'Data entry Seestern'!AJ29</f>
        <v>573313.94209999999</v>
      </c>
      <c r="O29" s="39">
        <f>'Data entry Seestern'!AM29</f>
        <v>373615.71110000001</v>
      </c>
    </row>
    <row r="30" spans="2:15" ht="14" x14ac:dyDescent="0.15">
      <c r="B30" s="38" t="s">
        <v>37</v>
      </c>
      <c r="C30" s="39">
        <f>'Data entry Seestern'!C30</f>
        <v>295946.63</v>
      </c>
      <c r="D30" s="39">
        <f>'Data entry Seestern'!F30</f>
        <v>18700.36</v>
      </c>
      <c r="E30" s="39">
        <f>'Data entry Seestern'!I30</f>
        <v>19080.21</v>
      </c>
      <c r="F30" s="39">
        <f>'Data entry Seestern'!L30</f>
        <v>19919.62</v>
      </c>
      <c r="G30" s="39">
        <f>'Data entry Seestern'!O30</f>
        <v>19170.84</v>
      </c>
      <c r="H30" s="39">
        <f>'Data entry Seestern'!R30</f>
        <v>26567.52</v>
      </c>
      <c r="I30" s="39">
        <f>'Data entry Seestern'!U30</f>
        <v>24401.22</v>
      </c>
      <c r="J30" s="39">
        <f>'Data entry Seestern'!X30</f>
        <v>19437</v>
      </c>
      <c r="K30" s="39">
        <f>'Data entry Seestern'!AA30</f>
        <v>27126.06</v>
      </c>
      <c r="L30" s="39">
        <f>'Data entry Seestern'!AD30</f>
        <v>33061.199999999997</v>
      </c>
      <c r="M30" s="39">
        <f>'Data entry Seestern'!AG30</f>
        <v>30451.200000000001</v>
      </c>
      <c r="N30" s="39">
        <f>'Data entry Seestern'!AJ30</f>
        <v>32017.200000000001</v>
      </c>
      <c r="O30" s="39">
        <f>'Data entry Seestern'!AM30</f>
        <v>26014.2</v>
      </c>
    </row>
    <row r="31" spans="2:15" ht="14" x14ac:dyDescent="0.15">
      <c r="B31" s="38" t="s">
        <v>38</v>
      </c>
      <c r="C31" s="39">
        <f>'Data entry Seestern'!C31</f>
        <v>167427.53</v>
      </c>
      <c r="D31" s="39">
        <f>'Data entry Seestern'!F31</f>
        <v>9377.01</v>
      </c>
      <c r="E31" s="39">
        <f>'Data entry Seestern'!I31</f>
        <v>8699.6200000000008</v>
      </c>
      <c r="F31" s="39">
        <f>'Data entry Seestern'!L31</f>
        <v>20310.03</v>
      </c>
      <c r="G31" s="39">
        <f>'Data entry Seestern'!O31</f>
        <v>1171.8699999999999</v>
      </c>
      <c r="H31" s="39">
        <f>'Data entry Seestern'!R31</f>
        <v>17727</v>
      </c>
      <c r="I31" s="39">
        <f>'Data entry Seestern'!U31</f>
        <v>15197</v>
      </c>
      <c r="J31" s="39">
        <f>'Data entry Seestern'!X31</f>
        <v>11557</v>
      </c>
      <c r="K31" s="39">
        <f>'Data entry Seestern'!AA31</f>
        <v>13513</v>
      </c>
      <c r="L31" s="39">
        <f>'Data entry Seestern'!AD31</f>
        <v>13517</v>
      </c>
      <c r="M31" s="39">
        <f>'Data entry Seestern'!AG31</f>
        <v>20473</v>
      </c>
      <c r="N31" s="39">
        <f>'Data entry Seestern'!AJ31</f>
        <v>20543</v>
      </c>
      <c r="O31" s="39">
        <f>'Data entry Seestern'!AM31</f>
        <v>15342</v>
      </c>
    </row>
    <row r="32" spans="2:15" x14ac:dyDescent="0.15">
      <c r="B32" s="40"/>
      <c r="C32" s="39">
        <f>'Data entry Seestern'!C32</f>
        <v>0</v>
      </c>
      <c r="D32" s="39">
        <f>'Data entry Seestern'!F32</f>
        <v>0</v>
      </c>
      <c r="E32" s="39">
        <f>'Data entry Seestern'!I32</f>
        <v>0</v>
      </c>
      <c r="F32" s="39">
        <f>'Data entry Seestern'!L32</f>
        <v>0</v>
      </c>
      <c r="G32" s="39">
        <f>'Data entry Seestern'!O32</f>
        <v>0</v>
      </c>
      <c r="H32" s="39">
        <f>'Data entry Seestern'!R32</f>
        <v>0</v>
      </c>
      <c r="I32" s="39">
        <f>'Data entry Seestern'!U32</f>
        <v>0</v>
      </c>
      <c r="J32" s="39">
        <f>'Data entry Seestern'!X32</f>
        <v>0</v>
      </c>
      <c r="K32" s="39">
        <f>'Data entry Seestern'!AA32</f>
        <v>0</v>
      </c>
      <c r="L32" s="39">
        <f>'Data entry Seestern'!AD32</f>
        <v>0</v>
      </c>
      <c r="M32" s="39">
        <f>'Data entry Seestern'!AG32</f>
        <v>0</v>
      </c>
      <c r="N32" s="39">
        <f>'Data entry Seestern'!AJ32</f>
        <v>0</v>
      </c>
      <c r="O32" s="39">
        <f>'Data entry Seestern'!AM32</f>
        <v>0</v>
      </c>
    </row>
    <row r="33" spans="2:15" ht="14" x14ac:dyDescent="0.15">
      <c r="B33" s="44" t="s">
        <v>39</v>
      </c>
      <c r="C33" s="39">
        <f>'Data entry Seestern'!C33</f>
        <v>0</v>
      </c>
      <c r="D33" s="39">
        <f>'Data entry Seestern'!F33</f>
        <v>0</v>
      </c>
      <c r="E33" s="39">
        <f>'Data entry Seestern'!I33</f>
        <v>0</v>
      </c>
      <c r="F33" s="39">
        <f>'Data entry Seestern'!L33</f>
        <v>0</v>
      </c>
      <c r="G33" s="39">
        <f>'Data entry Seestern'!O33</f>
        <v>0</v>
      </c>
      <c r="H33" s="39">
        <f>'Data entry Seestern'!R33</f>
        <v>0</v>
      </c>
      <c r="I33" s="39">
        <f>'Data entry Seestern'!U33</f>
        <v>0</v>
      </c>
      <c r="J33" s="39">
        <f>'Data entry Seestern'!X33</f>
        <v>0</v>
      </c>
      <c r="K33" s="39">
        <f>'Data entry Seestern'!AA33</f>
        <v>0</v>
      </c>
      <c r="L33" s="39">
        <f>'Data entry Seestern'!AD33</f>
        <v>0</v>
      </c>
      <c r="M33" s="39">
        <f>'Data entry Seestern'!AG33</f>
        <v>0</v>
      </c>
      <c r="N33" s="39">
        <f>'Data entry Seestern'!AJ33</f>
        <v>0</v>
      </c>
      <c r="O33" s="39">
        <f>'Data entry Seestern'!AM33</f>
        <v>0</v>
      </c>
    </row>
    <row r="34" spans="2:15" ht="14" x14ac:dyDescent="0.15">
      <c r="B34" s="42" t="s">
        <v>35</v>
      </c>
      <c r="C34" s="39">
        <f>'Data entry Seestern'!C34</f>
        <v>7201920.4687000001</v>
      </c>
      <c r="D34" s="39">
        <f>'Data entry Seestern'!F34</f>
        <v>589623.77</v>
      </c>
      <c r="E34" s="39">
        <f>'Data entry Seestern'!I34</f>
        <v>389768.64</v>
      </c>
      <c r="F34" s="39">
        <f>'Data entry Seestern'!L34</f>
        <v>656011.16</v>
      </c>
      <c r="G34" s="39">
        <f>'Data entry Seestern'!O34</f>
        <v>384366.5</v>
      </c>
      <c r="H34" s="39">
        <f>'Data entry Seestern'!R34</f>
        <v>595004.61600000004</v>
      </c>
      <c r="I34" s="39">
        <f>'Data entry Seestern'!U34</f>
        <v>504782.05200000003</v>
      </c>
      <c r="J34" s="39">
        <f>'Data entry Seestern'!X34</f>
        <v>345150</v>
      </c>
      <c r="K34" s="39">
        <f>'Data entry Seestern'!AA34</f>
        <v>546353.73069999996</v>
      </c>
      <c r="L34" s="39">
        <f>'Data entry Seestern'!AD34</f>
        <v>775100</v>
      </c>
      <c r="M34" s="39">
        <f>'Data entry Seestern'!AG34</f>
        <v>1006790</v>
      </c>
      <c r="N34" s="39">
        <f>'Data entry Seestern'!AJ34</f>
        <v>886540</v>
      </c>
      <c r="O34" s="39">
        <f>'Data entry Seestern'!AM34</f>
        <v>522430</v>
      </c>
    </row>
    <row r="35" spans="2:15" ht="14" x14ac:dyDescent="0.15">
      <c r="B35" s="38" t="s">
        <v>22</v>
      </c>
      <c r="C35" s="39">
        <f>'Data entry Seestern'!C35</f>
        <v>1574196.0567000001</v>
      </c>
      <c r="D35" s="39">
        <f>'Data entry Seestern'!F35</f>
        <v>130345.11</v>
      </c>
      <c r="E35" s="39">
        <f>'Data entry Seestern'!I35</f>
        <v>103887.71</v>
      </c>
      <c r="F35" s="39">
        <f>'Data entry Seestern'!L35</f>
        <v>126554.47</v>
      </c>
      <c r="G35" s="39">
        <f>'Data entry Seestern'!O35</f>
        <v>118093.67</v>
      </c>
      <c r="H35" s="39">
        <f>'Data entry Seestern'!R35</f>
        <v>121250.8833</v>
      </c>
      <c r="I35" s="39">
        <f>'Data entry Seestern'!U35</f>
        <v>129672.1557</v>
      </c>
      <c r="J35" s="39">
        <f>'Data entry Seestern'!X35</f>
        <v>123007.1798</v>
      </c>
      <c r="K35" s="39">
        <f>'Data entry Seestern'!AA35</f>
        <v>138383.2493</v>
      </c>
      <c r="L35" s="39">
        <f>'Data entry Seestern'!AD35</f>
        <v>151771.56150000001</v>
      </c>
      <c r="M35" s="39">
        <f>'Data entry Seestern'!AG35</f>
        <v>144857.65150000001</v>
      </c>
      <c r="N35" s="39">
        <f>'Data entry Seestern'!AJ35</f>
        <v>152480.71419999999</v>
      </c>
      <c r="O35" s="39">
        <f>'Data entry Seestern'!AM35</f>
        <v>133891.70139999999</v>
      </c>
    </row>
    <row r="36" spans="2:15" ht="14" x14ac:dyDescent="0.15">
      <c r="B36" s="38" t="s">
        <v>40</v>
      </c>
      <c r="C36" s="39">
        <f>'Data entry Seestern'!C36</f>
        <v>1009670.0997</v>
      </c>
      <c r="D36" s="39">
        <f>'Data entry Seestern'!F36</f>
        <v>80832.67</v>
      </c>
      <c r="E36" s="39">
        <f>'Data entry Seestern'!I36</f>
        <v>65823.22</v>
      </c>
      <c r="F36" s="39">
        <f>'Data entry Seestern'!L36</f>
        <v>82020.89</v>
      </c>
      <c r="G36" s="39">
        <f>'Data entry Seestern'!O36</f>
        <v>59545.09</v>
      </c>
      <c r="H36" s="39">
        <f>'Data entry Seestern'!R36</f>
        <v>83850.148400000005</v>
      </c>
      <c r="I36" s="39">
        <f>'Data entry Seestern'!U36</f>
        <v>73579.458100000003</v>
      </c>
      <c r="J36" s="39">
        <f>'Data entry Seestern'!X36</f>
        <v>55753.863100000002</v>
      </c>
      <c r="K36" s="39">
        <f>'Data entry Seestern'!AA36</f>
        <v>79576.237399999998</v>
      </c>
      <c r="L36" s="39">
        <f>'Data entry Seestern'!AD36</f>
        <v>106181.48510000001</v>
      </c>
      <c r="M36" s="39">
        <f>'Data entry Seestern'!AG36</f>
        <v>129601.9865</v>
      </c>
      <c r="N36" s="39">
        <f>'Data entry Seestern'!AJ36</f>
        <v>116406.117</v>
      </c>
      <c r="O36" s="39">
        <f>'Data entry Seestern'!AM36</f>
        <v>76498.934099999999</v>
      </c>
    </row>
    <row r="37" spans="2:15" ht="14" x14ac:dyDescent="0.15">
      <c r="B37" s="42" t="s">
        <v>41</v>
      </c>
      <c r="C37" s="39">
        <f>'Data entry Seestern'!C37</f>
        <v>4618054.3124000002</v>
      </c>
      <c r="D37" s="39">
        <f>'Data entry Seestern'!F37</f>
        <v>378445.99</v>
      </c>
      <c r="E37" s="39">
        <f>'Data entry Seestern'!I37</f>
        <v>220057.71</v>
      </c>
      <c r="F37" s="39">
        <f>'Data entry Seestern'!L37</f>
        <v>447435.8</v>
      </c>
      <c r="G37" s="39">
        <f>'Data entry Seestern'!O37</f>
        <v>206727.74</v>
      </c>
      <c r="H37" s="39">
        <f>'Data entry Seestern'!R37</f>
        <v>389903.58429999999</v>
      </c>
      <c r="I37" s="39">
        <f>'Data entry Seestern'!U37</f>
        <v>301530.43819999998</v>
      </c>
      <c r="J37" s="39">
        <f>'Data entry Seestern'!X37</f>
        <v>166388.9571</v>
      </c>
      <c r="K37" s="39">
        <f>'Data entry Seestern'!AA37</f>
        <v>328394.24410000001</v>
      </c>
      <c r="L37" s="39">
        <f>'Data entry Seestern'!AD37</f>
        <v>517146.9534</v>
      </c>
      <c r="M37" s="39">
        <f>'Data entry Seestern'!AG37</f>
        <v>732330.36199999996</v>
      </c>
      <c r="N37" s="39">
        <f>'Data entry Seestern'!AJ37</f>
        <v>617653.16879999998</v>
      </c>
      <c r="O37" s="39">
        <f>'Data entry Seestern'!AM37</f>
        <v>312039.36450000003</v>
      </c>
    </row>
    <row r="38" spans="2:15" x14ac:dyDescent="0.15">
      <c r="B38" s="40"/>
      <c r="C38" s="39">
        <f>'Data entry Seestern'!C38</f>
        <v>0</v>
      </c>
      <c r="D38" s="39">
        <f>'Data entry Seestern'!F38</f>
        <v>0</v>
      </c>
      <c r="E38" s="39">
        <f>'Data entry Seestern'!I38</f>
        <v>0</v>
      </c>
      <c r="F38" s="39">
        <f>'Data entry Seestern'!L38</f>
        <v>0</v>
      </c>
      <c r="G38" s="39">
        <f>'Data entry Seestern'!O38</f>
        <v>0</v>
      </c>
      <c r="H38" s="39">
        <f>'Data entry Seestern'!R38</f>
        <v>0</v>
      </c>
      <c r="I38" s="39">
        <f>'Data entry Seestern'!U38</f>
        <v>0</v>
      </c>
      <c r="J38" s="39">
        <f>'Data entry Seestern'!X38</f>
        <v>0</v>
      </c>
      <c r="K38" s="39">
        <f>'Data entry Seestern'!AA38</f>
        <v>0</v>
      </c>
      <c r="L38" s="39">
        <f>'Data entry Seestern'!AD38</f>
        <v>0</v>
      </c>
      <c r="M38" s="39">
        <f>'Data entry Seestern'!AG38</f>
        <v>0</v>
      </c>
      <c r="N38" s="39">
        <f>'Data entry Seestern'!AJ38</f>
        <v>0</v>
      </c>
      <c r="O38" s="39">
        <f>'Data entry Seestern'!AM38</f>
        <v>0</v>
      </c>
    </row>
    <row r="39" spans="2:15" ht="14" x14ac:dyDescent="0.15">
      <c r="B39" s="44" t="s">
        <v>42</v>
      </c>
      <c r="C39" s="39">
        <f>'Data entry Seestern'!C39</f>
        <v>0</v>
      </c>
      <c r="D39" s="39">
        <f>'Data entry Seestern'!F39</f>
        <v>0</v>
      </c>
      <c r="E39" s="39">
        <f>'Data entry Seestern'!I39</f>
        <v>0</v>
      </c>
      <c r="F39" s="39">
        <f>'Data entry Seestern'!L39</f>
        <v>0</v>
      </c>
      <c r="G39" s="39">
        <f>'Data entry Seestern'!O39</f>
        <v>0</v>
      </c>
      <c r="H39" s="39">
        <f>'Data entry Seestern'!R39</f>
        <v>0</v>
      </c>
      <c r="I39" s="39">
        <f>'Data entry Seestern'!U39</f>
        <v>0</v>
      </c>
      <c r="J39" s="39">
        <f>'Data entry Seestern'!X39</f>
        <v>0</v>
      </c>
      <c r="K39" s="39">
        <f>'Data entry Seestern'!AA39</f>
        <v>0</v>
      </c>
      <c r="L39" s="39">
        <f>'Data entry Seestern'!AD39</f>
        <v>0</v>
      </c>
      <c r="M39" s="39">
        <f>'Data entry Seestern'!AG39</f>
        <v>0</v>
      </c>
      <c r="N39" s="39">
        <f>'Data entry Seestern'!AJ39</f>
        <v>0</v>
      </c>
      <c r="O39" s="39">
        <f>'Data entry Seestern'!AM39</f>
        <v>0</v>
      </c>
    </row>
    <row r="40" spans="2:15" ht="14" x14ac:dyDescent="0.15">
      <c r="B40" s="38" t="s">
        <v>43</v>
      </c>
      <c r="C40" s="39">
        <f>'Data entry Seestern'!C40</f>
        <v>2486295.8179000001</v>
      </c>
      <c r="D40" s="39">
        <f>'Data entry Seestern'!F40</f>
        <v>195897.48</v>
      </c>
      <c r="E40" s="39">
        <f>'Data entry Seestern'!I40</f>
        <v>180266.59</v>
      </c>
      <c r="F40" s="39">
        <f>'Data entry Seestern'!L40</f>
        <v>220504.22</v>
      </c>
      <c r="G40" s="39">
        <f>'Data entry Seestern'!O40</f>
        <v>163549.44</v>
      </c>
      <c r="H40" s="39">
        <f>'Data entry Seestern'!R40</f>
        <v>230068.46410000001</v>
      </c>
      <c r="I40" s="39">
        <f>'Data entry Seestern'!U40</f>
        <v>187532.7114</v>
      </c>
      <c r="J40" s="39">
        <f>'Data entry Seestern'!X40</f>
        <v>107514.25169999999</v>
      </c>
      <c r="K40" s="39">
        <f>'Data entry Seestern'!AA40</f>
        <v>121732.81939999999</v>
      </c>
      <c r="L40" s="39">
        <f>'Data entry Seestern'!AD40</f>
        <v>317526.2353</v>
      </c>
      <c r="M40" s="39">
        <f>'Data entry Seestern'!AG40</f>
        <v>284407.5</v>
      </c>
      <c r="N40" s="39">
        <f>'Data entry Seestern'!AJ40</f>
        <v>281822.90509999997</v>
      </c>
      <c r="O40" s="39">
        <f>'Data entry Seestern'!AM40</f>
        <v>195473.2009</v>
      </c>
    </row>
    <row r="41" spans="2:15" ht="14" x14ac:dyDescent="0.15">
      <c r="B41" s="38" t="s">
        <v>44</v>
      </c>
      <c r="C41" s="39">
        <f>'Data entry Seestern'!C41</f>
        <v>1573845.9368</v>
      </c>
      <c r="D41" s="39">
        <f>'Data entry Seestern'!F41</f>
        <v>135653.25</v>
      </c>
      <c r="E41" s="39">
        <f>'Data entry Seestern'!I41</f>
        <v>123900.01</v>
      </c>
      <c r="F41" s="39">
        <f>'Data entry Seestern'!L41</f>
        <v>149525.06</v>
      </c>
      <c r="G41" s="39">
        <f>'Data entry Seestern'!O41</f>
        <v>130489.34</v>
      </c>
      <c r="H41" s="39">
        <f>'Data entry Seestern'!R41</f>
        <v>130980.68550000001</v>
      </c>
      <c r="I41" s="39">
        <f>'Data entry Seestern'!U41</f>
        <v>114273.8443</v>
      </c>
      <c r="J41" s="39">
        <f>'Data entry Seestern'!X41</f>
        <v>83011.734100000001</v>
      </c>
      <c r="K41" s="39">
        <f>'Data entry Seestern'!AA41</f>
        <v>97646.193499999994</v>
      </c>
      <c r="L41" s="39">
        <f>'Data entry Seestern'!AD41</f>
        <v>167451.45050000001</v>
      </c>
      <c r="M41" s="39">
        <f>'Data entry Seestern'!AG41</f>
        <v>152480.8217</v>
      </c>
      <c r="N41" s="39">
        <f>'Data entry Seestern'!AJ41</f>
        <v>171991.03700000001</v>
      </c>
      <c r="O41" s="39">
        <f>'Data entry Seestern'!AM41</f>
        <v>116442.5102</v>
      </c>
    </row>
    <row r="42" spans="2:15" ht="14" x14ac:dyDescent="0.15">
      <c r="B42" s="38" t="s">
        <v>45</v>
      </c>
      <c r="C42" s="39">
        <f>'Data entry Seestern'!C42</f>
        <v>915159.1</v>
      </c>
      <c r="D42" s="39">
        <f>'Data entry Seestern'!F42</f>
        <v>54585</v>
      </c>
      <c r="E42" s="39">
        <f>'Data entry Seestern'!I42</f>
        <v>76553.81</v>
      </c>
      <c r="F42" s="39">
        <f>'Data entry Seestern'!L42</f>
        <v>82478.559999999998</v>
      </c>
      <c r="G42" s="39">
        <f>'Data entry Seestern'!O42</f>
        <v>48441.73</v>
      </c>
      <c r="H42" s="39">
        <f>'Data entry Seestern'!R42</f>
        <v>88450</v>
      </c>
      <c r="I42" s="39">
        <f>'Data entry Seestern'!U42</f>
        <v>78050</v>
      </c>
      <c r="J42" s="39">
        <f>'Data entry Seestern'!X42</f>
        <v>49850</v>
      </c>
      <c r="K42" s="39">
        <f>'Data entry Seestern'!AA42</f>
        <v>34850</v>
      </c>
      <c r="L42" s="39">
        <f>'Data entry Seestern'!AD42</f>
        <v>121500</v>
      </c>
      <c r="M42" s="39">
        <f>'Data entry Seestern'!AG42</f>
        <v>99200</v>
      </c>
      <c r="N42" s="39">
        <f>'Data entry Seestern'!AJ42</f>
        <v>119500</v>
      </c>
      <c r="O42" s="39">
        <f>'Data entry Seestern'!AM42</f>
        <v>61700</v>
      </c>
    </row>
    <row r="43" spans="2:15" ht="14" x14ac:dyDescent="0.15">
      <c r="B43" s="42" t="s">
        <v>36</v>
      </c>
      <c r="C43" s="39">
        <f>'Data entry Seestern'!C43</f>
        <v>4975300.8547999999</v>
      </c>
      <c r="D43" s="39">
        <f>'Data entry Seestern'!F43</f>
        <v>386135.73</v>
      </c>
      <c r="E43" s="39">
        <f>'Data entry Seestern'!I43</f>
        <v>380720.41</v>
      </c>
      <c r="F43" s="39">
        <f>'Data entry Seestern'!L43</f>
        <v>452507.84</v>
      </c>
      <c r="G43" s="39">
        <f>'Data entry Seestern'!O43</f>
        <v>342480.51</v>
      </c>
      <c r="H43" s="39">
        <f>'Data entry Seestern'!R43</f>
        <v>449499.14970000001</v>
      </c>
      <c r="I43" s="39">
        <f>'Data entry Seestern'!U43</f>
        <v>379856.55570000003</v>
      </c>
      <c r="J43" s="39">
        <f>'Data entry Seestern'!X43</f>
        <v>240375.98579999999</v>
      </c>
      <c r="K43" s="39">
        <f>'Data entry Seestern'!AA43</f>
        <v>254229.0129</v>
      </c>
      <c r="L43" s="39">
        <f>'Data entry Seestern'!AD43</f>
        <v>606477.68579999998</v>
      </c>
      <c r="M43" s="39">
        <f>'Data entry Seestern'!AG43</f>
        <v>536088.32169999997</v>
      </c>
      <c r="N43" s="39">
        <f>'Data entry Seestern'!AJ43</f>
        <v>573313.94209999999</v>
      </c>
      <c r="O43" s="39">
        <f>'Data entry Seestern'!AM43</f>
        <v>373615.71110000001</v>
      </c>
    </row>
    <row r="44" spans="2:15" ht="14" x14ac:dyDescent="0.15">
      <c r="B44" s="38" t="s">
        <v>46</v>
      </c>
      <c r="C44" s="39">
        <f>'Data entry Seestern'!C44</f>
        <v>718022.35880000005</v>
      </c>
      <c r="D44" s="39">
        <f>'Data entry Seestern'!F44</f>
        <v>59039.12</v>
      </c>
      <c r="E44" s="39">
        <f>'Data entry Seestern'!I44</f>
        <v>51676.38</v>
      </c>
      <c r="F44" s="39">
        <f>'Data entry Seestern'!L44</f>
        <v>65492.61</v>
      </c>
      <c r="G44" s="39">
        <f>'Data entry Seestern'!O44</f>
        <v>49866.78</v>
      </c>
      <c r="H44" s="39">
        <f>'Data entry Seestern'!R44</f>
        <v>65314.904600000002</v>
      </c>
      <c r="I44" s="39">
        <f>'Data entry Seestern'!U44</f>
        <v>53235.144800000002</v>
      </c>
      <c r="J44" s="39">
        <f>'Data entry Seestern'!X44</f>
        <v>30834.638299999999</v>
      </c>
      <c r="K44" s="39">
        <f>'Data entry Seestern'!AA44</f>
        <v>34952.627099999998</v>
      </c>
      <c r="L44" s="39">
        <f>'Data entry Seestern'!AD44</f>
        <v>90243.808199999999</v>
      </c>
      <c r="M44" s="39">
        <f>'Data entry Seestern'!AG44</f>
        <v>81079.375</v>
      </c>
      <c r="N44" s="39">
        <f>'Data entry Seestern'!AJ44</f>
        <v>80394.342499999999</v>
      </c>
      <c r="O44" s="39">
        <f>'Data entry Seestern'!AM44</f>
        <v>55892.628299999997</v>
      </c>
    </row>
    <row r="45" spans="2:15" ht="14" x14ac:dyDescent="0.15">
      <c r="B45" s="38" t="s">
        <v>47</v>
      </c>
      <c r="C45" s="39">
        <f>'Data entry Seestern'!C45</f>
        <v>276035.87060000002</v>
      </c>
      <c r="D45" s="39">
        <f>'Data entry Seestern'!F45</f>
        <v>24377.439999999999</v>
      </c>
      <c r="E45" s="39">
        <f>'Data entry Seestern'!I45</f>
        <v>22524.240000000002</v>
      </c>
      <c r="F45" s="39">
        <f>'Data entry Seestern'!L45</f>
        <v>26196.2</v>
      </c>
      <c r="G45" s="39">
        <f>'Data entry Seestern'!O45</f>
        <v>24714.71</v>
      </c>
      <c r="H45" s="39">
        <f>'Data entry Seestern'!R45</f>
        <v>22582.287899999999</v>
      </c>
      <c r="I45" s="39">
        <f>'Data entry Seestern'!U45</f>
        <v>19652.531800000001</v>
      </c>
      <c r="J45" s="39">
        <f>'Data entry Seestern'!X45</f>
        <v>14228.954</v>
      </c>
      <c r="K45" s="39">
        <f>'Data entry Seestern'!AA45</f>
        <v>16746.0458</v>
      </c>
      <c r="L45" s="39">
        <f>'Data entry Seestern'!AD45</f>
        <v>28906.878799999999</v>
      </c>
      <c r="M45" s="39">
        <f>'Data entry Seestern'!AG45</f>
        <v>26301.0988</v>
      </c>
      <c r="N45" s="39">
        <f>'Data entry Seestern'!AJ45</f>
        <v>29723.1836</v>
      </c>
      <c r="O45" s="39">
        <f>'Data entry Seestern'!AM45</f>
        <v>20082.299900000002</v>
      </c>
    </row>
    <row r="46" spans="2:15" ht="14" x14ac:dyDescent="0.15">
      <c r="B46" s="38" t="s">
        <v>48</v>
      </c>
      <c r="C46" s="39">
        <f>'Data entry Seestern'!C46</f>
        <v>76041.72</v>
      </c>
      <c r="D46" s="39">
        <f>'Data entry Seestern'!F46</f>
        <v>7235.53</v>
      </c>
      <c r="E46" s="39">
        <f>'Data entry Seestern'!I46</f>
        <v>5362.96</v>
      </c>
      <c r="F46" s="39">
        <f>'Data entry Seestern'!L46</f>
        <v>591.83000000000004</v>
      </c>
      <c r="G46" s="39">
        <f>'Data entry Seestern'!O46</f>
        <v>2951.4</v>
      </c>
      <c r="H46" s="39">
        <f>'Data entry Seestern'!R46</f>
        <v>6700</v>
      </c>
      <c r="I46" s="39">
        <f>'Data entry Seestern'!U46</f>
        <v>9325</v>
      </c>
      <c r="J46" s="39">
        <f>'Data entry Seestern'!X46</f>
        <v>5475</v>
      </c>
      <c r="K46" s="39">
        <f>'Data entry Seestern'!AA46</f>
        <v>3725</v>
      </c>
      <c r="L46" s="39">
        <f>'Data entry Seestern'!AD46</f>
        <v>12650</v>
      </c>
      <c r="M46" s="39">
        <f>'Data entry Seestern'!AG46</f>
        <v>7750</v>
      </c>
      <c r="N46" s="39">
        <f>'Data entry Seestern'!AJ46</f>
        <v>10550</v>
      </c>
      <c r="O46" s="39">
        <f>'Data entry Seestern'!AM46</f>
        <v>3725</v>
      </c>
    </row>
    <row r="47" spans="2:15" ht="14" x14ac:dyDescent="0.15">
      <c r="B47" s="42" t="s">
        <v>49</v>
      </c>
      <c r="C47" s="39">
        <f>'Data entry Seestern'!C47</f>
        <v>1070099.9494</v>
      </c>
      <c r="D47" s="39">
        <f>'Data entry Seestern'!F47</f>
        <v>90652.09</v>
      </c>
      <c r="E47" s="39">
        <f>'Data entry Seestern'!I47</f>
        <v>79563.58</v>
      </c>
      <c r="F47" s="39">
        <f>'Data entry Seestern'!L47</f>
        <v>92280.639999999999</v>
      </c>
      <c r="G47" s="39">
        <f>'Data entry Seestern'!O47</f>
        <v>77532.89</v>
      </c>
      <c r="H47" s="39">
        <f>'Data entry Seestern'!R47</f>
        <v>94597.192500000005</v>
      </c>
      <c r="I47" s="39">
        <f>'Data entry Seestern'!U47</f>
        <v>82212.676600000006</v>
      </c>
      <c r="J47" s="39">
        <f>'Data entry Seestern'!X47</f>
        <v>50538.592299999997</v>
      </c>
      <c r="K47" s="39">
        <f>'Data entry Seestern'!AA47</f>
        <v>55423.672899999998</v>
      </c>
      <c r="L47" s="39">
        <f>'Data entry Seestern'!AD47</f>
        <v>131800.68700000001</v>
      </c>
      <c r="M47" s="39">
        <f>'Data entry Seestern'!AG47</f>
        <v>115130.47380000001</v>
      </c>
      <c r="N47" s="39">
        <f>'Data entry Seestern'!AJ47</f>
        <v>120667.5261</v>
      </c>
      <c r="O47" s="39">
        <f>'Data entry Seestern'!AM47</f>
        <v>79699.928199999995</v>
      </c>
    </row>
    <row r="48" spans="2:15" ht="14" x14ac:dyDescent="0.15">
      <c r="B48" s="38" t="s">
        <v>22</v>
      </c>
      <c r="C48" s="39">
        <f>'Data entry Seestern'!C48</f>
        <v>2208825.3314999999</v>
      </c>
      <c r="D48" s="39">
        <f>'Data entry Seestern'!F48</f>
        <v>188196.64</v>
      </c>
      <c r="E48" s="39">
        <f>'Data entry Seestern'!I48</f>
        <v>200222.63</v>
      </c>
      <c r="F48" s="39">
        <f>'Data entry Seestern'!L48</f>
        <v>197752.05</v>
      </c>
      <c r="G48" s="39">
        <f>'Data entry Seestern'!O48</f>
        <v>178095.89</v>
      </c>
      <c r="H48" s="39">
        <f>'Data entry Seestern'!R48</f>
        <v>165218.19680000001</v>
      </c>
      <c r="I48" s="39">
        <f>'Data entry Seestern'!U48</f>
        <v>190739.25390000001</v>
      </c>
      <c r="J48" s="39">
        <f>'Data entry Seestern'!X48</f>
        <v>151768.7303</v>
      </c>
      <c r="K48" s="39">
        <f>'Data entry Seestern'!AA48</f>
        <v>156468.1807</v>
      </c>
      <c r="L48" s="39">
        <f>'Data entry Seestern'!AD48</f>
        <v>201618.67970000001</v>
      </c>
      <c r="M48" s="39">
        <f>'Data entry Seestern'!AG48</f>
        <v>196811.0385</v>
      </c>
      <c r="N48" s="39">
        <f>'Data entry Seestern'!AJ48</f>
        <v>201304.772</v>
      </c>
      <c r="O48" s="39">
        <f>'Data entry Seestern'!AM48</f>
        <v>180629.2696</v>
      </c>
    </row>
    <row r="49" spans="2:15" ht="14" x14ac:dyDescent="0.15">
      <c r="B49" s="38" t="s">
        <v>40</v>
      </c>
      <c r="C49" s="39">
        <f>'Data entry Seestern'!C49</f>
        <v>235838.21739999999</v>
      </c>
      <c r="D49" s="39">
        <f>'Data entry Seestern'!F49</f>
        <v>21675.32</v>
      </c>
      <c r="E49" s="39">
        <f>'Data entry Seestern'!I49</f>
        <v>8418.9699999999993</v>
      </c>
      <c r="F49" s="39">
        <f>'Data entry Seestern'!L49</f>
        <v>12308.4</v>
      </c>
      <c r="G49" s="39">
        <f>'Data entry Seestern'!O49</f>
        <v>17224.07</v>
      </c>
      <c r="H49" s="39">
        <f>'Data entry Seestern'!R49</f>
        <v>22939.220300000001</v>
      </c>
      <c r="I49" s="39">
        <f>'Data entry Seestern'!U49</f>
        <v>21127.5324</v>
      </c>
      <c r="J49" s="39">
        <f>'Data entry Seestern'!X49</f>
        <v>19529.617900000001</v>
      </c>
      <c r="K49" s="39">
        <f>'Data entry Seestern'!AA49</f>
        <v>19799.553100000001</v>
      </c>
      <c r="L49" s="39">
        <f>'Data entry Seestern'!AD49</f>
        <v>23936.464</v>
      </c>
      <c r="M49" s="39">
        <f>'Data entry Seestern'!AG49</f>
        <v>24174.787899999999</v>
      </c>
      <c r="N49" s="39">
        <f>'Data entry Seestern'!AJ49</f>
        <v>23572.279299999998</v>
      </c>
      <c r="O49" s="39">
        <f>'Data entry Seestern'!AM49</f>
        <v>21132.002499999999</v>
      </c>
    </row>
    <row r="50" spans="2:15" ht="14" x14ac:dyDescent="0.15">
      <c r="B50" s="42" t="s">
        <v>41</v>
      </c>
      <c r="C50" s="39">
        <f>'Data entry Seestern'!C50</f>
        <v>1460537.3563999999</v>
      </c>
      <c r="D50" s="39">
        <f>'Data entry Seestern'!F50</f>
        <v>85611.68</v>
      </c>
      <c r="E50" s="39">
        <f>'Data entry Seestern'!I50</f>
        <v>92515.23</v>
      </c>
      <c r="F50" s="39">
        <f>'Data entry Seestern'!L50</f>
        <v>150166.75</v>
      </c>
      <c r="G50" s="39">
        <f>'Data entry Seestern'!O50</f>
        <v>69627.66</v>
      </c>
      <c r="H50" s="39">
        <f>'Data entry Seestern'!R50</f>
        <v>166744.54</v>
      </c>
      <c r="I50" s="39">
        <f>'Data entry Seestern'!U50</f>
        <v>85777.092900000003</v>
      </c>
      <c r="J50" s="39">
        <f>'Data entry Seestern'!X50</f>
        <v>18539.045300000002</v>
      </c>
      <c r="K50" s="39">
        <f>'Data entry Seestern'!AA50</f>
        <v>22537.606100000001</v>
      </c>
      <c r="L50" s="39">
        <f>'Data entry Seestern'!AD50</f>
        <v>249121.85509999999</v>
      </c>
      <c r="M50" s="39">
        <f>'Data entry Seestern'!AG50</f>
        <v>199972.0215</v>
      </c>
      <c r="N50" s="39">
        <f>'Data entry Seestern'!AJ50</f>
        <v>227769.36470000001</v>
      </c>
      <c r="O50" s="39">
        <f>'Data entry Seestern'!AM50</f>
        <v>92154.510800000004</v>
      </c>
    </row>
    <row r="51" spans="2:15" x14ac:dyDescent="0.15">
      <c r="B51" s="40"/>
      <c r="C51" s="39">
        <f>'Data entry Seestern'!C51</f>
        <v>0</v>
      </c>
      <c r="D51" s="39">
        <f>'Data entry Seestern'!F51</f>
        <v>0</v>
      </c>
      <c r="E51" s="39">
        <f>'Data entry Seestern'!I51</f>
        <v>0</v>
      </c>
      <c r="F51" s="39">
        <f>'Data entry Seestern'!L51</f>
        <v>0</v>
      </c>
      <c r="G51" s="39">
        <f>'Data entry Seestern'!O51</f>
        <v>0</v>
      </c>
      <c r="H51" s="39">
        <f>'Data entry Seestern'!R51</f>
        <v>0</v>
      </c>
      <c r="I51" s="39">
        <f>'Data entry Seestern'!U51</f>
        <v>0</v>
      </c>
      <c r="J51" s="39">
        <f>'Data entry Seestern'!X51</f>
        <v>0</v>
      </c>
      <c r="K51" s="39">
        <f>'Data entry Seestern'!AA51</f>
        <v>0</v>
      </c>
      <c r="L51" s="39">
        <f>'Data entry Seestern'!AD51</f>
        <v>0</v>
      </c>
      <c r="M51" s="39">
        <f>'Data entry Seestern'!AG51</f>
        <v>0</v>
      </c>
      <c r="N51" s="39">
        <f>'Data entry Seestern'!AJ51</f>
        <v>0</v>
      </c>
      <c r="O51" s="39">
        <f>'Data entry Seestern'!AM51</f>
        <v>0</v>
      </c>
    </row>
    <row r="52" spans="2:15" ht="14" x14ac:dyDescent="0.15">
      <c r="B52" s="44" t="s">
        <v>50</v>
      </c>
      <c r="C52" s="39">
        <f>'Data entry Seestern'!C52</f>
        <v>0</v>
      </c>
      <c r="D52" s="39">
        <f>'Data entry Seestern'!F52</f>
        <v>0</v>
      </c>
      <c r="E52" s="39">
        <f>'Data entry Seestern'!I52</f>
        <v>0</v>
      </c>
      <c r="F52" s="39">
        <f>'Data entry Seestern'!L52</f>
        <v>0</v>
      </c>
      <c r="G52" s="39">
        <f>'Data entry Seestern'!O52</f>
        <v>0</v>
      </c>
      <c r="H52" s="39">
        <f>'Data entry Seestern'!R52</f>
        <v>0</v>
      </c>
      <c r="I52" s="39">
        <f>'Data entry Seestern'!U52</f>
        <v>0</v>
      </c>
      <c r="J52" s="39">
        <f>'Data entry Seestern'!X52</f>
        <v>0</v>
      </c>
      <c r="K52" s="39">
        <f>'Data entry Seestern'!AA52</f>
        <v>0</v>
      </c>
      <c r="L52" s="39">
        <f>'Data entry Seestern'!AD52</f>
        <v>0</v>
      </c>
      <c r="M52" s="39">
        <f>'Data entry Seestern'!AG52</f>
        <v>0</v>
      </c>
      <c r="N52" s="39">
        <f>'Data entry Seestern'!AJ52</f>
        <v>0</v>
      </c>
      <c r="O52" s="39">
        <f>'Data entry Seestern'!AM52</f>
        <v>0</v>
      </c>
    </row>
    <row r="53" spans="2:15" ht="14" x14ac:dyDescent="0.15">
      <c r="B53" s="38" t="s">
        <v>37</v>
      </c>
      <c r="C53" s="39">
        <f>'Data entry Seestern'!C53</f>
        <v>295946.63</v>
      </c>
      <c r="D53" s="39">
        <f>'Data entry Seestern'!F53</f>
        <v>18700.36</v>
      </c>
      <c r="E53" s="39">
        <f>'Data entry Seestern'!I53</f>
        <v>19080.21</v>
      </c>
      <c r="F53" s="39">
        <f>'Data entry Seestern'!L53</f>
        <v>19919.62</v>
      </c>
      <c r="G53" s="39">
        <f>'Data entry Seestern'!O53</f>
        <v>19170.84</v>
      </c>
      <c r="H53" s="39">
        <f>'Data entry Seestern'!R53</f>
        <v>26567.52</v>
      </c>
      <c r="I53" s="39">
        <f>'Data entry Seestern'!U53</f>
        <v>24401.22</v>
      </c>
      <c r="J53" s="39">
        <f>'Data entry Seestern'!X53</f>
        <v>19437</v>
      </c>
      <c r="K53" s="39">
        <f>'Data entry Seestern'!AA53</f>
        <v>27126.06</v>
      </c>
      <c r="L53" s="39">
        <f>'Data entry Seestern'!AD53</f>
        <v>33061.199999999997</v>
      </c>
      <c r="M53" s="39">
        <f>'Data entry Seestern'!AG53</f>
        <v>30451.200000000001</v>
      </c>
      <c r="N53" s="39">
        <f>'Data entry Seestern'!AJ53</f>
        <v>32017.200000000001</v>
      </c>
      <c r="O53" s="39">
        <f>'Data entry Seestern'!AM53</f>
        <v>26014.2</v>
      </c>
    </row>
    <row r="54" spans="2:15" ht="14" x14ac:dyDescent="0.15">
      <c r="B54" s="38" t="s">
        <v>49</v>
      </c>
      <c r="C54" s="39">
        <f>'Data entry Seestern'!C54</f>
        <v>5895.7120000000004</v>
      </c>
      <c r="D54" s="39">
        <f>'Data entry Seestern'!F54</f>
        <v>191.5</v>
      </c>
      <c r="E54" s="39">
        <f>'Data entry Seestern'!I54</f>
        <v>106.5</v>
      </c>
      <c r="F54" s="39">
        <f>'Data entry Seestern'!L54</f>
        <v>596.27</v>
      </c>
      <c r="G54" s="39">
        <f>'Data entry Seestern'!O54</f>
        <v>386.21</v>
      </c>
      <c r="H54" s="39">
        <f>'Data entry Seestern'!R54</f>
        <v>558.37440000000004</v>
      </c>
      <c r="I54" s="39">
        <f>'Data entry Seestern'!U54</f>
        <v>509.23840000000001</v>
      </c>
      <c r="J54" s="39">
        <f>'Data entry Seestern'!X54</f>
        <v>396.64</v>
      </c>
      <c r="K54" s="39">
        <f>'Data entry Seestern'!AA54</f>
        <v>571.04319999999996</v>
      </c>
      <c r="L54" s="39">
        <f>'Data entry Seestern'!AD54</f>
        <v>705.66399999999999</v>
      </c>
      <c r="M54" s="39">
        <f>'Data entry Seestern'!AG54</f>
        <v>646.46400000000006</v>
      </c>
      <c r="N54" s="39">
        <f>'Data entry Seestern'!AJ54</f>
        <v>681.98400000000004</v>
      </c>
      <c r="O54" s="39">
        <f>'Data entry Seestern'!AM54</f>
        <v>545.82399999999996</v>
      </c>
    </row>
    <row r="55" spans="2:15" ht="14" x14ac:dyDescent="0.15">
      <c r="B55" s="38" t="s">
        <v>22</v>
      </c>
      <c r="C55" s="39">
        <f>'Data entry Seestern'!C55</f>
        <v>0</v>
      </c>
      <c r="D55" s="39">
        <f>'Data entry Seestern'!F55</f>
        <v>0</v>
      </c>
      <c r="E55" s="39">
        <f>'Data entry Seestern'!I55</f>
        <v>0</v>
      </c>
      <c r="F55" s="39">
        <f>'Data entry Seestern'!L55</f>
        <v>0</v>
      </c>
      <c r="G55" s="39">
        <f>'Data entry Seestern'!O55</f>
        <v>0</v>
      </c>
      <c r="H55" s="39">
        <f>'Data entry Seestern'!R55</f>
        <v>0</v>
      </c>
      <c r="I55" s="39">
        <f>'Data entry Seestern'!U55</f>
        <v>0</v>
      </c>
      <c r="J55" s="39">
        <f>'Data entry Seestern'!X55</f>
        <v>0</v>
      </c>
      <c r="K55" s="39">
        <f>'Data entry Seestern'!AA55</f>
        <v>0</v>
      </c>
      <c r="L55" s="39">
        <f>'Data entry Seestern'!AD55</f>
        <v>0</v>
      </c>
      <c r="M55" s="39">
        <f>'Data entry Seestern'!AG55</f>
        <v>0</v>
      </c>
      <c r="N55" s="39">
        <f>'Data entry Seestern'!AJ55</f>
        <v>0</v>
      </c>
      <c r="O55" s="39">
        <f>'Data entry Seestern'!AM55</f>
        <v>0</v>
      </c>
    </row>
    <row r="56" spans="2:15" ht="14" x14ac:dyDescent="0.15">
      <c r="B56" s="38" t="s">
        <v>40</v>
      </c>
      <c r="C56" s="39">
        <f>'Data entry Seestern'!C56</f>
        <v>1695.78</v>
      </c>
      <c r="D56" s="39">
        <f>'Data entry Seestern'!F56</f>
        <v>0</v>
      </c>
      <c r="E56" s="39">
        <f>'Data entry Seestern'!I56</f>
        <v>0</v>
      </c>
      <c r="F56" s="39">
        <f>'Data entry Seestern'!L56</f>
        <v>1500.34</v>
      </c>
      <c r="G56" s="39">
        <f>'Data entry Seestern'!O56</f>
        <v>195.44</v>
      </c>
      <c r="H56" s="39">
        <f>'Data entry Seestern'!R56</f>
        <v>0</v>
      </c>
      <c r="I56" s="39">
        <f>'Data entry Seestern'!U56</f>
        <v>0</v>
      </c>
      <c r="J56" s="39">
        <f>'Data entry Seestern'!X56</f>
        <v>0</v>
      </c>
      <c r="K56" s="39">
        <f>'Data entry Seestern'!AA56</f>
        <v>0</v>
      </c>
      <c r="L56" s="39">
        <f>'Data entry Seestern'!AD56</f>
        <v>0</v>
      </c>
      <c r="M56" s="39">
        <f>'Data entry Seestern'!AG56</f>
        <v>0</v>
      </c>
      <c r="N56" s="39">
        <f>'Data entry Seestern'!AJ56</f>
        <v>0</v>
      </c>
      <c r="O56" s="39">
        <f>'Data entry Seestern'!AM56</f>
        <v>0</v>
      </c>
    </row>
    <row r="57" spans="2:15" ht="14" x14ac:dyDescent="0.15">
      <c r="B57" s="42" t="s">
        <v>41</v>
      </c>
      <c r="C57" s="39">
        <f>'Data entry Seestern'!C57</f>
        <v>288355.13799999998</v>
      </c>
      <c r="D57" s="39">
        <f>'Data entry Seestern'!F57</f>
        <v>18508.86</v>
      </c>
      <c r="E57" s="39">
        <f>'Data entry Seestern'!I57</f>
        <v>18973.71</v>
      </c>
      <c r="F57" s="39">
        <f>'Data entry Seestern'!L57</f>
        <v>17823.009999999998</v>
      </c>
      <c r="G57" s="39">
        <f>'Data entry Seestern'!O57</f>
        <v>18589.189999999999</v>
      </c>
      <c r="H57" s="39">
        <f>'Data entry Seestern'!R57</f>
        <v>26009.1456</v>
      </c>
      <c r="I57" s="39">
        <f>'Data entry Seestern'!U57</f>
        <v>23891.981599999999</v>
      </c>
      <c r="J57" s="39">
        <f>'Data entry Seestern'!X57</f>
        <v>19040.36</v>
      </c>
      <c r="K57" s="39">
        <f>'Data entry Seestern'!AA57</f>
        <v>26555.016800000001</v>
      </c>
      <c r="L57" s="39">
        <f>'Data entry Seestern'!AD57</f>
        <v>32355.536</v>
      </c>
      <c r="M57" s="39">
        <f>'Data entry Seestern'!AG57</f>
        <v>29804.736000000001</v>
      </c>
      <c r="N57" s="39">
        <f>'Data entry Seestern'!AJ57</f>
        <v>31335.216</v>
      </c>
      <c r="O57" s="39">
        <f>'Data entry Seestern'!AM57</f>
        <v>25468.376</v>
      </c>
    </row>
    <row r="58" spans="2:15" x14ac:dyDescent="0.15">
      <c r="B58" s="40"/>
      <c r="C58" s="39">
        <f>'Data entry Seestern'!C58</f>
        <v>0</v>
      </c>
      <c r="D58" s="39">
        <f>'Data entry Seestern'!F58</f>
        <v>0</v>
      </c>
      <c r="E58" s="39">
        <f>'Data entry Seestern'!I58</f>
        <v>0</v>
      </c>
      <c r="F58" s="39">
        <f>'Data entry Seestern'!L58</f>
        <v>0</v>
      </c>
      <c r="G58" s="39">
        <f>'Data entry Seestern'!O58</f>
        <v>0</v>
      </c>
      <c r="H58" s="39">
        <f>'Data entry Seestern'!R58</f>
        <v>0</v>
      </c>
      <c r="I58" s="39">
        <f>'Data entry Seestern'!U58</f>
        <v>0</v>
      </c>
      <c r="J58" s="39">
        <f>'Data entry Seestern'!X58</f>
        <v>0</v>
      </c>
      <c r="K58" s="39">
        <f>'Data entry Seestern'!AA58</f>
        <v>0</v>
      </c>
      <c r="L58" s="39">
        <f>'Data entry Seestern'!AD58</f>
        <v>0</v>
      </c>
      <c r="M58" s="39">
        <f>'Data entry Seestern'!AG58</f>
        <v>0</v>
      </c>
      <c r="N58" s="39">
        <f>'Data entry Seestern'!AJ58</f>
        <v>0</v>
      </c>
      <c r="O58" s="39">
        <f>'Data entry Seestern'!AM58</f>
        <v>0</v>
      </c>
    </row>
    <row r="59" spans="2:15" ht="14" x14ac:dyDescent="0.15">
      <c r="B59" s="44" t="s">
        <v>38</v>
      </c>
      <c r="C59" s="39">
        <f>'Data entry Seestern'!C59</f>
        <v>0</v>
      </c>
      <c r="D59" s="39">
        <f>'Data entry Seestern'!F59</f>
        <v>0</v>
      </c>
      <c r="E59" s="39">
        <f>'Data entry Seestern'!I59</f>
        <v>0</v>
      </c>
      <c r="F59" s="39">
        <f>'Data entry Seestern'!L59</f>
        <v>0</v>
      </c>
      <c r="G59" s="39">
        <f>'Data entry Seestern'!O59</f>
        <v>0</v>
      </c>
      <c r="H59" s="39">
        <f>'Data entry Seestern'!R59</f>
        <v>0</v>
      </c>
      <c r="I59" s="39">
        <f>'Data entry Seestern'!U59</f>
        <v>0</v>
      </c>
      <c r="J59" s="39">
        <f>'Data entry Seestern'!X59</f>
        <v>0</v>
      </c>
      <c r="K59" s="39">
        <f>'Data entry Seestern'!AA59</f>
        <v>0</v>
      </c>
      <c r="L59" s="39">
        <f>'Data entry Seestern'!AD59</f>
        <v>0</v>
      </c>
      <c r="M59" s="39">
        <f>'Data entry Seestern'!AG59</f>
        <v>0</v>
      </c>
      <c r="N59" s="39">
        <f>'Data entry Seestern'!AJ59</f>
        <v>0</v>
      </c>
      <c r="O59" s="39">
        <f>'Data entry Seestern'!AM59</f>
        <v>0</v>
      </c>
    </row>
    <row r="60" spans="2:15" ht="14" x14ac:dyDescent="0.15">
      <c r="B60" s="42" t="s">
        <v>38</v>
      </c>
      <c r="C60" s="39">
        <f>'Data entry Seestern'!C60</f>
        <v>167427.53</v>
      </c>
      <c r="D60" s="39">
        <f>'Data entry Seestern'!F60</f>
        <v>9377.01</v>
      </c>
      <c r="E60" s="39">
        <f>'Data entry Seestern'!I60</f>
        <v>8699.6200000000008</v>
      </c>
      <c r="F60" s="39">
        <f>'Data entry Seestern'!L60</f>
        <v>20310.03</v>
      </c>
      <c r="G60" s="39">
        <f>'Data entry Seestern'!O60</f>
        <v>1171.8699999999999</v>
      </c>
      <c r="H60" s="39">
        <f>'Data entry Seestern'!R60</f>
        <v>17727</v>
      </c>
      <c r="I60" s="39">
        <f>'Data entry Seestern'!U60</f>
        <v>15197</v>
      </c>
      <c r="J60" s="39">
        <f>'Data entry Seestern'!X60</f>
        <v>11557</v>
      </c>
      <c r="K60" s="39">
        <f>'Data entry Seestern'!AA60</f>
        <v>13513</v>
      </c>
      <c r="L60" s="39">
        <f>'Data entry Seestern'!AD60</f>
        <v>13517</v>
      </c>
      <c r="M60" s="39">
        <f>'Data entry Seestern'!AG60</f>
        <v>20473</v>
      </c>
      <c r="N60" s="39">
        <f>'Data entry Seestern'!AJ60</f>
        <v>20543</v>
      </c>
      <c r="O60" s="39">
        <f>'Data entry Seestern'!AM60</f>
        <v>15342</v>
      </c>
    </row>
    <row r="61" spans="2:15" x14ac:dyDescent="0.15">
      <c r="B61" s="40"/>
      <c r="C61" s="39">
        <f>'Data entry Seestern'!C61</f>
        <v>0</v>
      </c>
      <c r="D61" s="39">
        <f>'Data entry Seestern'!F61</f>
        <v>0</v>
      </c>
      <c r="E61" s="39">
        <f>'Data entry Seestern'!I61</f>
        <v>0</v>
      </c>
      <c r="F61" s="39">
        <f>'Data entry Seestern'!L61</f>
        <v>0</v>
      </c>
      <c r="G61" s="39">
        <f>'Data entry Seestern'!O61</f>
        <v>0</v>
      </c>
      <c r="H61" s="39">
        <f>'Data entry Seestern'!R61</f>
        <v>0</v>
      </c>
      <c r="I61" s="39">
        <f>'Data entry Seestern'!U61</f>
        <v>0</v>
      </c>
      <c r="J61" s="39">
        <f>'Data entry Seestern'!X61</f>
        <v>0</v>
      </c>
      <c r="K61" s="39">
        <f>'Data entry Seestern'!AA61</f>
        <v>0</v>
      </c>
      <c r="L61" s="39">
        <f>'Data entry Seestern'!AD61</f>
        <v>0</v>
      </c>
      <c r="M61" s="39">
        <f>'Data entry Seestern'!AG61</f>
        <v>0</v>
      </c>
      <c r="N61" s="39">
        <f>'Data entry Seestern'!AJ61</f>
        <v>0</v>
      </c>
      <c r="O61" s="39">
        <f>'Data entry Seestern'!AM61</f>
        <v>0</v>
      </c>
    </row>
    <row r="62" spans="2:15" ht="14" x14ac:dyDescent="0.15">
      <c r="B62" s="44" t="s">
        <v>51</v>
      </c>
      <c r="C62" s="39">
        <f>'Data entry Seestern'!C62</f>
        <v>0</v>
      </c>
      <c r="D62" s="39">
        <f>'Data entry Seestern'!F62</f>
        <v>0</v>
      </c>
      <c r="E62" s="39">
        <f>'Data entry Seestern'!I62</f>
        <v>0</v>
      </c>
      <c r="F62" s="39">
        <f>'Data entry Seestern'!L62</f>
        <v>0</v>
      </c>
      <c r="G62" s="39">
        <f>'Data entry Seestern'!O62</f>
        <v>0</v>
      </c>
      <c r="H62" s="39">
        <f>'Data entry Seestern'!R62</f>
        <v>0</v>
      </c>
      <c r="I62" s="39">
        <f>'Data entry Seestern'!U62</f>
        <v>0</v>
      </c>
      <c r="J62" s="39">
        <f>'Data entry Seestern'!X62</f>
        <v>0</v>
      </c>
      <c r="K62" s="39">
        <f>'Data entry Seestern'!AA62</f>
        <v>0</v>
      </c>
      <c r="L62" s="39">
        <f>'Data entry Seestern'!AD62</f>
        <v>0</v>
      </c>
      <c r="M62" s="39">
        <f>'Data entry Seestern'!AG62</f>
        <v>0</v>
      </c>
      <c r="N62" s="39">
        <f>'Data entry Seestern'!AJ62</f>
        <v>0</v>
      </c>
      <c r="O62" s="39">
        <f>'Data entry Seestern'!AM62</f>
        <v>0</v>
      </c>
    </row>
    <row r="63" spans="2:15" ht="14" x14ac:dyDescent="0.15">
      <c r="B63" s="42" t="s">
        <v>52</v>
      </c>
      <c r="C63" s="39">
        <f>'Data entry Seestern'!C63</f>
        <v>6534374.3367999997</v>
      </c>
      <c r="D63" s="39">
        <f>'Data entry Seestern'!F63</f>
        <v>491943.54</v>
      </c>
      <c r="E63" s="39">
        <f>'Data entry Seestern'!I63</f>
        <v>340246.27</v>
      </c>
      <c r="F63" s="39">
        <f>'Data entry Seestern'!L63</f>
        <v>635735.59</v>
      </c>
      <c r="G63" s="39">
        <f>'Data entry Seestern'!O63</f>
        <v>296116.46000000002</v>
      </c>
      <c r="H63" s="39">
        <f>'Data entry Seestern'!R63</f>
        <v>600384.26989999996</v>
      </c>
      <c r="I63" s="39">
        <f>'Data entry Seestern'!U63</f>
        <v>426396.51270000002</v>
      </c>
      <c r="J63" s="39">
        <f>'Data entry Seestern'!X63</f>
        <v>215525.36240000001</v>
      </c>
      <c r="K63" s="39">
        <f>'Data entry Seestern'!AA63</f>
        <v>390999.86700000003</v>
      </c>
      <c r="L63" s="39">
        <f>'Data entry Seestern'!AD63</f>
        <v>812141.34450000001</v>
      </c>
      <c r="M63" s="39">
        <f>'Data entry Seestern'!AG63</f>
        <v>982580.11950000003</v>
      </c>
      <c r="N63" s="39">
        <f>'Data entry Seestern'!AJ63</f>
        <v>897300.74950000003</v>
      </c>
      <c r="O63" s="39">
        <f>'Data entry Seestern'!AM63</f>
        <v>445004.2513</v>
      </c>
    </row>
    <row r="64" spans="2:15" x14ac:dyDescent="0.15">
      <c r="B64" s="40"/>
      <c r="C64" s="39">
        <f>'Data entry Seestern'!C64</f>
        <v>0</v>
      </c>
      <c r="D64" s="39">
        <f>'Data entry Seestern'!F64</f>
        <v>0</v>
      </c>
      <c r="E64" s="39">
        <f>'Data entry Seestern'!I64</f>
        <v>0</v>
      </c>
      <c r="F64" s="39">
        <f>'Data entry Seestern'!L64</f>
        <v>0</v>
      </c>
      <c r="G64" s="39">
        <f>'Data entry Seestern'!O64</f>
        <v>0</v>
      </c>
      <c r="H64" s="39">
        <f>'Data entry Seestern'!R64</f>
        <v>0</v>
      </c>
      <c r="I64" s="39">
        <f>'Data entry Seestern'!U64</f>
        <v>0</v>
      </c>
      <c r="J64" s="39">
        <f>'Data entry Seestern'!X64</f>
        <v>0</v>
      </c>
      <c r="K64" s="39">
        <f>'Data entry Seestern'!AA64</f>
        <v>0</v>
      </c>
      <c r="L64" s="39">
        <f>'Data entry Seestern'!AD64</f>
        <v>0</v>
      </c>
      <c r="M64" s="39">
        <f>'Data entry Seestern'!AG64</f>
        <v>0</v>
      </c>
      <c r="N64" s="39">
        <f>'Data entry Seestern'!AJ64</f>
        <v>0</v>
      </c>
      <c r="O64" s="39">
        <f>'Data entry Seestern'!AM64</f>
        <v>0</v>
      </c>
    </row>
    <row r="65" spans="2:15" ht="14" x14ac:dyDescent="0.15">
      <c r="B65" s="44" t="s">
        <v>53</v>
      </c>
      <c r="C65" s="39">
        <f>'Data entry Seestern'!C65</f>
        <v>0</v>
      </c>
      <c r="D65" s="39">
        <f>'Data entry Seestern'!F65</f>
        <v>0</v>
      </c>
      <c r="E65" s="39">
        <f>'Data entry Seestern'!I65</f>
        <v>0</v>
      </c>
      <c r="F65" s="39">
        <f>'Data entry Seestern'!L65</f>
        <v>0</v>
      </c>
      <c r="G65" s="39">
        <f>'Data entry Seestern'!O65</f>
        <v>0</v>
      </c>
      <c r="H65" s="39">
        <f>'Data entry Seestern'!R65</f>
        <v>0</v>
      </c>
      <c r="I65" s="39">
        <f>'Data entry Seestern'!U65</f>
        <v>0</v>
      </c>
      <c r="J65" s="39">
        <f>'Data entry Seestern'!X65</f>
        <v>0</v>
      </c>
      <c r="K65" s="39">
        <f>'Data entry Seestern'!AA65</f>
        <v>0</v>
      </c>
      <c r="L65" s="39">
        <f>'Data entry Seestern'!AD65</f>
        <v>0</v>
      </c>
      <c r="M65" s="39">
        <f>'Data entry Seestern'!AG65</f>
        <v>0</v>
      </c>
      <c r="N65" s="39">
        <f>'Data entry Seestern'!AJ65</f>
        <v>0</v>
      </c>
      <c r="O65" s="39">
        <f>'Data entry Seestern'!AM65</f>
        <v>0</v>
      </c>
    </row>
    <row r="66" spans="2:15" ht="14" x14ac:dyDescent="0.15">
      <c r="B66" s="38" t="s">
        <v>22</v>
      </c>
      <c r="C66" s="39">
        <f>'Data entry Seestern'!C66</f>
        <v>377239.6433</v>
      </c>
      <c r="D66" s="39">
        <f>'Data entry Seestern'!F66</f>
        <v>31166.3</v>
      </c>
      <c r="E66" s="39">
        <f>'Data entry Seestern'!I66</f>
        <v>34265.379999999997</v>
      </c>
      <c r="F66" s="39">
        <f>'Data entry Seestern'!L66</f>
        <v>36896.839999999997</v>
      </c>
      <c r="G66" s="39">
        <f>'Data entry Seestern'!O66</f>
        <v>31385.96</v>
      </c>
      <c r="H66" s="39">
        <f>'Data entry Seestern'!R66</f>
        <v>28929.037700000001</v>
      </c>
      <c r="I66" s="39">
        <f>'Data entry Seestern'!U66</f>
        <v>31612.842400000001</v>
      </c>
      <c r="J66" s="39">
        <f>'Data entry Seestern'!X66</f>
        <v>32339.380799999999</v>
      </c>
      <c r="K66" s="39">
        <f>'Data entry Seestern'!AA66</f>
        <v>28759.1849</v>
      </c>
      <c r="L66" s="39">
        <f>'Data entry Seestern'!AD66</f>
        <v>29851.383300000001</v>
      </c>
      <c r="M66" s="39">
        <f>'Data entry Seestern'!AG66</f>
        <v>32803.953200000004</v>
      </c>
      <c r="N66" s="39">
        <f>'Data entry Seestern'!AJ66</f>
        <v>31300.189699999999</v>
      </c>
      <c r="O66" s="39">
        <f>'Data entry Seestern'!AM66</f>
        <v>27929.191299999999</v>
      </c>
    </row>
    <row r="67" spans="2:15" ht="14" x14ac:dyDescent="0.15">
      <c r="B67" s="38" t="s">
        <v>40</v>
      </c>
      <c r="C67" s="39">
        <f>'Data entry Seestern'!C67</f>
        <v>300323.10340000002</v>
      </c>
      <c r="D67" s="39">
        <f>'Data entry Seestern'!F67</f>
        <v>16371</v>
      </c>
      <c r="E67" s="39">
        <f>'Data entry Seestern'!I67</f>
        <v>25117.26</v>
      </c>
      <c r="F67" s="39">
        <f>'Data entry Seestern'!L67</f>
        <v>26249.91</v>
      </c>
      <c r="G67" s="39">
        <f>'Data entry Seestern'!O67</f>
        <v>22462.33</v>
      </c>
      <c r="H67" s="39">
        <f>'Data entry Seestern'!R67</f>
        <v>25197.4205</v>
      </c>
      <c r="I67" s="39">
        <f>'Data entry Seestern'!U67</f>
        <v>22616.963400000001</v>
      </c>
      <c r="J67" s="39">
        <f>'Data entry Seestern'!X67</f>
        <v>17074.233800000002</v>
      </c>
      <c r="K67" s="39">
        <f>'Data entry Seestern'!AA67</f>
        <v>22439.105</v>
      </c>
      <c r="L67" s="39">
        <f>'Data entry Seestern'!AD67</f>
        <v>31284.371200000001</v>
      </c>
      <c r="M67" s="39">
        <f>'Data entry Seestern'!AG67</f>
        <v>33883.493399999999</v>
      </c>
      <c r="N67" s="39">
        <f>'Data entry Seestern'!AJ67</f>
        <v>34783.6132</v>
      </c>
      <c r="O67" s="39">
        <f>'Data entry Seestern'!AM67</f>
        <v>22843.402900000001</v>
      </c>
    </row>
    <row r="68" spans="2:15" ht="14" x14ac:dyDescent="0.15">
      <c r="B68" s="42" t="s">
        <v>41</v>
      </c>
      <c r="C68" s="39">
        <f>'Data entry Seestern'!C68</f>
        <v>-677562.74699999997</v>
      </c>
      <c r="D68" s="39">
        <f>'Data entry Seestern'!F68</f>
        <v>-47537.3</v>
      </c>
      <c r="E68" s="39">
        <f>'Data entry Seestern'!I68</f>
        <v>-59382.64</v>
      </c>
      <c r="F68" s="39">
        <f>'Data entry Seestern'!L68</f>
        <v>-63146.75</v>
      </c>
      <c r="G68" s="39">
        <f>'Data entry Seestern'!O68</f>
        <v>-53848.29</v>
      </c>
      <c r="H68" s="39">
        <f>'Data entry Seestern'!R68</f>
        <v>-54126.458200000001</v>
      </c>
      <c r="I68" s="39">
        <f>'Data entry Seestern'!U68</f>
        <v>-54229.805899999999</v>
      </c>
      <c r="J68" s="39">
        <f>'Data entry Seestern'!X68</f>
        <v>-49413.614500000003</v>
      </c>
      <c r="K68" s="39">
        <f>'Data entry Seestern'!AA68</f>
        <v>-51198.29</v>
      </c>
      <c r="L68" s="39">
        <f>'Data entry Seestern'!AD68</f>
        <v>-61135.7546</v>
      </c>
      <c r="M68" s="39">
        <f>'Data entry Seestern'!AG68</f>
        <v>-66687.446599999996</v>
      </c>
      <c r="N68" s="39">
        <f>'Data entry Seestern'!AJ68</f>
        <v>-66083.803</v>
      </c>
      <c r="O68" s="39">
        <f>'Data entry Seestern'!AM68</f>
        <v>-50772.5942</v>
      </c>
    </row>
    <row r="69" spans="2:15" x14ac:dyDescent="0.15">
      <c r="B69" s="40"/>
      <c r="C69" s="39">
        <f>'Data entry Seestern'!C69</f>
        <v>0</v>
      </c>
      <c r="D69" s="39">
        <f>'Data entry Seestern'!F69</f>
        <v>0</v>
      </c>
      <c r="E69" s="39">
        <f>'Data entry Seestern'!I69</f>
        <v>0</v>
      </c>
      <c r="F69" s="39">
        <f>'Data entry Seestern'!L69</f>
        <v>0</v>
      </c>
      <c r="G69" s="39">
        <f>'Data entry Seestern'!O69</f>
        <v>0</v>
      </c>
      <c r="H69" s="39">
        <f>'Data entry Seestern'!R69</f>
        <v>0</v>
      </c>
      <c r="I69" s="39">
        <f>'Data entry Seestern'!U69</f>
        <v>0</v>
      </c>
      <c r="J69" s="39">
        <f>'Data entry Seestern'!X69</f>
        <v>0</v>
      </c>
      <c r="K69" s="39">
        <f>'Data entry Seestern'!AA69</f>
        <v>0</v>
      </c>
      <c r="L69" s="39">
        <f>'Data entry Seestern'!AD69</f>
        <v>0</v>
      </c>
      <c r="M69" s="39">
        <f>'Data entry Seestern'!AG69</f>
        <v>0</v>
      </c>
      <c r="N69" s="39">
        <f>'Data entry Seestern'!AJ69</f>
        <v>0</v>
      </c>
      <c r="O69" s="39">
        <f>'Data entry Seestern'!AM69</f>
        <v>0</v>
      </c>
    </row>
    <row r="70" spans="2:15" ht="14" x14ac:dyDescent="0.15">
      <c r="B70" s="44" t="s">
        <v>54</v>
      </c>
      <c r="C70" s="39">
        <f>'Data entry Seestern'!C70</f>
        <v>0</v>
      </c>
      <c r="D70" s="39">
        <f>'Data entry Seestern'!F70</f>
        <v>0</v>
      </c>
      <c r="E70" s="39">
        <f>'Data entry Seestern'!I70</f>
        <v>0</v>
      </c>
      <c r="F70" s="39">
        <f>'Data entry Seestern'!L70</f>
        <v>0</v>
      </c>
      <c r="G70" s="39">
        <f>'Data entry Seestern'!O70</f>
        <v>0</v>
      </c>
      <c r="H70" s="39">
        <f>'Data entry Seestern'!R70</f>
        <v>0</v>
      </c>
      <c r="I70" s="39">
        <f>'Data entry Seestern'!U70</f>
        <v>0</v>
      </c>
      <c r="J70" s="39">
        <f>'Data entry Seestern'!X70</f>
        <v>0</v>
      </c>
      <c r="K70" s="39">
        <f>'Data entry Seestern'!AA70</f>
        <v>0</v>
      </c>
      <c r="L70" s="39">
        <f>'Data entry Seestern'!AD70</f>
        <v>0</v>
      </c>
      <c r="M70" s="39">
        <f>'Data entry Seestern'!AG70</f>
        <v>0</v>
      </c>
      <c r="N70" s="39">
        <f>'Data entry Seestern'!AJ70</f>
        <v>0</v>
      </c>
      <c r="O70" s="39">
        <f>'Data entry Seestern'!AM70</f>
        <v>0</v>
      </c>
    </row>
    <row r="71" spans="2:15" ht="14" x14ac:dyDescent="0.15">
      <c r="B71" s="38" t="s">
        <v>55</v>
      </c>
      <c r="C71" s="39">
        <f>'Data entry Seestern'!C71</f>
        <v>38012.22</v>
      </c>
      <c r="D71" s="39">
        <f>'Data entry Seestern'!F71</f>
        <v>6995.84</v>
      </c>
      <c r="E71" s="39">
        <f>'Data entry Seestern'!I71</f>
        <v>907.38</v>
      </c>
      <c r="F71" s="39">
        <f>'Data entry Seestern'!L71</f>
        <v>2485.52</v>
      </c>
      <c r="G71" s="39">
        <f>'Data entry Seestern'!O71</f>
        <v>10503.48</v>
      </c>
      <c r="H71" s="39">
        <f>'Data entry Seestern'!R71</f>
        <v>2140</v>
      </c>
      <c r="I71" s="39">
        <f>'Data entry Seestern'!U71</f>
        <v>2140</v>
      </c>
      <c r="J71" s="39">
        <f>'Data entry Seestern'!X71</f>
        <v>2140</v>
      </c>
      <c r="K71" s="39">
        <f>'Data entry Seestern'!AA71</f>
        <v>2140</v>
      </c>
      <c r="L71" s="39">
        <f>'Data entry Seestern'!AD71</f>
        <v>2140</v>
      </c>
      <c r="M71" s="39">
        <f>'Data entry Seestern'!AG71</f>
        <v>2140</v>
      </c>
      <c r="N71" s="39">
        <f>'Data entry Seestern'!AJ71</f>
        <v>2140</v>
      </c>
      <c r="O71" s="39">
        <f>'Data entry Seestern'!AM71</f>
        <v>2140</v>
      </c>
    </row>
    <row r="72" spans="2:15" ht="14" x14ac:dyDescent="0.15">
      <c r="B72" s="38" t="s">
        <v>56</v>
      </c>
      <c r="C72" s="39">
        <f>'Data entry Seestern'!C72</f>
        <v>184276.39</v>
      </c>
      <c r="D72" s="39">
        <f>'Data entry Seestern'!F72</f>
        <v>12382.75</v>
      </c>
      <c r="E72" s="39">
        <f>'Data entry Seestern'!I72</f>
        <v>11730.22</v>
      </c>
      <c r="F72" s="39">
        <f>'Data entry Seestern'!L72</f>
        <v>18012.3</v>
      </c>
      <c r="G72" s="39">
        <f>'Data entry Seestern'!O72</f>
        <v>11170</v>
      </c>
      <c r="H72" s="39">
        <f>'Data entry Seestern'!R72</f>
        <v>16737.39</v>
      </c>
      <c r="I72" s="39">
        <f>'Data entry Seestern'!U72</f>
        <v>17719.39</v>
      </c>
      <c r="J72" s="39">
        <f>'Data entry Seestern'!X72</f>
        <v>16087.39</v>
      </c>
      <c r="K72" s="39">
        <f>'Data entry Seestern'!AA72</f>
        <v>16087.39</v>
      </c>
      <c r="L72" s="39">
        <f>'Data entry Seestern'!AD72</f>
        <v>16087.39</v>
      </c>
      <c r="M72" s="39">
        <f>'Data entry Seestern'!AG72</f>
        <v>16087.39</v>
      </c>
      <c r="N72" s="39">
        <f>'Data entry Seestern'!AJ72</f>
        <v>16087.39</v>
      </c>
      <c r="O72" s="39">
        <f>'Data entry Seestern'!AM72</f>
        <v>16087.39</v>
      </c>
    </row>
    <row r="73" spans="2:15" ht="14" x14ac:dyDescent="0.15">
      <c r="B73" s="38" t="s">
        <v>40</v>
      </c>
      <c r="C73" s="39">
        <f>'Data entry Seestern'!C73</f>
        <v>4024.96</v>
      </c>
      <c r="D73" s="39">
        <f>'Data entry Seestern'!F73</f>
        <v>166.24</v>
      </c>
      <c r="E73" s="39">
        <f>'Data entry Seestern'!I73</f>
        <v>166.24</v>
      </c>
      <c r="F73" s="39">
        <f>'Data entry Seestern'!L73</f>
        <v>166.24</v>
      </c>
      <c r="G73" s="39">
        <f>'Data entry Seestern'!O73</f>
        <v>166.24</v>
      </c>
      <c r="H73" s="39">
        <f>'Data entry Seestern'!R73</f>
        <v>0</v>
      </c>
      <c r="I73" s="39">
        <f>'Data entry Seestern'!U73</f>
        <v>1120</v>
      </c>
      <c r="J73" s="39">
        <f>'Data entry Seestern'!X73</f>
        <v>0</v>
      </c>
      <c r="K73" s="39">
        <f>'Data entry Seestern'!AA73</f>
        <v>0</v>
      </c>
      <c r="L73" s="39">
        <f>'Data entry Seestern'!AD73</f>
        <v>1120</v>
      </c>
      <c r="M73" s="39">
        <f>'Data entry Seestern'!AG73</f>
        <v>0</v>
      </c>
      <c r="N73" s="39">
        <f>'Data entry Seestern'!AJ73</f>
        <v>0</v>
      </c>
      <c r="O73" s="39">
        <f>'Data entry Seestern'!AM73</f>
        <v>1120</v>
      </c>
    </row>
    <row r="74" spans="2:15" ht="14" x14ac:dyDescent="0.15">
      <c r="B74" s="42" t="s">
        <v>41</v>
      </c>
      <c r="C74" s="39">
        <f>'Data entry Seestern'!C74</f>
        <v>-226313.57</v>
      </c>
      <c r="D74" s="39">
        <f>'Data entry Seestern'!F74</f>
        <v>-19544.830000000002</v>
      </c>
      <c r="E74" s="39">
        <f>'Data entry Seestern'!I74</f>
        <v>-12803.84</v>
      </c>
      <c r="F74" s="39">
        <f>'Data entry Seestern'!L74</f>
        <v>-20664.060000000001</v>
      </c>
      <c r="G74" s="39">
        <f>'Data entry Seestern'!O74</f>
        <v>-21839.72</v>
      </c>
      <c r="H74" s="39">
        <f>'Data entry Seestern'!R74</f>
        <v>-18877.39</v>
      </c>
      <c r="I74" s="39">
        <f>'Data entry Seestern'!U74</f>
        <v>-20979.39</v>
      </c>
      <c r="J74" s="39">
        <f>'Data entry Seestern'!X74</f>
        <v>-18227.39</v>
      </c>
      <c r="K74" s="39">
        <f>'Data entry Seestern'!AA74</f>
        <v>-18227.39</v>
      </c>
      <c r="L74" s="39">
        <f>'Data entry Seestern'!AD74</f>
        <v>-19347.39</v>
      </c>
      <c r="M74" s="39">
        <f>'Data entry Seestern'!AG74</f>
        <v>-18227.39</v>
      </c>
      <c r="N74" s="39">
        <f>'Data entry Seestern'!AJ74</f>
        <v>-18227.39</v>
      </c>
      <c r="O74" s="39">
        <f>'Data entry Seestern'!AM74</f>
        <v>-19347.39</v>
      </c>
    </row>
    <row r="75" spans="2:15" x14ac:dyDescent="0.15">
      <c r="B75" s="40"/>
      <c r="C75" s="39">
        <f>'Data entry Seestern'!C75</f>
        <v>0</v>
      </c>
      <c r="D75" s="39">
        <f>'Data entry Seestern'!F75</f>
        <v>0</v>
      </c>
      <c r="E75" s="39">
        <f>'Data entry Seestern'!I75</f>
        <v>0</v>
      </c>
      <c r="F75" s="39">
        <f>'Data entry Seestern'!L75</f>
        <v>0</v>
      </c>
      <c r="G75" s="39">
        <f>'Data entry Seestern'!O75</f>
        <v>0</v>
      </c>
      <c r="H75" s="39">
        <f>'Data entry Seestern'!R75</f>
        <v>0</v>
      </c>
      <c r="I75" s="39">
        <f>'Data entry Seestern'!U75</f>
        <v>0</v>
      </c>
      <c r="J75" s="39">
        <f>'Data entry Seestern'!X75</f>
        <v>0</v>
      </c>
      <c r="K75" s="39">
        <f>'Data entry Seestern'!AA75</f>
        <v>0</v>
      </c>
      <c r="L75" s="39">
        <f>'Data entry Seestern'!AD75</f>
        <v>0</v>
      </c>
      <c r="M75" s="39">
        <f>'Data entry Seestern'!AG75</f>
        <v>0</v>
      </c>
      <c r="N75" s="39">
        <f>'Data entry Seestern'!AJ75</f>
        <v>0</v>
      </c>
      <c r="O75" s="39">
        <f>'Data entry Seestern'!AM75</f>
        <v>0</v>
      </c>
    </row>
    <row r="76" spans="2:15" ht="14" x14ac:dyDescent="0.15">
      <c r="B76" s="44" t="s">
        <v>57</v>
      </c>
      <c r="C76" s="39">
        <f>'Data entry Seestern'!C76</f>
        <v>0</v>
      </c>
      <c r="D76" s="39">
        <f>'Data entry Seestern'!F76</f>
        <v>0</v>
      </c>
      <c r="E76" s="39">
        <f>'Data entry Seestern'!I76</f>
        <v>0</v>
      </c>
      <c r="F76" s="39">
        <f>'Data entry Seestern'!L76</f>
        <v>0</v>
      </c>
      <c r="G76" s="39">
        <f>'Data entry Seestern'!O76</f>
        <v>0</v>
      </c>
      <c r="H76" s="39">
        <f>'Data entry Seestern'!R76</f>
        <v>0</v>
      </c>
      <c r="I76" s="39">
        <f>'Data entry Seestern'!U76</f>
        <v>0</v>
      </c>
      <c r="J76" s="39">
        <f>'Data entry Seestern'!X76</f>
        <v>0</v>
      </c>
      <c r="K76" s="39">
        <f>'Data entry Seestern'!AA76</f>
        <v>0</v>
      </c>
      <c r="L76" s="39">
        <f>'Data entry Seestern'!AD76</f>
        <v>0</v>
      </c>
      <c r="M76" s="39">
        <f>'Data entry Seestern'!AG76</f>
        <v>0</v>
      </c>
      <c r="N76" s="39">
        <f>'Data entry Seestern'!AJ76</f>
        <v>0</v>
      </c>
      <c r="O76" s="39">
        <f>'Data entry Seestern'!AM76</f>
        <v>0</v>
      </c>
    </row>
    <row r="77" spans="2:15" ht="14" x14ac:dyDescent="0.15">
      <c r="B77" s="38" t="s">
        <v>22</v>
      </c>
      <c r="C77" s="39">
        <f>'Data entry Seestern'!C77</f>
        <v>190711.1605</v>
      </c>
      <c r="D77" s="39">
        <f>'Data entry Seestern'!F77</f>
        <v>12218.91</v>
      </c>
      <c r="E77" s="39">
        <f>'Data entry Seestern'!I77</f>
        <v>15916.38</v>
      </c>
      <c r="F77" s="39">
        <f>'Data entry Seestern'!L77</f>
        <v>17230.55</v>
      </c>
      <c r="G77" s="39">
        <f>'Data entry Seestern'!O77</f>
        <v>11207.05</v>
      </c>
      <c r="H77" s="39">
        <f>'Data entry Seestern'!R77</f>
        <v>16331.9743</v>
      </c>
      <c r="I77" s="39">
        <f>'Data entry Seestern'!U77</f>
        <v>13863.5524</v>
      </c>
      <c r="J77" s="39">
        <f>'Data entry Seestern'!X77</f>
        <v>9247.7998000000007</v>
      </c>
      <c r="K77" s="39">
        <f>'Data entry Seestern'!AA77</f>
        <v>12618.3271</v>
      </c>
      <c r="L77" s="39">
        <f>'Data entry Seestern'!AD77</f>
        <v>21422.338299999999</v>
      </c>
      <c r="M77" s="39">
        <f>'Data entry Seestern'!AG77</f>
        <v>23907.037799999998</v>
      </c>
      <c r="N77" s="39">
        <f>'Data entry Seestern'!AJ77</f>
        <v>22686.212100000001</v>
      </c>
      <c r="O77" s="39">
        <f>'Data entry Seestern'!AM77</f>
        <v>14061.028700000001</v>
      </c>
    </row>
    <row r="78" spans="2:15" ht="14" x14ac:dyDescent="0.15">
      <c r="B78" s="38" t="s">
        <v>40</v>
      </c>
      <c r="C78" s="39">
        <f>'Data entry Seestern'!C78</f>
        <v>491840.65330000001</v>
      </c>
      <c r="D78" s="39">
        <f>'Data entry Seestern'!F78</f>
        <v>42878.34</v>
      </c>
      <c r="E78" s="39">
        <f>'Data entry Seestern'!I78</f>
        <v>30157.02</v>
      </c>
      <c r="F78" s="39">
        <f>'Data entry Seestern'!L78</f>
        <v>29491.81</v>
      </c>
      <c r="G78" s="39">
        <f>'Data entry Seestern'!O78</f>
        <v>27163.71</v>
      </c>
      <c r="H78" s="39">
        <f>'Data entry Seestern'!R78</f>
        <v>43431.266300000003</v>
      </c>
      <c r="I78" s="39">
        <f>'Data entry Seestern'!U78</f>
        <v>38403.157399999996</v>
      </c>
      <c r="J78" s="39">
        <f>'Data entry Seestern'!X78</f>
        <v>29218.6698</v>
      </c>
      <c r="K78" s="39">
        <f>'Data entry Seestern'!AA78</f>
        <v>38031.193899999998</v>
      </c>
      <c r="L78" s="39">
        <f>'Data entry Seestern'!AD78</f>
        <v>53702.730100000001</v>
      </c>
      <c r="M78" s="39">
        <f>'Data entry Seestern'!AG78</f>
        <v>62335.972900000001</v>
      </c>
      <c r="N78" s="39">
        <f>'Data entry Seestern'!AJ78</f>
        <v>57921.1204</v>
      </c>
      <c r="O78" s="39">
        <f>'Data entry Seestern'!AM78</f>
        <v>39105.662499999999</v>
      </c>
    </row>
    <row r="79" spans="2:15" ht="14" x14ac:dyDescent="0.15">
      <c r="B79" s="42" t="s">
        <v>41</v>
      </c>
      <c r="C79" s="39">
        <f>'Data entry Seestern'!C79</f>
        <v>-682551.81350000005</v>
      </c>
      <c r="D79" s="39">
        <f>'Data entry Seestern'!F79</f>
        <v>-55097.25</v>
      </c>
      <c r="E79" s="39">
        <f>'Data entry Seestern'!I79</f>
        <v>-46073.4</v>
      </c>
      <c r="F79" s="39">
        <f>'Data entry Seestern'!L79</f>
        <v>-46722.36</v>
      </c>
      <c r="G79" s="39">
        <f>'Data entry Seestern'!O79</f>
        <v>-38370.76</v>
      </c>
      <c r="H79" s="39">
        <f>'Data entry Seestern'!R79</f>
        <v>-59763.2405</v>
      </c>
      <c r="I79" s="39">
        <f>'Data entry Seestern'!U79</f>
        <v>-52266.709799999997</v>
      </c>
      <c r="J79" s="39">
        <f>'Data entry Seestern'!X79</f>
        <v>-38466.469499999999</v>
      </c>
      <c r="K79" s="39">
        <f>'Data entry Seestern'!AA79</f>
        <v>-50649.521000000001</v>
      </c>
      <c r="L79" s="39">
        <f>'Data entry Seestern'!AD79</f>
        <v>-75125.068299999999</v>
      </c>
      <c r="M79" s="39">
        <f>'Data entry Seestern'!AG79</f>
        <v>-86243.010699999999</v>
      </c>
      <c r="N79" s="39">
        <f>'Data entry Seestern'!AJ79</f>
        <v>-80607.332500000004</v>
      </c>
      <c r="O79" s="39">
        <f>'Data entry Seestern'!AM79</f>
        <v>-53166.691200000001</v>
      </c>
    </row>
    <row r="80" spans="2:15" x14ac:dyDescent="0.15">
      <c r="B80" s="40"/>
      <c r="C80" s="39">
        <f>'Data entry Seestern'!C80</f>
        <v>0</v>
      </c>
      <c r="D80" s="39">
        <f>'Data entry Seestern'!F80</f>
        <v>0</v>
      </c>
      <c r="E80" s="39">
        <f>'Data entry Seestern'!I80</f>
        <v>0</v>
      </c>
      <c r="F80" s="39">
        <f>'Data entry Seestern'!L80</f>
        <v>0</v>
      </c>
      <c r="G80" s="39">
        <f>'Data entry Seestern'!O80</f>
        <v>0</v>
      </c>
      <c r="H80" s="39">
        <f>'Data entry Seestern'!R80</f>
        <v>0</v>
      </c>
      <c r="I80" s="39">
        <f>'Data entry Seestern'!U80</f>
        <v>0</v>
      </c>
      <c r="J80" s="39">
        <f>'Data entry Seestern'!X80</f>
        <v>0</v>
      </c>
      <c r="K80" s="39">
        <f>'Data entry Seestern'!AA80</f>
        <v>0</v>
      </c>
      <c r="L80" s="39">
        <f>'Data entry Seestern'!AD80</f>
        <v>0</v>
      </c>
      <c r="M80" s="39">
        <f>'Data entry Seestern'!AG80</f>
        <v>0</v>
      </c>
      <c r="N80" s="39">
        <f>'Data entry Seestern'!AJ80</f>
        <v>0</v>
      </c>
      <c r="O80" s="39">
        <f>'Data entry Seestern'!AM80</f>
        <v>0</v>
      </c>
    </row>
    <row r="81" spans="2:15" ht="14" x14ac:dyDescent="0.15">
      <c r="B81" s="44" t="s">
        <v>58</v>
      </c>
      <c r="C81" s="39">
        <f>'Data entry Seestern'!C81</f>
        <v>0</v>
      </c>
      <c r="D81" s="39">
        <f>'Data entry Seestern'!F81</f>
        <v>0</v>
      </c>
      <c r="E81" s="39">
        <f>'Data entry Seestern'!I81</f>
        <v>0</v>
      </c>
      <c r="F81" s="39">
        <f>'Data entry Seestern'!L81</f>
        <v>0</v>
      </c>
      <c r="G81" s="39">
        <f>'Data entry Seestern'!O81</f>
        <v>0</v>
      </c>
      <c r="H81" s="39">
        <f>'Data entry Seestern'!R81</f>
        <v>0</v>
      </c>
      <c r="I81" s="39">
        <f>'Data entry Seestern'!U81</f>
        <v>0</v>
      </c>
      <c r="J81" s="39">
        <f>'Data entry Seestern'!X81</f>
        <v>0</v>
      </c>
      <c r="K81" s="39">
        <f>'Data entry Seestern'!AA81</f>
        <v>0</v>
      </c>
      <c r="L81" s="39">
        <f>'Data entry Seestern'!AD81</f>
        <v>0</v>
      </c>
      <c r="M81" s="39">
        <f>'Data entry Seestern'!AG81</f>
        <v>0</v>
      </c>
      <c r="N81" s="39">
        <f>'Data entry Seestern'!AJ81</f>
        <v>0</v>
      </c>
      <c r="O81" s="39">
        <f>'Data entry Seestern'!AM81</f>
        <v>0</v>
      </c>
    </row>
    <row r="82" spans="2:15" ht="14" x14ac:dyDescent="0.15">
      <c r="B82" s="38" t="s">
        <v>22</v>
      </c>
      <c r="C82" s="39">
        <f>'Data entry Seestern'!C82</f>
        <v>224483.69899999999</v>
      </c>
      <c r="D82" s="39">
        <f>'Data entry Seestern'!F82</f>
        <v>18201.37</v>
      </c>
      <c r="E82" s="39">
        <f>'Data entry Seestern'!I82</f>
        <v>19538.48</v>
      </c>
      <c r="F82" s="39">
        <f>'Data entry Seestern'!L82</f>
        <v>15264.34</v>
      </c>
      <c r="G82" s="39">
        <f>'Data entry Seestern'!O82</f>
        <v>16715.68</v>
      </c>
      <c r="H82" s="39">
        <f>'Data entry Seestern'!R82</f>
        <v>18506.870699999999</v>
      </c>
      <c r="I82" s="39">
        <f>'Data entry Seestern'!U82</f>
        <v>18143.615000000002</v>
      </c>
      <c r="J82" s="39">
        <f>'Data entry Seestern'!X82</f>
        <v>18590.472399999999</v>
      </c>
      <c r="K82" s="39">
        <f>'Data entry Seestern'!AA82</f>
        <v>19693.302100000001</v>
      </c>
      <c r="L82" s="39">
        <f>'Data entry Seestern'!AD82</f>
        <v>19414.894100000001</v>
      </c>
      <c r="M82" s="39">
        <f>'Data entry Seestern'!AG82</f>
        <v>19991.193299999999</v>
      </c>
      <c r="N82" s="39">
        <f>'Data entry Seestern'!AJ82</f>
        <v>21559.6152</v>
      </c>
      <c r="O82" s="39">
        <f>'Data entry Seestern'!AM82</f>
        <v>18863.8662</v>
      </c>
    </row>
    <row r="83" spans="2:15" ht="14" x14ac:dyDescent="0.15">
      <c r="B83" s="38" t="s">
        <v>40</v>
      </c>
      <c r="C83" s="39">
        <f>'Data entry Seestern'!C83</f>
        <v>272705.47639999999</v>
      </c>
      <c r="D83" s="39">
        <f>'Data entry Seestern'!F83</f>
        <v>18788.54</v>
      </c>
      <c r="E83" s="39">
        <f>'Data entry Seestern'!I83</f>
        <v>18154.95</v>
      </c>
      <c r="F83" s="39">
        <f>'Data entry Seestern'!L83</f>
        <v>19875.580000000002</v>
      </c>
      <c r="G83" s="39">
        <f>'Data entry Seestern'!O83</f>
        <v>13881.34</v>
      </c>
      <c r="H83" s="39">
        <f>'Data entry Seestern'!R83</f>
        <v>27863.633300000001</v>
      </c>
      <c r="I83" s="39">
        <f>'Data entry Seestern'!U83</f>
        <v>23616.833299999998</v>
      </c>
      <c r="J83" s="39">
        <f>'Data entry Seestern'!X83</f>
        <v>24181.833299999998</v>
      </c>
      <c r="K83" s="39">
        <f>'Data entry Seestern'!AA83</f>
        <v>24863.633300000001</v>
      </c>
      <c r="L83" s="39">
        <f>'Data entry Seestern'!AD83</f>
        <v>28966.833299999998</v>
      </c>
      <c r="M83" s="39">
        <f>'Data entry Seestern'!AG83</f>
        <v>24181.833299999998</v>
      </c>
      <c r="N83" s="39">
        <f>'Data entry Seestern'!AJ83</f>
        <v>24863.633300000001</v>
      </c>
      <c r="O83" s="39">
        <f>'Data entry Seestern'!AM83</f>
        <v>23466.833299999998</v>
      </c>
    </row>
    <row r="84" spans="2:15" ht="14" x14ac:dyDescent="0.15">
      <c r="B84" s="42" t="s">
        <v>41</v>
      </c>
      <c r="C84" s="39">
        <f>'Data entry Seestern'!C84</f>
        <v>-497189.17540000001</v>
      </c>
      <c r="D84" s="39">
        <f>'Data entry Seestern'!F84</f>
        <v>-36989.910000000003</v>
      </c>
      <c r="E84" s="39">
        <f>'Data entry Seestern'!I84</f>
        <v>-37693.43</v>
      </c>
      <c r="F84" s="39">
        <f>'Data entry Seestern'!L84</f>
        <v>-35139.919999999998</v>
      </c>
      <c r="G84" s="39">
        <f>'Data entry Seestern'!O84</f>
        <v>-30597.02</v>
      </c>
      <c r="H84" s="39">
        <f>'Data entry Seestern'!R84</f>
        <v>-46370.504000000001</v>
      </c>
      <c r="I84" s="39">
        <f>'Data entry Seestern'!U84</f>
        <v>-41760.448299999996</v>
      </c>
      <c r="J84" s="39">
        <f>'Data entry Seestern'!X84</f>
        <v>-42772.305699999997</v>
      </c>
      <c r="K84" s="39">
        <f>'Data entry Seestern'!AA84</f>
        <v>-44556.935400000002</v>
      </c>
      <c r="L84" s="39">
        <f>'Data entry Seestern'!AD84</f>
        <v>-48381.727400000003</v>
      </c>
      <c r="M84" s="39">
        <f>'Data entry Seestern'!AG84</f>
        <v>-44173.026599999997</v>
      </c>
      <c r="N84" s="39">
        <f>'Data entry Seestern'!AJ84</f>
        <v>-46423.248500000002</v>
      </c>
      <c r="O84" s="39">
        <f>'Data entry Seestern'!AM84</f>
        <v>-42330.699500000002</v>
      </c>
    </row>
    <row r="85" spans="2:15" x14ac:dyDescent="0.15">
      <c r="B85" s="40"/>
      <c r="C85" s="39">
        <f>'Data entry Seestern'!C85</f>
        <v>0</v>
      </c>
      <c r="D85" s="39">
        <f>'Data entry Seestern'!F85</f>
        <v>0</v>
      </c>
      <c r="E85" s="39">
        <f>'Data entry Seestern'!I85</f>
        <v>0</v>
      </c>
      <c r="F85" s="39">
        <f>'Data entry Seestern'!L85</f>
        <v>0</v>
      </c>
      <c r="G85" s="39">
        <f>'Data entry Seestern'!O85</f>
        <v>0</v>
      </c>
      <c r="H85" s="39">
        <f>'Data entry Seestern'!R85</f>
        <v>0</v>
      </c>
      <c r="I85" s="39">
        <f>'Data entry Seestern'!U85</f>
        <v>0</v>
      </c>
      <c r="J85" s="39">
        <f>'Data entry Seestern'!X85</f>
        <v>0</v>
      </c>
      <c r="K85" s="39">
        <f>'Data entry Seestern'!AA85</f>
        <v>0</v>
      </c>
      <c r="L85" s="39">
        <f>'Data entry Seestern'!AD85</f>
        <v>0</v>
      </c>
      <c r="M85" s="39">
        <f>'Data entry Seestern'!AG85</f>
        <v>0</v>
      </c>
      <c r="N85" s="39">
        <f>'Data entry Seestern'!AJ85</f>
        <v>0</v>
      </c>
      <c r="O85" s="39">
        <f>'Data entry Seestern'!AM85</f>
        <v>0</v>
      </c>
    </row>
    <row r="86" spans="2:15" ht="14" x14ac:dyDescent="0.15">
      <c r="B86" s="44" t="s">
        <v>59</v>
      </c>
      <c r="C86" s="39">
        <f>'Data entry Seestern'!C86</f>
        <v>0</v>
      </c>
      <c r="D86" s="39">
        <f>'Data entry Seestern'!F86</f>
        <v>0</v>
      </c>
      <c r="E86" s="39">
        <f>'Data entry Seestern'!I86</f>
        <v>0</v>
      </c>
      <c r="F86" s="39">
        <f>'Data entry Seestern'!L86</f>
        <v>0</v>
      </c>
      <c r="G86" s="39">
        <f>'Data entry Seestern'!O86</f>
        <v>0</v>
      </c>
      <c r="H86" s="39">
        <f>'Data entry Seestern'!R86</f>
        <v>0</v>
      </c>
      <c r="I86" s="39">
        <f>'Data entry Seestern'!U86</f>
        <v>0</v>
      </c>
      <c r="J86" s="39">
        <f>'Data entry Seestern'!X86</f>
        <v>0</v>
      </c>
      <c r="K86" s="39">
        <f>'Data entry Seestern'!AA86</f>
        <v>0</v>
      </c>
      <c r="L86" s="39">
        <f>'Data entry Seestern'!AD86</f>
        <v>0</v>
      </c>
      <c r="M86" s="39">
        <f>'Data entry Seestern'!AG86</f>
        <v>0</v>
      </c>
      <c r="N86" s="39">
        <f>'Data entry Seestern'!AJ86</f>
        <v>0</v>
      </c>
      <c r="O86" s="39">
        <f>'Data entry Seestern'!AM86</f>
        <v>0</v>
      </c>
    </row>
    <row r="87" spans="2:15" ht="14" x14ac:dyDescent="0.15">
      <c r="B87" s="42" t="s">
        <v>41</v>
      </c>
      <c r="C87" s="39">
        <f>'Data entry Seestern'!C87</f>
        <v>-829019.2</v>
      </c>
      <c r="D87" s="39">
        <f>'Data entry Seestern'!F87</f>
        <v>-82600</v>
      </c>
      <c r="E87" s="39">
        <f>'Data entry Seestern'!I87</f>
        <v>-88263</v>
      </c>
      <c r="F87" s="39">
        <f>'Data entry Seestern'!L87</f>
        <v>-79263</v>
      </c>
      <c r="G87" s="39">
        <f>'Data entry Seestern'!O87</f>
        <v>-68463</v>
      </c>
      <c r="H87" s="39">
        <f>'Data entry Seestern'!R87</f>
        <v>-56490.8</v>
      </c>
      <c r="I87" s="39">
        <f>'Data entry Seestern'!U87</f>
        <v>-48360.5</v>
      </c>
      <c r="J87" s="39">
        <f>'Data entry Seestern'!X87</f>
        <v>-38375</v>
      </c>
      <c r="K87" s="39">
        <f>'Data entry Seestern'!AA87</f>
        <v>-57699.9</v>
      </c>
      <c r="L87" s="39">
        <f>'Data entry Seestern'!AD87</f>
        <v>-78892</v>
      </c>
      <c r="M87" s="39">
        <f>'Data entry Seestern'!AG87</f>
        <v>-69812</v>
      </c>
      <c r="N87" s="39">
        <f>'Data entry Seestern'!AJ87</f>
        <v>-83840</v>
      </c>
      <c r="O87" s="39">
        <f>'Data entry Seestern'!AM87</f>
        <v>-76960</v>
      </c>
    </row>
    <row r="88" spans="2:15" x14ac:dyDescent="0.15">
      <c r="B88" s="40"/>
      <c r="C88" s="39">
        <f>'Data entry Seestern'!C88</f>
        <v>0</v>
      </c>
      <c r="D88" s="39">
        <f>'Data entry Seestern'!F88</f>
        <v>0</v>
      </c>
      <c r="E88" s="39">
        <f>'Data entry Seestern'!I88</f>
        <v>0</v>
      </c>
      <c r="F88" s="39">
        <f>'Data entry Seestern'!L88</f>
        <v>0</v>
      </c>
      <c r="G88" s="39">
        <f>'Data entry Seestern'!O88</f>
        <v>0</v>
      </c>
      <c r="H88" s="39">
        <f>'Data entry Seestern'!R88</f>
        <v>0</v>
      </c>
      <c r="I88" s="39">
        <f>'Data entry Seestern'!U88</f>
        <v>0</v>
      </c>
      <c r="J88" s="39">
        <f>'Data entry Seestern'!X88</f>
        <v>0</v>
      </c>
      <c r="K88" s="39">
        <f>'Data entry Seestern'!AA88</f>
        <v>0</v>
      </c>
      <c r="L88" s="39">
        <f>'Data entry Seestern'!AD88</f>
        <v>0</v>
      </c>
      <c r="M88" s="39">
        <f>'Data entry Seestern'!AG88</f>
        <v>0</v>
      </c>
      <c r="N88" s="39">
        <f>'Data entry Seestern'!AJ88</f>
        <v>0</v>
      </c>
      <c r="O88" s="39">
        <f>'Data entry Seestern'!AM88</f>
        <v>0</v>
      </c>
    </row>
    <row r="89" spans="2:15" ht="14" x14ac:dyDescent="0.15">
      <c r="B89" s="42" t="s">
        <v>23</v>
      </c>
      <c r="C89" s="39">
        <f>'Data entry Seestern'!C89</f>
        <v>3621737.8309999998</v>
      </c>
      <c r="D89" s="39">
        <f>'Data entry Seestern'!F89</f>
        <v>250174.25</v>
      </c>
      <c r="E89" s="39">
        <f>'Data entry Seestern'!I89</f>
        <v>96029.96</v>
      </c>
      <c r="F89" s="39">
        <f>'Data entry Seestern'!L89</f>
        <v>390799.5</v>
      </c>
      <c r="G89" s="39">
        <f>'Data entry Seestern'!O89</f>
        <v>82997.67</v>
      </c>
      <c r="H89" s="39">
        <f>'Data entry Seestern'!R89</f>
        <v>364755.87709999998</v>
      </c>
      <c r="I89" s="39">
        <f>'Data entry Seestern'!U89</f>
        <v>208799.6587</v>
      </c>
      <c r="J89" s="39">
        <f>'Data entry Seestern'!X89</f>
        <v>28270.582600000002</v>
      </c>
      <c r="K89" s="39">
        <f>'Data entry Seestern'!AA89</f>
        <v>168667.83069999999</v>
      </c>
      <c r="L89" s="39">
        <f>'Data entry Seestern'!AD89</f>
        <v>529259.40419999999</v>
      </c>
      <c r="M89" s="39">
        <f>'Data entry Seestern'!AG89</f>
        <v>697437.24560000002</v>
      </c>
      <c r="N89" s="39">
        <f>'Data entry Seestern'!AJ89</f>
        <v>602118.97560000001</v>
      </c>
      <c r="O89" s="39">
        <f>'Data entry Seestern'!AM89</f>
        <v>202426.87650000001</v>
      </c>
    </row>
    <row r="90" spans="2:15" x14ac:dyDescent="0.15">
      <c r="B90" s="40"/>
      <c r="C90" s="39">
        <f>'Data entry Seestern'!C90</f>
        <v>0</v>
      </c>
      <c r="D90" s="39">
        <f>'Data entry Seestern'!F90</f>
        <v>0</v>
      </c>
      <c r="E90" s="39">
        <f>'Data entry Seestern'!I90</f>
        <v>0</v>
      </c>
      <c r="F90" s="39">
        <f>'Data entry Seestern'!L90</f>
        <v>0</v>
      </c>
      <c r="G90" s="39">
        <f>'Data entry Seestern'!O90</f>
        <v>0</v>
      </c>
      <c r="H90" s="39">
        <f>'Data entry Seestern'!R90</f>
        <v>0</v>
      </c>
      <c r="I90" s="39">
        <f>'Data entry Seestern'!U90</f>
        <v>0</v>
      </c>
      <c r="J90" s="39">
        <f>'Data entry Seestern'!X90</f>
        <v>0</v>
      </c>
      <c r="K90" s="39">
        <f>'Data entry Seestern'!AA90</f>
        <v>0</v>
      </c>
      <c r="L90" s="39">
        <f>'Data entry Seestern'!AD90</f>
        <v>0</v>
      </c>
      <c r="M90" s="39">
        <f>'Data entry Seestern'!AG90</f>
        <v>0</v>
      </c>
      <c r="N90" s="39">
        <f>'Data entry Seestern'!AJ90</f>
        <v>0</v>
      </c>
      <c r="O90" s="39">
        <f>'Data entry Seestern'!AM90</f>
        <v>0</v>
      </c>
    </row>
    <row r="91" spans="2:15" ht="14" x14ac:dyDescent="0.15">
      <c r="B91" s="42" t="s">
        <v>60</v>
      </c>
      <c r="C91" s="39">
        <f>'Data entry Seestern'!C91</f>
        <v>0</v>
      </c>
      <c r="D91" s="39">
        <f>'Data entry Seestern'!F91</f>
        <v>0</v>
      </c>
      <c r="E91" s="39">
        <f>'Data entry Seestern'!I91</f>
        <v>0</v>
      </c>
      <c r="F91" s="39">
        <f>'Data entry Seestern'!L91</f>
        <v>0</v>
      </c>
      <c r="G91" s="39">
        <f>'Data entry Seestern'!O91</f>
        <v>0</v>
      </c>
      <c r="H91" s="39">
        <f>'Data entry Seestern'!R91</f>
        <v>0</v>
      </c>
      <c r="I91" s="39">
        <f>'Data entry Seestern'!U91</f>
        <v>0</v>
      </c>
      <c r="J91" s="39">
        <f>'Data entry Seestern'!X91</f>
        <v>0</v>
      </c>
      <c r="K91" s="39">
        <f>'Data entry Seestern'!AA91</f>
        <v>0</v>
      </c>
      <c r="L91" s="39">
        <f>'Data entry Seestern'!AD91</f>
        <v>0</v>
      </c>
      <c r="M91" s="39">
        <f>'Data entry Seestern'!AG91</f>
        <v>0</v>
      </c>
      <c r="N91" s="39">
        <f>'Data entry Seestern'!AJ91</f>
        <v>0</v>
      </c>
      <c r="O91" s="39">
        <f>'Data entry Seestern'!AM91</f>
        <v>0</v>
      </c>
    </row>
    <row r="92" spans="2:15" ht="14" x14ac:dyDescent="0.15">
      <c r="B92" s="38" t="s">
        <v>61</v>
      </c>
      <c r="C92" s="39">
        <f>'Data entry Seestern'!C92</f>
        <v>0</v>
      </c>
      <c r="D92" s="39">
        <f>'Data entry Seestern'!F92</f>
        <v>0</v>
      </c>
      <c r="E92" s="39">
        <f>'Data entry Seestern'!I92</f>
        <v>0</v>
      </c>
      <c r="F92" s="39">
        <f>'Data entry Seestern'!L92</f>
        <v>0</v>
      </c>
      <c r="G92" s="39">
        <f>'Data entry Seestern'!O92</f>
        <v>0</v>
      </c>
      <c r="H92" s="39">
        <f>'Data entry Seestern'!R92</f>
        <v>0</v>
      </c>
      <c r="I92" s="39">
        <f>'Data entry Seestern'!U92</f>
        <v>0</v>
      </c>
      <c r="J92" s="39">
        <f>'Data entry Seestern'!X92</f>
        <v>0</v>
      </c>
      <c r="K92" s="39">
        <f>'Data entry Seestern'!AA92</f>
        <v>0</v>
      </c>
      <c r="L92" s="39">
        <f>'Data entry Seestern'!AD92</f>
        <v>0</v>
      </c>
      <c r="M92" s="39">
        <f>'Data entry Seestern'!AG92</f>
        <v>0</v>
      </c>
      <c r="N92" s="39">
        <f>'Data entry Seestern'!AJ92</f>
        <v>0</v>
      </c>
      <c r="O92" s="39">
        <f>'Data entry Seestern'!AM92</f>
        <v>0</v>
      </c>
    </row>
    <row r="93" spans="2:15" ht="14" x14ac:dyDescent="0.15">
      <c r="B93" s="38" t="s">
        <v>62</v>
      </c>
      <c r="C93" s="39">
        <f>'Data entry Seestern'!C93</f>
        <v>0</v>
      </c>
      <c r="D93" s="39">
        <f>'Data entry Seestern'!F93</f>
        <v>0</v>
      </c>
      <c r="E93" s="39">
        <f>'Data entry Seestern'!I93</f>
        <v>0</v>
      </c>
      <c r="F93" s="39">
        <f>'Data entry Seestern'!L93</f>
        <v>0</v>
      </c>
      <c r="G93" s="39">
        <f>'Data entry Seestern'!O93</f>
        <v>0</v>
      </c>
      <c r="H93" s="39">
        <f>'Data entry Seestern'!R93</f>
        <v>0</v>
      </c>
      <c r="I93" s="39">
        <f>'Data entry Seestern'!U93</f>
        <v>0</v>
      </c>
      <c r="J93" s="39">
        <f>'Data entry Seestern'!X93</f>
        <v>0</v>
      </c>
      <c r="K93" s="39">
        <f>'Data entry Seestern'!AA93</f>
        <v>0</v>
      </c>
      <c r="L93" s="39">
        <f>'Data entry Seestern'!AD93</f>
        <v>0</v>
      </c>
      <c r="M93" s="39">
        <f>'Data entry Seestern'!AG93</f>
        <v>0</v>
      </c>
      <c r="N93" s="39">
        <f>'Data entry Seestern'!AJ93</f>
        <v>0</v>
      </c>
      <c r="O93" s="39">
        <f>'Data entry Seestern'!AM93</f>
        <v>0</v>
      </c>
    </row>
    <row r="94" spans="2:15" ht="14" x14ac:dyDescent="0.15">
      <c r="B94" s="38" t="s">
        <v>63</v>
      </c>
      <c r="C94" s="39">
        <f>'Data entry Seestern'!C94</f>
        <v>0</v>
      </c>
      <c r="D94" s="39">
        <f>'Data entry Seestern'!F94</f>
        <v>0</v>
      </c>
      <c r="E94" s="39">
        <f>'Data entry Seestern'!I94</f>
        <v>0</v>
      </c>
      <c r="F94" s="39">
        <f>'Data entry Seestern'!L94</f>
        <v>0</v>
      </c>
      <c r="G94" s="39">
        <f>'Data entry Seestern'!O94</f>
        <v>0</v>
      </c>
      <c r="H94" s="39">
        <f>'Data entry Seestern'!R94</f>
        <v>0</v>
      </c>
      <c r="I94" s="39">
        <f>'Data entry Seestern'!U94</f>
        <v>0</v>
      </c>
      <c r="J94" s="39">
        <f>'Data entry Seestern'!X94</f>
        <v>0</v>
      </c>
      <c r="K94" s="39">
        <f>'Data entry Seestern'!AA94</f>
        <v>0</v>
      </c>
      <c r="L94" s="39">
        <f>'Data entry Seestern'!AD94</f>
        <v>0</v>
      </c>
      <c r="M94" s="39">
        <f>'Data entry Seestern'!AG94</f>
        <v>0</v>
      </c>
      <c r="N94" s="39">
        <f>'Data entry Seestern'!AJ94</f>
        <v>0</v>
      </c>
      <c r="O94" s="39">
        <f>'Data entry Seestern'!AM94</f>
        <v>0</v>
      </c>
    </row>
    <row r="95" spans="2:15" ht="14" x14ac:dyDescent="0.15">
      <c r="B95" s="38" t="s">
        <v>64</v>
      </c>
      <c r="C95" s="39">
        <f>'Data entry Seestern'!C95</f>
        <v>0</v>
      </c>
      <c r="D95" s="39">
        <f>'Data entry Seestern'!F95</f>
        <v>0</v>
      </c>
      <c r="E95" s="39">
        <f>'Data entry Seestern'!I95</f>
        <v>0</v>
      </c>
      <c r="F95" s="39">
        <f>'Data entry Seestern'!L95</f>
        <v>0</v>
      </c>
      <c r="G95" s="39">
        <f>'Data entry Seestern'!O95</f>
        <v>0</v>
      </c>
      <c r="H95" s="39">
        <f>'Data entry Seestern'!R95</f>
        <v>0</v>
      </c>
      <c r="I95" s="39">
        <f>'Data entry Seestern'!U95</f>
        <v>0</v>
      </c>
      <c r="J95" s="39">
        <f>'Data entry Seestern'!X95</f>
        <v>0</v>
      </c>
      <c r="K95" s="39">
        <f>'Data entry Seestern'!AA95</f>
        <v>0</v>
      </c>
      <c r="L95" s="39">
        <f>'Data entry Seestern'!AD95</f>
        <v>0</v>
      </c>
      <c r="M95" s="39">
        <f>'Data entry Seestern'!AG95</f>
        <v>0</v>
      </c>
      <c r="N95" s="39">
        <f>'Data entry Seestern'!AJ95</f>
        <v>0</v>
      </c>
      <c r="O95" s="39">
        <f>'Data entry Seestern'!AM95</f>
        <v>0</v>
      </c>
    </row>
    <row r="96" spans="2:15" x14ac:dyDescent="0.15">
      <c r="B96" s="40"/>
      <c r="C96" s="39">
        <f>'Data entry Seestern'!C96</f>
        <v>0</v>
      </c>
      <c r="D96" s="39">
        <f>'Data entry Seestern'!F96</f>
        <v>0</v>
      </c>
      <c r="E96" s="39">
        <f>'Data entry Seestern'!I96</f>
        <v>0</v>
      </c>
      <c r="F96" s="39">
        <f>'Data entry Seestern'!L96</f>
        <v>0</v>
      </c>
      <c r="G96" s="39">
        <f>'Data entry Seestern'!O96</f>
        <v>0</v>
      </c>
      <c r="H96" s="39">
        <f>'Data entry Seestern'!R96</f>
        <v>0</v>
      </c>
      <c r="I96" s="39">
        <f>'Data entry Seestern'!U96</f>
        <v>0</v>
      </c>
      <c r="J96" s="39">
        <f>'Data entry Seestern'!X96</f>
        <v>0</v>
      </c>
      <c r="K96" s="39">
        <f>'Data entry Seestern'!AA96</f>
        <v>0</v>
      </c>
      <c r="L96" s="39">
        <f>'Data entry Seestern'!AD96</f>
        <v>0</v>
      </c>
      <c r="M96" s="39">
        <f>'Data entry Seestern'!AG96</f>
        <v>0</v>
      </c>
      <c r="N96" s="39">
        <f>'Data entry Seestern'!AJ96</f>
        <v>0</v>
      </c>
      <c r="O96" s="39">
        <f>'Data entry Seestern'!AM96</f>
        <v>0</v>
      </c>
    </row>
    <row r="97" spans="2:15" ht="14" x14ac:dyDescent="0.15">
      <c r="B97" s="42" t="s">
        <v>65</v>
      </c>
      <c r="C97" s="39">
        <f>'Data entry Seestern'!C97</f>
        <v>3699.8</v>
      </c>
      <c r="D97" s="39">
        <f>'Data entry Seestern'!F97</f>
        <v>-534.66</v>
      </c>
      <c r="E97" s="39">
        <f>'Data entry Seestern'!I97</f>
        <v>4234.46</v>
      </c>
      <c r="F97" s="39">
        <f>'Data entry Seestern'!L97</f>
        <v>0</v>
      </c>
      <c r="G97" s="39">
        <f>'Data entry Seestern'!O97</f>
        <v>0</v>
      </c>
      <c r="H97" s="39">
        <f>'Data entry Seestern'!R97</f>
        <v>0</v>
      </c>
      <c r="I97" s="39">
        <f>'Data entry Seestern'!U97</f>
        <v>0</v>
      </c>
      <c r="J97" s="39">
        <f>'Data entry Seestern'!X97</f>
        <v>0</v>
      </c>
      <c r="K97" s="39">
        <f>'Data entry Seestern'!AA97</f>
        <v>0</v>
      </c>
      <c r="L97" s="39">
        <f>'Data entry Seestern'!AD97</f>
        <v>0</v>
      </c>
      <c r="M97" s="39">
        <f>'Data entry Seestern'!AG97</f>
        <v>0</v>
      </c>
      <c r="N97" s="39">
        <f>'Data entry Seestern'!AJ97</f>
        <v>0</v>
      </c>
      <c r="O97" s="39">
        <f>'Data entry Seestern'!AM97</f>
        <v>0</v>
      </c>
    </row>
    <row r="98" spans="2:15" ht="14" x14ac:dyDescent="0.15">
      <c r="B98" s="38" t="s">
        <v>66</v>
      </c>
      <c r="C98" s="39">
        <f>'Data entry Seestern'!C98</f>
        <v>0</v>
      </c>
      <c r="D98" s="39">
        <f>'Data entry Seestern'!F98</f>
        <v>0</v>
      </c>
      <c r="E98" s="39">
        <f>'Data entry Seestern'!I98</f>
        <v>0</v>
      </c>
      <c r="F98" s="39">
        <f>'Data entry Seestern'!L98</f>
        <v>0</v>
      </c>
      <c r="G98" s="39">
        <f>'Data entry Seestern'!O98</f>
        <v>0</v>
      </c>
      <c r="H98" s="39">
        <f>'Data entry Seestern'!R98</f>
        <v>0</v>
      </c>
      <c r="I98" s="39">
        <f>'Data entry Seestern'!U98</f>
        <v>0</v>
      </c>
      <c r="J98" s="39">
        <f>'Data entry Seestern'!X98</f>
        <v>0</v>
      </c>
      <c r="K98" s="39">
        <f>'Data entry Seestern'!AA98</f>
        <v>0</v>
      </c>
      <c r="L98" s="39">
        <f>'Data entry Seestern'!AD98</f>
        <v>0</v>
      </c>
      <c r="M98" s="39">
        <f>'Data entry Seestern'!AG98</f>
        <v>0</v>
      </c>
      <c r="N98" s="39">
        <f>'Data entry Seestern'!AJ98</f>
        <v>0</v>
      </c>
      <c r="O98" s="39">
        <f>'Data entry Seestern'!AM98</f>
        <v>0</v>
      </c>
    </row>
    <row r="99" spans="2:15" ht="14" x14ac:dyDescent="0.15">
      <c r="B99" s="38" t="s">
        <v>67</v>
      </c>
      <c r="C99" s="39">
        <f>'Data entry Seestern'!C99</f>
        <v>3699.8</v>
      </c>
      <c r="D99" s="39">
        <f>'Data entry Seestern'!F99</f>
        <v>-534.66</v>
      </c>
      <c r="E99" s="39">
        <f>'Data entry Seestern'!I99</f>
        <v>4234.46</v>
      </c>
      <c r="F99" s="39">
        <f>'Data entry Seestern'!L99</f>
        <v>0</v>
      </c>
      <c r="G99" s="39">
        <f>'Data entry Seestern'!O99</f>
        <v>0</v>
      </c>
      <c r="H99" s="39">
        <f>'Data entry Seestern'!R99</f>
        <v>0</v>
      </c>
      <c r="I99" s="39">
        <f>'Data entry Seestern'!U99</f>
        <v>0</v>
      </c>
      <c r="J99" s="39">
        <f>'Data entry Seestern'!X99</f>
        <v>0</v>
      </c>
      <c r="K99" s="39">
        <f>'Data entry Seestern'!AA99</f>
        <v>0</v>
      </c>
      <c r="L99" s="39">
        <f>'Data entry Seestern'!AD99</f>
        <v>0</v>
      </c>
      <c r="M99" s="39">
        <f>'Data entry Seestern'!AG99</f>
        <v>0</v>
      </c>
      <c r="N99" s="39">
        <f>'Data entry Seestern'!AJ99</f>
        <v>0</v>
      </c>
      <c r="O99" s="39">
        <f>'Data entry Seestern'!AM99</f>
        <v>0</v>
      </c>
    </row>
    <row r="100" spans="2:15" x14ac:dyDescent="0.15">
      <c r="B100" s="40"/>
      <c r="C100" s="39">
        <f>'Data entry Seestern'!C100</f>
        <v>0</v>
      </c>
      <c r="D100" s="39">
        <f>'Data entry Seestern'!F100</f>
        <v>0</v>
      </c>
      <c r="E100" s="39">
        <f>'Data entry Seestern'!I100</f>
        <v>0</v>
      </c>
      <c r="F100" s="39">
        <f>'Data entry Seestern'!L100</f>
        <v>0</v>
      </c>
      <c r="G100" s="39">
        <f>'Data entry Seestern'!O100</f>
        <v>0</v>
      </c>
      <c r="H100" s="39">
        <f>'Data entry Seestern'!R100</f>
        <v>0</v>
      </c>
      <c r="I100" s="39">
        <f>'Data entry Seestern'!U100</f>
        <v>0</v>
      </c>
      <c r="J100" s="39">
        <f>'Data entry Seestern'!X100</f>
        <v>0</v>
      </c>
      <c r="K100" s="39">
        <f>'Data entry Seestern'!AA100</f>
        <v>0</v>
      </c>
      <c r="L100" s="39">
        <f>'Data entry Seestern'!AD100</f>
        <v>0</v>
      </c>
      <c r="M100" s="39">
        <f>'Data entry Seestern'!AG100</f>
        <v>0</v>
      </c>
      <c r="N100" s="39">
        <f>'Data entry Seestern'!AJ100</f>
        <v>0</v>
      </c>
      <c r="O100" s="39">
        <f>'Data entry Seestern'!AM100</f>
        <v>0</v>
      </c>
    </row>
    <row r="101" spans="2:15" ht="28" x14ac:dyDescent="0.15">
      <c r="B101" s="42" t="s">
        <v>68</v>
      </c>
      <c r="C101" s="39">
        <f>'Data entry Seestern'!C101</f>
        <v>-3699.8</v>
      </c>
      <c r="D101" s="39">
        <f>'Data entry Seestern'!F101</f>
        <v>534.66</v>
      </c>
      <c r="E101" s="39">
        <f>'Data entry Seestern'!I101</f>
        <v>-4234.46</v>
      </c>
      <c r="F101" s="39">
        <f>'Data entry Seestern'!L101</f>
        <v>0</v>
      </c>
      <c r="G101" s="39">
        <f>'Data entry Seestern'!O101</f>
        <v>0</v>
      </c>
      <c r="H101" s="39">
        <f>'Data entry Seestern'!R101</f>
        <v>0</v>
      </c>
      <c r="I101" s="39">
        <f>'Data entry Seestern'!U101</f>
        <v>0</v>
      </c>
      <c r="J101" s="39">
        <f>'Data entry Seestern'!X101</f>
        <v>0</v>
      </c>
      <c r="K101" s="39">
        <f>'Data entry Seestern'!AA101</f>
        <v>0</v>
      </c>
      <c r="L101" s="39">
        <f>'Data entry Seestern'!AD101</f>
        <v>0</v>
      </c>
      <c r="M101" s="39">
        <f>'Data entry Seestern'!AG101</f>
        <v>0</v>
      </c>
      <c r="N101" s="39">
        <f>'Data entry Seestern'!AJ101</f>
        <v>0</v>
      </c>
      <c r="O101" s="39">
        <f>'Data entry Seestern'!AM101</f>
        <v>0</v>
      </c>
    </row>
    <row r="102" spans="2:15" x14ac:dyDescent="0.15">
      <c r="B102" s="40"/>
      <c r="C102" s="39">
        <f>'Data entry Seestern'!C102</f>
        <v>0</v>
      </c>
      <c r="D102" s="39">
        <f>'Data entry Seestern'!F102</f>
        <v>0</v>
      </c>
      <c r="E102" s="39">
        <f>'Data entry Seestern'!I102</f>
        <v>0</v>
      </c>
      <c r="F102" s="39">
        <f>'Data entry Seestern'!L102</f>
        <v>0</v>
      </c>
      <c r="G102" s="39">
        <f>'Data entry Seestern'!O102</f>
        <v>0</v>
      </c>
      <c r="H102" s="39">
        <f>'Data entry Seestern'!R102</f>
        <v>0</v>
      </c>
      <c r="I102" s="39">
        <f>'Data entry Seestern'!U102</f>
        <v>0</v>
      </c>
      <c r="J102" s="39">
        <f>'Data entry Seestern'!X102</f>
        <v>0</v>
      </c>
      <c r="K102" s="39">
        <f>'Data entry Seestern'!AA102</f>
        <v>0</v>
      </c>
      <c r="L102" s="39">
        <f>'Data entry Seestern'!AD102</f>
        <v>0</v>
      </c>
      <c r="M102" s="39">
        <f>'Data entry Seestern'!AG102</f>
        <v>0</v>
      </c>
      <c r="N102" s="39">
        <f>'Data entry Seestern'!AJ102</f>
        <v>0</v>
      </c>
      <c r="O102" s="39">
        <f>'Data entry Seestern'!AM102</f>
        <v>0</v>
      </c>
    </row>
    <row r="103" spans="2:15" ht="14" x14ac:dyDescent="0.15">
      <c r="B103" s="42" t="s">
        <v>69</v>
      </c>
      <c r="C103" s="39">
        <f>'Data entry Seestern'!C103</f>
        <v>3618038.031</v>
      </c>
      <c r="D103" s="39">
        <f>'Data entry Seestern'!F103</f>
        <v>250708.91</v>
      </c>
      <c r="E103" s="39">
        <f>'Data entry Seestern'!I103</f>
        <v>91795.5</v>
      </c>
      <c r="F103" s="39">
        <f>'Data entry Seestern'!L103</f>
        <v>390799.5</v>
      </c>
      <c r="G103" s="39">
        <f>'Data entry Seestern'!O103</f>
        <v>82997.67</v>
      </c>
      <c r="H103" s="39">
        <f>'Data entry Seestern'!R103</f>
        <v>364755.87709999998</v>
      </c>
      <c r="I103" s="39">
        <f>'Data entry Seestern'!U103</f>
        <v>208799.6587</v>
      </c>
      <c r="J103" s="39">
        <f>'Data entry Seestern'!X103</f>
        <v>28270.582600000002</v>
      </c>
      <c r="K103" s="39">
        <f>'Data entry Seestern'!AA103</f>
        <v>168667.83069999999</v>
      </c>
      <c r="L103" s="39">
        <f>'Data entry Seestern'!AD103</f>
        <v>529259.40419999999</v>
      </c>
      <c r="M103" s="39">
        <f>'Data entry Seestern'!AG103</f>
        <v>697437.24560000002</v>
      </c>
      <c r="N103" s="39">
        <f>'Data entry Seestern'!AJ103</f>
        <v>602118.97560000001</v>
      </c>
      <c r="O103" s="39">
        <f>'Data entry Seestern'!AM103</f>
        <v>202426.87650000001</v>
      </c>
    </row>
    <row r="104" spans="2:15" x14ac:dyDescent="0.15">
      <c r="B104" s="40"/>
      <c r="C104" s="39">
        <f>'Data entry Seestern'!C104</f>
        <v>0</v>
      </c>
      <c r="D104" s="39">
        <f>'Data entry Seestern'!F104</f>
        <v>0</v>
      </c>
      <c r="E104" s="39">
        <f>'Data entry Seestern'!I104</f>
        <v>0</v>
      </c>
      <c r="F104" s="39">
        <f>'Data entry Seestern'!L104</f>
        <v>0</v>
      </c>
      <c r="G104" s="39">
        <f>'Data entry Seestern'!O104</f>
        <v>0</v>
      </c>
      <c r="H104" s="39">
        <f>'Data entry Seestern'!R104</f>
        <v>0</v>
      </c>
      <c r="I104" s="39">
        <f>'Data entry Seestern'!U104</f>
        <v>0</v>
      </c>
      <c r="J104" s="39">
        <f>'Data entry Seestern'!X104</f>
        <v>0</v>
      </c>
      <c r="K104" s="39">
        <f>'Data entry Seestern'!AA104</f>
        <v>0</v>
      </c>
      <c r="L104" s="39">
        <f>'Data entry Seestern'!AD104</f>
        <v>0</v>
      </c>
      <c r="M104" s="39">
        <f>'Data entry Seestern'!AG104</f>
        <v>0</v>
      </c>
      <c r="N104" s="39">
        <f>'Data entry Seestern'!AJ104</f>
        <v>0</v>
      </c>
      <c r="O104" s="39">
        <f>'Data entry Seestern'!AM104</f>
        <v>0</v>
      </c>
    </row>
    <row r="105" spans="2:15" ht="14" x14ac:dyDescent="0.15">
      <c r="B105" s="42" t="s">
        <v>70</v>
      </c>
      <c r="C105" s="39">
        <f>'Data entry Seestern'!C105</f>
        <v>377676.28</v>
      </c>
      <c r="D105" s="39">
        <f>'Data entry Seestern'!F105</f>
        <v>32605.33</v>
      </c>
      <c r="E105" s="39">
        <f>'Data entry Seestern'!I105</f>
        <v>7605.33</v>
      </c>
      <c r="F105" s="39">
        <f>'Data entry Seestern'!L105</f>
        <v>7605.33</v>
      </c>
      <c r="G105" s="39">
        <f>'Data entry Seestern'!O105</f>
        <v>39326.129999999997</v>
      </c>
      <c r="H105" s="39">
        <f>'Data entry Seestern'!R105</f>
        <v>36316.769999999997</v>
      </c>
      <c r="I105" s="39">
        <f>'Data entry Seestern'!U105</f>
        <v>36316.769999999997</v>
      </c>
      <c r="J105" s="39">
        <f>'Data entry Seestern'!X105</f>
        <v>36316.769999999997</v>
      </c>
      <c r="K105" s="39">
        <f>'Data entry Seestern'!AA105</f>
        <v>36316.769999999997</v>
      </c>
      <c r="L105" s="39">
        <f>'Data entry Seestern'!AD105</f>
        <v>36316.769999999997</v>
      </c>
      <c r="M105" s="39">
        <f>'Data entry Seestern'!AG105</f>
        <v>36316.769999999997</v>
      </c>
      <c r="N105" s="39">
        <f>'Data entry Seestern'!AJ105</f>
        <v>36316.769999999997</v>
      </c>
      <c r="O105" s="39">
        <f>'Data entry Seestern'!AM105</f>
        <v>36316.769999999997</v>
      </c>
    </row>
    <row r="106" spans="2:15" ht="14" x14ac:dyDescent="0.15">
      <c r="B106" s="38" t="s">
        <v>71</v>
      </c>
      <c r="C106" s="39">
        <f>'Data entry Seestern'!C106</f>
        <v>71125.08</v>
      </c>
      <c r="D106" s="39">
        <f>'Data entry Seestern'!F106</f>
        <v>2730.33</v>
      </c>
      <c r="E106" s="39">
        <f>'Data entry Seestern'!I106</f>
        <v>2730.33</v>
      </c>
      <c r="F106" s="39">
        <f>'Data entry Seestern'!L106</f>
        <v>2730.33</v>
      </c>
      <c r="G106" s="39">
        <f>'Data entry Seestern'!O106</f>
        <v>34451.129999999997</v>
      </c>
      <c r="H106" s="39">
        <f>'Data entry Seestern'!R106</f>
        <v>3560.37</v>
      </c>
      <c r="I106" s="39">
        <f>'Data entry Seestern'!U106</f>
        <v>3560.37</v>
      </c>
      <c r="J106" s="39">
        <f>'Data entry Seestern'!X106</f>
        <v>3560.37</v>
      </c>
      <c r="K106" s="39">
        <f>'Data entry Seestern'!AA106</f>
        <v>3560.37</v>
      </c>
      <c r="L106" s="39">
        <f>'Data entry Seestern'!AD106</f>
        <v>3560.37</v>
      </c>
      <c r="M106" s="39">
        <f>'Data entry Seestern'!AG106</f>
        <v>3560.37</v>
      </c>
      <c r="N106" s="39">
        <f>'Data entry Seestern'!AJ106</f>
        <v>3560.37</v>
      </c>
      <c r="O106" s="39">
        <f>'Data entry Seestern'!AM106</f>
        <v>3560.37</v>
      </c>
    </row>
    <row r="107" spans="2:15" ht="14" x14ac:dyDescent="0.15">
      <c r="B107" s="38" t="s">
        <v>72</v>
      </c>
      <c r="C107" s="39">
        <f>'Data entry Seestern'!C107</f>
        <v>0</v>
      </c>
      <c r="D107" s="39">
        <f>'Data entry Seestern'!F107</f>
        <v>0</v>
      </c>
      <c r="E107" s="39">
        <f>'Data entry Seestern'!I107</f>
        <v>0</v>
      </c>
      <c r="F107" s="39">
        <f>'Data entry Seestern'!L107</f>
        <v>0</v>
      </c>
      <c r="G107" s="39">
        <f>'Data entry Seestern'!O107</f>
        <v>0</v>
      </c>
      <c r="H107" s="39">
        <f>'Data entry Seestern'!R107</f>
        <v>0</v>
      </c>
      <c r="I107" s="39">
        <f>'Data entry Seestern'!U107</f>
        <v>0</v>
      </c>
      <c r="J107" s="39">
        <f>'Data entry Seestern'!X107</f>
        <v>0</v>
      </c>
      <c r="K107" s="39">
        <f>'Data entry Seestern'!AA107</f>
        <v>0</v>
      </c>
      <c r="L107" s="39">
        <f>'Data entry Seestern'!AD107</f>
        <v>0</v>
      </c>
      <c r="M107" s="39">
        <f>'Data entry Seestern'!AG107</f>
        <v>0</v>
      </c>
      <c r="N107" s="39">
        <f>'Data entry Seestern'!AJ107</f>
        <v>0</v>
      </c>
      <c r="O107" s="39">
        <f>'Data entry Seestern'!AM107</f>
        <v>0</v>
      </c>
    </row>
    <row r="108" spans="2:15" ht="14" x14ac:dyDescent="0.15">
      <c r="B108" s="38" t="s">
        <v>73</v>
      </c>
      <c r="C108" s="39">
        <f>'Data entry Seestern'!C108</f>
        <v>225000</v>
      </c>
      <c r="D108" s="39">
        <f>'Data entry Seestern'!F108</f>
        <v>25000</v>
      </c>
      <c r="E108" s="39">
        <f>'Data entry Seestern'!I108</f>
        <v>0</v>
      </c>
      <c r="F108" s="39">
        <f>'Data entry Seestern'!L108</f>
        <v>0</v>
      </c>
      <c r="G108" s="39">
        <f>'Data entry Seestern'!O108</f>
        <v>0</v>
      </c>
      <c r="H108" s="39">
        <f>'Data entry Seestern'!R108</f>
        <v>25000</v>
      </c>
      <c r="I108" s="39">
        <f>'Data entry Seestern'!U108</f>
        <v>25000</v>
      </c>
      <c r="J108" s="39">
        <f>'Data entry Seestern'!X108</f>
        <v>25000</v>
      </c>
      <c r="K108" s="39">
        <f>'Data entry Seestern'!AA108</f>
        <v>25000</v>
      </c>
      <c r="L108" s="39">
        <f>'Data entry Seestern'!AD108</f>
        <v>25000</v>
      </c>
      <c r="M108" s="39">
        <f>'Data entry Seestern'!AG108</f>
        <v>25000</v>
      </c>
      <c r="N108" s="39">
        <f>'Data entry Seestern'!AJ108</f>
        <v>25000</v>
      </c>
      <c r="O108" s="39">
        <f>'Data entry Seestern'!AM108</f>
        <v>25000</v>
      </c>
    </row>
    <row r="109" spans="2:15" ht="14" x14ac:dyDescent="0.15">
      <c r="B109" s="38" t="s">
        <v>74</v>
      </c>
      <c r="C109" s="39">
        <f>'Data entry Seestern'!C109</f>
        <v>23051.200000000001</v>
      </c>
      <c r="D109" s="39">
        <f>'Data entry Seestern'!F109</f>
        <v>0</v>
      </c>
      <c r="E109" s="39">
        <f>'Data entry Seestern'!I109</f>
        <v>0</v>
      </c>
      <c r="F109" s="39">
        <f>'Data entry Seestern'!L109</f>
        <v>0</v>
      </c>
      <c r="G109" s="39">
        <f>'Data entry Seestern'!O109</f>
        <v>0</v>
      </c>
      <c r="H109" s="39">
        <f>'Data entry Seestern'!R109</f>
        <v>2881.4</v>
      </c>
      <c r="I109" s="39">
        <f>'Data entry Seestern'!U109</f>
        <v>2881.4</v>
      </c>
      <c r="J109" s="39">
        <f>'Data entry Seestern'!X109</f>
        <v>2881.4</v>
      </c>
      <c r="K109" s="39">
        <f>'Data entry Seestern'!AA109</f>
        <v>2881.4</v>
      </c>
      <c r="L109" s="39">
        <f>'Data entry Seestern'!AD109</f>
        <v>2881.4</v>
      </c>
      <c r="M109" s="39">
        <f>'Data entry Seestern'!AG109</f>
        <v>2881.4</v>
      </c>
      <c r="N109" s="39">
        <f>'Data entry Seestern'!AJ109</f>
        <v>2881.4</v>
      </c>
      <c r="O109" s="39">
        <f>'Data entry Seestern'!AM109</f>
        <v>2881.4</v>
      </c>
    </row>
    <row r="110" spans="2:15" ht="14" x14ac:dyDescent="0.15">
      <c r="B110" s="38" t="s">
        <v>75</v>
      </c>
      <c r="C110" s="39">
        <f>'Data entry Seestern'!C110</f>
        <v>58500</v>
      </c>
      <c r="D110" s="39">
        <f>'Data entry Seestern'!F110</f>
        <v>4875</v>
      </c>
      <c r="E110" s="39">
        <f>'Data entry Seestern'!I110</f>
        <v>4875</v>
      </c>
      <c r="F110" s="39">
        <f>'Data entry Seestern'!L110</f>
        <v>4875</v>
      </c>
      <c r="G110" s="39">
        <f>'Data entry Seestern'!O110</f>
        <v>4875</v>
      </c>
      <c r="H110" s="39">
        <f>'Data entry Seestern'!R110</f>
        <v>4875</v>
      </c>
      <c r="I110" s="39">
        <f>'Data entry Seestern'!U110</f>
        <v>4875</v>
      </c>
      <c r="J110" s="39">
        <f>'Data entry Seestern'!X110</f>
        <v>4875</v>
      </c>
      <c r="K110" s="39">
        <f>'Data entry Seestern'!AA110</f>
        <v>4875</v>
      </c>
      <c r="L110" s="39">
        <f>'Data entry Seestern'!AD110</f>
        <v>4875</v>
      </c>
      <c r="M110" s="39">
        <f>'Data entry Seestern'!AG110</f>
        <v>4875</v>
      </c>
      <c r="N110" s="39">
        <f>'Data entry Seestern'!AJ110</f>
        <v>4875</v>
      </c>
      <c r="O110" s="39">
        <f>'Data entry Seestern'!AM110</f>
        <v>4875</v>
      </c>
    </row>
    <row r="111" spans="2:15" ht="14" x14ac:dyDescent="0.15">
      <c r="B111" s="38" t="s">
        <v>76</v>
      </c>
      <c r="C111" s="39">
        <f>'Data entry Seestern'!C111</f>
        <v>0</v>
      </c>
      <c r="D111" s="39">
        <f>'Data entry Seestern'!F111</f>
        <v>0</v>
      </c>
      <c r="E111" s="39">
        <f>'Data entry Seestern'!I111</f>
        <v>0</v>
      </c>
      <c r="F111" s="39">
        <f>'Data entry Seestern'!L111</f>
        <v>0</v>
      </c>
      <c r="G111" s="39">
        <f>'Data entry Seestern'!O111</f>
        <v>0</v>
      </c>
      <c r="H111" s="39">
        <f>'Data entry Seestern'!R111</f>
        <v>0</v>
      </c>
      <c r="I111" s="39">
        <f>'Data entry Seestern'!U111</f>
        <v>0</v>
      </c>
      <c r="J111" s="39">
        <f>'Data entry Seestern'!X111</f>
        <v>0</v>
      </c>
      <c r="K111" s="39">
        <f>'Data entry Seestern'!AA111</f>
        <v>0</v>
      </c>
      <c r="L111" s="39">
        <f>'Data entry Seestern'!AD111</f>
        <v>0</v>
      </c>
      <c r="M111" s="39">
        <f>'Data entry Seestern'!AG111</f>
        <v>0</v>
      </c>
      <c r="N111" s="39">
        <f>'Data entry Seestern'!AJ111</f>
        <v>0</v>
      </c>
      <c r="O111" s="39">
        <f>'Data entry Seestern'!AM111</f>
        <v>0</v>
      </c>
    </row>
    <row r="112" spans="2:15" ht="14" x14ac:dyDescent="0.15">
      <c r="B112" s="38" t="s">
        <v>77</v>
      </c>
      <c r="C112" s="39">
        <f>'Data entry Seestern'!C112</f>
        <v>0</v>
      </c>
      <c r="D112" s="39">
        <f>'Data entry Seestern'!F112</f>
        <v>0</v>
      </c>
      <c r="E112" s="39">
        <f>'Data entry Seestern'!I112</f>
        <v>0</v>
      </c>
      <c r="F112" s="39">
        <f>'Data entry Seestern'!L112</f>
        <v>0</v>
      </c>
      <c r="G112" s="39">
        <f>'Data entry Seestern'!O112</f>
        <v>0</v>
      </c>
      <c r="H112" s="39">
        <f>'Data entry Seestern'!R112</f>
        <v>0</v>
      </c>
      <c r="I112" s="39">
        <f>'Data entry Seestern'!U112</f>
        <v>0</v>
      </c>
      <c r="J112" s="39">
        <f>'Data entry Seestern'!X112</f>
        <v>0</v>
      </c>
      <c r="K112" s="39">
        <f>'Data entry Seestern'!AA112</f>
        <v>0</v>
      </c>
      <c r="L112" s="39">
        <f>'Data entry Seestern'!AD112</f>
        <v>0</v>
      </c>
      <c r="M112" s="39">
        <f>'Data entry Seestern'!AG112</f>
        <v>0</v>
      </c>
      <c r="N112" s="39">
        <f>'Data entry Seestern'!AJ112</f>
        <v>0</v>
      </c>
      <c r="O112" s="39">
        <f>'Data entry Seestern'!AM112</f>
        <v>0</v>
      </c>
    </row>
    <row r="113" spans="2:15" ht="14" x14ac:dyDescent="0.15">
      <c r="B113" s="38" t="s">
        <v>78</v>
      </c>
      <c r="C113" s="39">
        <f>'Data entry Seestern'!C113</f>
        <v>0</v>
      </c>
      <c r="D113" s="39">
        <f>'Data entry Seestern'!F113</f>
        <v>0</v>
      </c>
      <c r="E113" s="39">
        <f>'Data entry Seestern'!I113</f>
        <v>0</v>
      </c>
      <c r="F113" s="39">
        <f>'Data entry Seestern'!L113</f>
        <v>0</v>
      </c>
      <c r="G113" s="39">
        <f>'Data entry Seestern'!O113</f>
        <v>0</v>
      </c>
      <c r="H113" s="39">
        <f>'Data entry Seestern'!R113</f>
        <v>0</v>
      </c>
      <c r="I113" s="39">
        <f>'Data entry Seestern'!U113</f>
        <v>0</v>
      </c>
      <c r="J113" s="39">
        <f>'Data entry Seestern'!X113</f>
        <v>0</v>
      </c>
      <c r="K113" s="39">
        <f>'Data entry Seestern'!AA113</f>
        <v>0</v>
      </c>
      <c r="L113" s="39">
        <f>'Data entry Seestern'!AD113</f>
        <v>0</v>
      </c>
      <c r="M113" s="39">
        <f>'Data entry Seestern'!AG113</f>
        <v>0</v>
      </c>
      <c r="N113" s="39">
        <f>'Data entry Seestern'!AJ113</f>
        <v>0</v>
      </c>
      <c r="O113" s="39">
        <f>'Data entry Seestern'!AM113</f>
        <v>0</v>
      </c>
    </row>
    <row r="114" spans="2:15" ht="14" x14ac:dyDescent="0.15">
      <c r="B114" s="38" t="s">
        <v>79</v>
      </c>
      <c r="C114" s="39">
        <f>'Data entry Seestern'!C114</f>
        <v>0</v>
      </c>
      <c r="D114" s="39">
        <f>'Data entry Seestern'!F114</f>
        <v>0</v>
      </c>
      <c r="E114" s="39">
        <f>'Data entry Seestern'!I114</f>
        <v>0</v>
      </c>
      <c r="F114" s="39">
        <f>'Data entry Seestern'!L114</f>
        <v>0</v>
      </c>
      <c r="G114" s="39">
        <f>'Data entry Seestern'!O114</f>
        <v>0</v>
      </c>
      <c r="H114" s="39">
        <f>'Data entry Seestern'!R114</f>
        <v>0</v>
      </c>
      <c r="I114" s="39">
        <f>'Data entry Seestern'!U114</f>
        <v>0</v>
      </c>
      <c r="J114" s="39">
        <f>'Data entry Seestern'!X114</f>
        <v>0</v>
      </c>
      <c r="K114" s="39">
        <f>'Data entry Seestern'!AA114</f>
        <v>0</v>
      </c>
      <c r="L114" s="39">
        <f>'Data entry Seestern'!AD114</f>
        <v>0</v>
      </c>
      <c r="M114" s="39">
        <f>'Data entry Seestern'!AG114</f>
        <v>0</v>
      </c>
      <c r="N114" s="39">
        <f>'Data entry Seestern'!AJ114</f>
        <v>0</v>
      </c>
      <c r="O114" s="39">
        <f>'Data entry Seestern'!AM114</f>
        <v>0</v>
      </c>
    </row>
    <row r="115" spans="2:15" ht="14" x14ac:dyDescent="0.15">
      <c r="B115" s="38" t="s">
        <v>80</v>
      </c>
      <c r="C115" s="39">
        <f>'Data entry Seestern'!C115</f>
        <v>0</v>
      </c>
      <c r="D115" s="39">
        <f>'Data entry Seestern'!F115</f>
        <v>0</v>
      </c>
      <c r="E115" s="39">
        <f>'Data entry Seestern'!I115</f>
        <v>0</v>
      </c>
      <c r="F115" s="39">
        <f>'Data entry Seestern'!L115</f>
        <v>0</v>
      </c>
      <c r="G115" s="39">
        <f>'Data entry Seestern'!O115</f>
        <v>0</v>
      </c>
      <c r="H115" s="39">
        <f>'Data entry Seestern'!R115</f>
        <v>0</v>
      </c>
      <c r="I115" s="39">
        <f>'Data entry Seestern'!U115</f>
        <v>0</v>
      </c>
      <c r="J115" s="39">
        <f>'Data entry Seestern'!X115</f>
        <v>0</v>
      </c>
      <c r="K115" s="39">
        <f>'Data entry Seestern'!AA115</f>
        <v>0</v>
      </c>
      <c r="L115" s="39">
        <f>'Data entry Seestern'!AD115</f>
        <v>0</v>
      </c>
      <c r="M115" s="39">
        <f>'Data entry Seestern'!AG115</f>
        <v>0</v>
      </c>
      <c r="N115" s="39">
        <f>'Data entry Seestern'!AJ115</f>
        <v>0</v>
      </c>
      <c r="O115" s="39">
        <f>'Data entry Seestern'!AM115</f>
        <v>0</v>
      </c>
    </row>
    <row r="116" spans="2:15" x14ac:dyDescent="0.15">
      <c r="B116" s="40"/>
      <c r="C116" s="39">
        <f>'Data entry Seestern'!C116</f>
        <v>0</v>
      </c>
      <c r="D116" s="39">
        <f>'Data entry Seestern'!F116</f>
        <v>0</v>
      </c>
      <c r="E116" s="39">
        <f>'Data entry Seestern'!I116</f>
        <v>0</v>
      </c>
      <c r="F116" s="39">
        <f>'Data entry Seestern'!L116</f>
        <v>0</v>
      </c>
      <c r="G116" s="39">
        <f>'Data entry Seestern'!O116</f>
        <v>0</v>
      </c>
      <c r="H116" s="39">
        <f>'Data entry Seestern'!R116</f>
        <v>0</v>
      </c>
      <c r="I116" s="39">
        <f>'Data entry Seestern'!U116</f>
        <v>0</v>
      </c>
      <c r="J116" s="39">
        <f>'Data entry Seestern'!X116</f>
        <v>0</v>
      </c>
      <c r="K116" s="39">
        <f>'Data entry Seestern'!AA116</f>
        <v>0</v>
      </c>
      <c r="L116" s="39">
        <f>'Data entry Seestern'!AD116</f>
        <v>0</v>
      </c>
      <c r="M116" s="39">
        <f>'Data entry Seestern'!AG116</f>
        <v>0</v>
      </c>
      <c r="N116" s="39">
        <f>'Data entry Seestern'!AJ116</f>
        <v>0</v>
      </c>
      <c r="O116" s="39">
        <f>'Data entry Seestern'!AM116</f>
        <v>0</v>
      </c>
    </row>
    <row r="117" spans="2:15" ht="14" x14ac:dyDescent="0.15">
      <c r="B117" s="42" t="s">
        <v>81</v>
      </c>
      <c r="C117" s="39">
        <f>'Data entry Seestern'!C117</f>
        <v>0</v>
      </c>
      <c r="D117" s="39">
        <f>'Data entry Seestern'!F117</f>
        <v>0</v>
      </c>
      <c r="E117" s="39">
        <f>'Data entry Seestern'!I117</f>
        <v>0</v>
      </c>
      <c r="F117" s="39">
        <f>'Data entry Seestern'!L117</f>
        <v>0</v>
      </c>
      <c r="G117" s="39">
        <f>'Data entry Seestern'!O117</f>
        <v>0</v>
      </c>
      <c r="H117" s="39">
        <f>'Data entry Seestern'!R117</f>
        <v>0</v>
      </c>
      <c r="I117" s="39">
        <f>'Data entry Seestern'!U117</f>
        <v>0</v>
      </c>
      <c r="J117" s="39">
        <f>'Data entry Seestern'!X117</f>
        <v>0</v>
      </c>
      <c r="K117" s="39">
        <f>'Data entry Seestern'!AA117</f>
        <v>0</v>
      </c>
      <c r="L117" s="39">
        <f>'Data entry Seestern'!AD117</f>
        <v>0</v>
      </c>
      <c r="M117" s="39">
        <f>'Data entry Seestern'!AG117</f>
        <v>0</v>
      </c>
      <c r="N117" s="39">
        <f>'Data entry Seestern'!AJ117</f>
        <v>0</v>
      </c>
      <c r="O117" s="39">
        <f>'Data entry Seestern'!AM117</f>
        <v>0</v>
      </c>
    </row>
    <row r="118" spans="2:15" ht="14" x14ac:dyDescent="0.15">
      <c r="B118" s="38" t="s">
        <v>82</v>
      </c>
      <c r="C118" s="39">
        <f>'Data entry Seestern'!C118</f>
        <v>0</v>
      </c>
      <c r="D118" s="39">
        <f>'Data entry Seestern'!F118</f>
        <v>0</v>
      </c>
      <c r="E118" s="39">
        <f>'Data entry Seestern'!I118</f>
        <v>0</v>
      </c>
      <c r="F118" s="39">
        <f>'Data entry Seestern'!L118</f>
        <v>0</v>
      </c>
      <c r="G118" s="39">
        <f>'Data entry Seestern'!O118</f>
        <v>0</v>
      </c>
      <c r="H118" s="39">
        <f>'Data entry Seestern'!R118</f>
        <v>0</v>
      </c>
      <c r="I118" s="39">
        <f>'Data entry Seestern'!U118</f>
        <v>0</v>
      </c>
      <c r="J118" s="39">
        <f>'Data entry Seestern'!X118</f>
        <v>0</v>
      </c>
      <c r="K118" s="39">
        <f>'Data entry Seestern'!AA118</f>
        <v>0</v>
      </c>
      <c r="L118" s="39">
        <f>'Data entry Seestern'!AD118</f>
        <v>0</v>
      </c>
      <c r="M118" s="39">
        <f>'Data entry Seestern'!AG118</f>
        <v>0</v>
      </c>
      <c r="N118" s="39">
        <f>'Data entry Seestern'!AJ118</f>
        <v>0</v>
      </c>
      <c r="O118" s="39">
        <f>'Data entry Seestern'!AM118</f>
        <v>0</v>
      </c>
    </row>
    <row r="119" spans="2:15" ht="14" x14ac:dyDescent="0.15">
      <c r="B119" s="38" t="s">
        <v>83</v>
      </c>
      <c r="C119" s="39">
        <f>'Data entry Seestern'!C119</f>
        <v>0</v>
      </c>
      <c r="D119" s="39">
        <f>'Data entry Seestern'!F119</f>
        <v>0</v>
      </c>
      <c r="E119" s="39">
        <f>'Data entry Seestern'!I119</f>
        <v>0</v>
      </c>
      <c r="F119" s="39">
        <f>'Data entry Seestern'!L119</f>
        <v>0</v>
      </c>
      <c r="G119" s="39">
        <f>'Data entry Seestern'!O119</f>
        <v>0</v>
      </c>
      <c r="H119" s="39">
        <f>'Data entry Seestern'!R119</f>
        <v>0</v>
      </c>
      <c r="I119" s="39">
        <f>'Data entry Seestern'!U119</f>
        <v>0</v>
      </c>
      <c r="J119" s="39">
        <f>'Data entry Seestern'!X119</f>
        <v>0</v>
      </c>
      <c r="K119" s="39">
        <f>'Data entry Seestern'!AA119</f>
        <v>0</v>
      </c>
      <c r="L119" s="39">
        <f>'Data entry Seestern'!AD119</f>
        <v>0</v>
      </c>
      <c r="M119" s="39">
        <f>'Data entry Seestern'!AG119</f>
        <v>0</v>
      </c>
      <c r="N119" s="39">
        <f>'Data entry Seestern'!AJ119</f>
        <v>0</v>
      </c>
      <c r="O119" s="39">
        <f>'Data entry Seestern'!AM119</f>
        <v>0</v>
      </c>
    </row>
    <row r="120" spans="2:15" x14ac:dyDescent="0.15">
      <c r="B120" s="40"/>
      <c r="C120" s="39">
        <f>'Data entry Seestern'!C120</f>
        <v>0</v>
      </c>
      <c r="D120" s="39">
        <f>'Data entry Seestern'!F120</f>
        <v>0</v>
      </c>
      <c r="E120" s="39">
        <f>'Data entry Seestern'!I120</f>
        <v>0</v>
      </c>
      <c r="F120" s="39">
        <f>'Data entry Seestern'!L120</f>
        <v>0</v>
      </c>
      <c r="G120" s="39">
        <f>'Data entry Seestern'!O120</f>
        <v>0</v>
      </c>
      <c r="H120" s="39">
        <f>'Data entry Seestern'!R120</f>
        <v>0</v>
      </c>
      <c r="I120" s="39">
        <f>'Data entry Seestern'!U120</f>
        <v>0</v>
      </c>
      <c r="J120" s="39">
        <f>'Data entry Seestern'!X120</f>
        <v>0</v>
      </c>
      <c r="K120" s="39">
        <f>'Data entry Seestern'!AA120</f>
        <v>0</v>
      </c>
      <c r="L120" s="39">
        <f>'Data entry Seestern'!AD120</f>
        <v>0</v>
      </c>
      <c r="M120" s="39">
        <f>'Data entry Seestern'!AG120</f>
        <v>0</v>
      </c>
      <c r="N120" s="39">
        <f>'Data entry Seestern'!AJ120</f>
        <v>0</v>
      </c>
      <c r="O120" s="39">
        <f>'Data entry Seestern'!AM120</f>
        <v>0</v>
      </c>
    </row>
    <row r="121" spans="2:15" ht="14" x14ac:dyDescent="0.15">
      <c r="B121" s="42" t="s">
        <v>84</v>
      </c>
      <c r="C121" s="39">
        <f>'Data entry Seestern'!C121</f>
        <v>3240361.7510000002</v>
      </c>
      <c r="D121" s="39">
        <f>'Data entry Seestern'!F121</f>
        <v>218103.58</v>
      </c>
      <c r="E121" s="39">
        <f>'Data entry Seestern'!I121</f>
        <v>84190.17</v>
      </c>
      <c r="F121" s="39">
        <f>'Data entry Seestern'!L121</f>
        <v>383194.17</v>
      </c>
      <c r="G121" s="39">
        <f>'Data entry Seestern'!O121</f>
        <v>43671.54</v>
      </c>
      <c r="H121" s="39">
        <f>'Data entry Seestern'!R121</f>
        <v>328439.10710000002</v>
      </c>
      <c r="I121" s="39">
        <f>'Data entry Seestern'!U121</f>
        <v>172482.88870000001</v>
      </c>
      <c r="J121" s="39">
        <f>'Data entry Seestern'!X121</f>
        <v>-8046.1873999999998</v>
      </c>
      <c r="K121" s="39">
        <f>'Data entry Seestern'!AA121</f>
        <v>132351.0607</v>
      </c>
      <c r="L121" s="39">
        <f>'Data entry Seestern'!AD121</f>
        <v>492942.63419999997</v>
      </c>
      <c r="M121" s="39">
        <f>'Data entry Seestern'!AG121</f>
        <v>661120.47560000001</v>
      </c>
      <c r="N121" s="39">
        <f>'Data entry Seestern'!AJ121</f>
        <v>565802.20559999999</v>
      </c>
      <c r="O121" s="39">
        <f>'Data entry Seestern'!AM121</f>
        <v>166110.10649999999</v>
      </c>
    </row>
    <row r="122" spans="2:15" ht="14" x14ac:dyDescent="0.15">
      <c r="B122" s="38" t="s">
        <v>85</v>
      </c>
      <c r="C122" s="39">
        <f>'Data entry Seestern'!C122</f>
        <v>0</v>
      </c>
      <c r="D122" s="39">
        <f>'Data entry Seestern'!F122</f>
        <v>0</v>
      </c>
      <c r="E122" s="39">
        <f>'Data entry Seestern'!I122</f>
        <v>0</v>
      </c>
      <c r="F122" s="39">
        <f>'Data entry Seestern'!L122</f>
        <v>0</v>
      </c>
      <c r="G122" s="39">
        <f>'Data entry Seestern'!O122</f>
        <v>0</v>
      </c>
      <c r="H122" s="39">
        <f>'Data entry Seestern'!R122</f>
        <v>0</v>
      </c>
      <c r="I122" s="39">
        <f>'Data entry Seestern'!U122</f>
        <v>0</v>
      </c>
      <c r="J122" s="39">
        <f>'Data entry Seestern'!X122</f>
        <v>0</v>
      </c>
      <c r="K122" s="39">
        <f>'Data entry Seestern'!AA122</f>
        <v>0</v>
      </c>
      <c r="L122" s="39">
        <f>'Data entry Seestern'!AD122</f>
        <v>0</v>
      </c>
      <c r="M122" s="39">
        <f>'Data entry Seestern'!AG122</f>
        <v>0</v>
      </c>
      <c r="N122" s="39">
        <f>'Data entry Seestern'!AJ122</f>
        <v>0</v>
      </c>
      <c r="O122" s="39">
        <f>'Data entry Seestern'!AM122</f>
        <v>0</v>
      </c>
    </row>
    <row r="123" spans="2:15" x14ac:dyDescent="0.15">
      <c r="B123" s="40"/>
      <c r="C123" s="39">
        <f>'Data entry Seestern'!C123</f>
        <v>0</v>
      </c>
      <c r="D123" s="39">
        <f>'Data entry Seestern'!F123</f>
        <v>0</v>
      </c>
      <c r="E123" s="39">
        <f>'Data entry Seestern'!I123</f>
        <v>0</v>
      </c>
      <c r="F123" s="39">
        <f>'Data entry Seestern'!L123</f>
        <v>0</v>
      </c>
      <c r="G123" s="39">
        <f>'Data entry Seestern'!O123</f>
        <v>0</v>
      </c>
      <c r="H123" s="39">
        <f>'Data entry Seestern'!R123</f>
        <v>0</v>
      </c>
      <c r="I123" s="39">
        <f>'Data entry Seestern'!U123</f>
        <v>0</v>
      </c>
      <c r="J123" s="39">
        <f>'Data entry Seestern'!X123</f>
        <v>0</v>
      </c>
      <c r="K123" s="39">
        <f>'Data entry Seestern'!AA123</f>
        <v>0</v>
      </c>
      <c r="L123" s="39">
        <f>'Data entry Seestern'!AD123</f>
        <v>0</v>
      </c>
      <c r="M123" s="39">
        <f>'Data entry Seestern'!AG123</f>
        <v>0</v>
      </c>
      <c r="N123" s="39">
        <f>'Data entry Seestern'!AJ123</f>
        <v>0</v>
      </c>
      <c r="O123" s="39">
        <f>'Data entry Seestern'!AM123</f>
        <v>0</v>
      </c>
    </row>
    <row r="124" spans="2:15" ht="14" x14ac:dyDescent="0.15">
      <c r="B124" s="42" t="s">
        <v>86</v>
      </c>
      <c r="C124" s="39">
        <f>'Data entry Seestern'!C124</f>
        <v>3240361.7510000002</v>
      </c>
      <c r="D124" s="39">
        <f>'Data entry Seestern'!F124</f>
        <v>218103.58</v>
      </c>
      <c r="E124" s="39">
        <f>'Data entry Seestern'!I124</f>
        <v>84190.17</v>
      </c>
      <c r="F124" s="39">
        <f>'Data entry Seestern'!L124</f>
        <v>383194.17</v>
      </c>
      <c r="G124" s="39">
        <f>'Data entry Seestern'!O124</f>
        <v>43671.54</v>
      </c>
      <c r="H124" s="39">
        <f>'Data entry Seestern'!R124</f>
        <v>328439.10710000002</v>
      </c>
      <c r="I124" s="39">
        <f>'Data entry Seestern'!U124</f>
        <v>172482.88870000001</v>
      </c>
      <c r="J124" s="39">
        <f>'Data entry Seestern'!X124</f>
        <v>-8046.1873999999998</v>
      </c>
      <c r="K124" s="39">
        <f>'Data entry Seestern'!AA124</f>
        <v>132351.0607</v>
      </c>
      <c r="L124" s="39">
        <f>'Data entry Seestern'!AD124</f>
        <v>492942.63419999997</v>
      </c>
      <c r="M124" s="39">
        <f>'Data entry Seestern'!AG124</f>
        <v>661120.47560000001</v>
      </c>
      <c r="N124" s="39">
        <f>'Data entry Seestern'!AJ124</f>
        <v>565802.20559999999</v>
      </c>
      <c r="O124" s="39">
        <f>'Data entry Seestern'!AM124</f>
        <v>166110.10649999999</v>
      </c>
    </row>
    <row r="125" spans="2:15" ht="14" x14ac:dyDescent="0.15">
      <c r="B125" s="38" t="s">
        <v>87</v>
      </c>
      <c r="C125" s="39">
        <f>'Data entry Seestern'!C125</f>
        <v>0</v>
      </c>
      <c r="D125" s="39">
        <f>'Data entry Seestern'!F125</f>
        <v>0</v>
      </c>
      <c r="E125" s="39">
        <f>'Data entry Seestern'!I125</f>
        <v>0</v>
      </c>
      <c r="F125" s="39">
        <f>'Data entry Seestern'!L125</f>
        <v>0</v>
      </c>
      <c r="G125" s="39">
        <f>'Data entry Seestern'!O125</f>
        <v>0</v>
      </c>
      <c r="H125" s="39">
        <f>'Data entry Seestern'!R125</f>
        <v>0</v>
      </c>
      <c r="I125" s="39">
        <f>'Data entry Seestern'!U125</f>
        <v>0</v>
      </c>
      <c r="J125" s="39">
        <f>'Data entry Seestern'!X125</f>
        <v>0</v>
      </c>
      <c r="K125" s="39">
        <f>'Data entry Seestern'!AA125</f>
        <v>0</v>
      </c>
      <c r="L125" s="39">
        <f>'Data entry Seestern'!AD125</f>
        <v>0</v>
      </c>
      <c r="M125" s="39">
        <f>'Data entry Seestern'!AG125</f>
        <v>0</v>
      </c>
      <c r="N125" s="39">
        <f>'Data entry Seestern'!AJ125</f>
        <v>0</v>
      </c>
      <c r="O125" s="39">
        <f>'Data entry Seestern'!AM125</f>
        <v>0</v>
      </c>
    </row>
    <row r="126" spans="2:15" x14ac:dyDescent="0.15">
      <c r="B126" s="40"/>
      <c r="C126" s="39">
        <f>'Data entry Seestern'!C126</f>
        <v>0</v>
      </c>
      <c r="D126" s="39">
        <f>'Data entry Seestern'!F126</f>
        <v>0</v>
      </c>
      <c r="E126" s="39">
        <f>'Data entry Seestern'!I126</f>
        <v>0</v>
      </c>
      <c r="F126" s="39">
        <f>'Data entry Seestern'!L126</f>
        <v>0</v>
      </c>
      <c r="G126" s="39">
        <f>'Data entry Seestern'!O126</f>
        <v>0</v>
      </c>
      <c r="H126" s="39">
        <f>'Data entry Seestern'!R126</f>
        <v>0</v>
      </c>
      <c r="I126" s="39">
        <f>'Data entry Seestern'!U126</f>
        <v>0</v>
      </c>
      <c r="J126" s="39">
        <f>'Data entry Seestern'!X126</f>
        <v>0</v>
      </c>
      <c r="K126" s="39">
        <f>'Data entry Seestern'!AA126</f>
        <v>0</v>
      </c>
      <c r="L126" s="39">
        <f>'Data entry Seestern'!AD126</f>
        <v>0</v>
      </c>
      <c r="M126" s="39">
        <f>'Data entry Seestern'!AG126</f>
        <v>0</v>
      </c>
      <c r="N126" s="39">
        <f>'Data entry Seestern'!AJ126</f>
        <v>0</v>
      </c>
      <c r="O126" s="39">
        <f>'Data entry Seestern'!AM126</f>
        <v>0</v>
      </c>
    </row>
    <row r="127" spans="2:15" ht="14" x14ac:dyDescent="0.15">
      <c r="B127" s="42" t="s">
        <v>88</v>
      </c>
      <c r="C127" s="39">
        <f>'Data entry Seestern'!C127</f>
        <v>3240361.7510000002</v>
      </c>
      <c r="D127" s="39">
        <f>'Data entry Seestern'!F127</f>
        <v>218103.58</v>
      </c>
      <c r="E127" s="39">
        <f>'Data entry Seestern'!I127</f>
        <v>84190.17</v>
      </c>
      <c r="F127" s="39">
        <f>'Data entry Seestern'!L127</f>
        <v>383194.17</v>
      </c>
      <c r="G127" s="39">
        <f>'Data entry Seestern'!O127</f>
        <v>43671.54</v>
      </c>
      <c r="H127" s="39">
        <f>'Data entry Seestern'!R127</f>
        <v>328439.10710000002</v>
      </c>
      <c r="I127" s="39">
        <f>'Data entry Seestern'!U127</f>
        <v>172482.88870000001</v>
      </c>
      <c r="J127" s="39">
        <f>'Data entry Seestern'!X127</f>
        <v>-8046.1873999999998</v>
      </c>
      <c r="K127" s="39">
        <f>'Data entry Seestern'!AA127</f>
        <v>132351.0607</v>
      </c>
      <c r="L127" s="39">
        <f>'Data entry Seestern'!AD127</f>
        <v>492942.63419999997</v>
      </c>
      <c r="M127" s="39">
        <f>'Data entry Seestern'!AG127</f>
        <v>661120.47560000001</v>
      </c>
      <c r="N127" s="39">
        <f>'Data entry Seestern'!AJ127</f>
        <v>565802.20559999999</v>
      </c>
      <c r="O127" s="39">
        <f>'Data entry Seestern'!AM127</f>
        <v>166110.10649999999</v>
      </c>
    </row>
    <row r="128" spans="2:15" x14ac:dyDescent="0.15">
      <c r="B128" s="40"/>
      <c r="C128" s="39">
        <f>'Data entry Seestern'!C128</f>
        <v>0</v>
      </c>
      <c r="D128" s="39">
        <f>'Data entry Seestern'!F128</f>
        <v>0</v>
      </c>
      <c r="E128" s="39">
        <f>'Data entry Seestern'!I128</f>
        <v>0</v>
      </c>
      <c r="F128" s="39">
        <f>'Data entry Seestern'!L128</f>
        <v>0</v>
      </c>
      <c r="G128" s="39">
        <f>'Data entry Seestern'!O128</f>
        <v>0</v>
      </c>
      <c r="H128" s="39">
        <f>'Data entry Seestern'!R128</f>
        <v>0</v>
      </c>
      <c r="I128" s="39">
        <f>'Data entry Seestern'!U128</f>
        <v>0</v>
      </c>
      <c r="J128" s="39">
        <f>'Data entry Seestern'!X128</f>
        <v>0</v>
      </c>
      <c r="K128" s="39">
        <f>'Data entry Seestern'!AA128</f>
        <v>0</v>
      </c>
      <c r="L128" s="39">
        <f>'Data entry Seestern'!AD128</f>
        <v>0</v>
      </c>
      <c r="M128" s="39">
        <f>'Data entry Seestern'!AG128</f>
        <v>0</v>
      </c>
      <c r="N128" s="39">
        <f>'Data entry Seestern'!AJ128</f>
        <v>0</v>
      </c>
      <c r="O128" s="39">
        <f>'Data entry Seestern'!AM128</f>
        <v>0</v>
      </c>
    </row>
    <row r="129" spans="2:15" ht="14" x14ac:dyDescent="0.15">
      <c r="B129" s="42" t="s">
        <v>89</v>
      </c>
      <c r="C129" s="39">
        <f>'Data entry Seestern'!C129</f>
        <v>379206.15100000001</v>
      </c>
      <c r="D129" s="39">
        <f>'Data entry Seestern'!F129</f>
        <v>30112.37</v>
      </c>
      <c r="E129" s="39">
        <f>'Data entry Seestern'!I129</f>
        <v>23942.05</v>
      </c>
      <c r="F129" s="39">
        <f>'Data entry Seestern'!L129</f>
        <v>34461.1</v>
      </c>
      <c r="G129" s="39">
        <f>'Data entry Seestern'!O129</f>
        <v>22414.09</v>
      </c>
      <c r="H129" s="39">
        <f>'Data entry Seestern'!R129</f>
        <v>32663.9486</v>
      </c>
      <c r="I129" s="39">
        <f>'Data entry Seestern'!U129</f>
        <v>27727.104800000001</v>
      </c>
      <c r="J129" s="39">
        <f>'Data entry Seestern'!X129</f>
        <v>18495.599600000001</v>
      </c>
      <c r="K129" s="39">
        <f>'Data entry Seestern'!AA129</f>
        <v>25236.6541</v>
      </c>
      <c r="L129" s="39">
        <f>'Data entry Seestern'!AD129</f>
        <v>42844.676599999999</v>
      </c>
      <c r="M129" s="39">
        <f>'Data entry Seestern'!AG129</f>
        <v>47814.075700000001</v>
      </c>
      <c r="N129" s="39">
        <f>'Data entry Seestern'!AJ129</f>
        <v>45372.424299999999</v>
      </c>
      <c r="O129" s="39">
        <f>'Data entry Seestern'!AM129</f>
        <v>28122.0573</v>
      </c>
    </row>
    <row r="130" spans="2:15" ht="14" x14ac:dyDescent="0.15">
      <c r="B130" s="38" t="s">
        <v>90</v>
      </c>
      <c r="C130" s="39">
        <f>'Data entry Seestern'!C130</f>
        <v>379206.15100000001</v>
      </c>
      <c r="D130" s="39">
        <f>'Data entry Seestern'!F130</f>
        <v>30112.37</v>
      </c>
      <c r="E130" s="39">
        <f>'Data entry Seestern'!I130</f>
        <v>23942.05</v>
      </c>
      <c r="F130" s="39">
        <f>'Data entry Seestern'!L130</f>
        <v>34461.1</v>
      </c>
      <c r="G130" s="39">
        <f>'Data entry Seestern'!O130</f>
        <v>22414.09</v>
      </c>
      <c r="H130" s="39">
        <f>'Data entry Seestern'!R130</f>
        <v>32663.9486</v>
      </c>
      <c r="I130" s="39">
        <f>'Data entry Seestern'!U130</f>
        <v>27727.104800000001</v>
      </c>
      <c r="J130" s="39">
        <f>'Data entry Seestern'!X130</f>
        <v>18495.599600000001</v>
      </c>
      <c r="K130" s="39">
        <f>'Data entry Seestern'!AA130</f>
        <v>25236.6541</v>
      </c>
      <c r="L130" s="39">
        <f>'Data entry Seestern'!AD130</f>
        <v>42844.676599999999</v>
      </c>
      <c r="M130" s="39">
        <f>'Data entry Seestern'!AG130</f>
        <v>47814.075700000001</v>
      </c>
      <c r="N130" s="39">
        <f>'Data entry Seestern'!AJ130</f>
        <v>45372.424299999999</v>
      </c>
      <c r="O130" s="39">
        <f>'Data entry Seestern'!AM130</f>
        <v>28122.0573</v>
      </c>
    </row>
    <row r="131" spans="2:15" ht="14" x14ac:dyDescent="0.15">
      <c r="B131" s="38" t="s">
        <v>91</v>
      </c>
      <c r="C131" s="39">
        <f>'Data entry Seestern'!C131</f>
        <v>0</v>
      </c>
      <c r="D131" s="39">
        <f>'Data entry Seestern'!F131</f>
        <v>0</v>
      </c>
      <c r="E131" s="39">
        <f>'Data entry Seestern'!I131</f>
        <v>0</v>
      </c>
      <c r="F131" s="39">
        <f>'Data entry Seestern'!L131</f>
        <v>0</v>
      </c>
      <c r="G131" s="39">
        <f>'Data entry Seestern'!O131</f>
        <v>0</v>
      </c>
      <c r="H131" s="39">
        <f>'Data entry Seestern'!R131</f>
        <v>0</v>
      </c>
      <c r="I131" s="39">
        <f>'Data entry Seestern'!U131</f>
        <v>0</v>
      </c>
      <c r="J131" s="39">
        <f>'Data entry Seestern'!X131</f>
        <v>0</v>
      </c>
      <c r="K131" s="39">
        <f>'Data entry Seestern'!AA131</f>
        <v>0</v>
      </c>
      <c r="L131" s="39">
        <f>'Data entry Seestern'!AD131</f>
        <v>0</v>
      </c>
      <c r="M131" s="39">
        <f>'Data entry Seestern'!AG131</f>
        <v>0</v>
      </c>
      <c r="N131" s="39">
        <f>'Data entry Seestern'!AJ131</f>
        <v>0</v>
      </c>
      <c r="O131" s="39">
        <f>'Data entry Seestern'!AM131</f>
        <v>0</v>
      </c>
    </row>
    <row r="132" spans="2:15" ht="14" x14ac:dyDescent="0.15">
      <c r="B132" s="38" t="s">
        <v>92</v>
      </c>
      <c r="C132" s="39">
        <f>'Data entry Seestern'!C132</f>
        <v>0</v>
      </c>
      <c r="D132" s="39">
        <f>'Data entry Seestern'!F132</f>
        <v>0</v>
      </c>
      <c r="E132" s="39">
        <f>'Data entry Seestern'!I132</f>
        <v>0</v>
      </c>
      <c r="F132" s="39">
        <f>'Data entry Seestern'!L132</f>
        <v>0</v>
      </c>
      <c r="G132" s="39">
        <f>'Data entry Seestern'!O132</f>
        <v>0</v>
      </c>
      <c r="H132" s="39">
        <f>'Data entry Seestern'!R132</f>
        <v>0</v>
      </c>
      <c r="I132" s="39">
        <f>'Data entry Seestern'!U132</f>
        <v>0</v>
      </c>
      <c r="J132" s="39">
        <f>'Data entry Seestern'!X132</f>
        <v>0</v>
      </c>
      <c r="K132" s="39">
        <f>'Data entry Seestern'!AA132</f>
        <v>0</v>
      </c>
      <c r="L132" s="39">
        <f>'Data entry Seestern'!AD132</f>
        <v>0</v>
      </c>
      <c r="M132" s="39">
        <f>'Data entry Seestern'!AG132</f>
        <v>0</v>
      </c>
      <c r="N132" s="39">
        <f>'Data entry Seestern'!AJ132</f>
        <v>0</v>
      </c>
      <c r="O132" s="39">
        <f>'Data entry Seestern'!AM132</f>
        <v>0</v>
      </c>
    </row>
    <row r="133" spans="2:15" x14ac:dyDescent="0.15">
      <c r="B133" s="40"/>
      <c r="C133" s="39">
        <f>'Data entry Seestern'!C133</f>
        <v>0</v>
      </c>
      <c r="D133" s="39">
        <f>'Data entry Seestern'!F133</f>
        <v>0</v>
      </c>
      <c r="E133" s="39">
        <f>'Data entry Seestern'!I133</f>
        <v>0</v>
      </c>
      <c r="F133" s="39">
        <f>'Data entry Seestern'!L133</f>
        <v>0</v>
      </c>
      <c r="G133" s="39">
        <f>'Data entry Seestern'!O133</f>
        <v>0</v>
      </c>
      <c r="H133" s="39">
        <f>'Data entry Seestern'!R133</f>
        <v>0</v>
      </c>
      <c r="I133" s="39">
        <f>'Data entry Seestern'!U133</f>
        <v>0</v>
      </c>
      <c r="J133" s="39">
        <f>'Data entry Seestern'!X133</f>
        <v>0</v>
      </c>
      <c r="K133" s="39">
        <f>'Data entry Seestern'!AA133</f>
        <v>0</v>
      </c>
      <c r="L133" s="39">
        <f>'Data entry Seestern'!AD133</f>
        <v>0</v>
      </c>
      <c r="M133" s="39">
        <f>'Data entry Seestern'!AG133</f>
        <v>0</v>
      </c>
      <c r="N133" s="39">
        <f>'Data entry Seestern'!AJ133</f>
        <v>0</v>
      </c>
      <c r="O133" s="39">
        <f>'Data entry Seestern'!AM133</f>
        <v>0</v>
      </c>
    </row>
    <row r="134" spans="2:15" ht="14" x14ac:dyDescent="0.15">
      <c r="B134" s="42" t="s">
        <v>93</v>
      </c>
      <c r="C134" s="39">
        <f>'Data entry Seestern'!C134</f>
        <v>2861155.6002000002</v>
      </c>
      <c r="D134" s="39">
        <f>'Data entry Seestern'!F134</f>
        <v>187991.21</v>
      </c>
      <c r="E134" s="39">
        <f>'Data entry Seestern'!I134</f>
        <v>60248.12</v>
      </c>
      <c r="F134" s="39">
        <f>'Data entry Seestern'!L134</f>
        <v>348733.07</v>
      </c>
      <c r="G134" s="39">
        <f>'Data entry Seestern'!O134</f>
        <v>21257.45</v>
      </c>
      <c r="H134" s="39">
        <f>'Data entry Seestern'!R134</f>
        <v>295775.15850000002</v>
      </c>
      <c r="I134" s="39">
        <f>'Data entry Seestern'!U134</f>
        <v>144755.78390000001</v>
      </c>
      <c r="J134" s="39">
        <f>'Data entry Seestern'!X134</f>
        <v>-26541.786899999999</v>
      </c>
      <c r="K134" s="39">
        <f>'Data entry Seestern'!AA134</f>
        <v>107114.4066</v>
      </c>
      <c r="L134" s="39">
        <f>'Data entry Seestern'!AD134</f>
        <v>450097.95770000003</v>
      </c>
      <c r="M134" s="39">
        <f>'Data entry Seestern'!AG134</f>
        <v>613306.39989999996</v>
      </c>
      <c r="N134" s="39">
        <f>'Data entry Seestern'!AJ134</f>
        <v>520429.78129999997</v>
      </c>
      <c r="O134" s="39">
        <f>'Data entry Seestern'!AM134</f>
        <v>137988.04920000001</v>
      </c>
    </row>
    <row r="135" spans="2:15" x14ac:dyDescent="0.15">
      <c r="B135" s="40"/>
      <c r="C135" s="39">
        <f>'Data entry Seestern'!C135</f>
        <v>0</v>
      </c>
      <c r="D135" s="39">
        <f>'Data entry Seestern'!F135</f>
        <v>0</v>
      </c>
      <c r="E135" s="39">
        <f>'Data entry Seestern'!I135</f>
        <v>0</v>
      </c>
      <c r="F135" s="39">
        <f>'Data entry Seestern'!L135</f>
        <v>0</v>
      </c>
      <c r="G135" s="39">
        <f>'Data entry Seestern'!O135</f>
        <v>0</v>
      </c>
      <c r="H135" s="39">
        <f>'Data entry Seestern'!R135</f>
        <v>0</v>
      </c>
      <c r="I135" s="39">
        <f>'Data entry Seestern'!U135</f>
        <v>0</v>
      </c>
      <c r="J135" s="39">
        <f>'Data entry Seestern'!X135</f>
        <v>0</v>
      </c>
      <c r="K135" s="39">
        <f>'Data entry Seestern'!AA135</f>
        <v>0</v>
      </c>
      <c r="L135" s="39">
        <f>'Data entry Seestern'!AD135</f>
        <v>0</v>
      </c>
      <c r="M135" s="39">
        <f>'Data entry Seestern'!AG135</f>
        <v>0</v>
      </c>
      <c r="N135" s="39">
        <f>'Data entry Seestern'!AJ135</f>
        <v>0</v>
      </c>
      <c r="O135" s="39">
        <f>'Data entry Seestern'!AM135</f>
        <v>0</v>
      </c>
    </row>
    <row r="136" spans="2:15" ht="14" x14ac:dyDescent="0.15">
      <c r="B136" s="42" t="s">
        <v>94</v>
      </c>
      <c r="C136" s="39">
        <f>'Data entry Seestern'!C136</f>
        <v>2498305.2226</v>
      </c>
      <c r="D136" s="39">
        <f>'Data entry Seestern'!F136</f>
        <v>223495.95</v>
      </c>
      <c r="E136" s="39">
        <f>'Data entry Seestern'!I136</f>
        <v>263525.05</v>
      </c>
      <c r="F136" s="39">
        <f>'Data entry Seestern'!L136</f>
        <v>148607.04000000001</v>
      </c>
      <c r="G136" s="39">
        <f>'Data entry Seestern'!O136</f>
        <v>74166.91</v>
      </c>
      <c r="H136" s="39">
        <f>'Data entry Seestern'!R136</f>
        <v>217759.65710000001</v>
      </c>
      <c r="I136" s="39">
        <f>'Data entry Seestern'!U136</f>
        <v>184847.36550000001</v>
      </c>
      <c r="J136" s="39">
        <f>'Data entry Seestern'!X136</f>
        <v>123303.9972</v>
      </c>
      <c r="K136" s="39">
        <f>'Data entry Seestern'!AA136</f>
        <v>168244.36069999999</v>
      </c>
      <c r="L136" s="39">
        <f>'Data entry Seestern'!AD136</f>
        <v>285631.17719999998</v>
      </c>
      <c r="M136" s="39">
        <f>'Data entry Seestern'!AG136</f>
        <v>318760.50429999997</v>
      </c>
      <c r="N136" s="39">
        <f>'Data entry Seestern'!AJ136</f>
        <v>302482.8284</v>
      </c>
      <c r="O136" s="39">
        <f>'Data entry Seestern'!AM136</f>
        <v>187480.38219999999</v>
      </c>
    </row>
    <row r="137" spans="2:15" ht="14" x14ac:dyDescent="0.15">
      <c r="B137" s="38" t="s">
        <v>95</v>
      </c>
      <c r="C137" s="39">
        <f>'Data entry Seestern'!C137</f>
        <v>709794.95</v>
      </c>
      <c r="D137" s="39">
        <f>'Data entry Seestern'!F137</f>
        <v>223495.95</v>
      </c>
      <c r="E137" s="39">
        <f>'Data entry Seestern'!I137</f>
        <v>263525.05</v>
      </c>
      <c r="F137" s="39">
        <f>'Data entry Seestern'!L137</f>
        <v>148607.04000000001</v>
      </c>
      <c r="G137" s="39">
        <f>'Data entry Seestern'!O137</f>
        <v>74166.91</v>
      </c>
      <c r="H137" s="39">
        <f>'Data entry Seestern'!R137</f>
        <v>0</v>
      </c>
      <c r="I137" s="39">
        <f>'Data entry Seestern'!U137</f>
        <v>0</v>
      </c>
      <c r="J137" s="39">
        <f>'Data entry Seestern'!X137</f>
        <v>0</v>
      </c>
      <c r="K137" s="39">
        <f>'Data entry Seestern'!AA137</f>
        <v>0</v>
      </c>
      <c r="L137" s="39">
        <f>'Data entry Seestern'!AD137</f>
        <v>0</v>
      </c>
      <c r="M137" s="39">
        <f>'Data entry Seestern'!AG137</f>
        <v>0</v>
      </c>
      <c r="N137" s="39">
        <f>'Data entry Seestern'!AJ137</f>
        <v>0</v>
      </c>
      <c r="O137" s="39">
        <f>'Data entry Seestern'!AM137</f>
        <v>0</v>
      </c>
    </row>
    <row r="138" spans="2:15" ht="14" x14ac:dyDescent="0.15">
      <c r="B138" s="38" t="s">
        <v>96</v>
      </c>
      <c r="C138" s="39">
        <f>'Data entry Seestern'!C138</f>
        <v>1788510.2726</v>
      </c>
      <c r="D138" s="39">
        <f>'Data entry Seestern'!F138</f>
        <v>0</v>
      </c>
      <c r="E138" s="39">
        <f>'Data entry Seestern'!I138</f>
        <v>0</v>
      </c>
      <c r="F138" s="39">
        <f>'Data entry Seestern'!L138</f>
        <v>0</v>
      </c>
      <c r="G138" s="39">
        <f>'Data entry Seestern'!O138</f>
        <v>0</v>
      </c>
      <c r="H138" s="39">
        <f>'Data entry Seestern'!R138</f>
        <v>217759.65710000001</v>
      </c>
      <c r="I138" s="39">
        <f>'Data entry Seestern'!U138</f>
        <v>184847.36550000001</v>
      </c>
      <c r="J138" s="39">
        <f>'Data entry Seestern'!X138</f>
        <v>123303.9972</v>
      </c>
      <c r="K138" s="39">
        <f>'Data entry Seestern'!AA138</f>
        <v>168244.36069999999</v>
      </c>
      <c r="L138" s="39">
        <f>'Data entry Seestern'!AD138</f>
        <v>285631.17719999998</v>
      </c>
      <c r="M138" s="39">
        <f>'Data entry Seestern'!AG138</f>
        <v>318760.50429999997</v>
      </c>
      <c r="N138" s="39">
        <f>'Data entry Seestern'!AJ138</f>
        <v>302482.8284</v>
      </c>
      <c r="O138" s="39">
        <f>'Data entry Seestern'!AM138</f>
        <v>187480.38219999999</v>
      </c>
    </row>
    <row r="139" spans="2:15" ht="14" x14ac:dyDescent="0.15">
      <c r="B139" s="38" t="s">
        <v>97</v>
      </c>
      <c r="C139" s="39">
        <f>'Data entry Seestern'!C139</f>
        <v>0</v>
      </c>
      <c r="D139" s="39">
        <f>'Data entry Seestern'!F139</f>
        <v>0</v>
      </c>
      <c r="E139" s="39">
        <f>'Data entry Seestern'!I139</f>
        <v>0</v>
      </c>
      <c r="F139" s="39">
        <f>'Data entry Seestern'!L139</f>
        <v>0</v>
      </c>
      <c r="G139" s="39">
        <f>'Data entry Seestern'!O139</f>
        <v>0</v>
      </c>
      <c r="H139" s="39">
        <f>'Data entry Seestern'!R139</f>
        <v>0</v>
      </c>
      <c r="I139" s="39">
        <f>'Data entry Seestern'!U139</f>
        <v>0</v>
      </c>
      <c r="J139" s="39">
        <f>'Data entry Seestern'!X139</f>
        <v>0</v>
      </c>
      <c r="K139" s="39">
        <f>'Data entry Seestern'!AA139</f>
        <v>0</v>
      </c>
      <c r="L139" s="39">
        <f>'Data entry Seestern'!AD139</f>
        <v>0</v>
      </c>
      <c r="M139" s="39">
        <f>'Data entry Seestern'!AG139</f>
        <v>0</v>
      </c>
      <c r="N139" s="39">
        <f>'Data entry Seestern'!AJ139</f>
        <v>0</v>
      </c>
      <c r="O139" s="39">
        <f>'Data entry Seestern'!AM139</f>
        <v>0</v>
      </c>
    </row>
    <row r="140" spans="2:15" x14ac:dyDescent="0.15">
      <c r="B140" s="40"/>
      <c r="C140" s="39">
        <f>'Data entry Seestern'!C140</f>
        <v>0</v>
      </c>
      <c r="D140" s="39">
        <f>'Data entry Seestern'!F140</f>
        <v>0</v>
      </c>
      <c r="E140" s="39">
        <f>'Data entry Seestern'!I140</f>
        <v>0</v>
      </c>
      <c r="F140" s="39">
        <f>'Data entry Seestern'!L140</f>
        <v>0</v>
      </c>
      <c r="G140" s="39">
        <f>'Data entry Seestern'!O140</f>
        <v>0</v>
      </c>
      <c r="H140" s="39">
        <f>'Data entry Seestern'!R140</f>
        <v>0</v>
      </c>
      <c r="I140" s="39">
        <f>'Data entry Seestern'!U140</f>
        <v>0</v>
      </c>
      <c r="J140" s="39">
        <f>'Data entry Seestern'!X140</f>
        <v>0</v>
      </c>
      <c r="K140" s="39">
        <f>'Data entry Seestern'!AA140</f>
        <v>0</v>
      </c>
      <c r="L140" s="39">
        <f>'Data entry Seestern'!AD140</f>
        <v>0</v>
      </c>
      <c r="M140" s="39">
        <f>'Data entry Seestern'!AG140</f>
        <v>0</v>
      </c>
      <c r="N140" s="39">
        <f>'Data entry Seestern'!AJ140</f>
        <v>0</v>
      </c>
      <c r="O140" s="39">
        <f>'Data entry Seestern'!AM140</f>
        <v>0</v>
      </c>
    </row>
    <row r="141" spans="2:15" ht="28" x14ac:dyDescent="0.15">
      <c r="B141" s="42" t="s">
        <v>98</v>
      </c>
      <c r="C141" s="39">
        <f>'Data entry Seestern'!C141</f>
        <v>362850.37760000001</v>
      </c>
      <c r="D141" s="39">
        <f>'Data entry Seestern'!F141</f>
        <v>-35504.74</v>
      </c>
      <c r="E141" s="39">
        <f>'Data entry Seestern'!I141</f>
        <v>-203276.93</v>
      </c>
      <c r="F141" s="39">
        <f>'Data entry Seestern'!L141</f>
        <v>200126.03</v>
      </c>
      <c r="G141" s="39">
        <f>'Data entry Seestern'!O141</f>
        <v>-52909.46</v>
      </c>
      <c r="H141" s="39">
        <f>'Data entry Seestern'!R141</f>
        <v>78015.501399999994</v>
      </c>
      <c r="I141" s="39">
        <f>'Data entry Seestern'!U141</f>
        <v>-40091.581599999998</v>
      </c>
      <c r="J141" s="39">
        <f>'Data entry Seestern'!X141</f>
        <v>-149845.78409999999</v>
      </c>
      <c r="K141" s="39">
        <f>'Data entry Seestern'!AA141</f>
        <v>-61129.954100000003</v>
      </c>
      <c r="L141" s="39">
        <f>'Data entry Seestern'!AD141</f>
        <v>164466.78049999999</v>
      </c>
      <c r="M141" s="39">
        <f>'Data entry Seestern'!AG141</f>
        <v>294545.89559999999</v>
      </c>
      <c r="N141" s="39">
        <f>'Data entry Seestern'!AJ141</f>
        <v>217946.9529</v>
      </c>
      <c r="O141" s="39">
        <f>'Data entry Seestern'!AM141</f>
        <v>-49492.332999999999</v>
      </c>
    </row>
    <row r="142" spans="2:15" ht="14" x14ac:dyDescent="0.15">
      <c r="B142" s="38" t="s">
        <v>99</v>
      </c>
      <c r="C142" s="39">
        <f>'Data entry Seestern'!C142</f>
        <v>0</v>
      </c>
      <c r="D142" s="39">
        <f>'Data entry Seestern'!F142</f>
        <v>0</v>
      </c>
      <c r="E142" s="39">
        <f>'Data entry Seestern'!I142</f>
        <v>0</v>
      </c>
      <c r="F142" s="39">
        <f>'Data entry Seestern'!L142</f>
        <v>0</v>
      </c>
      <c r="G142" s="39">
        <f>'Data entry Seestern'!O142</f>
        <v>0</v>
      </c>
      <c r="H142" s="39">
        <f>'Data entry Seestern'!R142</f>
        <v>0</v>
      </c>
      <c r="I142" s="39">
        <f>'Data entry Seestern'!U142</f>
        <v>0</v>
      </c>
      <c r="J142" s="39">
        <f>'Data entry Seestern'!X142</f>
        <v>0</v>
      </c>
      <c r="K142" s="39">
        <f>'Data entry Seestern'!AA142</f>
        <v>0</v>
      </c>
      <c r="L142" s="39">
        <f>'Data entry Seestern'!AD142</f>
        <v>0</v>
      </c>
      <c r="M142" s="39">
        <f>'Data entry Seestern'!AG142</f>
        <v>0</v>
      </c>
      <c r="N142" s="39">
        <f>'Data entry Seestern'!AJ142</f>
        <v>0</v>
      </c>
      <c r="O142" s="39">
        <f>'Data entry Seestern'!AM142</f>
        <v>0</v>
      </c>
    </row>
    <row r="143" spans="2:15" x14ac:dyDescent="0.15">
      <c r="B143" s="40"/>
      <c r="C143" s="39">
        <f>'Data entry Seestern'!C143</f>
        <v>0</v>
      </c>
      <c r="D143" s="39">
        <f>'Data entry Seestern'!F143</f>
        <v>0</v>
      </c>
      <c r="E143" s="39">
        <f>'Data entry Seestern'!I143</f>
        <v>0</v>
      </c>
      <c r="F143" s="39">
        <f>'Data entry Seestern'!L143</f>
        <v>0</v>
      </c>
      <c r="G143" s="39">
        <f>'Data entry Seestern'!O143</f>
        <v>0</v>
      </c>
      <c r="H143" s="39">
        <f>'Data entry Seestern'!R143</f>
        <v>0</v>
      </c>
      <c r="I143" s="39">
        <f>'Data entry Seestern'!U143</f>
        <v>0</v>
      </c>
      <c r="J143" s="39">
        <f>'Data entry Seestern'!X143</f>
        <v>0</v>
      </c>
      <c r="K143" s="39">
        <f>'Data entry Seestern'!AA143</f>
        <v>0</v>
      </c>
      <c r="L143" s="39">
        <f>'Data entry Seestern'!AD143</f>
        <v>0</v>
      </c>
      <c r="M143" s="39">
        <f>'Data entry Seestern'!AG143</f>
        <v>0</v>
      </c>
      <c r="N143" s="39">
        <f>'Data entry Seestern'!AJ143</f>
        <v>0</v>
      </c>
      <c r="O143" s="39">
        <f>'Data entry Seestern'!AM143</f>
        <v>0</v>
      </c>
    </row>
    <row r="144" spans="2:15" ht="14" x14ac:dyDescent="0.15">
      <c r="B144" s="42" t="s">
        <v>100</v>
      </c>
      <c r="C144" s="39">
        <f>'Data entry Seestern'!C144</f>
        <v>362850.37760000001</v>
      </c>
      <c r="D144" s="39">
        <f>'Data entry Seestern'!F144</f>
        <v>-35504.74</v>
      </c>
      <c r="E144" s="39">
        <f>'Data entry Seestern'!I144</f>
        <v>-203276.93</v>
      </c>
      <c r="F144" s="39">
        <f>'Data entry Seestern'!L144</f>
        <v>200126.03</v>
      </c>
      <c r="G144" s="39">
        <f>'Data entry Seestern'!O144</f>
        <v>-52909.46</v>
      </c>
      <c r="H144" s="39">
        <f>'Data entry Seestern'!R144</f>
        <v>78015.501399999994</v>
      </c>
      <c r="I144" s="39">
        <f>'Data entry Seestern'!U144</f>
        <v>-40091.581599999998</v>
      </c>
      <c r="J144" s="39">
        <f>'Data entry Seestern'!X144</f>
        <v>-149845.78409999999</v>
      </c>
      <c r="K144" s="39">
        <f>'Data entry Seestern'!AA144</f>
        <v>-61129.954100000003</v>
      </c>
      <c r="L144" s="39">
        <f>'Data entry Seestern'!AD144</f>
        <v>164466.78049999999</v>
      </c>
      <c r="M144" s="39">
        <f>'Data entry Seestern'!AG144</f>
        <v>294545.89559999999</v>
      </c>
      <c r="N144" s="39">
        <f>'Data entry Seestern'!AJ144</f>
        <v>217946.9529</v>
      </c>
      <c r="O144" s="39">
        <f>'Data entry Seestern'!AM144</f>
        <v>-49492.332999999999</v>
      </c>
    </row>
    <row r="145" spans="2:15" ht="14" x14ac:dyDescent="0.15">
      <c r="B145" s="38" t="s">
        <v>101</v>
      </c>
      <c r="C145" s="39">
        <f>'Data entry Seestern'!C145</f>
        <v>0</v>
      </c>
      <c r="D145" s="39">
        <f>'Data entry Seestern'!F145</f>
        <v>0</v>
      </c>
      <c r="E145" s="39">
        <f>'Data entry Seestern'!I145</f>
        <v>0</v>
      </c>
      <c r="F145" s="39">
        <f>'Data entry Seestern'!L145</f>
        <v>0</v>
      </c>
      <c r="G145" s="39">
        <f>'Data entry Seestern'!O145</f>
        <v>0</v>
      </c>
      <c r="H145" s="39">
        <f>'Data entry Seestern'!R145</f>
        <v>0</v>
      </c>
      <c r="I145" s="39">
        <f>'Data entry Seestern'!U145</f>
        <v>0</v>
      </c>
      <c r="J145" s="39">
        <f>'Data entry Seestern'!X145</f>
        <v>0</v>
      </c>
      <c r="K145" s="39">
        <f>'Data entry Seestern'!AA145</f>
        <v>0</v>
      </c>
      <c r="L145" s="39">
        <f>'Data entry Seestern'!AD145</f>
        <v>0</v>
      </c>
      <c r="M145" s="39">
        <f>'Data entry Seestern'!AG145</f>
        <v>0</v>
      </c>
      <c r="N145" s="39">
        <f>'Data entry Seestern'!AJ145</f>
        <v>0</v>
      </c>
      <c r="O145" s="39">
        <f>'Data entry Seestern'!AM145</f>
        <v>0</v>
      </c>
    </row>
    <row r="146" spans="2:15" x14ac:dyDescent="0.15">
      <c r="B146" s="40"/>
      <c r="C146" s="39">
        <f>'Data entry Seestern'!C146</f>
        <v>0</v>
      </c>
      <c r="D146" s="39">
        <f>'Data entry Seestern'!F146</f>
        <v>0</v>
      </c>
      <c r="E146" s="39">
        <f>'Data entry Seestern'!I146</f>
        <v>0</v>
      </c>
      <c r="F146" s="39">
        <f>'Data entry Seestern'!L146</f>
        <v>0</v>
      </c>
      <c r="G146" s="39">
        <f>'Data entry Seestern'!O146</f>
        <v>0</v>
      </c>
      <c r="H146" s="39">
        <f>'Data entry Seestern'!R146</f>
        <v>0</v>
      </c>
      <c r="I146" s="39">
        <f>'Data entry Seestern'!U146</f>
        <v>0</v>
      </c>
      <c r="J146" s="39">
        <f>'Data entry Seestern'!X146</f>
        <v>0</v>
      </c>
      <c r="K146" s="39">
        <f>'Data entry Seestern'!AA146</f>
        <v>0</v>
      </c>
      <c r="L146" s="39">
        <f>'Data entry Seestern'!AD146</f>
        <v>0</v>
      </c>
      <c r="M146" s="39">
        <f>'Data entry Seestern'!AG146</f>
        <v>0</v>
      </c>
      <c r="N146" s="39">
        <f>'Data entry Seestern'!AJ146</f>
        <v>0</v>
      </c>
      <c r="O146" s="39">
        <f>'Data entry Seestern'!AM146</f>
        <v>0</v>
      </c>
    </row>
    <row r="147" spans="2:15" ht="28" x14ac:dyDescent="0.15">
      <c r="B147" s="42" t="s">
        <v>102</v>
      </c>
      <c r="C147" s="39">
        <f>'Data entry Seestern'!C147</f>
        <v>362850.37760000001</v>
      </c>
      <c r="D147" s="39">
        <f>'Data entry Seestern'!F147</f>
        <v>-35504.74</v>
      </c>
      <c r="E147" s="39">
        <f>'Data entry Seestern'!I147</f>
        <v>-203276.93</v>
      </c>
      <c r="F147" s="39">
        <f>'Data entry Seestern'!L147</f>
        <v>200126.03</v>
      </c>
      <c r="G147" s="39">
        <f>'Data entry Seestern'!O147</f>
        <v>-52909.46</v>
      </c>
      <c r="H147" s="39">
        <f>'Data entry Seestern'!R147</f>
        <v>78015.501399999994</v>
      </c>
      <c r="I147" s="39">
        <f>'Data entry Seestern'!U147</f>
        <v>-40091.581599999998</v>
      </c>
      <c r="J147" s="39">
        <f>'Data entry Seestern'!X147</f>
        <v>-149845.78409999999</v>
      </c>
      <c r="K147" s="39">
        <f>'Data entry Seestern'!AA147</f>
        <v>-61129.954100000003</v>
      </c>
      <c r="L147" s="39">
        <f>'Data entry Seestern'!AD147</f>
        <v>164466.78049999999</v>
      </c>
      <c r="M147" s="39">
        <f>'Data entry Seestern'!AG147</f>
        <v>294545.89559999999</v>
      </c>
      <c r="N147" s="39">
        <f>'Data entry Seestern'!AJ147</f>
        <v>217946.9529</v>
      </c>
      <c r="O147" s="39">
        <f>'Data entry Seestern'!AM147</f>
        <v>-49492.332999999999</v>
      </c>
    </row>
    <row r="148" spans="2:15" ht="14" x14ac:dyDescent="0.15">
      <c r="B148" s="38" t="s">
        <v>103</v>
      </c>
      <c r="C148" s="39">
        <f>'Data entry Seestern'!C148</f>
        <v>0</v>
      </c>
      <c r="D148" s="39">
        <f>'Data entry Seestern'!F148</f>
        <v>0</v>
      </c>
      <c r="E148" s="39">
        <f>'Data entry Seestern'!I148</f>
        <v>0</v>
      </c>
      <c r="F148" s="39">
        <f>'Data entry Seestern'!L148</f>
        <v>0</v>
      </c>
      <c r="G148" s="39">
        <f>'Data entry Seestern'!O148</f>
        <v>0</v>
      </c>
      <c r="H148" s="39">
        <f>'Data entry Seestern'!R148</f>
        <v>0</v>
      </c>
      <c r="I148" s="39">
        <f>'Data entry Seestern'!U148</f>
        <v>0</v>
      </c>
      <c r="J148" s="39">
        <f>'Data entry Seestern'!X148</f>
        <v>0</v>
      </c>
      <c r="K148" s="39">
        <f>'Data entry Seestern'!AA148</f>
        <v>0</v>
      </c>
      <c r="L148" s="39">
        <f>'Data entry Seestern'!AD148</f>
        <v>0</v>
      </c>
      <c r="M148" s="39">
        <f>'Data entry Seestern'!AG148</f>
        <v>0</v>
      </c>
      <c r="N148" s="39">
        <f>'Data entry Seestern'!AJ148</f>
        <v>0</v>
      </c>
      <c r="O148" s="39">
        <f>'Data entry Seestern'!AM148</f>
        <v>0</v>
      </c>
    </row>
    <row r="149" spans="2:15" x14ac:dyDescent="0.15">
      <c r="B149" s="40"/>
      <c r="C149" s="39">
        <f>'Data entry Seestern'!C149</f>
        <v>0</v>
      </c>
      <c r="D149" s="39">
        <f>'Data entry Seestern'!F149</f>
        <v>0</v>
      </c>
      <c r="E149" s="39">
        <f>'Data entry Seestern'!I149</f>
        <v>0</v>
      </c>
      <c r="F149" s="39">
        <f>'Data entry Seestern'!L149</f>
        <v>0</v>
      </c>
      <c r="G149" s="39">
        <f>'Data entry Seestern'!O149</f>
        <v>0</v>
      </c>
      <c r="H149" s="39">
        <f>'Data entry Seestern'!R149</f>
        <v>0</v>
      </c>
      <c r="I149" s="39">
        <f>'Data entry Seestern'!U149</f>
        <v>0</v>
      </c>
      <c r="J149" s="39">
        <f>'Data entry Seestern'!X149</f>
        <v>0</v>
      </c>
      <c r="K149" s="39">
        <f>'Data entry Seestern'!AA149</f>
        <v>0</v>
      </c>
      <c r="L149" s="39">
        <f>'Data entry Seestern'!AD149</f>
        <v>0</v>
      </c>
      <c r="M149" s="39">
        <f>'Data entry Seestern'!AG149</f>
        <v>0</v>
      </c>
      <c r="N149" s="39">
        <f>'Data entry Seestern'!AJ149</f>
        <v>0</v>
      </c>
      <c r="O149" s="39">
        <f>'Data entry Seestern'!AM149</f>
        <v>0</v>
      </c>
    </row>
    <row r="150" spans="2:15" ht="14" x14ac:dyDescent="0.15">
      <c r="B150" s="42" t="s">
        <v>104</v>
      </c>
      <c r="C150" s="39">
        <f>'Data entry Seestern'!C150</f>
        <v>362850.37760000001</v>
      </c>
      <c r="D150" s="39">
        <f>'Data entry Seestern'!F150</f>
        <v>-35504.74</v>
      </c>
      <c r="E150" s="39">
        <f>'Data entry Seestern'!I150</f>
        <v>-203276.93</v>
      </c>
      <c r="F150" s="39">
        <f>'Data entry Seestern'!L150</f>
        <v>200126.03</v>
      </c>
      <c r="G150" s="39">
        <f>'Data entry Seestern'!O150</f>
        <v>-52909.46</v>
      </c>
      <c r="H150" s="39">
        <f>'Data entry Seestern'!R150</f>
        <v>78015.501399999994</v>
      </c>
      <c r="I150" s="39">
        <f>'Data entry Seestern'!U150</f>
        <v>-40091.581599999998</v>
      </c>
      <c r="J150" s="39">
        <f>'Data entry Seestern'!X150</f>
        <v>-149845.78409999999</v>
      </c>
      <c r="K150" s="39">
        <f>'Data entry Seestern'!AA150</f>
        <v>-61129.954100000003</v>
      </c>
      <c r="L150" s="39">
        <f>'Data entry Seestern'!AD150</f>
        <v>164466.78049999999</v>
      </c>
      <c r="M150" s="39">
        <f>'Data entry Seestern'!AG150</f>
        <v>294545.89559999999</v>
      </c>
      <c r="N150" s="39">
        <f>'Data entry Seestern'!AJ150</f>
        <v>217946.9529</v>
      </c>
      <c r="O150" s="39">
        <f>'Data entry Seestern'!AM150</f>
        <v>-49492.332999999999</v>
      </c>
    </row>
    <row r="151" spans="2:15" x14ac:dyDescent="0.15">
      <c r="B151" s="40"/>
      <c r="C151" s="39">
        <f>'Data entry Seestern'!C151</f>
        <v>0</v>
      </c>
      <c r="D151" s="39">
        <f>'Data entry Seestern'!F151</f>
        <v>0</v>
      </c>
      <c r="E151" s="39">
        <f>'Data entry Seestern'!I151</f>
        <v>0</v>
      </c>
      <c r="F151" s="39">
        <f>'Data entry Seestern'!L151</f>
        <v>0</v>
      </c>
      <c r="G151" s="39">
        <f>'Data entry Seestern'!O151</f>
        <v>0</v>
      </c>
      <c r="H151" s="39">
        <f>'Data entry Seestern'!R151</f>
        <v>0</v>
      </c>
      <c r="I151" s="39">
        <f>'Data entry Seestern'!U151</f>
        <v>0</v>
      </c>
      <c r="J151" s="39">
        <f>'Data entry Seestern'!X151</f>
        <v>0</v>
      </c>
      <c r="K151" s="39">
        <f>'Data entry Seestern'!AA151</f>
        <v>0</v>
      </c>
      <c r="L151" s="39">
        <f>'Data entry Seestern'!AD151</f>
        <v>0</v>
      </c>
      <c r="M151" s="39">
        <f>'Data entry Seestern'!AG151</f>
        <v>0</v>
      </c>
      <c r="N151" s="39">
        <f>'Data entry Seestern'!AJ151</f>
        <v>0</v>
      </c>
      <c r="O151" s="39">
        <f>'Data entry Seestern'!AM151</f>
        <v>0</v>
      </c>
    </row>
    <row r="152" spans="2:15" ht="14" x14ac:dyDescent="0.15">
      <c r="B152" s="44" t="s">
        <v>105</v>
      </c>
      <c r="C152" s="39">
        <f>'Data entry Seestern'!C152</f>
        <v>0</v>
      </c>
      <c r="D152" s="39">
        <f>'Data entry Seestern'!F152</f>
        <v>0</v>
      </c>
      <c r="E152" s="39">
        <f>'Data entry Seestern'!I152</f>
        <v>0</v>
      </c>
      <c r="F152" s="39">
        <f>'Data entry Seestern'!L152</f>
        <v>0</v>
      </c>
      <c r="G152" s="39">
        <f>'Data entry Seestern'!O152</f>
        <v>0</v>
      </c>
      <c r="H152" s="39">
        <f>'Data entry Seestern'!R152</f>
        <v>0</v>
      </c>
      <c r="I152" s="39">
        <f>'Data entry Seestern'!U152</f>
        <v>0</v>
      </c>
      <c r="J152" s="39">
        <f>'Data entry Seestern'!X152</f>
        <v>0</v>
      </c>
      <c r="K152" s="39">
        <f>'Data entry Seestern'!AA152</f>
        <v>0</v>
      </c>
      <c r="L152" s="39">
        <f>'Data entry Seestern'!AD152</f>
        <v>0</v>
      </c>
      <c r="M152" s="39">
        <f>'Data entry Seestern'!AG152</f>
        <v>0</v>
      </c>
      <c r="N152" s="39">
        <f>'Data entry Seestern'!AJ152</f>
        <v>0</v>
      </c>
      <c r="O152" s="39">
        <f>'Data entry Seestern'!AM152</f>
        <v>0</v>
      </c>
    </row>
    <row r="153" spans="2:15" ht="14" x14ac:dyDescent="0.15">
      <c r="B153" s="38" t="s">
        <v>106</v>
      </c>
      <c r="C153" s="39">
        <f>'Data entry Seestern'!C153</f>
        <v>587850.37760000001</v>
      </c>
      <c r="D153" s="39">
        <f>'Data entry Seestern'!F153</f>
        <v>-10504.74</v>
      </c>
      <c r="E153" s="39">
        <f>'Data entry Seestern'!I153</f>
        <v>-203276.93</v>
      </c>
      <c r="F153" s="39">
        <f>'Data entry Seestern'!L153</f>
        <v>200126.03</v>
      </c>
      <c r="G153" s="39">
        <f>'Data entry Seestern'!O153</f>
        <v>-52909.46</v>
      </c>
      <c r="H153" s="39">
        <f>'Data entry Seestern'!R153</f>
        <v>103015.50139999999</v>
      </c>
      <c r="I153" s="39">
        <f>'Data entry Seestern'!U153</f>
        <v>-15091.5816</v>
      </c>
      <c r="J153" s="39">
        <f>'Data entry Seestern'!X153</f>
        <v>-124845.7841</v>
      </c>
      <c r="K153" s="39">
        <f>'Data entry Seestern'!AA153</f>
        <v>-36129.954100000003</v>
      </c>
      <c r="L153" s="39">
        <f>'Data entry Seestern'!AD153</f>
        <v>189466.78049999999</v>
      </c>
      <c r="M153" s="39">
        <f>'Data entry Seestern'!AG153</f>
        <v>319545.89559999999</v>
      </c>
      <c r="N153" s="39">
        <f>'Data entry Seestern'!AJ153</f>
        <v>242946.9529</v>
      </c>
      <c r="O153" s="39">
        <f>'Data entry Seestern'!AM153</f>
        <v>-24492.332999999999</v>
      </c>
    </row>
    <row r="154" spans="2:15" ht="14" x14ac:dyDescent="0.15">
      <c r="B154" s="38" t="s">
        <v>107</v>
      </c>
      <c r="C154" s="39">
        <f>'Data entry Seestern'!C154</f>
        <v>362850.37760000001</v>
      </c>
      <c r="D154" s="39">
        <f>'Data entry Seestern'!F154</f>
        <v>-35504.74</v>
      </c>
      <c r="E154" s="39">
        <f>'Data entry Seestern'!I154</f>
        <v>-203276.93</v>
      </c>
      <c r="F154" s="39">
        <f>'Data entry Seestern'!L154</f>
        <v>200126.03</v>
      </c>
      <c r="G154" s="39">
        <f>'Data entry Seestern'!O154</f>
        <v>-52909.46</v>
      </c>
      <c r="H154" s="39">
        <f>'Data entry Seestern'!R154</f>
        <v>78015.501399999994</v>
      </c>
      <c r="I154" s="39">
        <f>'Data entry Seestern'!U154</f>
        <v>-40091.581599999998</v>
      </c>
      <c r="J154" s="39">
        <f>'Data entry Seestern'!X154</f>
        <v>-149845.78409999999</v>
      </c>
      <c r="K154" s="39">
        <f>'Data entry Seestern'!AA154</f>
        <v>-61129.954100000003</v>
      </c>
      <c r="L154" s="39">
        <f>'Data entry Seestern'!AD154</f>
        <v>164466.78049999999</v>
      </c>
      <c r="M154" s="39">
        <f>'Data entry Seestern'!AG154</f>
        <v>294545.89559999999</v>
      </c>
      <c r="N154" s="39">
        <f>'Data entry Seestern'!AJ154</f>
        <v>217946.9529</v>
      </c>
      <c r="O154" s="39">
        <f>'Data entry Seestern'!AM154</f>
        <v>-49492.332999999999</v>
      </c>
    </row>
    <row r="155" spans="2:15" ht="14" x14ac:dyDescent="0.15">
      <c r="B155" s="42" t="s">
        <v>108</v>
      </c>
      <c r="C155" s="39">
        <f>'Data entry Seestern'!C155</f>
        <v>542584.72439999995</v>
      </c>
      <c r="D155" s="39">
        <f>'Data entry Seestern'!F155</f>
        <v>50187.29</v>
      </c>
      <c r="E155" s="39">
        <f>'Data entry Seestern'!I155</f>
        <v>39903.410000000003</v>
      </c>
      <c r="F155" s="39">
        <f>'Data entry Seestern'!L155</f>
        <v>57435.16</v>
      </c>
      <c r="G155" s="39">
        <f>'Data entry Seestern'!O155</f>
        <v>37356.81</v>
      </c>
      <c r="H155" s="39">
        <f>'Data entry Seestern'!R155</f>
        <v>43551.931400000001</v>
      </c>
      <c r="I155" s="39">
        <f>'Data entry Seestern'!U155</f>
        <v>36969.473100000003</v>
      </c>
      <c r="J155" s="39">
        <f>'Data entry Seestern'!X155</f>
        <v>24660.7994</v>
      </c>
      <c r="K155" s="39">
        <f>'Data entry Seestern'!AA155</f>
        <v>33648.872100000001</v>
      </c>
      <c r="L155" s="39">
        <f>'Data entry Seestern'!AD155</f>
        <v>57126.235399999998</v>
      </c>
      <c r="M155" s="39">
        <f>'Data entry Seestern'!AG155</f>
        <v>63752.100899999998</v>
      </c>
      <c r="N155" s="39">
        <f>'Data entry Seestern'!AJ155</f>
        <v>60496.565699999999</v>
      </c>
      <c r="O155" s="39">
        <f>'Data entry Seestern'!AM155</f>
        <v>37496.076399999998</v>
      </c>
    </row>
    <row r="156" spans="2:15" ht="14" x14ac:dyDescent="0.15">
      <c r="B156" s="38" t="s">
        <v>109</v>
      </c>
      <c r="C156" s="39">
        <f>'Data entry Seestern'!C156</f>
        <v>0</v>
      </c>
      <c r="D156" s="39">
        <f>'Data entry Seestern'!F156</f>
        <v>0</v>
      </c>
      <c r="E156" s="39">
        <f>'Data entry Seestern'!I156</f>
        <v>0</v>
      </c>
      <c r="F156" s="39">
        <f>'Data entry Seestern'!L156</f>
        <v>0</v>
      </c>
      <c r="G156" s="39">
        <f>'Data entry Seestern'!O156</f>
        <v>0</v>
      </c>
      <c r="H156" s="39">
        <f>'Data entry Seestern'!R156</f>
        <v>0</v>
      </c>
      <c r="I156" s="39">
        <f>'Data entry Seestern'!U156</f>
        <v>0</v>
      </c>
      <c r="J156" s="39">
        <f>'Data entry Seestern'!X156</f>
        <v>0</v>
      </c>
      <c r="K156" s="39">
        <f>'Data entry Seestern'!AA156</f>
        <v>0</v>
      </c>
      <c r="L156" s="39">
        <f>'Data entry Seestern'!AD156</f>
        <v>0</v>
      </c>
      <c r="M156" s="39">
        <f>'Data entry Seestern'!AG156</f>
        <v>0</v>
      </c>
      <c r="N156" s="39">
        <f>'Data entry Seestern'!AJ156</f>
        <v>0</v>
      </c>
      <c r="O156" s="39">
        <f>'Data entry Seestern'!AM156</f>
        <v>0</v>
      </c>
    </row>
    <row r="157" spans="2:15" ht="14" x14ac:dyDescent="0.15">
      <c r="B157" s="38" t="s">
        <v>110</v>
      </c>
      <c r="C157" s="39">
        <f>'Data entry Seestern'!C157</f>
        <v>0</v>
      </c>
      <c r="D157" s="39">
        <f>'Data entry Seestern'!F157</f>
        <v>0</v>
      </c>
      <c r="E157" s="39">
        <f>'Data entry Seestern'!I157</f>
        <v>0</v>
      </c>
      <c r="F157" s="39">
        <f>'Data entry Seestern'!L157</f>
        <v>0</v>
      </c>
      <c r="G157" s="39">
        <f>'Data entry Seestern'!O157</f>
        <v>0</v>
      </c>
      <c r="H157" s="39">
        <f>'Data entry Seestern'!R157</f>
        <v>0</v>
      </c>
      <c r="I157" s="39">
        <f>'Data entry Seestern'!U157</f>
        <v>0</v>
      </c>
      <c r="J157" s="39">
        <f>'Data entry Seestern'!X157</f>
        <v>0</v>
      </c>
      <c r="K157" s="39">
        <f>'Data entry Seestern'!AA157</f>
        <v>0</v>
      </c>
      <c r="L157" s="39">
        <f>'Data entry Seestern'!AD157</f>
        <v>0</v>
      </c>
      <c r="M157" s="39">
        <f>'Data entry Seestern'!AG157</f>
        <v>0</v>
      </c>
      <c r="N157" s="39">
        <f>'Data entry Seestern'!AJ157</f>
        <v>0</v>
      </c>
      <c r="O157" s="39">
        <f>'Data entry Seestern'!AM157</f>
        <v>0</v>
      </c>
    </row>
    <row r="158" spans="2:15" ht="14" x14ac:dyDescent="0.15">
      <c r="B158" s="38" t="s">
        <v>111</v>
      </c>
      <c r="C158" s="39">
        <f>'Data entry Seestern'!C158</f>
        <v>126402.04369999999</v>
      </c>
      <c r="D158" s="39">
        <f>'Data entry Seestern'!F158</f>
        <v>10037.459999999999</v>
      </c>
      <c r="E158" s="39">
        <f>'Data entry Seestern'!I158</f>
        <v>7980.68</v>
      </c>
      <c r="F158" s="39">
        <f>'Data entry Seestern'!L158</f>
        <v>11487.03</v>
      </c>
      <c r="G158" s="39">
        <f>'Data entry Seestern'!O158</f>
        <v>7471.36</v>
      </c>
      <c r="H158" s="39">
        <f>'Data entry Seestern'!R158</f>
        <v>10887.982900000001</v>
      </c>
      <c r="I158" s="39">
        <f>'Data entry Seestern'!U158</f>
        <v>9242.3683000000001</v>
      </c>
      <c r="J158" s="39">
        <f>'Data entry Seestern'!X158</f>
        <v>6165.1998999999996</v>
      </c>
      <c r="K158" s="39">
        <f>'Data entry Seestern'!AA158</f>
        <v>8412.2180000000008</v>
      </c>
      <c r="L158" s="39">
        <f>'Data entry Seestern'!AD158</f>
        <v>14281.5589</v>
      </c>
      <c r="M158" s="39">
        <f>'Data entry Seestern'!AG158</f>
        <v>15938.0252</v>
      </c>
      <c r="N158" s="39">
        <f>'Data entry Seestern'!AJ158</f>
        <v>15124.1414</v>
      </c>
      <c r="O158" s="39">
        <f>'Data entry Seestern'!AM158</f>
        <v>9374.0190999999995</v>
      </c>
    </row>
    <row r="159" spans="2:15" ht="14" x14ac:dyDescent="0.15">
      <c r="B159" s="38" t="s">
        <v>112</v>
      </c>
      <c r="C159" s="39">
        <f>'Data entry Seestern'!C159</f>
        <v>223544.90400000001</v>
      </c>
      <c r="D159" s="39">
        <f>'Data entry Seestern'!F159</f>
        <v>2649.95</v>
      </c>
      <c r="E159" s="39">
        <f>'Data entry Seestern'!I159</f>
        <v>-4455.12</v>
      </c>
      <c r="F159" s="39">
        <f>'Data entry Seestern'!L159</f>
        <v>3680.57</v>
      </c>
      <c r="G159" s="39">
        <f>'Data entry Seestern'!O159</f>
        <v>-1894.28</v>
      </c>
      <c r="H159" s="39">
        <f>'Data entry Seestern'!R159</f>
        <v>27219.9571</v>
      </c>
      <c r="I159" s="39">
        <f>'Data entry Seestern'!U159</f>
        <v>23105.920699999999</v>
      </c>
      <c r="J159" s="39">
        <f>'Data entry Seestern'!X159</f>
        <v>15412.999599999999</v>
      </c>
      <c r="K159" s="39">
        <f>'Data entry Seestern'!AA159</f>
        <v>21030.545099999999</v>
      </c>
      <c r="L159" s="39">
        <f>'Data entry Seestern'!AD159</f>
        <v>35703.897100000002</v>
      </c>
      <c r="M159" s="39">
        <f>'Data entry Seestern'!AG159</f>
        <v>39845.063000000002</v>
      </c>
      <c r="N159" s="39">
        <f>'Data entry Seestern'!AJ159</f>
        <v>37810.353600000002</v>
      </c>
      <c r="O159" s="39">
        <f>'Data entry Seestern'!AM159</f>
        <v>23435.0478</v>
      </c>
    </row>
    <row r="160" spans="2:15" ht="14" x14ac:dyDescent="0.15">
      <c r="B160" s="38" t="s">
        <v>113</v>
      </c>
      <c r="C160" s="39">
        <f>'Data entry Seestern'!C160</f>
        <v>379206.15100000001</v>
      </c>
      <c r="D160" s="39">
        <f>'Data entry Seestern'!F160</f>
        <v>30112.37</v>
      </c>
      <c r="E160" s="39">
        <f>'Data entry Seestern'!I160</f>
        <v>23942.05</v>
      </c>
      <c r="F160" s="39">
        <f>'Data entry Seestern'!L160</f>
        <v>34461.1</v>
      </c>
      <c r="G160" s="39">
        <f>'Data entry Seestern'!O160</f>
        <v>22414.09</v>
      </c>
      <c r="H160" s="39">
        <f>'Data entry Seestern'!R160</f>
        <v>32663.9486</v>
      </c>
      <c r="I160" s="39">
        <f>'Data entry Seestern'!U160</f>
        <v>27727.104800000001</v>
      </c>
      <c r="J160" s="39">
        <f>'Data entry Seestern'!X160</f>
        <v>18495.599600000001</v>
      </c>
      <c r="K160" s="39">
        <f>'Data entry Seestern'!AA160</f>
        <v>25236.6541</v>
      </c>
      <c r="L160" s="39">
        <f>'Data entry Seestern'!AD160</f>
        <v>42844.676599999999</v>
      </c>
      <c r="M160" s="39">
        <f>'Data entry Seestern'!AG160</f>
        <v>47814.075700000001</v>
      </c>
      <c r="N160" s="39">
        <f>'Data entry Seestern'!AJ160</f>
        <v>45372.424299999999</v>
      </c>
      <c r="O160" s="39">
        <f>'Data entry Seestern'!AM160</f>
        <v>28122.0573</v>
      </c>
    </row>
    <row r="161" spans="2:15" ht="14" x14ac:dyDescent="0.15">
      <c r="B161" s="38" t="s">
        <v>114</v>
      </c>
      <c r="C161" s="39">
        <f>'Data entry Seestern'!C161</f>
        <v>36976.53</v>
      </c>
      <c r="D161" s="39">
        <f>'Data entry Seestern'!F161</f>
        <v>10037.459999999999</v>
      </c>
      <c r="E161" s="39">
        <f>'Data entry Seestern'!I161</f>
        <v>7980.68</v>
      </c>
      <c r="F161" s="39">
        <f>'Data entry Seestern'!L161</f>
        <v>11487.03</v>
      </c>
      <c r="G161" s="39">
        <f>'Data entry Seestern'!O161</f>
        <v>7471.36</v>
      </c>
      <c r="H161" s="39">
        <f>'Data entry Seestern'!R161</f>
        <v>0</v>
      </c>
      <c r="I161" s="39">
        <f>'Data entry Seestern'!U161</f>
        <v>0</v>
      </c>
      <c r="J161" s="39">
        <f>'Data entry Seestern'!X161</f>
        <v>0</v>
      </c>
      <c r="K161" s="39">
        <f>'Data entry Seestern'!AA161</f>
        <v>0</v>
      </c>
      <c r="L161" s="39">
        <f>'Data entry Seestern'!AD161</f>
        <v>0</v>
      </c>
      <c r="M161" s="39">
        <f>'Data entry Seestern'!AG161</f>
        <v>0</v>
      </c>
      <c r="N161" s="39">
        <f>'Data entry Seestern'!AJ161</f>
        <v>0</v>
      </c>
      <c r="O161" s="39">
        <f>'Data entry Seestern'!AM161</f>
        <v>0</v>
      </c>
    </row>
    <row r="162" spans="2:15" ht="14" x14ac:dyDescent="0.15">
      <c r="B162" s="42" t="s">
        <v>115</v>
      </c>
      <c r="C162" s="39">
        <f>'Data entry Seestern'!C162</f>
        <v>544960.7108</v>
      </c>
      <c r="D162" s="39">
        <f>'Data entry Seestern'!F162</f>
        <v>48469.39</v>
      </c>
      <c r="E162" s="39">
        <f>'Data entry Seestern'!I162</f>
        <v>34345.79</v>
      </c>
      <c r="F162" s="39">
        <f>'Data entry Seestern'!L162</f>
        <v>37365.1</v>
      </c>
      <c r="G162" s="39">
        <f>'Data entry Seestern'!O162</f>
        <v>29078.65</v>
      </c>
      <c r="H162" s="39">
        <f>'Data entry Seestern'!R162</f>
        <v>46126.768400000001</v>
      </c>
      <c r="I162" s="39">
        <f>'Data entry Seestern'!U162</f>
        <v>39915.607300000003</v>
      </c>
      <c r="J162" s="39">
        <f>'Data entry Seestern'!X162</f>
        <v>28836.599900000001</v>
      </c>
      <c r="K162" s="39">
        <f>'Data entry Seestern'!AA162</f>
        <v>41994.832900000001</v>
      </c>
      <c r="L162" s="39">
        <f>'Data entry Seestern'!AD162</f>
        <v>58629.279399999999</v>
      </c>
      <c r="M162" s="39">
        <f>'Data entry Seestern'!AG162</f>
        <v>73383.912599999996</v>
      </c>
      <c r="N162" s="39">
        <f>'Data entry Seestern'!AJ162</f>
        <v>65736.970700000005</v>
      </c>
      <c r="O162" s="39">
        <f>'Data entry Seestern'!AM162</f>
        <v>41077.809600000001</v>
      </c>
    </row>
    <row r="163" spans="2:15" ht="14" x14ac:dyDescent="0.15">
      <c r="B163" s="38" t="s">
        <v>116</v>
      </c>
      <c r="C163" s="39">
        <f>'Data entry Seestern'!C163</f>
        <v>258742.894</v>
      </c>
      <c r="D163" s="39">
        <f>'Data entry Seestern'!F163</f>
        <v>20636.84</v>
      </c>
      <c r="E163" s="39">
        <f>'Data entry Seestern'!I163</f>
        <v>19565.599999999999</v>
      </c>
      <c r="F163" s="39">
        <f>'Data entry Seestern'!L163</f>
        <v>23671.24</v>
      </c>
      <c r="G163" s="39">
        <f>'Data entry Seestern'!O163</f>
        <v>13493.95</v>
      </c>
      <c r="H163" s="39">
        <f>'Data entry Seestern'!R163</f>
        <v>20825.161599999999</v>
      </c>
      <c r="I163" s="39">
        <f>'Data entry Seestern'!U163</f>
        <v>17667.371800000001</v>
      </c>
      <c r="J163" s="39">
        <f>'Data entry Seestern'!X163</f>
        <v>12080.25</v>
      </c>
      <c r="K163" s="39">
        <f>'Data entry Seestern'!AA163</f>
        <v>19122.3806</v>
      </c>
      <c r="L163" s="39">
        <f>'Data entry Seestern'!AD163</f>
        <v>27128.5</v>
      </c>
      <c r="M163" s="39">
        <f>'Data entry Seestern'!AG163</f>
        <v>35237.65</v>
      </c>
      <c r="N163" s="39">
        <f>'Data entry Seestern'!AJ163</f>
        <v>31028.9</v>
      </c>
      <c r="O163" s="39">
        <f>'Data entry Seestern'!AM163</f>
        <v>18285.05</v>
      </c>
    </row>
    <row r="164" spans="2:15" ht="14" x14ac:dyDescent="0.15">
      <c r="B164" s="38" t="s">
        <v>117</v>
      </c>
      <c r="C164" s="39">
        <f>'Data entry Seestern'!C164</f>
        <v>165689.09</v>
      </c>
      <c r="D164" s="39">
        <f>'Data entry Seestern'!F164</f>
        <v>11792.48</v>
      </c>
      <c r="E164" s="39">
        <f>'Data entry Seestern'!I164</f>
        <v>9898.35</v>
      </c>
      <c r="F164" s="39">
        <f>'Data entry Seestern'!L164</f>
        <v>5921.16</v>
      </c>
      <c r="G164" s="39">
        <f>'Data entry Seestern'!O164</f>
        <v>10223.34</v>
      </c>
      <c r="H164" s="39">
        <f>'Data entry Seestern'!R164</f>
        <v>14637.615400000001</v>
      </c>
      <c r="I164" s="39">
        <f>'Data entry Seestern'!U164</f>
        <v>12407.051299999999</v>
      </c>
      <c r="J164" s="39">
        <f>'Data entry Seestern'!X164</f>
        <v>8453.75</v>
      </c>
      <c r="K164" s="39">
        <f>'Data entry Seestern'!AA164</f>
        <v>13446.3433</v>
      </c>
      <c r="L164" s="39">
        <f>'Data entry Seestern'!AD164</f>
        <v>19140</v>
      </c>
      <c r="M164" s="39">
        <f>'Data entry Seestern'!AG164</f>
        <v>24957.25</v>
      </c>
      <c r="N164" s="39">
        <f>'Data entry Seestern'!AJ164</f>
        <v>21926</v>
      </c>
      <c r="O164" s="39">
        <f>'Data entry Seestern'!AM164</f>
        <v>12885.75</v>
      </c>
    </row>
    <row r="165" spans="2:15" ht="14" x14ac:dyDescent="0.15">
      <c r="B165" s="38" t="s">
        <v>118</v>
      </c>
      <c r="C165" s="39">
        <f>'Data entry Seestern'!C165</f>
        <v>52705.78</v>
      </c>
      <c r="D165" s="39">
        <f>'Data entry Seestern'!F165</f>
        <v>7178.47</v>
      </c>
      <c r="E165" s="39">
        <f>'Data entry Seestern'!I165</f>
        <v>581.73</v>
      </c>
      <c r="F165" s="39">
        <f>'Data entry Seestern'!L165</f>
        <v>2028.96</v>
      </c>
      <c r="G165" s="39">
        <f>'Data entry Seestern'!O165</f>
        <v>1156.6199999999999</v>
      </c>
      <c r="H165" s="39">
        <f>'Data entry Seestern'!R165</f>
        <v>5220</v>
      </c>
      <c r="I165" s="39">
        <f>'Data entry Seestern'!U165</f>
        <v>5220</v>
      </c>
      <c r="J165" s="39">
        <f>'Data entry Seestern'!X165</f>
        <v>5220</v>
      </c>
      <c r="K165" s="39">
        <f>'Data entry Seestern'!AA165</f>
        <v>5220</v>
      </c>
      <c r="L165" s="39">
        <f>'Data entry Seestern'!AD165</f>
        <v>5220</v>
      </c>
      <c r="M165" s="39">
        <f>'Data entry Seestern'!AG165</f>
        <v>5220</v>
      </c>
      <c r="N165" s="39">
        <f>'Data entry Seestern'!AJ165</f>
        <v>5220</v>
      </c>
      <c r="O165" s="39">
        <f>'Data entry Seestern'!AM165</f>
        <v>5220</v>
      </c>
    </row>
    <row r="166" spans="2:15" ht="14" x14ac:dyDescent="0.15">
      <c r="B166" s="38" t="s">
        <v>119</v>
      </c>
      <c r="C166" s="39">
        <f>'Data entry Seestern'!C166</f>
        <v>67822.9467</v>
      </c>
      <c r="D166" s="39">
        <f>'Data entry Seestern'!F166</f>
        <v>8861.6</v>
      </c>
      <c r="E166" s="39">
        <f>'Data entry Seestern'!I166</f>
        <v>4300.1099999999997</v>
      </c>
      <c r="F166" s="39">
        <f>'Data entry Seestern'!L166</f>
        <v>5743.74</v>
      </c>
      <c r="G166" s="39">
        <f>'Data entry Seestern'!O166</f>
        <v>4204.74</v>
      </c>
      <c r="H166" s="39">
        <f>'Data entry Seestern'!R166</f>
        <v>5443.9913999999999</v>
      </c>
      <c r="I166" s="39">
        <f>'Data entry Seestern'!U166</f>
        <v>4621.1841000000004</v>
      </c>
      <c r="J166" s="39">
        <f>'Data entry Seestern'!X166</f>
        <v>3082.5999000000002</v>
      </c>
      <c r="K166" s="39">
        <f>'Data entry Seestern'!AA166</f>
        <v>4206.1090000000004</v>
      </c>
      <c r="L166" s="39">
        <f>'Data entry Seestern'!AD166</f>
        <v>7140.7794000000004</v>
      </c>
      <c r="M166" s="39">
        <f>'Data entry Seestern'!AG166</f>
        <v>7969.0126</v>
      </c>
      <c r="N166" s="39">
        <f>'Data entry Seestern'!AJ166</f>
        <v>7562.0707000000002</v>
      </c>
      <c r="O166" s="39">
        <f>'Data entry Seestern'!AM166</f>
        <v>4687.0096000000003</v>
      </c>
    </row>
    <row r="168" spans="2:15" ht="14" x14ac:dyDescent="0.15">
      <c r="B168" s="33" t="s">
        <v>140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B4B8-810F-49E2-B1B2-D36ECE898176}">
  <sheetPr>
    <pageSetUpPr fitToPage="1"/>
  </sheetPr>
  <dimension ref="B2:AN168"/>
  <sheetViews>
    <sheetView workbookViewId="0">
      <pane xSplit="2" ySplit="10" topLeftCell="C125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139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12640595.4835</v>
      </c>
      <c r="D11" s="7">
        <v>1</v>
      </c>
      <c r="E11"/>
      <c r="F11" s="6">
        <v>1003836.87</v>
      </c>
      <c r="G11" s="7">
        <v>1</v>
      </c>
      <c r="H11"/>
      <c r="I11" s="6">
        <v>798268.88</v>
      </c>
      <c r="J11" s="7">
        <v>1</v>
      </c>
      <c r="K11"/>
      <c r="L11" s="6">
        <v>1148748.6499999999</v>
      </c>
      <c r="M11" s="7">
        <v>1</v>
      </c>
      <c r="N11"/>
      <c r="O11" s="6">
        <v>747189.72</v>
      </c>
      <c r="P11" s="7">
        <v>1</v>
      </c>
      <c r="Q11"/>
      <c r="R11" s="6">
        <v>1088798.2856999999</v>
      </c>
      <c r="S11" s="7">
        <v>1</v>
      </c>
      <c r="T11"/>
      <c r="U11" s="6">
        <v>924236.82770000002</v>
      </c>
      <c r="V11" s="7">
        <v>1</v>
      </c>
      <c r="W11"/>
      <c r="X11" s="6">
        <v>616519.98580000002</v>
      </c>
      <c r="Y11" s="7">
        <v>1</v>
      </c>
      <c r="Z11"/>
      <c r="AA11" s="6">
        <v>841221.80359999998</v>
      </c>
      <c r="AB11" s="7">
        <v>1</v>
      </c>
      <c r="AC11"/>
      <c r="AD11" s="6">
        <v>1428155.8858</v>
      </c>
      <c r="AE11" s="7">
        <v>1</v>
      </c>
      <c r="AF11"/>
      <c r="AG11" s="6">
        <v>1593802.5216999999</v>
      </c>
      <c r="AH11" s="7">
        <v>1</v>
      </c>
      <c r="AI11"/>
      <c r="AJ11" s="6">
        <v>1512414.1421000001</v>
      </c>
      <c r="AK11" s="7">
        <v>1</v>
      </c>
      <c r="AL11"/>
      <c r="AM11" s="6">
        <v>937401.91110000003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4575455.8912000004</v>
      </c>
      <c r="D12" s="7">
        <v>0.36196521999999998</v>
      </c>
      <c r="E12"/>
      <c r="F12" s="6">
        <v>380128.33</v>
      </c>
      <c r="G12" s="7">
        <v>0.3786754</v>
      </c>
      <c r="H12"/>
      <c r="I12" s="6">
        <v>373830.58</v>
      </c>
      <c r="J12" s="7">
        <v>0.46830158</v>
      </c>
      <c r="K12"/>
      <c r="L12" s="6">
        <v>393698.25</v>
      </c>
      <c r="M12" s="7">
        <v>0.34271922999999999</v>
      </c>
      <c r="N12"/>
      <c r="O12" s="6">
        <v>355498.25</v>
      </c>
      <c r="P12" s="7">
        <v>0.47578042999999998</v>
      </c>
      <c r="Q12"/>
      <c r="R12" s="6">
        <v>350236.96289999998</v>
      </c>
      <c r="S12" s="7">
        <v>0.32167296000000001</v>
      </c>
      <c r="T12"/>
      <c r="U12" s="6">
        <v>384031.41940000001</v>
      </c>
      <c r="V12" s="7">
        <v>0.41551191999999998</v>
      </c>
      <c r="W12"/>
      <c r="X12" s="6">
        <v>334953.56310000003</v>
      </c>
      <c r="Y12" s="7">
        <v>0.54329717</v>
      </c>
      <c r="Z12"/>
      <c r="AA12" s="6">
        <v>355922.24410000001</v>
      </c>
      <c r="AB12" s="7">
        <v>0.42310154</v>
      </c>
      <c r="AC12"/>
      <c r="AD12" s="6">
        <v>424078.85690000001</v>
      </c>
      <c r="AE12" s="7">
        <v>0.29694156999999999</v>
      </c>
      <c r="AF12"/>
      <c r="AG12" s="6">
        <v>418370.87439999997</v>
      </c>
      <c r="AH12" s="7">
        <v>0.26249855999999999</v>
      </c>
      <c r="AI12"/>
      <c r="AJ12" s="6">
        <v>429331.50319999998</v>
      </c>
      <c r="AK12" s="7">
        <v>0.28387164999999998</v>
      </c>
      <c r="AL12"/>
      <c r="AM12" s="6">
        <v>375375.05719999998</v>
      </c>
      <c r="AN12" s="7">
        <v>0.40044195999999999</v>
      </c>
    </row>
    <row r="13" spans="2:40" s="314" customFormat="1" ht="12.75" customHeight="1" x14ac:dyDescent="0.15">
      <c r="B13" s="5" t="s">
        <v>23</v>
      </c>
      <c r="C13" s="6">
        <v>3621737.8309999998</v>
      </c>
      <c r="D13" s="7">
        <v>0</v>
      </c>
      <c r="E13"/>
      <c r="F13" s="6">
        <v>250174.25</v>
      </c>
      <c r="G13" s="7">
        <v>0</v>
      </c>
      <c r="H13"/>
      <c r="I13" s="6">
        <v>96029.96</v>
      </c>
      <c r="J13" s="7">
        <v>0</v>
      </c>
      <c r="K13"/>
      <c r="L13" s="6">
        <v>390799.5</v>
      </c>
      <c r="M13" s="7">
        <v>0</v>
      </c>
      <c r="N13"/>
      <c r="O13" s="6">
        <v>82997.67</v>
      </c>
      <c r="P13" s="7">
        <v>0</v>
      </c>
      <c r="Q13"/>
      <c r="R13" s="6">
        <v>364755.87709999998</v>
      </c>
      <c r="S13" s="7">
        <v>0</v>
      </c>
      <c r="T13"/>
      <c r="U13" s="6">
        <v>208799.6587</v>
      </c>
      <c r="V13" s="7">
        <v>0</v>
      </c>
      <c r="W13"/>
      <c r="X13" s="6">
        <v>28270.582600000002</v>
      </c>
      <c r="Y13" s="7">
        <v>0</v>
      </c>
      <c r="Z13"/>
      <c r="AA13" s="6">
        <v>168667.83069999999</v>
      </c>
      <c r="AB13" s="7">
        <v>0</v>
      </c>
      <c r="AC13"/>
      <c r="AD13" s="6">
        <v>529259.40419999999</v>
      </c>
      <c r="AE13" s="7">
        <v>0</v>
      </c>
      <c r="AF13"/>
      <c r="AG13" s="6">
        <v>697437.24560000002</v>
      </c>
      <c r="AH13" s="7">
        <v>0</v>
      </c>
      <c r="AI13"/>
      <c r="AJ13" s="6">
        <v>602118.97560000001</v>
      </c>
      <c r="AK13" s="7">
        <v>0</v>
      </c>
      <c r="AL13"/>
      <c r="AM13" s="6">
        <v>202426.87650000001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95870</v>
      </c>
      <c r="D14" s="7">
        <v>0</v>
      </c>
      <c r="E14"/>
      <c r="F14" s="8">
        <v>8184</v>
      </c>
      <c r="G14" s="7">
        <v>0</v>
      </c>
      <c r="H14"/>
      <c r="I14" s="8">
        <v>7392</v>
      </c>
      <c r="J14" s="7">
        <v>0</v>
      </c>
      <c r="K14"/>
      <c r="L14" s="8">
        <v>8184</v>
      </c>
      <c r="M14" s="7">
        <v>0</v>
      </c>
      <c r="N14"/>
      <c r="O14" s="8">
        <v>7920</v>
      </c>
      <c r="P14" s="7">
        <v>0</v>
      </c>
      <c r="Q14"/>
      <c r="R14" s="8">
        <v>8122</v>
      </c>
      <c r="S14" s="7">
        <v>0</v>
      </c>
      <c r="T14"/>
      <c r="U14" s="8">
        <v>7860</v>
      </c>
      <c r="V14" s="7">
        <v>0</v>
      </c>
      <c r="W14"/>
      <c r="X14" s="8">
        <v>8122</v>
      </c>
      <c r="Y14" s="7">
        <v>0</v>
      </c>
      <c r="Z14"/>
      <c r="AA14" s="8">
        <v>8122</v>
      </c>
      <c r="AB14" s="7">
        <v>0</v>
      </c>
      <c r="AC14"/>
      <c r="AD14" s="8">
        <v>7860</v>
      </c>
      <c r="AE14" s="7">
        <v>0</v>
      </c>
      <c r="AF14"/>
      <c r="AG14" s="8">
        <v>8122</v>
      </c>
      <c r="AH14" s="7">
        <v>0</v>
      </c>
      <c r="AI14"/>
      <c r="AJ14" s="8">
        <v>7860</v>
      </c>
      <c r="AK14" s="7">
        <v>0</v>
      </c>
      <c r="AL14"/>
      <c r="AM14" s="8">
        <v>8122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56545</v>
      </c>
      <c r="D15" s="7">
        <v>0</v>
      </c>
      <c r="E15"/>
      <c r="F15" s="9">
        <v>4972</v>
      </c>
      <c r="G15" s="7">
        <v>0</v>
      </c>
      <c r="H15"/>
      <c r="I15" s="9">
        <v>3638</v>
      </c>
      <c r="J15" s="7">
        <v>0</v>
      </c>
      <c r="K15"/>
      <c r="L15" s="9">
        <v>5070</v>
      </c>
      <c r="M15" s="7">
        <v>0</v>
      </c>
      <c r="N15"/>
      <c r="O15" s="9">
        <v>3885</v>
      </c>
      <c r="P15" s="7">
        <v>0</v>
      </c>
      <c r="Q15"/>
      <c r="R15" s="9">
        <v>4716</v>
      </c>
      <c r="S15" s="7">
        <v>0</v>
      </c>
      <c r="T15"/>
      <c r="U15" s="9">
        <v>4301</v>
      </c>
      <c r="V15" s="7">
        <v>0</v>
      </c>
      <c r="W15"/>
      <c r="X15" s="9">
        <v>3350</v>
      </c>
      <c r="Y15" s="7">
        <v>0</v>
      </c>
      <c r="Z15"/>
      <c r="AA15" s="9">
        <v>4823</v>
      </c>
      <c r="AB15" s="7">
        <v>0</v>
      </c>
      <c r="AC15"/>
      <c r="AD15" s="9">
        <v>5960</v>
      </c>
      <c r="AE15" s="7">
        <v>0</v>
      </c>
      <c r="AF15"/>
      <c r="AG15" s="9">
        <v>5460</v>
      </c>
      <c r="AH15" s="7">
        <v>0</v>
      </c>
      <c r="AI15"/>
      <c r="AJ15" s="9">
        <v>5760</v>
      </c>
      <c r="AK15" s="7">
        <v>0</v>
      </c>
      <c r="AL15"/>
      <c r="AM15" s="9">
        <v>4610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59.006988630437</v>
      </c>
      <c r="D16" s="7">
        <v>0</v>
      </c>
      <c r="E16"/>
      <c r="F16" s="8">
        <v>60.813782991201997</v>
      </c>
      <c r="G16" s="7">
        <v>0</v>
      </c>
      <c r="H16"/>
      <c r="I16" s="8">
        <v>49.323593073593003</v>
      </c>
      <c r="J16" s="7">
        <v>0</v>
      </c>
      <c r="K16"/>
      <c r="L16" s="8">
        <v>61.974584555230003</v>
      </c>
      <c r="M16" s="7">
        <v>0</v>
      </c>
      <c r="N16"/>
      <c r="O16" s="8">
        <v>49.179292929292998</v>
      </c>
      <c r="P16" s="7">
        <v>0</v>
      </c>
      <c r="Q16"/>
      <c r="R16" s="8">
        <v>58.064516129032</v>
      </c>
      <c r="S16" s="7">
        <v>0</v>
      </c>
      <c r="T16"/>
      <c r="U16" s="8">
        <v>54.720101781170001</v>
      </c>
      <c r="V16" s="7">
        <v>0</v>
      </c>
      <c r="W16"/>
      <c r="X16" s="8">
        <v>41.245998522531004</v>
      </c>
      <c r="Y16" s="7">
        <v>0</v>
      </c>
      <c r="Z16"/>
      <c r="AA16" s="8">
        <v>59.381925634079998</v>
      </c>
      <c r="AB16" s="7">
        <v>0</v>
      </c>
      <c r="AC16"/>
      <c r="AD16" s="8">
        <v>75.826972010177997</v>
      </c>
      <c r="AE16" s="7">
        <v>0</v>
      </c>
      <c r="AF16"/>
      <c r="AG16" s="8">
        <v>67.224821472543994</v>
      </c>
      <c r="AH16" s="7">
        <v>0</v>
      </c>
      <c r="AI16"/>
      <c r="AJ16" s="8">
        <v>73.282442748091995</v>
      </c>
      <c r="AK16" s="7">
        <v>0</v>
      </c>
      <c r="AL16"/>
      <c r="AM16" s="8">
        <v>56.759418862349001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127.36617682731</v>
      </c>
      <c r="D17" s="7">
        <v>0</v>
      </c>
      <c r="E17"/>
      <c r="F17" s="9">
        <v>118.58885156879001</v>
      </c>
      <c r="G17" s="7">
        <v>0</v>
      </c>
      <c r="H17"/>
      <c r="I17" s="9">
        <v>107.13816382628001</v>
      </c>
      <c r="J17" s="7">
        <v>0</v>
      </c>
      <c r="K17"/>
      <c r="L17" s="9">
        <v>129.39076134122001</v>
      </c>
      <c r="M17" s="7">
        <v>0</v>
      </c>
      <c r="N17"/>
      <c r="O17" s="9">
        <v>98.936036036036</v>
      </c>
      <c r="P17" s="7">
        <v>0</v>
      </c>
      <c r="Q17"/>
      <c r="R17" s="9">
        <v>126.16722137405</v>
      </c>
      <c r="S17" s="7">
        <v>0</v>
      </c>
      <c r="T17"/>
      <c r="U17" s="9">
        <v>117.36388095792</v>
      </c>
      <c r="V17" s="7">
        <v>0</v>
      </c>
      <c r="W17"/>
      <c r="X17" s="9">
        <v>103.02985074627</v>
      </c>
      <c r="Y17" s="7">
        <v>0</v>
      </c>
      <c r="Z17"/>
      <c r="AA17" s="9">
        <v>113.28088963301001</v>
      </c>
      <c r="AB17" s="7">
        <v>0</v>
      </c>
      <c r="AC17"/>
      <c r="AD17" s="9">
        <v>130.05033557047</v>
      </c>
      <c r="AE17" s="7">
        <v>0</v>
      </c>
      <c r="AF17"/>
      <c r="AG17" s="9">
        <v>184.39377289377001</v>
      </c>
      <c r="AH17" s="7">
        <v>0</v>
      </c>
      <c r="AI17"/>
      <c r="AJ17" s="9">
        <v>153.91319444443999</v>
      </c>
      <c r="AK17" s="7">
        <v>0</v>
      </c>
      <c r="AL17"/>
      <c r="AM17" s="9">
        <v>113.32537960953999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74.183677883591997</v>
      </c>
      <c r="D18" s="7">
        <v>0</v>
      </c>
      <c r="E18"/>
      <c r="F18" s="6">
        <v>71.388040078201001</v>
      </c>
      <c r="G18" s="7">
        <v>0</v>
      </c>
      <c r="H18"/>
      <c r="I18" s="6">
        <v>51.698045183982998</v>
      </c>
      <c r="J18" s="7">
        <v>0</v>
      </c>
      <c r="K18"/>
      <c r="L18" s="6">
        <v>79.708037634408996</v>
      </c>
      <c r="M18" s="7">
        <v>0</v>
      </c>
      <c r="N18"/>
      <c r="O18" s="6">
        <v>47.868251262626003</v>
      </c>
      <c r="P18" s="7">
        <v>0</v>
      </c>
      <c r="Q18"/>
      <c r="R18" s="6">
        <v>72.088723959616004</v>
      </c>
      <c r="S18" s="7">
        <v>0</v>
      </c>
      <c r="T18"/>
      <c r="U18" s="6">
        <v>63.140210178117002</v>
      </c>
      <c r="V18" s="7">
        <v>0</v>
      </c>
      <c r="W18"/>
      <c r="X18" s="6">
        <v>41.633834031027</v>
      </c>
      <c r="Y18" s="7">
        <v>0</v>
      </c>
      <c r="Z18"/>
      <c r="AA18" s="6">
        <v>66.221833378477996</v>
      </c>
      <c r="AB18" s="7">
        <v>0</v>
      </c>
      <c r="AC18"/>
      <c r="AD18" s="6">
        <v>97.404580152671997</v>
      </c>
      <c r="AE18" s="7">
        <v>0</v>
      </c>
      <c r="AF18"/>
      <c r="AG18" s="6">
        <v>122.91184437331</v>
      </c>
      <c r="AH18" s="7">
        <v>0</v>
      </c>
      <c r="AI18"/>
      <c r="AJ18" s="6">
        <v>111.58269720102</v>
      </c>
      <c r="AK18" s="7">
        <v>0</v>
      </c>
      <c r="AL18"/>
      <c r="AM18" s="6">
        <v>63.460970204383003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131.85141841556</v>
      </c>
      <c r="D19" s="7">
        <v>0</v>
      </c>
      <c r="E19"/>
      <c r="F19" s="9">
        <v>122.65846407625</v>
      </c>
      <c r="G19" s="7">
        <v>0</v>
      </c>
      <c r="H19"/>
      <c r="I19" s="9">
        <v>107.99091991342</v>
      </c>
      <c r="J19" s="7">
        <v>0</v>
      </c>
      <c r="K19"/>
      <c r="L19" s="9">
        <v>140.36518206256</v>
      </c>
      <c r="M19" s="7">
        <v>0</v>
      </c>
      <c r="N19"/>
      <c r="O19" s="9">
        <v>94.342136363636001</v>
      </c>
      <c r="P19" s="7">
        <v>0</v>
      </c>
      <c r="Q19"/>
      <c r="R19" s="9">
        <v>134.05544024871</v>
      </c>
      <c r="S19" s="7">
        <v>0</v>
      </c>
      <c r="T19"/>
      <c r="U19" s="9">
        <v>117.58738265903</v>
      </c>
      <c r="V19" s="7">
        <v>0</v>
      </c>
      <c r="W19"/>
      <c r="X19" s="9">
        <v>75.907410219157995</v>
      </c>
      <c r="Y19" s="7">
        <v>0</v>
      </c>
      <c r="Z19"/>
      <c r="AA19" s="9">
        <v>103.57323363704</v>
      </c>
      <c r="AB19" s="7">
        <v>0</v>
      </c>
      <c r="AC19"/>
      <c r="AD19" s="9">
        <v>181.69922211196001</v>
      </c>
      <c r="AE19" s="7">
        <v>0</v>
      </c>
      <c r="AF19"/>
      <c r="AG19" s="9">
        <v>196.23276553804001</v>
      </c>
      <c r="AH19" s="7">
        <v>0</v>
      </c>
      <c r="AI19"/>
      <c r="AJ19" s="9">
        <v>192.41910204835</v>
      </c>
      <c r="AK19" s="7">
        <v>0</v>
      </c>
      <c r="AL19"/>
      <c r="AM19" s="9">
        <v>115.41515773208999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68225.440000000002</v>
      </c>
      <c r="D20" s="7">
        <v>0</v>
      </c>
      <c r="E20"/>
      <c r="F20" s="8">
        <v>5821</v>
      </c>
      <c r="G20" s="7">
        <v>0</v>
      </c>
      <c r="H20"/>
      <c r="I20" s="8">
        <v>4189</v>
      </c>
      <c r="J20" s="7">
        <v>0</v>
      </c>
      <c r="K20"/>
      <c r="L20" s="8">
        <v>5898</v>
      </c>
      <c r="M20" s="7">
        <v>0</v>
      </c>
      <c r="N20"/>
      <c r="O20" s="8">
        <v>4906</v>
      </c>
      <c r="P20" s="7">
        <v>0</v>
      </c>
      <c r="Q20"/>
      <c r="R20" s="8">
        <v>5347.19</v>
      </c>
      <c r="S20" s="7">
        <v>0</v>
      </c>
      <c r="T20"/>
      <c r="U20" s="8">
        <v>5572.65</v>
      </c>
      <c r="V20" s="7">
        <v>0</v>
      </c>
      <c r="W20"/>
      <c r="X20" s="8">
        <v>4556</v>
      </c>
      <c r="Y20" s="7">
        <v>0</v>
      </c>
      <c r="Z20"/>
      <c r="AA20" s="8">
        <v>5787.6</v>
      </c>
      <c r="AB20" s="7">
        <v>0</v>
      </c>
      <c r="AC20"/>
      <c r="AD20" s="8">
        <v>7152</v>
      </c>
      <c r="AE20" s="7">
        <v>0</v>
      </c>
      <c r="AF20"/>
      <c r="AG20" s="8">
        <v>6552</v>
      </c>
      <c r="AH20" s="7">
        <v>0</v>
      </c>
      <c r="AI20"/>
      <c r="AJ20" s="8">
        <v>6912</v>
      </c>
      <c r="AK20" s="7">
        <v>0</v>
      </c>
      <c r="AL20"/>
      <c r="AM20" s="8">
        <v>5532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1.2060357079724</v>
      </c>
      <c r="D21" s="7">
        <v>0</v>
      </c>
      <c r="E21"/>
      <c r="F21" s="9">
        <v>1.1695800683141999</v>
      </c>
      <c r="G21" s="7">
        <v>0</v>
      </c>
      <c r="H21"/>
      <c r="I21" s="9">
        <v>1.1489303346133</v>
      </c>
      <c r="J21" s="7">
        <v>0</v>
      </c>
      <c r="K21"/>
      <c r="L21" s="9">
        <v>1.1628548895899</v>
      </c>
      <c r="M21" s="7">
        <v>0</v>
      </c>
      <c r="N21"/>
      <c r="O21" s="9">
        <v>1.2595635430039001</v>
      </c>
      <c r="P21" s="7">
        <v>0</v>
      </c>
      <c r="Q21"/>
      <c r="R21" s="9">
        <v>1.1338401187447</v>
      </c>
      <c r="S21" s="7">
        <v>0</v>
      </c>
      <c r="T21"/>
      <c r="U21" s="9">
        <v>1.2956637991165001</v>
      </c>
      <c r="V21" s="7">
        <v>0</v>
      </c>
      <c r="W21"/>
      <c r="X21" s="9">
        <v>1.36</v>
      </c>
      <c r="Y21" s="7">
        <v>0</v>
      </c>
      <c r="Z21"/>
      <c r="AA21" s="9">
        <v>1.2</v>
      </c>
      <c r="AB21" s="7">
        <v>0</v>
      </c>
      <c r="AC21"/>
      <c r="AD21" s="9">
        <v>1.2</v>
      </c>
      <c r="AE21" s="7">
        <v>0</v>
      </c>
      <c r="AF21"/>
      <c r="AG21" s="9">
        <v>1.2</v>
      </c>
      <c r="AH21" s="7">
        <v>0</v>
      </c>
      <c r="AI21"/>
      <c r="AJ21" s="9">
        <v>1.2</v>
      </c>
      <c r="AK21" s="7">
        <v>0</v>
      </c>
      <c r="AL21"/>
      <c r="AM21" s="9">
        <v>1.2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110710.97319999999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12778.4967</v>
      </c>
      <c r="S22" s="7">
        <v>0</v>
      </c>
      <c r="T22"/>
      <c r="U22" s="8">
        <v>11792.302600000001</v>
      </c>
      <c r="V22" s="7">
        <v>0</v>
      </c>
      <c r="W22"/>
      <c r="X22" s="8">
        <v>10776.0203</v>
      </c>
      <c r="Y22" s="7">
        <v>0</v>
      </c>
      <c r="Z22"/>
      <c r="AA22" s="8">
        <v>13228.5394</v>
      </c>
      <c r="AB22" s="7">
        <v>0</v>
      </c>
      <c r="AC22"/>
      <c r="AD22" s="8">
        <v>16743.294099999999</v>
      </c>
      <c r="AE22" s="7">
        <v>0</v>
      </c>
      <c r="AF22"/>
      <c r="AG22" s="8">
        <v>16969.363600000001</v>
      </c>
      <c r="AH22" s="7">
        <v>0</v>
      </c>
      <c r="AI22"/>
      <c r="AJ22" s="8">
        <v>16479.459900000002</v>
      </c>
      <c r="AK22" s="7">
        <v>0</v>
      </c>
      <c r="AL22"/>
      <c r="AM22" s="8">
        <v>11943.4966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66.9358</v>
      </c>
      <c r="D23" s="7">
        <v>0</v>
      </c>
      <c r="E23"/>
      <c r="F23" s="8">
        <v>69.75</v>
      </c>
      <c r="G23" s="7">
        <v>0</v>
      </c>
      <c r="H23"/>
      <c r="I23" s="8">
        <v>69.72</v>
      </c>
      <c r="J23" s="7">
        <v>0</v>
      </c>
      <c r="K23"/>
      <c r="L23" s="8">
        <v>67.989999999999995</v>
      </c>
      <c r="M23" s="7">
        <v>0</v>
      </c>
      <c r="N23"/>
      <c r="O23" s="8">
        <v>64.67</v>
      </c>
      <c r="P23" s="7">
        <v>0</v>
      </c>
      <c r="Q23"/>
      <c r="R23" s="8">
        <v>59.2</v>
      </c>
      <c r="S23" s="7">
        <v>0</v>
      </c>
      <c r="T23"/>
      <c r="U23" s="8">
        <v>66.7</v>
      </c>
      <c r="V23" s="7">
        <v>0</v>
      </c>
      <c r="W23"/>
      <c r="X23" s="8">
        <v>66.7</v>
      </c>
      <c r="Y23" s="7">
        <v>0</v>
      </c>
      <c r="Z23"/>
      <c r="AA23" s="8">
        <v>67.7</v>
      </c>
      <c r="AB23" s="7">
        <v>0</v>
      </c>
      <c r="AC23"/>
      <c r="AD23" s="8">
        <v>67.7</v>
      </c>
      <c r="AE23" s="7">
        <v>0</v>
      </c>
      <c r="AF23"/>
      <c r="AG23" s="8">
        <v>67.7</v>
      </c>
      <c r="AH23" s="7">
        <v>0</v>
      </c>
      <c r="AI23"/>
      <c r="AJ23" s="8">
        <v>67.7</v>
      </c>
      <c r="AK23" s="7">
        <v>0</v>
      </c>
      <c r="AL23"/>
      <c r="AM23" s="8">
        <v>67.7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12640595.4835</v>
      </c>
      <c r="D27" s="327">
        <v>1</v>
      </c>
      <c r="E27"/>
      <c r="F27" s="326">
        <v>1003836.87</v>
      </c>
      <c r="G27" s="327">
        <v>1</v>
      </c>
      <c r="H27"/>
      <c r="I27" s="326">
        <v>798268.88</v>
      </c>
      <c r="J27" s="327">
        <v>1</v>
      </c>
      <c r="K27"/>
      <c r="L27" s="326">
        <v>1148748.6499999999</v>
      </c>
      <c r="M27" s="327">
        <v>1</v>
      </c>
      <c r="N27"/>
      <c r="O27" s="326">
        <v>747189.72</v>
      </c>
      <c r="P27" s="327">
        <v>1</v>
      </c>
      <c r="Q27"/>
      <c r="R27" s="326">
        <v>1088798.2856999999</v>
      </c>
      <c r="S27" s="327">
        <v>1</v>
      </c>
      <c r="T27"/>
      <c r="U27" s="326">
        <v>924236.82770000002</v>
      </c>
      <c r="V27" s="327">
        <v>1</v>
      </c>
      <c r="W27"/>
      <c r="X27" s="326">
        <v>616519.98580000002</v>
      </c>
      <c r="Y27" s="327">
        <v>1</v>
      </c>
      <c r="Z27"/>
      <c r="AA27" s="326">
        <v>841221.80359999998</v>
      </c>
      <c r="AB27" s="327">
        <v>1</v>
      </c>
      <c r="AC27"/>
      <c r="AD27" s="326">
        <v>1428155.8858</v>
      </c>
      <c r="AE27" s="327">
        <v>1</v>
      </c>
      <c r="AF27"/>
      <c r="AG27" s="326">
        <v>1593802.5216999999</v>
      </c>
      <c r="AH27" s="327">
        <v>1</v>
      </c>
      <c r="AI27"/>
      <c r="AJ27" s="326">
        <v>1512414.1421000001</v>
      </c>
      <c r="AK27" s="327">
        <v>1</v>
      </c>
      <c r="AL27"/>
      <c r="AM27" s="326">
        <v>937401.91110000003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7201920.4687000001</v>
      </c>
      <c r="D28" s="7">
        <v>0.56974535000000004</v>
      </c>
      <c r="E28"/>
      <c r="F28" s="8">
        <v>589623.77</v>
      </c>
      <c r="G28" s="7">
        <v>0.58737011000000006</v>
      </c>
      <c r="H28"/>
      <c r="I28" s="8">
        <v>389768.64</v>
      </c>
      <c r="J28" s="7">
        <v>0.48826735999999998</v>
      </c>
      <c r="K28"/>
      <c r="L28" s="8">
        <v>656011.16</v>
      </c>
      <c r="M28" s="7">
        <v>0.57106588000000003</v>
      </c>
      <c r="N28"/>
      <c r="O28" s="8">
        <v>384366.5</v>
      </c>
      <c r="P28" s="7">
        <v>0.51441619999999999</v>
      </c>
      <c r="Q28"/>
      <c r="R28" s="8">
        <v>595004.61600000004</v>
      </c>
      <c r="S28" s="7">
        <v>0.54647827999999998</v>
      </c>
      <c r="T28"/>
      <c r="U28" s="8">
        <v>504782.05200000003</v>
      </c>
      <c r="V28" s="7">
        <v>0.54616093999999993</v>
      </c>
      <c r="W28"/>
      <c r="X28" s="8">
        <v>345150</v>
      </c>
      <c r="Y28" s="7">
        <v>0.55983587000000001</v>
      </c>
      <c r="Z28"/>
      <c r="AA28" s="8">
        <v>546353.73069999996</v>
      </c>
      <c r="AB28" s="7">
        <v>0.64947642999999999</v>
      </c>
      <c r="AC28"/>
      <c r="AD28" s="8">
        <v>775100</v>
      </c>
      <c r="AE28" s="7">
        <v>0.54272787</v>
      </c>
      <c r="AF28"/>
      <c r="AG28" s="8">
        <v>1006790</v>
      </c>
      <c r="AH28" s="7">
        <v>0.63169056000000001</v>
      </c>
      <c r="AI28"/>
      <c r="AJ28" s="8">
        <v>886540</v>
      </c>
      <c r="AK28" s="7">
        <v>0.58617542</v>
      </c>
      <c r="AL28"/>
      <c r="AM28" s="8">
        <v>522430</v>
      </c>
      <c r="AN28" s="7">
        <v>0.55731697999999996</v>
      </c>
    </row>
    <row r="29" spans="2:40" s="314" customFormat="1" ht="12.75" customHeight="1" x14ac:dyDescent="0.15">
      <c r="B29" s="5" t="s">
        <v>36</v>
      </c>
      <c r="C29" s="8">
        <v>4975300.8547999999</v>
      </c>
      <c r="D29" s="7">
        <v>0.39359703000000001</v>
      </c>
      <c r="E29"/>
      <c r="F29" s="8">
        <v>386135.73</v>
      </c>
      <c r="G29" s="7">
        <v>0.38465983999999998</v>
      </c>
      <c r="H29"/>
      <c r="I29" s="8">
        <v>380720.41</v>
      </c>
      <c r="J29" s="7">
        <v>0.47693255000000001</v>
      </c>
      <c r="K29"/>
      <c r="L29" s="8">
        <v>452507.84</v>
      </c>
      <c r="M29" s="7">
        <v>0.39391370999999997</v>
      </c>
      <c r="N29"/>
      <c r="O29" s="8">
        <v>342480.51</v>
      </c>
      <c r="P29" s="7">
        <v>0.45835817000000001</v>
      </c>
      <c r="Q29"/>
      <c r="R29" s="8">
        <v>449499.14970000001</v>
      </c>
      <c r="S29" s="7">
        <v>0.41283968999999998</v>
      </c>
      <c r="T29"/>
      <c r="U29" s="8">
        <v>379856.55570000003</v>
      </c>
      <c r="V29" s="7">
        <v>0.41099482999999998</v>
      </c>
      <c r="W29"/>
      <c r="X29" s="8">
        <v>240375.98579999999</v>
      </c>
      <c r="Y29" s="7">
        <v>0.38989163999999998</v>
      </c>
      <c r="Z29"/>
      <c r="AA29" s="8">
        <v>254229.0129</v>
      </c>
      <c r="AB29" s="7">
        <v>0.30221400999999998</v>
      </c>
      <c r="AC29"/>
      <c r="AD29" s="8">
        <v>606477.68579999998</v>
      </c>
      <c r="AE29" s="7">
        <v>0.42465789999999998</v>
      </c>
      <c r="AF29"/>
      <c r="AG29" s="8">
        <v>536088.32169999997</v>
      </c>
      <c r="AH29" s="7">
        <v>0.33635806000000001</v>
      </c>
      <c r="AI29"/>
      <c r="AJ29" s="8">
        <v>573313.94209999999</v>
      </c>
      <c r="AK29" s="7">
        <v>0.37907205999999999</v>
      </c>
      <c r="AL29"/>
      <c r="AM29" s="8">
        <v>373615.71110000001</v>
      </c>
      <c r="AN29" s="7">
        <v>0.39856512999999999</v>
      </c>
    </row>
    <row r="30" spans="2:40" s="314" customFormat="1" ht="12.75" customHeight="1" x14ac:dyDescent="0.15">
      <c r="B30" s="5" t="s">
        <v>37</v>
      </c>
      <c r="C30" s="8">
        <v>295946.63</v>
      </c>
      <c r="D30" s="7">
        <v>2.34124E-2</v>
      </c>
      <c r="E30"/>
      <c r="F30" s="8">
        <v>18700.36</v>
      </c>
      <c r="G30" s="7">
        <v>1.862888E-2</v>
      </c>
      <c r="H30"/>
      <c r="I30" s="8">
        <v>19080.21</v>
      </c>
      <c r="J30" s="7">
        <v>2.390198E-2</v>
      </c>
      <c r="K30"/>
      <c r="L30" s="8">
        <v>19919.62</v>
      </c>
      <c r="M30" s="7">
        <v>1.734028E-2</v>
      </c>
      <c r="N30"/>
      <c r="O30" s="8">
        <v>19170.84</v>
      </c>
      <c r="P30" s="7">
        <v>2.5657260000000001E-2</v>
      </c>
      <c r="Q30"/>
      <c r="R30" s="8">
        <v>26567.52</v>
      </c>
      <c r="S30" s="7">
        <v>2.4400769999999999E-2</v>
      </c>
      <c r="T30"/>
      <c r="U30" s="8">
        <v>24401.22</v>
      </c>
      <c r="V30" s="7">
        <v>2.6401480000000001E-2</v>
      </c>
      <c r="W30"/>
      <c r="X30" s="8">
        <v>19437</v>
      </c>
      <c r="Y30" s="7">
        <v>3.152696E-2</v>
      </c>
      <c r="Z30"/>
      <c r="AA30" s="8">
        <v>27126.06</v>
      </c>
      <c r="AB30" s="7">
        <v>3.2246030000000002E-2</v>
      </c>
      <c r="AC30"/>
      <c r="AD30" s="8">
        <v>33061.199999999997</v>
      </c>
      <c r="AE30" s="7">
        <v>2.3149570000000001E-2</v>
      </c>
      <c r="AF30"/>
      <c r="AG30" s="8">
        <v>30451.200000000001</v>
      </c>
      <c r="AH30" s="7">
        <v>1.910601E-2</v>
      </c>
      <c r="AI30"/>
      <c r="AJ30" s="8">
        <v>32017.200000000001</v>
      </c>
      <c r="AK30" s="7">
        <v>2.11696E-2</v>
      </c>
      <c r="AL30"/>
      <c r="AM30" s="8">
        <v>26014.2</v>
      </c>
      <c r="AN30" s="7">
        <v>2.7751379999999999E-2</v>
      </c>
    </row>
    <row r="31" spans="2:40" s="314" customFormat="1" ht="12.75" customHeight="1" x14ac:dyDescent="0.15">
      <c r="B31" s="5" t="s">
        <v>38</v>
      </c>
      <c r="C31" s="8">
        <v>167427.53</v>
      </c>
      <c r="D31" s="7">
        <v>1.324522E-2</v>
      </c>
      <c r="E31"/>
      <c r="F31" s="8">
        <v>9377.01</v>
      </c>
      <c r="G31" s="7">
        <v>9.3411699999999993E-3</v>
      </c>
      <c r="H31"/>
      <c r="I31" s="8">
        <v>8699.6200000000008</v>
      </c>
      <c r="J31" s="7">
        <v>1.0898110000000001E-2</v>
      </c>
      <c r="K31"/>
      <c r="L31" s="8">
        <v>20310.03</v>
      </c>
      <c r="M31" s="7">
        <v>1.7680129999999999E-2</v>
      </c>
      <c r="N31"/>
      <c r="O31" s="8">
        <v>1171.8699999999999</v>
      </c>
      <c r="P31" s="7">
        <v>1.5683699999999999E-3</v>
      </c>
      <c r="Q31"/>
      <c r="R31" s="8">
        <v>17727</v>
      </c>
      <c r="S31" s="7">
        <v>1.6281250000000001E-2</v>
      </c>
      <c r="T31"/>
      <c r="U31" s="8">
        <v>15197</v>
      </c>
      <c r="V31" s="7">
        <v>1.6442760000000001E-2</v>
      </c>
      <c r="W31"/>
      <c r="X31" s="8">
        <v>11557</v>
      </c>
      <c r="Y31" s="7">
        <v>1.8745540000000002E-2</v>
      </c>
      <c r="Z31"/>
      <c r="AA31" s="8">
        <v>13513</v>
      </c>
      <c r="AB31" s="7">
        <v>1.6063540000000001E-2</v>
      </c>
      <c r="AC31"/>
      <c r="AD31" s="8">
        <v>13517</v>
      </c>
      <c r="AE31" s="7">
        <v>9.4646499999999998E-3</v>
      </c>
      <c r="AF31"/>
      <c r="AG31" s="8">
        <v>20473</v>
      </c>
      <c r="AH31" s="7">
        <v>1.284538E-2</v>
      </c>
      <c r="AI31"/>
      <c r="AJ31" s="8">
        <v>20543</v>
      </c>
      <c r="AK31" s="7">
        <v>1.358292E-2</v>
      </c>
      <c r="AL31"/>
      <c r="AM31" s="8">
        <v>15342</v>
      </c>
      <c r="AN31" s="7">
        <v>1.6366510000000001E-2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7201920.4687000001</v>
      </c>
      <c r="D34" s="327">
        <v>1</v>
      </c>
      <c r="E34"/>
      <c r="F34" s="326">
        <v>589623.77</v>
      </c>
      <c r="G34" s="327">
        <v>1</v>
      </c>
      <c r="H34"/>
      <c r="I34" s="326">
        <v>389768.64</v>
      </c>
      <c r="J34" s="327">
        <v>1</v>
      </c>
      <c r="K34"/>
      <c r="L34" s="326">
        <v>656011.16</v>
      </c>
      <c r="M34" s="327">
        <v>1</v>
      </c>
      <c r="N34"/>
      <c r="O34" s="326">
        <v>384366.5</v>
      </c>
      <c r="P34" s="327">
        <v>1</v>
      </c>
      <c r="Q34"/>
      <c r="R34" s="326">
        <v>595004.61600000004</v>
      </c>
      <c r="S34" s="327">
        <v>1</v>
      </c>
      <c r="T34"/>
      <c r="U34" s="326">
        <v>504782.05200000003</v>
      </c>
      <c r="V34" s="327">
        <v>1</v>
      </c>
      <c r="W34"/>
      <c r="X34" s="326">
        <v>345150</v>
      </c>
      <c r="Y34" s="327">
        <v>1</v>
      </c>
      <c r="Z34"/>
      <c r="AA34" s="326">
        <v>546353.73069999996</v>
      </c>
      <c r="AB34" s="327">
        <v>1</v>
      </c>
      <c r="AC34"/>
      <c r="AD34" s="326">
        <v>775100</v>
      </c>
      <c r="AE34" s="327">
        <v>1</v>
      </c>
      <c r="AF34"/>
      <c r="AG34" s="326">
        <v>1006790</v>
      </c>
      <c r="AH34" s="327">
        <v>1</v>
      </c>
      <c r="AI34"/>
      <c r="AJ34" s="326">
        <v>886540</v>
      </c>
      <c r="AK34" s="327">
        <v>1</v>
      </c>
      <c r="AL34"/>
      <c r="AM34" s="326">
        <v>522430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1574196.0567000001</v>
      </c>
      <c r="D35" s="7">
        <v>0.21858004</v>
      </c>
      <c r="E35"/>
      <c r="F35" s="8">
        <v>130345.11</v>
      </c>
      <c r="G35" s="7">
        <v>0.22106487999999999</v>
      </c>
      <c r="H35"/>
      <c r="I35" s="8">
        <v>103887.71</v>
      </c>
      <c r="J35" s="7">
        <v>0.26653685999999999</v>
      </c>
      <c r="K35"/>
      <c r="L35" s="8">
        <v>126554.47</v>
      </c>
      <c r="M35" s="7">
        <v>0.19291512</v>
      </c>
      <c r="N35"/>
      <c r="O35" s="8">
        <v>118093.67</v>
      </c>
      <c r="P35" s="7">
        <v>0.30724235999999999</v>
      </c>
      <c r="Q35"/>
      <c r="R35" s="8">
        <v>121250.8833</v>
      </c>
      <c r="S35" s="7">
        <v>0.20378141999999999</v>
      </c>
      <c r="T35"/>
      <c r="U35" s="8">
        <v>129672.1557</v>
      </c>
      <c r="V35" s="7">
        <v>0.25688740999999998</v>
      </c>
      <c r="W35"/>
      <c r="X35" s="8">
        <v>123007.1798</v>
      </c>
      <c r="Y35" s="7">
        <v>0.35638760000000003</v>
      </c>
      <c r="Z35"/>
      <c r="AA35" s="8">
        <v>138383.2493</v>
      </c>
      <c r="AB35" s="7">
        <v>0.25328508</v>
      </c>
      <c r="AC35"/>
      <c r="AD35" s="8">
        <v>151771.56150000001</v>
      </c>
      <c r="AE35" s="7">
        <v>0.19580901000000001</v>
      </c>
      <c r="AF35"/>
      <c r="AG35" s="8">
        <v>144857.65150000001</v>
      </c>
      <c r="AH35" s="7">
        <v>0.1438807</v>
      </c>
      <c r="AI35"/>
      <c r="AJ35" s="8">
        <v>152480.71419999999</v>
      </c>
      <c r="AK35" s="7">
        <v>0.17199529999999999</v>
      </c>
      <c r="AL35"/>
      <c r="AM35" s="8">
        <v>133891.70139999999</v>
      </c>
      <c r="AN35" s="7">
        <v>0.25628640000000003</v>
      </c>
    </row>
    <row r="36" spans="2:40" s="314" customFormat="1" ht="12.75" customHeight="1" x14ac:dyDescent="0.15">
      <c r="B36" s="5" t="s">
        <v>40</v>
      </c>
      <c r="C36" s="8">
        <v>1009670.0997</v>
      </c>
      <c r="D36" s="7">
        <v>0.14019456</v>
      </c>
      <c r="E36"/>
      <c r="F36" s="8">
        <v>80832.67</v>
      </c>
      <c r="G36" s="7">
        <v>0.13709194999999999</v>
      </c>
      <c r="H36"/>
      <c r="I36" s="8">
        <v>65823.22</v>
      </c>
      <c r="J36" s="7">
        <v>0.16887767000000001</v>
      </c>
      <c r="K36"/>
      <c r="L36" s="8">
        <v>82020.89</v>
      </c>
      <c r="M36" s="7">
        <v>0.12502972000000001</v>
      </c>
      <c r="N36"/>
      <c r="O36" s="8">
        <v>59545.09</v>
      </c>
      <c r="P36" s="7">
        <v>0.15491748</v>
      </c>
      <c r="Q36"/>
      <c r="R36" s="8">
        <v>83850.148400000005</v>
      </c>
      <c r="S36" s="7">
        <v>0.14092352999999999</v>
      </c>
      <c r="T36"/>
      <c r="U36" s="8">
        <v>73579.458100000003</v>
      </c>
      <c r="V36" s="7">
        <v>0.14576480999999999</v>
      </c>
      <c r="W36"/>
      <c r="X36" s="8">
        <v>55753.863100000002</v>
      </c>
      <c r="Y36" s="7">
        <v>0.16153517000000001</v>
      </c>
      <c r="Z36"/>
      <c r="AA36" s="8">
        <v>79576.237399999998</v>
      </c>
      <c r="AB36" s="7">
        <v>0.14564965999999999</v>
      </c>
      <c r="AC36"/>
      <c r="AD36" s="8">
        <v>106181.48510000001</v>
      </c>
      <c r="AE36" s="7">
        <v>0.13699069</v>
      </c>
      <c r="AF36"/>
      <c r="AG36" s="8">
        <v>129601.9865</v>
      </c>
      <c r="AH36" s="7">
        <v>0.12872792</v>
      </c>
      <c r="AI36"/>
      <c r="AJ36" s="8">
        <v>116406.117</v>
      </c>
      <c r="AK36" s="7">
        <v>0.13130385</v>
      </c>
      <c r="AL36"/>
      <c r="AM36" s="8">
        <v>76498.934099999999</v>
      </c>
      <c r="AN36" s="7">
        <v>0.14642906</v>
      </c>
    </row>
    <row r="37" spans="2:40" s="314" customFormat="1" ht="12.75" customHeight="1" x14ac:dyDescent="0.15">
      <c r="B37" s="325" t="s">
        <v>41</v>
      </c>
      <c r="C37" s="326">
        <v>4618054.3124000002</v>
      </c>
      <c r="D37" s="327">
        <v>0.64122540000000006</v>
      </c>
      <c r="E37"/>
      <c r="F37" s="326">
        <v>378445.99</v>
      </c>
      <c r="G37" s="327">
        <v>0.64184316999999991</v>
      </c>
      <c r="H37"/>
      <c r="I37" s="326">
        <v>220057.71</v>
      </c>
      <c r="J37" s="327">
        <v>0.56458547000000003</v>
      </c>
      <c r="K37"/>
      <c r="L37" s="326">
        <v>447435.8</v>
      </c>
      <c r="M37" s="327">
        <v>0.68205517000000004</v>
      </c>
      <c r="N37"/>
      <c r="O37" s="326">
        <v>206727.74</v>
      </c>
      <c r="P37" s="327">
        <v>0.53784016000000001</v>
      </c>
      <c r="Q37"/>
      <c r="R37" s="326">
        <v>389903.58429999999</v>
      </c>
      <c r="S37" s="327">
        <v>0.65529505999999993</v>
      </c>
      <c r="T37"/>
      <c r="U37" s="326">
        <v>301530.43819999998</v>
      </c>
      <c r="V37" s="327">
        <v>0.59734777999999999</v>
      </c>
      <c r="W37"/>
      <c r="X37" s="326">
        <v>166388.9571</v>
      </c>
      <c r="Y37" s="327">
        <v>0.48207723000000002</v>
      </c>
      <c r="Z37"/>
      <c r="AA37" s="326">
        <v>328394.24410000001</v>
      </c>
      <c r="AB37" s="327">
        <v>0.60106525</v>
      </c>
      <c r="AC37"/>
      <c r="AD37" s="326">
        <v>517146.9534</v>
      </c>
      <c r="AE37" s="327">
        <v>0.66720029999999997</v>
      </c>
      <c r="AF37"/>
      <c r="AG37" s="326">
        <v>732330.36199999996</v>
      </c>
      <c r="AH37" s="327">
        <v>0.72739136999999998</v>
      </c>
      <c r="AI37"/>
      <c r="AJ37" s="326">
        <v>617653.16879999998</v>
      </c>
      <c r="AK37" s="327">
        <v>0.69670085000000004</v>
      </c>
      <c r="AL37"/>
      <c r="AM37" s="326">
        <v>312039.36450000003</v>
      </c>
      <c r="AN37" s="327">
        <v>0.59728453999999997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2486295.8179000001</v>
      </c>
      <c r="D40" s="7">
        <v>0.49972772999999998</v>
      </c>
      <c r="E40"/>
      <c r="F40" s="8">
        <v>195897.48</v>
      </c>
      <c r="G40" s="7">
        <v>0.50732802999999993</v>
      </c>
      <c r="H40"/>
      <c r="I40" s="8">
        <v>180266.59</v>
      </c>
      <c r="J40" s="7">
        <v>0.47348812000000001</v>
      </c>
      <c r="K40"/>
      <c r="L40" s="8">
        <v>220504.22</v>
      </c>
      <c r="M40" s="7">
        <v>0.48729370000000011</v>
      </c>
      <c r="N40"/>
      <c r="O40" s="8">
        <v>163549.44</v>
      </c>
      <c r="P40" s="7">
        <v>0.47754379000000002</v>
      </c>
      <c r="Q40"/>
      <c r="R40" s="8">
        <v>230068.46410000001</v>
      </c>
      <c r="S40" s="7">
        <v>0.51183292000000002</v>
      </c>
      <c r="T40"/>
      <c r="U40" s="8">
        <v>187532.7114</v>
      </c>
      <c r="V40" s="7">
        <v>0.49369350000000001</v>
      </c>
      <c r="W40"/>
      <c r="X40" s="8">
        <v>107514.25169999999</v>
      </c>
      <c r="Y40" s="7">
        <v>0.44727534000000002</v>
      </c>
      <c r="Z40"/>
      <c r="AA40" s="8">
        <v>121732.81939999999</v>
      </c>
      <c r="AB40" s="7">
        <v>0.47883133999999999</v>
      </c>
      <c r="AC40"/>
      <c r="AD40" s="8">
        <v>317526.2353</v>
      </c>
      <c r="AE40" s="7">
        <v>0.52355799000000003</v>
      </c>
      <c r="AF40"/>
      <c r="AG40" s="8">
        <v>284407.5</v>
      </c>
      <c r="AH40" s="7">
        <v>0.53052359000000004</v>
      </c>
      <c r="AI40"/>
      <c r="AJ40" s="8">
        <v>281822.90509999997</v>
      </c>
      <c r="AK40" s="7">
        <v>0.49156820000000001</v>
      </c>
      <c r="AL40"/>
      <c r="AM40" s="8">
        <v>195473.2009</v>
      </c>
      <c r="AN40" s="7">
        <v>0.52319320000000002</v>
      </c>
    </row>
    <row r="41" spans="2:40" s="314" customFormat="1" ht="12.75" customHeight="1" x14ac:dyDescent="0.15">
      <c r="B41" s="5" t="s">
        <v>44</v>
      </c>
      <c r="C41" s="8">
        <v>1573845.9368</v>
      </c>
      <c r="D41" s="7">
        <v>0.31633180999999999</v>
      </c>
      <c r="E41"/>
      <c r="F41" s="8">
        <v>135653.25</v>
      </c>
      <c r="G41" s="7">
        <v>0.35130976000000003</v>
      </c>
      <c r="H41"/>
      <c r="I41" s="8">
        <v>123900.01</v>
      </c>
      <c r="J41" s="7">
        <v>0.32543569</v>
      </c>
      <c r="K41"/>
      <c r="L41" s="8">
        <v>149525.06</v>
      </c>
      <c r="M41" s="7">
        <v>0.33043640000000002</v>
      </c>
      <c r="N41"/>
      <c r="O41" s="8">
        <v>130489.34</v>
      </c>
      <c r="P41" s="7">
        <v>0.38101246000000011</v>
      </c>
      <c r="Q41"/>
      <c r="R41" s="8">
        <v>130980.68550000001</v>
      </c>
      <c r="S41" s="7">
        <v>0.29139250999999999</v>
      </c>
      <c r="T41"/>
      <c r="U41" s="8">
        <v>114273.8443</v>
      </c>
      <c r="V41" s="7">
        <v>0.3008342</v>
      </c>
      <c r="W41"/>
      <c r="X41" s="8">
        <v>83011.734100000001</v>
      </c>
      <c r="Y41" s="7">
        <v>0.34534121000000001</v>
      </c>
      <c r="Z41"/>
      <c r="AA41" s="8">
        <v>97646.193499999994</v>
      </c>
      <c r="AB41" s="7">
        <v>0.38408753000000001</v>
      </c>
      <c r="AC41"/>
      <c r="AD41" s="8">
        <v>167451.45050000001</v>
      </c>
      <c r="AE41" s="7">
        <v>0.27610488</v>
      </c>
      <c r="AF41"/>
      <c r="AG41" s="8">
        <v>152480.8217</v>
      </c>
      <c r="AH41" s="7">
        <v>0.28443227999999998</v>
      </c>
      <c r="AI41"/>
      <c r="AJ41" s="8">
        <v>171991.03700000001</v>
      </c>
      <c r="AK41" s="7">
        <v>0.29999450999999999</v>
      </c>
      <c r="AL41"/>
      <c r="AM41" s="8">
        <v>116442.5102</v>
      </c>
      <c r="AN41" s="7">
        <v>0.31166385000000002</v>
      </c>
    </row>
    <row r="42" spans="2:40" s="314" customFormat="1" ht="12.75" customHeight="1" x14ac:dyDescent="0.15">
      <c r="B42" s="5" t="s">
        <v>45</v>
      </c>
      <c r="C42" s="8">
        <v>915159.1</v>
      </c>
      <c r="D42" s="7">
        <v>0.18394045000000001</v>
      </c>
      <c r="E42"/>
      <c r="F42" s="8">
        <v>54585</v>
      </c>
      <c r="G42" s="7">
        <v>0.14136220999999999</v>
      </c>
      <c r="H42"/>
      <c r="I42" s="8">
        <v>76553.81</v>
      </c>
      <c r="J42" s="7">
        <v>0.20107618999999999</v>
      </c>
      <c r="K42"/>
      <c r="L42" s="8">
        <v>82478.559999999998</v>
      </c>
      <c r="M42" s="7">
        <v>0.18226990000000001</v>
      </c>
      <c r="N42"/>
      <c r="O42" s="8">
        <v>48441.73</v>
      </c>
      <c r="P42" s="7">
        <v>0.14144376</v>
      </c>
      <c r="Q42"/>
      <c r="R42" s="8">
        <v>88450</v>
      </c>
      <c r="S42" s="7">
        <v>0.19677457000000001</v>
      </c>
      <c r="T42"/>
      <c r="U42" s="8">
        <v>78050</v>
      </c>
      <c r="V42" s="7">
        <v>0.2054723</v>
      </c>
      <c r="W42"/>
      <c r="X42" s="8">
        <v>49850</v>
      </c>
      <c r="Y42" s="7">
        <v>0.20738344</v>
      </c>
      <c r="Z42"/>
      <c r="AA42" s="8">
        <v>34850</v>
      </c>
      <c r="AB42" s="7">
        <v>0.13708113</v>
      </c>
      <c r="AC42"/>
      <c r="AD42" s="8">
        <v>121500</v>
      </c>
      <c r="AE42" s="7">
        <v>0.20033713</v>
      </c>
      <c r="AF42"/>
      <c r="AG42" s="8">
        <v>99200</v>
      </c>
      <c r="AH42" s="7">
        <v>0.18504414</v>
      </c>
      <c r="AI42"/>
      <c r="AJ42" s="8">
        <v>119500</v>
      </c>
      <c r="AK42" s="7">
        <v>0.20843728</v>
      </c>
      <c r="AL42"/>
      <c r="AM42" s="8">
        <v>61700</v>
      </c>
      <c r="AN42" s="7">
        <v>0.16514295000000001</v>
      </c>
    </row>
    <row r="43" spans="2:40" s="314" customFormat="1" ht="12.75" customHeight="1" x14ac:dyDescent="0.15">
      <c r="B43" s="325" t="s">
        <v>36</v>
      </c>
      <c r="C43" s="326">
        <v>4975300.8547999999</v>
      </c>
      <c r="D43" s="327">
        <v>1</v>
      </c>
      <c r="E43"/>
      <c r="F43" s="326">
        <v>386135.73</v>
      </c>
      <c r="G43" s="327">
        <v>1</v>
      </c>
      <c r="H43"/>
      <c r="I43" s="326">
        <v>380720.41</v>
      </c>
      <c r="J43" s="327">
        <v>1</v>
      </c>
      <c r="K43"/>
      <c r="L43" s="326">
        <v>452507.84</v>
      </c>
      <c r="M43" s="327">
        <v>1</v>
      </c>
      <c r="N43"/>
      <c r="O43" s="326">
        <v>342480.51</v>
      </c>
      <c r="P43" s="327">
        <v>1</v>
      </c>
      <c r="Q43"/>
      <c r="R43" s="326">
        <v>449499.14970000001</v>
      </c>
      <c r="S43" s="327">
        <v>1</v>
      </c>
      <c r="T43"/>
      <c r="U43" s="326">
        <v>379856.55570000003</v>
      </c>
      <c r="V43" s="327">
        <v>1</v>
      </c>
      <c r="W43"/>
      <c r="X43" s="326">
        <v>240375.98579999999</v>
      </c>
      <c r="Y43" s="327">
        <v>1</v>
      </c>
      <c r="Z43"/>
      <c r="AA43" s="326">
        <v>254229.0129</v>
      </c>
      <c r="AB43" s="327">
        <v>1</v>
      </c>
      <c r="AC43"/>
      <c r="AD43" s="326">
        <v>606477.68579999998</v>
      </c>
      <c r="AE43" s="327">
        <v>1</v>
      </c>
      <c r="AF43"/>
      <c r="AG43" s="326">
        <v>536088.32169999997</v>
      </c>
      <c r="AH43" s="327">
        <v>1</v>
      </c>
      <c r="AI43"/>
      <c r="AJ43" s="326">
        <v>573313.94209999999</v>
      </c>
      <c r="AK43" s="327">
        <v>1</v>
      </c>
      <c r="AL43"/>
      <c r="AM43" s="326">
        <v>373615.71110000001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718022.35880000005</v>
      </c>
      <c r="D44" s="7">
        <v>0.28879200999999999</v>
      </c>
      <c r="E44"/>
      <c r="F44" s="8">
        <v>59039.12</v>
      </c>
      <c r="G44" s="7">
        <v>0.30137764</v>
      </c>
      <c r="H44"/>
      <c r="I44" s="8">
        <v>51676.38</v>
      </c>
      <c r="J44" s="7">
        <v>0.28666643000000003</v>
      </c>
      <c r="K44"/>
      <c r="L44" s="8">
        <v>65492.61</v>
      </c>
      <c r="M44" s="7">
        <v>0.29701295999999999</v>
      </c>
      <c r="N44"/>
      <c r="O44" s="8">
        <v>49866.78</v>
      </c>
      <c r="P44" s="7">
        <v>0.30490339999999999</v>
      </c>
      <c r="Q44"/>
      <c r="R44" s="8">
        <v>65314.904600000002</v>
      </c>
      <c r="S44" s="7">
        <v>0.28389333999999999</v>
      </c>
      <c r="T44"/>
      <c r="U44" s="8">
        <v>53235.144800000002</v>
      </c>
      <c r="V44" s="7">
        <v>0.28387125000000002</v>
      </c>
      <c r="W44"/>
      <c r="X44" s="8">
        <v>30834.638299999999</v>
      </c>
      <c r="Y44" s="7">
        <v>0.28679581999999998</v>
      </c>
      <c r="Z44"/>
      <c r="AA44" s="8">
        <v>34952.627099999998</v>
      </c>
      <c r="AB44" s="7">
        <v>0.28712575000000001</v>
      </c>
      <c r="AC44"/>
      <c r="AD44" s="8">
        <v>90243.808199999999</v>
      </c>
      <c r="AE44" s="7">
        <v>0.28420898</v>
      </c>
      <c r="AF44"/>
      <c r="AG44" s="8">
        <v>81079.375</v>
      </c>
      <c r="AH44" s="7">
        <v>0.28508169999999999</v>
      </c>
      <c r="AI44"/>
      <c r="AJ44" s="8">
        <v>80394.342499999999</v>
      </c>
      <c r="AK44" s="7">
        <v>0.28526547000000002</v>
      </c>
      <c r="AL44"/>
      <c r="AM44" s="8">
        <v>55892.628299999997</v>
      </c>
      <c r="AN44" s="7">
        <v>0.28593499</v>
      </c>
    </row>
    <row r="45" spans="2:40" s="314" customFormat="1" ht="12.75" customHeight="1" x14ac:dyDescent="0.15">
      <c r="B45" s="5" t="s">
        <v>47</v>
      </c>
      <c r="C45" s="8">
        <v>276035.87060000002</v>
      </c>
      <c r="D45" s="7">
        <v>0.17538938000000001</v>
      </c>
      <c r="E45"/>
      <c r="F45" s="8">
        <v>24377.439999999999</v>
      </c>
      <c r="G45" s="7">
        <v>0.17970406</v>
      </c>
      <c r="H45"/>
      <c r="I45" s="8">
        <v>22524.240000000002</v>
      </c>
      <c r="J45" s="7">
        <v>0.18179369000000001</v>
      </c>
      <c r="K45"/>
      <c r="L45" s="8">
        <v>26196.2</v>
      </c>
      <c r="M45" s="7">
        <v>0.17519604999999999</v>
      </c>
      <c r="N45"/>
      <c r="O45" s="8">
        <v>24714.71</v>
      </c>
      <c r="P45" s="7">
        <v>0.18940022000000001</v>
      </c>
      <c r="Q45"/>
      <c r="R45" s="8">
        <v>22582.287899999999</v>
      </c>
      <c r="S45" s="7">
        <v>0.17240929999999999</v>
      </c>
      <c r="T45"/>
      <c r="U45" s="8">
        <v>19652.531800000001</v>
      </c>
      <c r="V45" s="7">
        <v>0.17197751999999999</v>
      </c>
      <c r="W45"/>
      <c r="X45" s="8">
        <v>14228.954</v>
      </c>
      <c r="Y45" s="7">
        <v>0.17140895</v>
      </c>
      <c r="Z45"/>
      <c r="AA45" s="8">
        <v>16746.0458</v>
      </c>
      <c r="AB45" s="7">
        <v>0.17149717</v>
      </c>
      <c r="AC45"/>
      <c r="AD45" s="8">
        <v>28906.878799999999</v>
      </c>
      <c r="AE45" s="7">
        <v>0.17262842</v>
      </c>
      <c r="AF45"/>
      <c r="AG45" s="8">
        <v>26301.0988</v>
      </c>
      <c r="AH45" s="7">
        <v>0.17248790999999999</v>
      </c>
      <c r="AI45"/>
      <c r="AJ45" s="8">
        <v>29723.1836</v>
      </c>
      <c r="AK45" s="7">
        <v>0.17281821</v>
      </c>
      <c r="AL45"/>
      <c r="AM45" s="8">
        <v>20082.299900000002</v>
      </c>
      <c r="AN45" s="7">
        <v>0.17246536000000001</v>
      </c>
    </row>
    <row r="46" spans="2:40" s="314" customFormat="1" ht="12.75" customHeight="1" x14ac:dyDescent="0.15">
      <c r="B46" s="5" t="s">
        <v>48</v>
      </c>
      <c r="C46" s="8">
        <v>76041.72</v>
      </c>
      <c r="D46" s="7">
        <v>8.3091259999999986E-2</v>
      </c>
      <c r="E46"/>
      <c r="F46" s="8">
        <v>7235.53</v>
      </c>
      <c r="G46" s="7">
        <v>0.13255528</v>
      </c>
      <c r="H46"/>
      <c r="I46" s="8">
        <v>5362.96</v>
      </c>
      <c r="J46" s="7">
        <v>7.0054779999999997E-2</v>
      </c>
      <c r="K46"/>
      <c r="L46" s="8">
        <v>591.83000000000004</v>
      </c>
      <c r="M46" s="7">
        <v>7.1755600000000001E-3</v>
      </c>
      <c r="N46"/>
      <c r="O46" s="8">
        <v>2951.4</v>
      </c>
      <c r="P46" s="7">
        <v>6.0926809999999998E-2</v>
      </c>
      <c r="Q46"/>
      <c r="R46" s="8">
        <v>6700</v>
      </c>
      <c r="S46" s="7">
        <v>7.5749009999999992E-2</v>
      </c>
      <c r="T46"/>
      <c r="U46" s="8">
        <v>9325</v>
      </c>
      <c r="V46" s="7">
        <v>0.1194747</v>
      </c>
      <c r="W46"/>
      <c r="X46" s="8">
        <v>5475</v>
      </c>
      <c r="Y46" s="7">
        <v>0.10982949</v>
      </c>
      <c r="Z46"/>
      <c r="AA46" s="8">
        <v>3725</v>
      </c>
      <c r="AB46" s="7">
        <v>0.10688665999999999</v>
      </c>
      <c r="AC46"/>
      <c r="AD46" s="8">
        <v>12650</v>
      </c>
      <c r="AE46" s="7">
        <v>0.10411523</v>
      </c>
      <c r="AF46"/>
      <c r="AG46" s="8">
        <v>7750</v>
      </c>
      <c r="AH46" s="7">
        <v>7.8125E-2</v>
      </c>
      <c r="AI46"/>
      <c r="AJ46" s="8">
        <v>10550</v>
      </c>
      <c r="AK46" s="7">
        <v>8.8284520000000005E-2</v>
      </c>
      <c r="AL46"/>
      <c r="AM46" s="8">
        <v>3725</v>
      </c>
      <c r="AN46" s="7">
        <v>6.0372769999999992E-2</v>
      </c>
    </row>
    <row r="47" spans="2:40" s="314" customFormat="1" ht="12.75" customHeight="1" x14ac:dyDescent="0.15">
      <c r="B47" s="325" t="s">
        <v>49</v>
      </c>
      <c r="C47" s="326">
        <v>1070099.9494</v>
      </c>
      <c r="D47" s="327">
        <v>0.21508246</v>
      </c>
      <c r="E47"/>
      <c r="F47" s="326">
        <v>90652.09</v>
      </c>
      <c r="G47" s="327">
        <v>0.23476742</v>
      </c>
      <c r="H47"/>
      <c r="I47" s="326">
        <v>79563.58</v>
      </c>
      <c r="J47" s="327">
        <v>0.20898164999999999</v>
      </c>
      <c r="K47"/>
      <c r="L47" s="326">
        <v>92280.639999999999</v>
      </c>
      <c r="M47" s="327">
        <v>0.20393158</v>
      </c>
      <c r="N47"/>
      <c r="O47" s="326">
        <v>77532.89</v>
      </c>
      <c r="P47" s="327">
        <v>0.22638628</v>
      </c>
      <c r="Q47"/>
      <c r="R47" s="326">
        <v>94597.192500000005</v>
      </c>
      <c r="S47" s="327">
        <v>0.21045021</v>
      </c>
      <c r="T47"/>
      <c r="U47" s="326">
        <v>82212.676600000006</v>
      </c>
      <c r="V47" s="327">
        <v>0.21643085000000001</v>
      </c>
      <c r="W47"/>
      <c r="X47" s="326">
        <v>50538.592299999997</v>
      </c>
      <c r="Y47" s="327">
        <v>0.21024809</v>
      </c>
      <c r="Z47"/>
      <c r="AA47" s="326">
        <v>55423.672899999998</v>
      </c>
      <c r="AB47" s="327">
        <v>0.21800687999999999</v>
      </c>
      <c r="AC47"/>
      <c r="AD47" s="326">
        <v>131800.68700000001</v>
      </c>
      <c r="AE47" s="327">
        <v>0.21732157999999999</v>
      </c>
      <c r="AF47"/>
      <c r="AG47" s="326">
        <v>115130.47380000001</v>
      </c>
      <c r="AH47" s="327">
        <v>0.21476027</v>
      </c>
      <c r="AI47"/>
      <c r="AJ47" s="326">
        <v>120667.5261</v>
      </c>
      <c r="AK47" s="327">
        <v>0.21047373</v>
      </c>
      <c r="AL47"/>
      <c r="AM47" s="326">
        <v>79699.928199999995</v>
      </c>
      <c r="AN47" s="327">
        <v>0.2133206</v>
      </c>
    </row>
    <row r="48" spans="2:40" s="314" customFormat="1" ht="12.75" customHeight="1" x14ac:dyDescent="0.15">
      <c r="B48" s="5" t="s">
        <v>22</v>
      </c>
      <c r="C48" s="8">
        <v>2208825.3314999999</v>
      </c>
      <c r="D48" s="7">
        <v>0.44395814</v>
      </c>
      <c r="E48"/>
      <c r="F48" s="8">
        <v>188196.64</v>
      </c>
      <c r="G48" s="7">
        <v>0.48738468000000001</v>
      </c>
      <c r="H48"/>
      <c r="I48" s="8">
        <v>200222.63</v>
      </c>
      <c r="J48" s="7">
        <v>0.52590463999999992</v>
      </c>
      <c r="K48"/>
      <c r="L48" s="8">
        <v>197752.05</v>
      </c>
      <c r="M48" s="7">
        <v>0.43701352999999998</v>
      </c>
      <c r="N48"/>
      <c r="O48" s="8">
        <v>178095.89</v>
      </c>
      <c r="P48" s="7">
        <v>0.52001759000000003</v>
      </c>
      <c r="Q48"/>
      <c r="R48" s="8">
        <v>165218.19680000001</v>
      </c>
      <c r="S48" s="7">
        <v>0.36756063999999999</v>
      </c>
      <c r="T48"/>
      <c r="U48" s="8">
        <v>190739.25390000001</v>
      </c>
      <c r="V48" s="7">
        <v>0.50213494999999997</v>
      </c>
      <c r="W48"/>
      <c r="X48" s="8">
        <v>151768.7303</v>
      </c>
      <c r="Y48" s="7">
        <v>0.63138057999999997</v>
      </c>
      <c r="Z48"/>
      <c r="AA48" s="8">
        <v>156468.1807</v>
      </c>
      <c r="AB48" s="7">
        <v>0.61546153999999997</v>
      </c>
      <c r="AC48"/>
      <c r="AD48" s="8">
        <v>201618.67970000001</v>
      </c>
      <c r="AE48" s="7">
        <v>0.33244203999999999</v>
      </c>
      <c r="AF48"/>
      <c r="AG48" s="8">
        <v>196811.0385</v>
      </c>
      <c r="AH48" s="7">
        <v>0.36712428000000003</v>
      </c>
      <c r="AI48"/>
      <c r="AJ48" s="8">
        <v>201304.772</v>
      </c>
      <c r="AK48" s="7">
        <v>0.35112484999999999</v>
      </c>
      <c r="AL48"/>
      <c r="AM48" s="8">
        <v>180629.2696</v>
      </c>
      <c r="AN48" s="7">
        <v>0.48346272000000001</v>
      </c>
    </row>
    <row r="49" spans="2:40" s="314" customFormat="1" ht="12.75" customHeight="1" x14ac:dyDescent="0.15">
      <c r="B49" s="5" t="s">
        <v>40</v>
      </c>
      <c r="C49" s="8">
        <v>235838.21739999999</v>
      </c>
      <c r="D49" s="7">
        <v>4.7401799999999987E-2</v>
      </c>
      <c r="E49"/>
      <c r="F49" s="8">
        <v>21675.32</v>
      </c>
      <c r="G49" s="7">
        <v>5.6133940000000007E-2</v>
      </c>
      <c r="H49"/>
      <c r="I49" s="8">
        <v>8418.9699999999993</v>
      </c>
      <c r="J49" s="7">
        <v>2.2113259999999999E-2</v>
      </c>
      <c r="K49"/>
      <c r="L49" s="8">
        <v>12308.4</v>
      </c>
      <c r="M49" s="7">
        <v>2.7200410000000001E-2</v>
      </c>
      <c r="N49"/>
      <c r="O49" s="8">
        <v>17224.07</v>
      </c>
      <c r="P49" s="7">
        <v>5.0292120000000003E-2</v>
      </c>
      <c r="Q49"/>
      <c r="R49" s="8">
        <v>22939.220300000001</v>
      </c>
      <c r="S49" s="7">
        <v>5.1032840000000003E-2</v>
      </c>
      <c r="T49"/>
      <c r="U49" s="8">
        <v>21127.5324</v>
      </c>
      <c r="V49" s="7">
        <v>5.5619769999999999E-2</v>
      </c>
      <c r="W49"/>
      <c r="X49" s="8">
        <v>19529.617900000001</v>
      </c>
      <c r="Y49" s="7">
        <v>8.124613E-2</v>
      </c>
      <c r="Z49"/>
      <c r="AA49" s="8">
        <v>19799.553100000001</v>
      </c>
      <c r="AB49" s="7">
        <v>7.7880779999999997E-2</v>
      </c>
      <c r="AC49"/>
      <c r="AD49" s="8">
        <v>23936.464</v>
      </c>
      <c r="AE49" s="7">
        <v>3.9468000000000003E-2</v>
      </c>
      <c r="AF49"/>
      <c r="AG49" s="8">
        <v>24174.787899999999</v>
      </c>
      <c r="AH49" s="7">
        <v>4.5094790000000003E-2</v>
      </c>
      <c r="AI49"/>
      <c r="AJ49" s="8">
        <v>23572.279299999998</v>
      </c>
      <c r="AK49" s="7">
        <v>4.1115830000000013E-2</v>
      </c>
      <c r="AL49"/>
      <c r="AM49" s="8">
        <v>21132.002499999999</v>
      </c>
      <c r="AN49" s="7">
        <v>5.6560800000000001E-2</v>
      </c>
    </row>
    <row r="50" spans="2:40" s="314" customFormat="1" ht="12.75" customHeight="1" x14ac:dyDescent="0.15">
      <c r="B50" s="325" t="s">
        <v>41</v>
      </c>
      <c r="C50" s="326">
        <v>1460537.3563999999</v>
      </c>
      <c r="D50" s="327">
        <v>0.29355759999999997</v>
      </c>
      <c r="E50"/>
      <c r="F50" s="326">
        <v>85611.68</v>
      </c>
      <c r="G50" s="327">
        <v>0.22171395999999999</v>
      </c>
      <c r="H50"/>
      <c r="I50" s="326">
        <v>92515.23</v>
      </c>
      <c r="J50" s="327">
        <v>0.24300045000000001</v>
      </c>
      <c r="K50"/>
      <c r="L50" s="326">
        <v>150166.75</v>
      </c>
      <c r="M50" s="327">
        <v>0.33185447000000001</v>
      </c>
      <c r="N50"/>
      <c r="O50" s="326">
        <v>69627.66</v>
      </c>
      <c r="P50" s="327">
        <v>0.20330401000000001</v>
      </c>
      <c r="Q50"/>
      <c r="R50" s="326">
        <v>166744.54</v>
      </c>
      <c r="S50" s="327">
        <v>0.37095630000000002</v>
      </c>
      <c r="T50"/>
      <c r="U50" s="326">
        <v>85777.092900000003</v>
      </c>
      <c r="V50" s="327">
        <v>0.22581443000000001</v>
      </c>
      <c r="W50"/>
      <c r="X50" s="326">
        <v>18539.045300000002</v>
      </c>
      <c r="Y50" s="327">
        <v>7.7125199999999991E-2</v>
      </c>
      <c r="Z50"/>
      <c r="AA50" s="326">
        <v>22537.606100000001</v>
      </c>
      <c r="AB50" s="327">
        <v>8.8650800000000002E-2</v>
      </c>
      <c r="AC50"/>
      <c r="AD50" s="326">
        <v>249121.85509999999</v>
      </c>
      <c r="AE50" s="327">
        <v>0.41076837999999999</v>
      </c>
      <c r="AF50"/>
      <c r="AG50" s="326">
        <v>199972.0215</v>
      </c>
      <c r="AH50" s="327">
        <v>0.37302066000000011</v>
      </c>
      <c r="AI50"/>
      <c r="AJ50" s="326">
        <v>227769.36470000001</v>
      </c>
      <c r="AK50" s="327">
        <v>0.39728558000000003</v>
      </c>
      <c r="AL50"/>
      <c r="AM50" s="326">
        <v>92154.510800000004</v>
      </c>
      <c r="AN50" s="327">
        <v>0.24665587999999999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295946.63</v>
      </c>
      <c r="D53" s="7">
        <v>1</v>
      </c>
      <c r="E53"/>
      <c r="F53" s="8">
        <v>18700.36</v>
      </c>
      <c r="G53" s="7">
        <v>1</v>
      </c>
      <c r="H53"/>
      <c r="I53" s="8">
        <v>19080.21</v>
      </c>
      <c r="J53" s="7">
        <v>1</v>
      </c>
      <c r="K53"/>
      <c r="L53" s="8">
        <v>19919.62</v>
      </c>
      <c r="M53" s="7">
        <v>1</v>
      </c>
      <c r="N53"/>
      <c r="O53" s="8">
        <v>19170.84</v>
      </c>
      <c r="P53" s="7">
        <v>1</v>
      </c>
      <c r="Q53"/>
      <c r="R53" s="8">
        <v>26567.52</v>
      </c>
      <c r="S53" s="7">
        <v>1</v>
      </c>
      <c r="T53"/>
      <c r="U53" s="8">
        <v>24401.22</v>
      </c>
      <c r="V53" s="7">
        <v>1</v>
      </c>
      <c r="W53"/>
      <c r="X53" s="8">
        <v>19437</v>
      </c>
      <c r="Y53" s="7">
        <v>1</v>
      </c>
      <c r="Z53"/>
      <c r="AA53" s="8">
        <v>27126.06</v>
      </c>
      <c r="AB53" s="7">
        <v>1</v>
      </c>
      <c r="AC53"/>
      <c r="AD53" s="8">
        <v>33061.199999999997</v>
      </c>
      <c r="AE53" s="7">
        <v>1</v>
      </c>
      <c r="AF53"/>
      <c r="AG53" s="8">
        <v>30451.200000000001</v>
      </c>
      <c r="AH53" s="7">
        <v>1</v>
      </c>
      <c r="AI53"/>
      <c r="AJ53" s="8">
        <v>32017.200000000001</v>
      </c>
      <c r="AK53" s="7">
        <v>1</v>
      </c>
      <c r="AL53"/>
      <c r="AM53" s="8">
        <v>26014.2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5895.7120000000004</v>
      </c>
      <c r="D54" s="7">
        <v>1.9921540000000001E-2</v>
      </c>
      <c r="E54"/>
      <c r="F54" s="8">
        <v>191.5</v>
      </c>
      <c r="G54" s="7">
        <v>1.024044E-2</v>
      </c>
      <c r="H54"/>
      <c r="I54" s="8">
        <v>106.5</v>
      </c>
      <c r="J54" s="7">
        <v>5.5817000000000002E-3</v>
      </c>
      <c r="K54"/>
      <c r="L54" s="8">
        <v>596.27</v>
      </c>
      <c r="M54" s="7">
        <v>2.99338E-2</v>
      </c>
      <c r="N54"/>
      <c r="O54" s="8">
        <v>386.21</v>
      </c>
      <c r="P54" s="7">
        <v>2.0145699999999999E-2</v>
      </c>
      <c r="Q54"/>
      <c r="R54" s="8">
        <v>558.37440000000004</v>
      </c>
      <c r="S54" s="7">
        <v>2.101718E-2</v>
      </c>
      <c r="T54"/>
      <c r="U54" s="8">
        <v>509.23840000000001</v>
      </c>
      <c r="V54" s="7">
        <v>2.086938E-2</v>
      </c>
      <c r="W54"/>
      <c r="X54" s="8">
        <v>396.64</v>
      </c>
      <c r="Y54" s="7">
        <v>2.0406440000000001E-2</v>
      </c>
      <c r="Z54"/>
      <c r="AA54" s="8">
        <v>571.04319999999996</v>
      </c>
      <c r="AB54" s="7">
        <v>2.1051460000000001E-2</v>
      </c>
      <c r="AC54"/>
      <c r="AD54" s="8">
        <v>705.66399999999999</v>
      </c>
      <c r="AE54" s="7">
        <v>2.1344169999999999E-2</v>
      </c>
      <c r="AF54"/>
      <c r="AG54" s="8">
        <v>646.46400000000006</v>
      </c>
      <c r="AH54" s="7">
        <v>2.122951E-2</v>
      </c>
      <c r="AI54"/>
      <c r="AJ54" s="8">
        <v>681.98400000000004</v>
      </c>
      <c r="AK54" s="7">
        <v>2.1300550000000001E-2</v>
      </c>
      <c r="AL54"/>
      <c r="AM54" s="8">
        <v>545.82399999999996</v>
      </c>
      <c r="AN54" s="7">
        <v>2.098177E-2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1695.78</v>
      </c>
      <c r="D56" s="7">
        <v>5.7300199999999997E-3</v>
      </c>
      <c r="E56"/>
      <c r="F56" s="8">
        <v>0</v>
      </c>
      <c r="G56" s="7">
        <v>0</v>
      </c>
      <c r="H56"/>
      <c r="I56" s="8">
        <v>0</v>
      </c>
      <c r="J56" s="7">
        <v>0</v>
      </c>
      <c r="K56"/>
      <c r="L56" s="8">
        <v>1500.34</v>
      </c>
      <c r="M56" s="7">
        <v>7.5319709999999998E-2</v>
      </c>
      <c r="N56"/>
      <c r="O56" s="8">
        <v>195.44</v>
      </c>
      <c r="P56" s="7">
        <v>1.019465E-2</v>
      </c>
      <c r="Q56"/>
      <c r="R56" s="8">
        <v>0</v>
      </c>
      <c r="S56" s="7">
        <v>0</v>
      </c>
      <c r="T56"/>
      <c r="U56" s="8">
        <v>0</v>
      </c>
      <c r="V56" s="7">
        <v>0</v>
      </c>
      <c r="W56"/>
      <c r="X56" s="8">
        <v>0</v>
      </c>
      <c r="Y56" s="7">
        <v>0</v>
      </c>
      <c r="Z56"/>
      <c r="AA56" s="8">
        <v>0</v>
      </c>
      <c r="AB56" s="7">
        <v>0</v>
      </c>
      <c r="AC56"/>
      <c r="AD56" s="8">
        <v>0</v>
      </c>
      <c r="AE56" s="7">
        <v>0</v>
      </c>
      <c r="AF56"/>
      <c r="AG56" s="8">
        <v>0</v>
      </c>
      <c r="AH56" s="7">
        <v>0</v>
      </c>
      <c r="AI56"/>
      <c r="AJ56" s="8">
        <v>0</v>
      </c>
      <c r="AK56" s="7">
        <v>0</v>
      </c>
      <c r="AL56"/>
      <c r="AM56" s="8">
        <v>0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288355.13799999998</v>
      </c>
      <c r="D57" s="327">
        <v>0.97434843999999998</v>
      </c>
      <c r="E57"/>
      <c r="F57" s="326">
        <v>18508.86</v>
      </c>
      <c r="G57" s="327">
        <v>0.98975955999999998</v>
      </c>
      <c r="H57"/>
      <c r="I57" s="326">
        <v>18973.71</v>
      </c>
      <c r="J57" s="327">
        <v>0.99441829999999998</v>
      </c>
      <c r="K57"/>
      <c r="L57" s="326">
        <v>17823.009999999998</v>
      </c>
      <c r="M57" s="327">
        <v>0.89474648999999995</v>
      </c>
      <c r="N57"/>
      <c r="O57" s="326">
        <v>18589.189999999999</v>
      </c>
      <c r="P57" s="327">
        <v>0.96965964999999998</v>
      </c>
      <c r="Q57"/>
      <c r="R57" s="326">
        <v>26009.1456</v>
      </c>
      <c r="S57" s="327">
        <v>0.97898281999999992</v>
      </c>
      <c r="T57"/>
      <c r="U57" s="326">
        <v>23891.981599999999</v>
      </c>
      <c r="V57" s="327">
        <v>0.97913061999999995</v>
      </c>
      <c r="W57"/>
      <c r="X57" s="326">
        <v>19040.36</v>
      </c>
      <c r="Y57" s="327">
        <v>0.97959355999999997</v>
      </c>
      <c r="Z57"/>
      <c r="AA57" s="326">
        <v>26555.016800000001</v>
      </c>
      <c r="AB57" s="327">
        <v>0.97894853999999998</v>
      </c>
      <c r="AC57"/>
      <c r="AD57" s="326">
        <v>32355.536</v>
      </c>
      <c r="AE57" s="327">
        <v>0.97865583</v>
      </c>
      <c r="AF57"/>
      <c r="AG57" s="326">
        <v>29804.736000000001</v>
      </c>
      <c r="AH57" s="327">
        <v>0.97877049000000005</v>
      </c>
      <c r="AI57"/>
      <c r="AJ57" s="326">
        <v>31335.216</v>
      </c>
      <c r="AK57" s="327">
        <v>0.97869945000000003</v>
      </c>
      <c r="AL57"/>
      <c r="AM57" s="326">
        <v>25468.376</v>
      </c>
      <c r="AN57" s="327">
        <v>0.97901822999999988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167427.53</v>
      </c>
      <c r="D60" s="327">
        <v>0.56573554999999998</v>
      </c>
      <c r="E60"/>
      <c r="F60" s="326">
        <v>9377.01</v>
      </c>
      <c r="G60" s="327">
        <v>0.50143473000000005</v>
      </c>
      <c r="H60"/>
      <c r="I60" s="326">
        <v>8699.6200000000008</v>
      </c>
      <c r="J60" s="327">
        <v>0.45594991000000001</v>
      </c>
      <c r="K60"/>
      <c r="L60" s="326">
        <v>20310.03</v>
      </c>
      <c r="M60" s="327">
        <v>1.0195992700000001</v>
      </c>
      <c r="N60"/>
      <c r="O60" s="326">
        <v>1171.8699999999999</v>
      </c>
      <c r="P60" s="327">
        <v>6.1127729999999998E-2</v>
      </c>
      <c r="Q60"/>
      <c r="R60" s="326">
        <v>17727</v>
      </c>
      <c r="S60" s="327">
        <v>0.66724331000000003</v>
      </c>
      <c r="T60"/>
      <c r="U60" s="326">
        <v>15197</v>
      </c>
      <c r="V60" s="327">
        <v>0.62279673000000002</v>
      </c>
      <c r="W60"/>
      <c r="X60" s="326">
        <v>11557</v>
      </c>
      <c r="Y60" s="327">
        <v>0.59458763999999997</v>
      </c>
      <c r="Z60"/>
      <c r="AA60" s="326">
        <v>13513</v>
      </c>
      <c r="AB60" s="327">
        <v>0.49815565000000001</v>
      </c>
      <c r="AC60"/>
      <c r="AD60" s="326">
        <v>13517</v>
      </c>
      <c r="AE60" s="327">
        <v>0.40884783000000002</v>
      </c>
      <c r="AF60"/>
      <c r="AG60" s="326">
        <v>20473</v>
      </c>
      <c r="AH60" s="327">
        <v>0.67232162000000006</v>
      </c>
      <c r="AI60"/>
      <c r="AJ60" s="326">
        <v>20543</v>
      </c>
      <c r="AK60" s="327">
        <v>0.64162388000000004</v>
      </c>
      <c r="AL60"/>
      <c r="AM60" s="326">
        <v>15342</v>
      </c>
      <c r="AN60" s="327">
        <v>0.58975482999999995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6534374.3367999997</v>
      </c>
      <c r="D63" s="327">
        <v>0.51693564000000003</v>
      </c>
      <c r="E63"/>
      <c r="F63" s="326">
        <v>491943.54</v>
      </c>
      <c r="G63" s="327">
        <v>0.49006323000000002</v>
      </c>
      <c r="H63"/>
      <c r="I63" s="326">
        <v>340246.27</v>
      </c>
      <c r="J63" s="327">
        <v>0.42623016000000002</v>
      </c>
      <c r="K63"/>
      <c r="L63" s="326">
        <v>635735.59</v>
      </c>
      <c r="M63" s="327">
        <v>0.55341574999999998</v>
      </c>
      <c r="N63"/>
      <c r="O63" s="326">
        <v>296116.46000000002</v>
      </c>
      <c r="P63" s="327">
        <v>0.39630692000000001</v>
      </c>
      <c r="Q63"/>
      <c r="R63" s="326">
        <v>600384.26989999996</v>
      </c>
      <c r="S63" s="327">
        <v>0.55141919000000006</v>
      </c>
      <c r="T63"/>
      <c r="U63" s="326">
        <v>426396.51270000002</v>
      </c>
      <c r="V63" s="327">
        <v>0.46134984000000001</v>
      </c>
      <c r="W63"/>
      <c r="X63" s="326">
        <v>215525.36240000001</v>
      </c>
      <c r="Y63" s="327">
        <v>0.34958373999999998</v>
      </c>
      <c r="Z63"/>
      <c r="AA63" s="326">
        <v>390999.86700000003</v>
      </c>
      <c r="AB63" s="327">
        <v>0.46479997000000001</v>
      </c>
      <c r="AC63"/>
      <c r="AD63" s="326">
        <v>812141.34450000001</v>
      </c>
      <c r="AE63" s="327">
        <v>0.56866435000000004</v>
      </c>
      <c r="AF63"/>
      <c r="AG63" s="326">
        <v>982580.11950000003</v>
      </c>
      <c r="AH63" s="327">
        <v>0.61650053999999999</v>
      </c>
      <c r="AI63"/>
      <c r="AJ63" s="326">
        <v>897300.74950000003</v>
      </c>
      <c r="AK63" s="327">
        <v>0.59329036999999996</v>
      </c>
      <c r="AL63"/>
      <c r="AM63" s="326">
        <v>445004.2513</v>
      </c>
      <c r="AN63" s="327">
        <v>0.47472087000000002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377239.6433</v>
      </c>
      <c r="D66" s="7">
        <v>2.9843499999999999E-2</v>
      </c>
      <c r="E66"/>
      <c r="F66" s="8">
        <v>31166.3</v>
      </c>
      <c r="G66" s="7">
        <v>3.1047180000000001E-2</v>
      </c>
      <c r="H66"/>
      <c r="I66" s="8">
        <v>34265.379999999997</v>
      </c>
      <c r="J66" s="7">
        <v>4.2924610000000002E-2</v>
      </c>
      <c r="K66"/>
      <c r="L66" s="8">
        <v>36896.839999999997</v>
      </c>
      <c r="M66" s="7">
        <v>3.2119160000000001E-2</v>
      </c>
      <c r="N66"/>
      <c r="O66" s="8">
        <v>31385.96</v>
      </c>
      <c r="P66" s="7">
        <v>4.2005340000000002E-2</v>
      </c>
      <c r="Q66"/>
      <c r="R66" s="8">
        <v>28929.037700000001</v>
      </c>
      <c r="S66" s="7">
        <v>2.656969E-2</v>
      </c>
      <c r="T66"/>
      <c r="U66" s="8">
        <v>31612.842400000001</v>
      </c>
      <c r="V66" s="7">
        <v>3.4204270000000002E-2</v>
      </c>
      <c r="W66"/>
      <c r="X66" s="8">
        <v>32339.380799999999</v>
      </c>
      <c r="Y66" s="7">
        <v>5.2454720000000003E-2</v>
      </c>
      <c r="Z66"/>
      <c r="AA66" s="8">
        <v>28759.1849</v>
      </c>
      <c r="AB66" s="7">
        <v>3.41874E-2</v>
      </c>
      <c r="AC66"/>
      <c r="AD66" s="8">
        <v>29851.383300000001</v>
      </c>
      <c r="AE66" s="7">
        <v>2.0902049999999998E-2</v>
      </c>
      <c r="AF66"/>
      <c r="AG66" s="8">
        <v>32803.953200000004</v>
      </c>
      <c r="AH66" s="7">
        <v>2.058219E-2</v>
      </c>
      <c r="AI66"/>
      <c r="AJ66" s="8">
        <v>31300.189699999999</v>
      </c>
      <c r="AK66" s="7">
        <v>2.0695519999999999E-2</v>
      </c>
      <c r="AL66"/>
      <c r="AM66" s="8">
        <v>27929.191299999999</v>
      </c>
      <c r="AN66" s="7">
        <v>2.9794250000000001E-2</v>
      </c>
    </row>
    <row r="67" spans="2:40" s="314" customFormat="1" ht="12.75" customHeight="1" x14ac:dyDescent="0.15">
      <c r="B67" s="5" t="s">
        <v>40</v>
      </c>
      <c r="C67" s="8">
        <v>300323.10340000002</v>
      </c>
      <c r="D67" s="7">
        <v>2.3758620000000001E-2</v>
      </c>
      <c r="E67"/>
      <c r="F67" s="8">
        <v>16371</v>
      </c>
      <c r="G67" s="7">
        <v>1.6308429999999999E-2</v>
      </c>
      <c r="H67"/>
      <c r="I67" s="8">
        <v>25117.26</v>
      </c>
      <c r="J67" s="7">
        <v>3.1464660000000012E-2</v>
      </c>
      <c r="K67"/>
      <c r="L67" s="8">
        <v>26249.91</v>
      </c>
      <c r="M67" s="7">
        <v>2.2850869999999999E-2</v>
      </c>
      <c r="N67"/>
      <c r="O67" s="8">
        <v>22462.33</v>
      </c>
      <c r="P67" s="7">
        <v>3.0062419999999999E-2</v>
      </c>
      <c r="Q67"/>
      <c r="R67" s="8">
        <v>25197.4205</v>
      </c>
      <c r="S67" s="7">
        <v>2.3142409999999999E-2</v>
      </c>
      <c r="T67"/>
      <c r="U67" s="8">
        <v>22616.963400000001</v>
      </c>
      <c r="V67" s="7">
        <v>2.447096E-2</v>
      </c>
      <c r="W67"/>
      <c r="X67" s="8">
        <v>17074.233800000002</v>
      </c>
      <c r="Y67" s="7">
        <v>2.7694529999999998E-2</v>
      </c>
      <c r="Z67"/>
      <c r="AA67" s="8">
        <v>22439.105</v>
      </c>
      <c r="AB67" s="7">
        <v>2.6674420000000001E-2</v>
      </c>
      <c r="AC67"/>
      <c r="AD67" s="8">
        <v>31284.371200000001</v>
      </c>
      <c r="AE67" s="7">
        <v>2.190543E-2</v>
      </c>
      <c r="AF67"/>
      <c r="AG67" s="8">
        <v>33883.493399999999</v>
      </c>
      <c r="AH67" s="7">
        <v>2.1259529999999999E-2</v>
      </c>
      <c r="AI67"/>
      <c r="AJ67" s="8">
        <v>34783.6132</v>
      </c>
      <c r="AK67" s="7">
        <v>2.299874E-2</v>
      </c>
      <c r="AL67"/>
      <c r="AM67" s="8">
        <v>22843.402900000001</v>
      </c>
      <c r="AN67" s="7">
        <v>2.4368850000000001E-2</v>
      </c>
    </row>
    <row r="68" spans="2:40" s="314" customFormat="1" ht="12.75" customHeight="1" x14ac:dyDescent="0.15">
      <c r="B68" s="325" t="s">
        <v>41</v>
      </c>
      <c r="C68" s="326">
        <v>-677562.74699999997</v>
      </c>
      <c r="D68" s="327">
        <v>-5.3602120000000003E-2</v>
      </c>
      <c r="E68"/>
      <c r="F68" s="326">
        <v>-47537.3</v>
      </c>
      <c r="G68" s="327">
        <v>-4.7355599999999998E-2</v>
      </c>
      <c r="H68"/>
      <c r="I68" s="326">
        <v>-59382.64</v>
      </c>
      <c r="J68" s="327">
        <v>-7.4389269999999993E-2</v>
      </c>
      <c r="K68"/>
      <c r="L68" s="326">
        <v>-63146.75</v>
      </c>
      <c r="M68" s="327">
        <v>-5.4970030000000003E-2</v>
      </c>
      <c r="N68"/>
      <c r="O68" s="326">
        <v>-53848.29</v>
      </c>
      <c r="P68" s="327">
        <v>-7.2067759999999995E-2</v>
      </c>
      <c r="Q68"/>
      <c r="R68" s="326">
        <v>-54126.458200000001</v>
      </c>
      <c r="S68" s="327">
        <v>-4.9712109999999997E-2</v>
      </c>
      <c r="T68"/>
      <c r="U68" s="326">
        <v>-54229.805899999999</v>
      </c>
      <c r="V68" s="327">
        <v>-5.8675230000000002E-2</v>
      </c>
      <c r="W68"/>
      <c r="X68" s="326">
        <v>-49413.614500000003</v>
      </c>
      <c r="Y68" s="327">
        <v>-8.0149250000000005E-2</v>
      </c>
      <c r="Z68"/>
      <c r="AA68" s="326">
        <v>-51198.29</v>
      </c>
      <c r="AB68" s="327">
        <v>-6.0861819999999997E-2</v>
      </c>
      <c r="AC68"/>
      <c r="AD68" s="326">
        <v>-61135.7546</v>
      </c>
      <c r="AE68" s="327">
        <v>-4.2807480000000002E-2</v>
      </c>
      <c r="AF68"/>
      <c r="AG68" s="326">
        <v>-66687.446599999996</v>
      </c>
      <c r="AH68" s="327">
        <v>-4.1841719999999999E-2</v>
      </c>
      <c r="AI68"/>
      <c r="AJ68" s="326">
        <v>-66083.803</v>
      </c>
      <c r="AK68" s="327">
        <v>-4.3694249999999997E-2</v>
      </c>
      <c r="AL68"/>
      <c r="AM68" s="326">
        <v>-50772.5942</v>
      </c>
      <c r="AN68" s="327">
        <v>-5.4163099999999999E-2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38012.22</v>
      </c>
      <c r="D71" s="7">
        <v>3.0071500000000001E-3</v>
      </c>
      <c r="E71"/>
      <c r="F71" s="8">
        <v>6995.84</v>
      </c>
      <c r="G71" s="7">
        <v>6.9691000000000006E-3</v>
      </c>
      <c r="H71"/>
      <c r="I71" s="8">
        <v>907.38</v>
      </c>
      <c r="J71" s="7">
        <v>1.1366799999999999E-3</v>
      </c>
      <c r="K71"/>
      <c r="L71" s="8">
        <v>2485.52</v>
      </c>
      <c r="M71" s="7">
        <v>2.1636799999999999E-3</v>
      </c>
      <c r="N71"/>
      <c r="O71" s="8">
        <v>10503.48</v>
      </c>
      <c r="P71" s="7">
        <v>1.405731E-2</v>
      </c>
      <c r="Q71"/>
      <c r="R71" s="8">
        <v>2140</v>
      </c>
      <c r="S71" s="7">
        <v>1.96547E-3</v>
      </c>
      <c r="T71"/>
      <c r="U71" s="8">
        <v>2140</v>
      </c>
      <c r="V71" s="7">
        <v>2.3154199999999999E-3</v>
      </c>
      <c r="W71"/>
      <c r="X71" s="8">
        <v>2140</v>
      </c>
      <c r="Y71" s="7">
        <v>3.4711E-3</v>
      </c>
      <c r="Z71"/>
      <c r="AA71" s="8">
        <v>2140</v>
      </c>
      <c r="AB71" s="7">
        <v>2.5439199999999999E-3</v>
      </c>
      <c r="AC71"/>
      <c r="AD71" s="8">
        <v>2140</v>
      </c>
      <c r="AE71" s="7">
        <v>1.49844E-3</v>
      </c>
      <c r="AF71"/>
      <c r="AG71" s="8">
        <v>2140</v>
      </c>
      <c r="AH71" s="7">
        <v>1.3427000000000001E-3</v>
      </c>
      <c r="AI71"/>
      <c r="AJ71" s="8">
        <v>2140</v>
      </c>
      <c r="AK71" s="7">
        <v>1.41496E-3</v>
      </c>
      <c r="AL71"/>
      <c r="AM71" s="8">
        <v>2140</v>
      </c>
      <c r="AN71" s="7">
        <v>2.28291E-3</v>
      </c>
    </row>
    <row r="72" spans="2:40" s="314" customFormat="1" ht="12.75" customHeight="1" x14ac:dyDescent="0.15">
      <c r="B72" s="5" t="s">
        <v>56</v>
      </c>
      <c r="C72" s="8">
        <v>184276.39</v>
      </c>
      <c r="D72" s="7">
        <v>1.457814E-2</v>
      </c>
      <c r="E72"/>
      <c r="F72" s="8">
        <v>12382.75</v>
      </c>
      <c r="G72" s="7">
        <v>1.233542E-2</v>
      </c>
      <c r="H72"/>
      <c r="I72" s="8">
        <v>11730.22</v>
      </c>
      <c r="J72" s="7">
        <v>1.4694570000000001E-2</v>
      </c>
      <c r="K72"/>
      <c r="L72" s="8">
        <v>18012.3</v>
      </c>
      <c r="M72" s="7">
        <v>1.5679930000000002E-2</v>
      </c>
      <c r="N72"/>
      <c r="O72" s="8">
        <v>11170</v>
      </c>
      <c r="P72" s="7">
        <v>1.494935E-2</v>
      </c>
      <c r="Q72"/>
      <c r="R72" s="8">
        <v>16737.39</v>
      </c>
      <c r="S72" s="7">
        <v>1.537235E-2</v>
      </c>
      <c r="T72"/>
      <c r="U72" s="8">
        <v>17719.39</v>
      </c>
      <c r="V72" s="7">
        <v>1.9171919999999999E-2</v>
      </c>
      <c r="W72"/>
      <c r="X72" s="8">
        <v>16087.39</v>
      </c>
      <c r="Y72" s="7">
        <v>2.6093870000000002E-2</v>
      </c>
      <c r="Z72"/>
      <c r="AA72" s="8">
        <v>16087.39</v>
      </c>
      <c r="AB72" s="7">
        <v>1.912384E-2</v>
      </c>
      <c r="AC72"/>
      <c r="AD72" s="8">
        <v>16087.39</v>
      </c>
      <c r="AE72" s="7">
        <v>1.1264450000000001E-2</v>
      </c>
      <c r="AF72"/>
      <c r="AG72" s="8">
        <v>16087.39</v>
      </c>
      <c r="AH72" s="7">
        <v>1.009372E-2</v>
      </c>
      <c r="AI72"/>
      <c r="AJ72" s="8">
        <v>16087.39</v>
      </c>
      <c r="AK72" s="7">
        <v>1.063689E-2</v>
      </c>
      <c r="AL72"/>
      <c r="AM72" s="8">
        <v>16087.39</v>
      </c>
      <c r="AN72" s="7">
        <v>1.7161679999999999E-2</v>
      </c>
    </row>
    <row r="73" spans="2:40" s="314" customFormat="1" ht="12.75" customHeight="1" x14ac:dyDescent="0.15">
      <c r="B73" s="5" t="s">
        <v>40</v>
      </c>
      <c r="C73" s="8">
        <v>4024.96</v>
      </c>
      <c r="D73" s="7">
        <v>3.1841999999999998E-4</v>
      </c>
      <c r="E73"/>
      <c r="F73" s="8">
        <v>166.24</v>
      </c>
      <c r="G73" s="7">
        <v>1.6559999999999999E-4</v>
      </c>
      <c r="H73"/>
      <c r="I73" s="8">
        <v>166.24</v>
      </c>
      <c r="J73" s="7">
        <v>2.0824999999999999E-4</v>
      </c>
      <c r="K73"/>
      <c r="L73" s="8">
        <v>166.24</v>
      </c>
      <c r="M73" s="7">
        <v>1.4470999999999999E-4</v>
      </c>
      <c r="N73"/>
      <c r="O73" s="8">
        <v>166.24</v>
      </c>
      <c r="P73" s="7">
        <v>2.2248999999999999E-4</v>
      </c>
      <c r="Q73"/>
      <c r="R73" s="8">
        <v>0</v>
      </c>
      <c r="S73" s="7">
        <v>0</v>
      </c>
      <c r="T73"/>
      <c r="U73" s="8">
        <v>1120</v>
      </c>
      <c r="V73" s="7">
        <v>1.21181E-3</v>
      </c>
      <c r="W73"/>
      <c r="X73" s="8">
        <v>0</v>
      </c>
      <c r="Y73" s="7">
        <v>0</v>
      </c>
      <c r="Z73"/>
      <c r="AA73" s="8">
        <v>0</v>
      </c>
      <c r="AB73" s="7">
        <v>0</v>
      </c>
      <c r="AC73"/>
      <c r="AD73" s="8">
        <v>1120</v>
      </c>
      <c r="AE73" s="7">
        <v>7.8423000000000002E-4</v>
      </c>
      <c r="AF73"/>
      <c r="AG73" s="8">
        <v>0</v>
      </c>
      <c r="AH73" s="7">
        <v>0</v>
      </c>
      <c r="AI73"/>
      <c r="AJ73" s="8">
        <v>0</v>
      </c>
      <c r="AK73" s="7">
        <v>0</v>
      </c>
      <c r="AL73"/>
      <c r="AM73" s="8">
        <v>1120</v>
      </c>
      <c r="AN73" s="7">
        <v>1.19479E-3</v>
      </c>
    </row>
    <row r="74" spans="2:40" s="314" customFormat="1" ht="12.75" customHeight="1" x14ac:dyDescent="0.15">
      <c r="B74" s="325" t="s">
        <v>41</v>
      </c>
      <c r="C74" s="326">
        <v>-226313.57</v>
      </c>
      <c r="D74" s="327">
        <v>-1.790371E-2</v>
      </c>
      <c r="E74"/>
      <c r="F74" s="326">
        <v>-19544.830000000002</v>
      </c>
      <c r="G74" s="327">
        <v>-1.9470129999999999E-2</v>
      </c>
      <c r="H74"/>
      <c r="I74" s="326">
        <v>-12803.84</v>
      </c>
      <c r="J74" s="327">
        <v>-1.603951E-2</v>
      </c>
      <c r="K74"/>
      <c r="L74" s="326">
        <v>-20664.060000000001</v>
      </c>
      <c r="M74" s="327">
        <v>-1.7988319999999999E-2</v>
      </c>
      <c r="N74"/>
      <c r="O74" s="326">
        <v>-21839.72</v>
      </c>
      <c r="P74" s="327">
        <v>-2.9229149999999999E-2</v>
      </c>
      <c r="Q74"/>
      <c r="R74" s="326">
        <v>-18877.39</v>
      </c>
      <c r="S74" s="327">
        <v>-1.733782E-2</v>
      </c>
      <c r="T74"/>
      <c r="U74" s="326">
        <v>-20979.39</v>
      </c>
      <c r="V74" s="327">
        <v>-2.2699150000000001E-2</v>
      </c>
      <c r="W74"/>
      <c r="X74" s="326">
        <v>-18227.39</v>
      </c>
      <c r="Y74" s="327">
        <v>-2.9564960000000001E-2</v>
      </c>
      <c r="Z74"/>
      <c r="AA74" s="326">
        <v>-18227.39</v>
      </c>
      <c r="AB74" s="327">
        <v>-2.1667760000000001E-2</v>
      </c>
      <c r="AC74"/>
      <c r="AD74" s="326">
        <v>-19347.39</v>
      </c>
      <c r="AE74" s="327">
        <v>-1.3547109999999999E-2</v>
      </c>
      <c r="AF74"/>
      <c r="AG74" s="326">
        <v>-18227.39</v>
      </c>
      <c r="AH74" s="327">
        <v>-1.1436419999999999E-2</v>
      </c>
      <c r="AI74"/>
      <c r="AJ74" s="326">
        <v>-18227.39</v>
      </c>
      <c r="AK74" s="327">
        <v>-1.2051849999999999E-2</v>
      </c>
      <c r="AL74"/>
      <c r="AM74" s="326">
        <v>-19347.39</v>
      </c>
      <c r="AN74" s="327">
        <v>-2.0639379999999999E-2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190711.1605</v>
      </c>
      <c r="D77" s="7">
        <v>1.50872E-2</v>
      </c>
      <c r="E77"/>
      <c r="F77" s="8">
        <v>12218.91</v>
      </c>
      <c r="G77" s="7">
        <v>1.2172209999999999E-2</v>
      </c>
      <c r="H77"/>
      <c r="I77" s="8">
        <v>15916.38</v>
      </c>
      <c r="J77" s="7">
        <v>1.9938620000000001E-2</v>
      </c>
      <c r="K77"/>
      <c r="L77" s="8">
        <v>17230.55</v>
      </c>
      <c r="M77" s="7">
        <v>1.4999409999999999E-2</v>
      </c>
      <c r="N77"/>
      <c r="O77" s="8">
        <v>11207.05</v>
      </c>
      <c r="P77" s="7">
        <v>1.4998930000000001E-2</v>
      </c>
      <c r="Q77"/>
      <c r="R77" s="8">
        <v>16331.9743</v>
      </c>
      <c r="S77" s="7">
        <v>1.4999999999999999E-2</v>
      </c>
      <c r="T77"/>
      <c r="U77" s="8">
        <v>13863.5524</v>
      </c>
      <c r="V77" s="7">
        <v>1.4999999999999999E-2</v>
      </c>
      <c r="W77"/>
      <c r="X77" s="8">
        <v>9247.7998000000007</v>
      </c>
      <c r="Y77" s="7">
        <v>1.4999999999999999E-2</v>
      </c>
      <c r="Z77"/>
      <c r="AA77" s="8">
        <v>12618.3271</v>
      </c>
      <c r="AB77" s="7">
        <v>1.4999999999999999E-2</v>
      </c>
      <c r="AC77"/>
      <c r="AD77" s="8">
        <v>21422.338299999999</v>
      </c>
      <c r="AE77" s="7">
        <v>1.4999999999999999E-2</v>
      </c>
      <c r="AF77"/>
      <c r="AG77" s="8">
        <v>23907.037799999998</v>
      </c>
      <c r="AH77" s="7">
        <v>1.4999999999999999E-2</v>
      </c>
      <c r="AI77"/>
      <c r="AJ77" s="8">
        <v>22686.212100000001</v>
      </c>
      <c r="AK77" s="7">
        <v>1.4999999999999999E-2</v>
      </c>
      <c r="AL77"/>
      <c r="AM77" s="8">
        <v>14061.028700000001</v>
      </c>
      <c r="AN77" s="7">
        <v>1.4999999999999999E-2</v>
      </c>
    </row>
    <row r="78" spans="2:40" s="314" customFormat="1" ht="12.75" customHeight="1" x14ac:dyDescent="0.15">
      <c r="B78" s="5" t="s">
        <v>40</v>
      </c>
      <c r="C78" s="8">
        <v>491840.65330000001</v>
      </c>
      <c r="D78" s="7">
        <v>3.8909609999999997E-2</v>
      </c>
      <c r="E78"/>
      <c r="F78" s="8">
        <v>42878.34</v>
      </c>
      <c r="G78" s="7">
        <v>4.2714450000000001E-2</v>
      </c>
      <c r="H78"/>
      <c r="I78" s="8">
        <v>30157.02</v>
      </c>
      <c r="J78" s="7">
        <v>3.7778020000000002E-2</v>
      </c>
      <c r="K78"/>
      <c r="L78" s="8">
        <v>29491.81</v>
      </c>
      <c r="M78" s="7">
        <v>2.567299E-2</v>
      </c>
      <c r="N78"/>
      <c r="O78" s="8">
        <v>27163.71</v>
      </c>
      <c r="P78" s="7">
        <v>3.6354499999999998E-2</v>
      </c>
      <c r="Q78"/>
      <c r="R78" s="8">
        <v>43431.266300000003</v>
      </c>
      <c r="S78" s="7">
        <v>3.9889180000000003E-2</v>
      </c>
      <c r="T78"/>
      <c r="U78" s="8">
        <v>38403.157399999996</v>
      </c>
      <c r="V78" s="7">
        <v>4.1551210000000012E-2</v>
      </c>
      <c r="W78"/>
      <c r="X78" s="8">
        <v>29218.6698</v>
      </c>
      <c r="Y78" s="7">
        <v>4.7392899999999988E-2</v>
      </c>
      <c r="Z78"/>
      <c r="AA78" s="8">
        <v>38031.193899999998</v>
      </c>
      <c r="AB78" s="7">
        <v>4.5209469999999988E-2</v>
      </c>
      <c r="AC78"/>
      <c r="AD78" s="8">
        <v>53702.730100000001</v>
      </c>
      <c r="AE78" s="7">
        <v>3.760285E-2</v>
      </c>
      <c r="AF78"/>
      <c r="AG78" s="8">
        <v>62335.972900000001</v>
      </c>
      <c r="AH78" s="7">
        <v>3.9111479999999997E-2</v>
      </c>
      <c r="AI78"/>
      <c r="AJ78" s="8">
        <v>57921.1204</v>
      </c>
      <c r="AK78" s="7">
        <v>3.8297129999999999E-2</v>
      </c>
      <c r="AL78"/>
      <c r="AM78" s="8">
        <v>39105.662499999999</v>
      </c>
      <c r="AN78" s="7">
        <v>4.1717069999999988E-2</v>
      </c>
    </row>
    <row r="79" spans="2:40" s="314" customFormat="1" ht="12.75" customHeight="1" x14ac:dyDescent="0.15">
      <c r="B79" s="325" t="s">
        <v>41</v>
      </c>
      <c r="C79" s="326">
        <v>-682551.81350000005</v>
      </c>
      <c r="D79" s="327">
        <v>-5.3996809999999999E-2</v>
      </c>
      <c r="E79"/>
      <c r="F79" s="326">
        <v>-55097.25</v>
      </c>
      <c r="G79" s="327">
        <v>-5.4886659999999997E-2</v>
      </c>
      <c r="H79"/>
      <c r="I79" s="326">
        <v>-46073.4</v>
      </c>
      <c r="J79" s="327">
        <v>-5.7716640000000007E-2</v>
      </c>
      <c r="K79"/>
      <c r="L79" s="326">
        <v>-46722.36</v>
      </c>
      <c r="M79" s="327">
        <v>-4.0672399999999997E-2</v>
      </c>
      <c r="N79"/>
      <c r="O79" s="326">
        <v>-38370.76</v>
      </c>
      <c r="P79" s="327">
        <v>-5.135344E-2</v>
      </c>
      <c r="Q79"/>
      <c r="R79" s="326">
        <v>-59763.2405</v>
      </c>
      <c r="S79" s="327">
        <v>-5.4889180000000003E-2</v>
      </c>
      <c r="T79"/>
      <c r="U79" s="326">
        <v>-52266.709799999997</v>
      </c>
      <c r="V79" s="327">
        <v>-5.6551209999999998E-2</v>
      </c>
      <c r="W79"/>
      <c r="X79" s="326">
        <v>-38466.469499999999</v>
      </c>
      <c r="Y79" s="327">
        <v>-6.2392899999999987E-2</v>
      </c>
      <c r="Z79"/>
      <c r="AA79" s="326">
        <v>-50649.521000000001</v>
      </c>
      <c r="AB79" s="327">
        <v>-6.0209469999999987E-2</v>
      </c>
      <c r="AC79"/>
      <c r="AD79" s="326">
        <v>-75125.068299999999</v>
      </c>
      <c r="AE79" s="327">
        <v>-5.260285E-2</v>
      </c>
      <c r="AF79"/>
      <c r="AG79" s="326">
        <v>-86243.010699999999</v>
      </c>
      <c r="AH79" s="327">
        <v>-5.4111480000000003E-2</v>
      </c>
      <c r="AI79"/>
      <c r="AJ79" s="326">
        <v>-80607.332500000004</v>
      </c>
      <c r="AK79" s="327">
        <v>-5.3297129999999998E-2</v>
      </c>
      <c r="AL79"/>
      <c r="AM79" s="326">
        <v>-53166.691200000001</v>
      </c>
      <c r="AN79" s="327">
        <v>-5.6717069999999987E-2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224483.69899999999</v>
      </c>
      <c r="D82" s="7">
        <v>1.7758949999999999E-2</v>
      </c>
      <c r="E82"/>
      <c r="F82" s="8">
        <v>18201.37</v>
      </c>
      <c r="G82" s="7">
        <v>1.81318E-2</v>
      </c>
      <c r="H82"/>
      <c r="I82" s="8">
        <v>19538.48</v>
      </c>
      <c r="J82" s="7">
        <v>2.4476060000000001E-2</v>
      </c>
      <c r="K82"/>
      <c r="L82" s="8">
        <v>15264.34</v>
      </c>
      <c r="M82" s="7">
        <v>1.3287800000000001E-2</v>
      </c>
      <c r="N82"/>
      <c r="O82" s="8">
        <v>16715.68</v>
      </c>
      <c r="P82" s="7">
        <v>2.23714E-2</v>
      </c>
      <c r="Q82"/>
      <c r="R82" s="8">
        <v>18506.870699999999</v>
      </c>
      <c r="S82" s="7">
        <v>1.6997519999999999E-2</v>
      </c>
      <c r="T82"/>
      <c r="U82" s="8">
        <v>18143.615000000002</v>
      </c>
      <c r="V82" s="7">
        <v>1.963092E-2</v>
      </c>
      <c r="W82"/>
      <c r="X82" s="8">
        <v>18590.472399999999</v>
      </c>
      <c r="Y82" s="7">
        <v>3.0153880000000001E-2</v>
      </c>
      <c r="Z82"/>
      <c r="AA82" s="8">
        <v>19693.302100000001</v>
      </c>
      <c r="AB82" s="7">
        <v>2.3410360000000002E-2</v>
      </c>
      <c r="AC82"/>
      <c r="AD82" s="8">
        <v>19414.894100000001</v>
      </c>
      <c r="AE82" s="7">
        <v>1.359438E-2</v>
      </c>
      <c r="AF82"/>
      <c r="AG82" s="8">
        <v>19991.193299999999</v>
      </c>
      <c r="AH82" s="7">
        <v>1.254308E-2</v>
      </c>
      <c r="AI82"/>
      <c r="AJ82" s="8">
        <v>21559.6152</v>
      </c>
      <c r="AK82" s="7">
        <v>1.42551E-2</v>
      </c>
      <c r="AL82"/>
      <c r="AM82" s="8">
        <v>18863.8662</v>
      </c>
      <c r="AN82" s="7">
        <v>2.0123559999999999E-2</v>
      </c>
    </row>
    <row r="83" spans="2:40" s="314" customFormat="1" ht="12.75" customHeight="1" x14ac:dyDescent="0.15">
      <c r="B83" s="5" t="s">
        <v>40</v>
      </c>
      <c r="C83" s="8">
        <v>272705.47639999999</v>
      </c>
      <c r="D83" s="7">
        <v>2.1573780000000001E-2</v>
      </c>
      <c r="E83"/>
      <c r="F83" s="8">
        <v>18788.54</v>
      </c>
      <c r="G83" s="7">
        <v>1.8716730000000001E-2</v>
      </c>
      <c r="H83"/>
      <c r="I83" s="8">
        <v>18154.95</v>
      </c>
      <c r="J83" s="7">
        <v>2.27429E-2</v>
      </c>
      <c r="K83"/>
      <c r="L83" s="8">
        <v>19875.580000000002</v>
      </c>
      <c r="M83" s="7">
        <v>1.7301939999999998E-2</v>
      </c>
      <c r="N83"/>
      <c r="O83" s="8">
        <v>13881.34</v>
      </c>
      <c r="P83" s="7">
        <v>1.8578069999999999E-2</v>
      </c>
      <c r="Q83"/>
      <c r="R83" s="8">
        <v>27863.633300000001</v>
      </c>
      <c r="S83" s="7">
        <v>2.5591180000000002E-2</v>
      </c>
      <c r="T83"/>
      <c r="U83" s="8">
        <v>23616.833299999998</v>
      </c>
      <c r="V83" s="7">
        <v>2.5552789999999999E-2</v>
      </c>
      <c r="W83"/>
      <c r="X83" s="8">
        <v>24181.833299999998</v>
      </c>
      <c r="Y83" s="7">
        <v>3.9223109999999999E-2</v>
      </c>
      <c r="Z83"/>
      <c r="AA83" s="8">
        <v>24863.633300000001</v>
      </c>
      <c r="AB83" s="7">
        <v>2.9556570000000001E-2</v>
      </c>
      <c r="AC83"/>
      <c r="AD83" s="8">
        <v>28966.833299999998</v>
      </c>
      <c r="AE83" s="7">
        <v>2.0282680000000001E-2</v>
      </c>
      <c r="AF83"/>
      <c r="AG83" s="8">
        <v>24181.833299999998</v>
      </c>
      <c r="AH83" s="7">
        <v>1.5172420000000001E-2</v>
      </c>
      <c r="AI83"/>
      <c r="AJ83" s="8">
        <v>24863.633300000001</v>
      </c>
      <c r="AK83" s="7">
        <v>1.6439700000000002E-2</v>
      </c>
      <c r="AL83"/>
      <c r="AM83" s="8">
        <v>23466.833299999998</v>
      </c>
      <c r="AN83" s="7">
        <v>2.5033909999999999E-2</v>
      </c>
    </row>
    <row r="84" spans="2:40" s="314" customFormat="1" ht="12.75" customHeight="1" x14ac:dyDescent="0.15">
      <c r="B84" s="325" t="s">
        <v>41</v>
      </c>
      <c r="C84" s="326">
        <v>-497189.17540000001</v>
      </c>
      <c r="D84" s="327">
        <v>-3.9332730000000003E-2</v>
      </c>
      <c r="E84"/>
      <c r="F84" s="326">
        <v>-36989.910000000003</v>
      </c>
      <c r="G84" s="327">
        <v>-3.6848529999999997E-2</v>
      </c>
      <c r="H84"/>
      <c r="I84" s="326">
        <v>-37693.43</v>
      </c>
      <c r="J84" s="327">
        <v>-4.7218959999999997E-2</v>
      </c>
      <c r="K84"/>
      <c r="L84" s="326">
        <v>-35139.919999999998</v>
      </c>
      <c r="M84" s="327">
        <v>-3.0589740000000001E-2</v>
      </c>
      <c r="N84"/>
      <c r="O84" s="326">
        <v>-30597.02</v>
      </c>
      <c r="P84" s="327">
        <v>-4.0949470000000002E-2</v>
      </c>
      <c r="Q84"/>
      <c r="R84" s="326">
        <v>-46370.504000000001</v>
      </c>
      <c r="S84" s="327">
        <v>-4.25887E-2</v>
      </c>
      <c r="T84"/>
      <c r="U84" s="326">
        <v>-41760.448299999996</v>
      </c>
      <c r="V84" s="327">
        <v>-4.5183710000000002E-2</v>
      </c>
      <c r="W84"/>
      <c r="X84" s="326">
        <v>-42772.305699999997</v>
      </c>
      <c r="Y84" s="327">
        <v>-6.9377000000000008E-2</v>
      </c>
      <c r="Z84"/>
      <c r="AA84" s="326">
        <v>-44556.935400000002</v>
      </c>
      <c r="AB84" s="327">
        <v>-5.2966930000000002E-2</v>
      </c>
      <c r="AC84"/>
      <c r="AD84" s="326">
        <v>-48381.727400000003</v>
      </c>
      <c r="AE84" s="327">
        <v>-3.3877060000000001E-2</v>
      </c>
      <c r="AF84"/>
      <c r="AG84" s="326">
        <v>-44173.026599999997</v>
      </c>
      <c r="AH84" s="327">
        <v>-2.7715500000000001E-2</v>
      </c>
      <c r="AI84"/>
      <c r="AJ84" s="326">
        <v>-46423.248500000002</v>
      </c>
      <c r="AK84" s="327">
        <v>-3.0694800000000001E-2</v>
      </c>
      <c r="AL84"/>
      <c r="AM84" s="326">
        <v>-42330.699500000002</v>
      </c>
      <c r="AN84" s="327">
        <v>-4.5157470000000012E-2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-829019.2</v>
      </c>
      <c r="D87" s="327">
        <v>-6.5583870000000002E-2</v>
      </c>
      <c r="E87"/>
      <c r="F87" s="326">
        <v>-82600</v>
      </c>
      <c r="G87" s="327">
        <v>-8.2284289999999996E-2</v>
      </c>
      <c r="H87"/>
      <c r="I87" s="326">
        <v>-88263</v>
      </c>
      <c r="J87" s="327">
        <v>-0.11056800999999999</v>
      </c>
      <c r="K87"/>
      <c r="L87" s="326">
        <v>-79263</v>
      </c>
      <c r="M87" s="327">
        <v>-6.899943E-2</v>
      </c>
      <c r="N87"/>
      <c r="O87" s="326">
        <v>-68463</v>
      </c>
      <c r="P87" s="327">
        <v>-9.1627329999999993E-2</v>
      </c>
      <c r="Q87"/>
      <c r="R87" s="326">
        <v>-56490.8</v>
      </c>
      <c r="S87" s="327">
        <v>-5.1883619999999998E-2</v>
      </c>
      <c r="T87"/>
      <c r="U87" s="326">
        <v>-48360.5</v>
      </c>
      <c r="V87" s="327">
        <v>-5.2324790000000003E-2</v>
      </c>
      <c r="W87"/>
      <c r="X87" s="326">
        <v>-38375</v>
      </c>
      <c r="Y87" s="327">
        <v>-6.2244539999999987E-2</v>
      </c>
      <c r="Z87"/>
      <c r="AA87" s="326">
        <v>-57699.9</v>
      </c>
      <c r="AB87" s="327">
        <v>-6.8590590000000007E-2</v>
      </c>
      <c r="AC87"/>
      <c r="AD87" s="326">
        <v>-78892</v>
      </c>
      <c r="AE87" s="327">
        <v>-5.5240470000000007E-2</v>
      </c>
      <c r="AF87"/>
      <c r="AG87" s="326">
        <v>-69812</v>
      </c>
      <c r="AH87" s="327">
        <v>-4.380216E-2</v>
      </c>
      <c r="AI87"/>
      <c r="AJ87" s="326">
        <v>-83840</v>
      </c>
      <c r="AK87" s="327">
        <v>-5.5434549999999999E-2</v>
      </c>
      <c r="AL87"/>
      <c r="AM87" s="326">
        <v>-76960</v>
      </c>
      <c r="AN87" s="327">
        <v>-8.2099259999999993E-2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3621737.8309999998</v>
      </c>
      <c r="D89" s="327">
        <v>0.28651639000000001</v>
      </c>
      <c r="E89"/>
      <c r="F89" s="326">
        <v>250174.25</v>
      </c>
      <c r="G89" s="327">
        <v>0.24921803000000001</v>
      </c>
      <c r="H89"/>
      <c r="I89" s="326">
        <v>96029.96</v>
      </c>
      <c r="J89" s="327">
        <v>0.12029776</v>
      </c>
      <c r="K89"/>
      <c r="L89" s="326">
        <v>390799.5</v>
      </c>
      <c r="M89" s="327">
        <v>0.34019582999999998</v>
      </c>
      <c r="N89"/>
      <c r="O89" s="326">
        <v>82997.67</v>
      </c>
      <c r="P89" s="327">
        <v>0.11107978</v>
      </c>
      <c r="Q89"/>
      <c r="R89" s="326">
        <v>364755.87709999998</v>
      </c>
      <c r="S89" s="327">
        <v>0.33500775999999999</v>
      </c>
      <c r="T89"/>
      <c r="U89" s="326">
        <v>208799.6587</v>
      </c>
      <c r="V89" s="327">
        <v>0.22591575</v>
      </c>
      <c r="W89"/>
      <c r="X89" s="326">
        <v>28270.582600000002</v>
      </c>
      <c r="Y89" s="327">
        <v>4.5855100000000003E-2</v>
      </c>
      <c r="Z89"/>
      <c r="AA89" s="326">
        <v>168667.83069999999</v>
      </c>
      <c r="AB89" s="327">
        <v>0.2005034</v>
      </c>
      <c r="AC89"/>
      <c r="AD89" s="326">
        <v>529259.40419999999</v>
      </c>
      <c r="AE89" s="327">
        <v>0.37058938000000002</v>
      </c>
      <c r="AF89"/>
      <c r="AG89" s="326">
        <v>697437.24560000002</v>
      </c>
      <c r="AH89" s="327">
        <v>0.43759325999999998</v>
      </c>
      <c r="AI89"/>
      <c r="AJ89" s="326">
        <v>602118.97560000001</v>
      </c>
      <c r="AK89" s="327">
        <v>0.39811779000000003</v>
      </c>
      <c r="AL89"/>
      <c r="AM89" s="326">
        <v>202426.87650000001</v>
      </c>
      <c r="AN89" s="327">
        <v>0.21594459999999999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3699.8</v>
      </c>
      <c r="D97" s="327">
        <v>2.9269000000000002E-4</v>
      </c>
      <c r="E97"/>
      <c r="F97" s="326">
        <v>-534.66</v>
      </c>
      <c r="G97" s="327">
        <v>-5.3261999999999993E-4</v>
      </c>
      <c r="H97"/>
      <c r="I97" s="326">
        <v>4234.46</v>
      </c>
      <c r="J97" s="327">
        <v>5.3045499999999999E-3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3699.8</v>
      </c>
      <c r="D99" s="7">
        <v>2.9269000000000002E-4</v>
      </c>
      <c r="E99"/>
      <c r="F99" s="8">
        <v>-534.66</v>
      </c>
      <c r="G99" s="7">
        <v>-5.3261999999999993E-4</v>
      </c>
      <c r="H99"/>
      <c r="I99" s="8">
        <v>4234.46</v>
      </c>
      <c r="J99" s="7">
        <v>5.3045499999999999E-3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-3699.8</v>
      </c>
      <c r="D101" s="327">
        <v>-2.9269000000000002E-4</v>
      </c>
      <c r="E101"/>
      <c r="F101" s="326">
        <v>534.66</v>
      </c>
      <c r="G101" s="327">
        <v>5.3261999999999993E-4</v>
      </c>
      <c r="H101"/>
      <c r="I101" s="326">
        <v>-4234.46</v>
      </c>
      <c r="J101" s="327">
        <v>-5.3045499999999999E-3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3618038.031</v>
      </c>
      <c r="D103" s="327">
        <v>0.28622370000000003</v>
      </c>
      <c r="E103"/>
      <c r="F103" s="326">
        <v>250708.91</v>
      </c>
      <c r="G103" s="327">
        <v>0.24975064999999999</v>
      </c>
      <c r="H103"/>
      <c r="I103" s="326">
        <v>91795.5</v>
      </c>
      <c r="J103" s="327">
        <v>0.11499321</v>
      </c>
      <c r="K103"/>
      <c r="L103" s="326">
        <v>390799.5</v>
      </c>
      <c r="M103" s="327">
        <v>0.34019582999999998</v>
      </c>
      <c r="N103"/>
      <c r="O103" s="326">
        <v>82997.67</v>
      </c>
      <c r="P103" s="327">
        <v>0.11107978</v>
      </c>
      <c r="Q103"/>
      <c r="R103" s="326">
        <v>364755.87709999998</v>
      </c>
      <c r="S103" s="327">
        <v>0.33500775999999999</v>
      </c>
      <c r="T103"/>
      <c r="U103" s="326">
        <v>208799.6587</v>
      </c>
      <c r="V103" s="327">
        <v>0.22591575</v>
      </c>
      <c r="W103"/>
      <c r="X103" s="326">
        <v>28270.582600000002</v>
      </c>
      <c r="Y103" s="327">
        <v>4.5855100000000003E-2</v>
      </c>
      <c r="Z103"/>
      <c r="AA103" s="326">
        <v>168667.83069999999</v>
      </c>
      <c r="AB103" s="327">
        <v>0.2005034</v>
      </c>
      <c r="AC103"/>
      <c r="AD103" s="326">
        <v>529259.40419999999</v>
      </c>
      <c r="AE103" s="327">
        <v>0.37058938000000002</v>
      </c>
      <c r="AF103"/>
      <c r="AG103" s="326">
        <v>697437.24560000002</v>
      </c>
      <c r="AH103" s="327">
        <v>0.43759325999999998</v>
      </c>
      <c r="AI103"/>
      <c r="AJ103" s="326">
        <v>602118.97560000001</v>
      </c>
      <c r="AK103" s="327">
        <v>0.39811779000000003</v>
      </c>
      <c r="AL103"/>
      <c r="AM103" s="326">
        <v>202426.87650000001</v>
      </c>
      <c r="AN103" s="327">
        <v>0.21594459999999999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377676.28</v>
      </c>
      <c r="D105" s="327">
        <v>2.9878040000000002E-2</v>
      </c>
      <c r="E105"/>
      <c r="F105" s="326">
        <v>32605.33</v>
      </c>
      <c r="G105" s="327">
        <v>3.2480710000000003E-2</v>
      </c>
      <c r="H105"/>
      <c r="I105" s="326">
        <v>7605.33</v>
      </c>
      <c r="J105" s="327">
        <v>9.5272800000000008E-3</v>
      </c>
      <c r="K105"/>
      <c r="L105" s="326">
        <v>7605.33</v>
      </c>
      <c r="M105" s="327">
        <v>6.6205300000000003E-3</v>
      </c>
      <c r="N105"/>
      <c r="O105" s="326">
        <v>39326.129999999997</v>
      </c>
      <c r="P105" s="327">
        <v>5.263205E-2</v>
      </c>
      <c r="Q105"/>
      <c r="R105" s="326">
        <v>36316.769999999997</v>
      </c>
      <c r="S105" s="327">
        <v>3.3354910000000002E-2</v>
      </c>
      <c r="T105"/>
      <c r="U105" s="326">
        <v>36316.769999999997</v>
      </c>
      <c r="V105" s="327">
        <v>3.9293790000000002E-2</v>
      </c>
      <c r="W105"/>
      <c r="X105" s="326">
        <v>36316.769999999997</v>
      </c>
      <c r="Y105" s="327">
        <v>5.8906069999999998E-2</v>
      </c>
      <c r="Z105"/>
      <c r="AA105" s="326">
        <v>36316.769999999997</v>
      </c>
      <c r="AB105" s="327">
        <v>4.3171460000000002E-2</v>
      </c>
      <c r="AC105"/>
      <c r="AD105" s="326">
        <v>36316.769999999997</v>
      </c>
      <c r="AE105" s="327">
        <v>2.5429139999999999E-2</v>
      </c>
      <c r="AF105"/>
      <c r="AG105" s="326">
        <v>36316.769999999997</v>
      </c>
      <c r="AH105" s="327">
        <v>2.2786239999999999E-2</v>
      </c>
      <c r="AI105"/>
      <c r="AJ105" s="326">
        <v>36316.769999999997</v>
      </c>
      <c r="AK105" s="327">
        <v>2.4012450000000001E-2</v>
      </c>
      <c r="AL105"/>
      <c r="AM105" s="326">
        <v>36316.769999999997</v>
      </c>
      <c r="AN105" s="327">
        <v>3.8741940000000002E-2</v>
      </c>
    </row>
    <row r="106" spans="2:40" s="314" customFormat="1" ht="12.75" customHeight="1" x14ac:dyDescent="0.15">
      <c r="B106" s="5" t="s">
        <v>71</v>
      </c>
      <c r="C106" s="8">
        <v>71125.08</v>
      </c>
      <c r="D106" s="7">
        <v>5.6267199999999991E-3</v>
      </c>
      <c r="E106"/>
      <c r="F106" s="8">
        <v>2730.33</v>
      </c>
      <c r="G106" s="7">
        <v>2.71989E-3</v>
      </c>
      <c r="H106"/>
      <c r="I106" s="8">
        <v>2730.33</v>
      </c>
      <c r="J106" s="7">
        <v>3.4203100000000002E-3</v>
      </c>
      <c r="K106"/>
      <c r="L106" s="8">
        <v>2730.33</v>
      </c>
      <c r="M106" s="7">
        <v>2.3767900000000002E-3</v>
      </c>
      <c r="N106"/>
      <c r="O106" s="8">
        <v>34451.129999999997</v>
      </c>
      <c r="P106" s="7">
        <v>4.610761E-2</v>
      </c>
      <c r="Q106"/>
      <c r="R106" s="8">
        <v>3560.37</v>
      </c>
      <c r="S106" s="7">
        <v>3.2699999999999999E-3</v>
      </c>
      <c r="T106"/>
      <c r="U106" s="8">
        <v>3560.37</v>
      </c>
      <c r="V106" s="7">
        <v>3.8522299999999999E-3</v>
      </c>
      <c r="W106"/>
      <c r="X106" s="8">
        <v>3560.37</v>
      </c>
      <c r="Y106" s="7">
        <v>5.77495E-3</v>
      </c>
      <c r="Z106"/>
      <c r="AA106" s="8">
        <v>3560.37</v>
      </c>
      <c r="AB106" s="7">
        <v>4.23238E-3</v>
      </c>
      <c r="AC106"/>
      <c r="AD106" s="8">
        <v>3560.37</v>
      </c>
      <c r="AE106" s="7">
        <v>2.4929800000000001E-3</v>
      </c>
      <c r="AF106"/>
      <c r="AG106" s="8">
        <v>3560.37</v>
      </c>
      <c r="AH106" s="7">
        <v>2.2338800000000002E-3</v>
      </c>
      <c r="AI106"/>
      <c r="AJ106" s="8">
        <v>3560.37</v>
      </c>
      <c r="AK106" s="7">
        <v>2.3541E-3</v>
      </c>
      <c r="AL106"/>
      <c r="AM106" s="8">
        <v>3560.37</v>
      </c>
      <c r="AN106" s="7">
        <v>3.7981299999999998E-3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225000</v>
      </c>
      <c r="D108" s="7">
        <v>1.7799789999999999E-2</v>
      </c>
      <c r="E108"/>
      <c r="F108" s="8">
        <v>25000</v>
      </c>
      <c r="G108" s="7">
        <v>2.490444E-2</v>
      </c>
      <c r="H108"/>
      <c r="I108" s="8">
        <v>0</v>
      </c>
      <c r="J108" s="7">
        <v>0</v>
      </c>
      <c r="K108"/>
      <c r="L108" s="8">
        <v>0</v>
      </c>
      <c r="M108" s="7">
        <v>0</v>
      </c>
      <c r="N108"/>
      <c r="O108" s="8">
        <v>0</v>
      </c>
      <c r="P108" s="7">
        <v>0</v>
      </c>
      <c r="Q108"/>
      <c r="R108" s="8">
        <v>25000</v>
      </c>
      <c r="S108" s="7">
        <v>2.296109E-2</v>
      </c>
      <c r="T108"/>
      <c r="U108" s="8">
        <v>25000</v>
      </c>
      <c r="V108" s="7">
        <v>2.7049340000000002E-2</v>
      </c>
      <c r="W108"/>
      <c r="X108" s="8">
        <v>25000</v>
      </c>
      <c r="Y108" s="7">
        <v>4.055019E-2</v>
      </c>
      <c r="Z108"/>
      <c r="AA108" s="8">
        <v>25000</v>
      </c>
      <c r="AB108" s="7">
        <v>2.9718680000000001E-2</v>
      </c>
      <c r="AC108"/>
      <c r="AD108" s="8">
        <v>25000</v>
      </c>
      <c r="AE108" s="7">
        <v>1.7505090000000001E-2</v>
      </c>
      <c r="AF108"/>
      <c r="AG108" s="8">
        <v>25000</v>
      </c>
      <c r="AH108" s="7">
        <v>1.568576E-2</v>
      </c>
      <c r="AI108"/>
      <c r="AJ108" s="8">
        <v>25000</v>
      </c>
      <c r="AK108" s="7">
        <v>1.652986E-2</v>
      </c>
      <c r="AL108"/>
      <c r="AM108" s="8">
        <v>25000</v>
      </c>
      <c r="AN108" s="7">
        <v>2.6669459999999999E-2</v>
      </c>
    </row>
    <row r="109" spans="2:40" s="314" customFormat="1" ht="12.75" customHeight="1" x14ac:dyDescent="0.15">
      <c r="B109" s="5" t="s">
        <v>74</v>
      </c>
      <c r="C109" s="8">
        <v>23051.200000000001</v>
      </c>
      <c r="D109" s="7">
        <v>1.82358E-3</v>
      </c>
      <c r="E109"/>
      <c r="F109" s="8">
        <v>0</v>
      </c>
      <c r="G109" s="7">
        <v>0</v>
      </c>
      <c r="H109"/>
      <c r="I109" s="8">
        <v>0</v>
      </c>
      <c r="J109" s="7">
        <v>0</v>
      </c>
      <c r="K109"/>
      <c r="L109" s="8">
        <v>0</v>
      </c>
      <c r="M109" s="7">
        <v>0</v>
      </c>
      <c r="N109"/>
      <c r="O109" s="8">
        <v>0</v>
      </c>
      <c r="P109" s="7">
        <v>0</v>
      </c>
      <c r="Q109"/>
      <c r="R109" s="8">
        <v>2881.4</v>
      </c>
      <c r="S109" s="7">
        <v>2.6464000000000001E-3</v>
      </c>
      <c r="T109"/>
      <c r="U109" s="8">
        <v>2881.4</v>
      </c>
      <c r="V109" s="7">
        <v>3.1175999999999999E-3</v>
      </c>
      <c r="W109"/>
      <c r="X109" s="8">
        <v>2881.4</v>
      </c>
      <c r="Y109" s="7">
        <v>4.6736499999999997E-3</v>
      </c>
      <c r="Z109"/>
      <c r="AA109" s="8">
        <v>2881.4</v>
      </c>
      <c r="AB109" s="7">
        <v>3.4252599999999998E-3</v>
      </c>
      <c r="AC109"/>
      <c r="AD109" s="8">
        <v>2881.4</v>
      </c>
      <c r="AE109" s="7">
        <v>2.0175700000000002E-3</v>
      </c>
      <c r="AF109"/>
      <c r="AG109" s="8">
        <v>2881.4</v>
      </c>
      <c r="AH109" s="7">
        <v>1.80788E-3</v>
      </c>
      <c r="AI109"/>
      <c r="AJ109" s="8">
        <v>2881.4</v>
      </c>
      <c r="AK109" s="7">
        <v>1.9051700000000001E-3</v>
      </c>
      <c r="AL109"/>
      <c r="AM109" s="8">
        <v>2881.4</v>
      </c>
      <c r="AN109" s="7">
        <v>3.0738100000000002E-3</v>
      </c>
    </row>
    <row r="110" spans="2:40" s="314" customFormat="1" ht="12.75" customHeight="1" x14ac:dyDescent="0.15">
      <c r="B110" s="5" t="s">
        <v>75</v>
      </c>
      <c r="C110" s="8">
        <v>58500</v>
      </c>
      <c r="D110" s="7">
        <v>4.6279499999999996E-3</v>
      </c>
      <c r="E110"/>
      <c r="F110" s="8">
        <v>4875</v>
      </c>
      <c r="G110" s="7">
        <v>4.8563699999999996E-3</v>
      </c>
      <c r="H110"/>
      <c r="I110" s="8">
        <v>4875</v>
      </c>
      <c r="J110" s="7">
        <v>6.1069599999999998E-3</v>
      </c>
      <c r="K110"/>
      <c r="L110" s="8">
        <v>4875</v>
      </c>
      <c r="M110" s="7">
        <v>4.2437500000000001E-3</v>
      </c>
      <c r="N110"/>
      <c r="O110" s="8">
        <v>4875</v>
      </c>
      <c r="P110" s="7">
        <v>6.5244500000000002E-3</v>
      </c>
      <c r="Q110"/>
      <c r="R110" s="8">
        <v>4875</v>
      </c>
      <c r="S110" s="7">
        <v>4.4774100000000002E-3</v>
      </c>
      <c r="T110"/>
      <c r="U110" s="8">
        <v>4875</v>
      </c>
      <c r="V110" s="7">
        <v>5.2746199999999998E-3</v>
      </c>
      <c r="W110"/>
      <c r="X110" s="8">
        <v>4875</v>
      </c>
      <c r="Y110" s="7">
        <v>7.9072900000000008E-3</v>
      </c>
      <c r="Z110"/>
      <c r="AA110" s="8">
        <v>4875</v>
      </c>
      <c r="AB110" s="7">
        <v>5.7951399999999998E-3</v>
      </c>
      <c r="AC110"/>
      <c r="AD110" s="8">
        <v>4875</v>
      </c>
      <c r="AE110" s="7">
        <v>3.4134899999999999E-3</v>
      </c>
      <c r="AF110"/>
      <c r="AG110" s="8">
        <v>4875</v>
      </c>
      <c r="AH110" s="7">
        <v>3.05872E-3</v>
      </c>
      <c r="AI110"/>
      <c r="AJ110" s="8">
        <v>4875</v>
      </c>
      <c r="AK110" s="7">
        <v>3.22332E-3</v>
      </c>
      <c r="AL110"/>
      <c r="AM110" s="8">
        <v>4875</v>
      </c>
      <c r="AN110" s="7">
        <v>5.20054E-3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3240361.7510000002</v>
      </c>
      <c r="D121" s="327">
        <v>0.25634565999999998</v>
      </c>
      <c r="E121"/>
      <c r="F121" s="326">
        <v>218103.58</v>
      </c>
      <c r="G121" s="327">
        <v>0.21726993999999999</v>
      </c>
      <c r="H121"/>
      <c r="I121" s="326">
        <v>84190.17</v>
      </c>
      <c r="J121" s="327">
        <v>0.10546593</v>
      </c>
      <c r="K121"/>
      <c r="L121" s="326">
        <v>383194.17</v>
      </c>
      <c r="M121" s="327">
        <v>0.33357530000000002</v>
      </c>
      <c r="N121"/>
      <c r="O121" s="326">
        <v>43671.54</v>
      </c>
      <c r="P121" s="327">
        <v>5.8447730000000003E-2</v>
      </c>
      <c r="Q121"/>
      <c r="R121" s="326">
        <v>328439.10710000002</v>
      </c>
      <c r="S121" s="327">
        <v>0.30165284999999997</v>
      </c>
      <c r="T121"/>
      <c r="U121" s="326">
        <v>172482.88870000001</v>
      </c>
      <c r="V121" s="327">
        <v>0.18662196</v>
      </c>
      <c r="W121"/>
      <c r="X121" s="326">
        <v>-8046.1873999999998</v>
      </c>
      <c r="Y121" s="327">
        <v>-1.305098E-2</v>
      </c>
      <c r="Z121"/>
      <c r="AA121" s="326">
        <v>132351.0607</v>
      </c>
      <c r="AB121" s="327">
        <v>0.15733194</v>
      </c>
      <c r="AC121"/>
      <c r="AD121" s="326">
        <v>492942.63419999997</v>
      </c>
      <c r="AE121" s="327">
        <v>0.34516024000000001</v>
      </c>
      <c r="AF121"/>
      <c r="AG121" s="326">
        <v>661120.47560000001</v>
      </c>
      <c r="AH121" s="327">
        <v>0.41480702000000003</v>
      </c>
      <c r="AI121"/>
      <c r="AJ121" s="326">
        <v>565802.20559999999</v>
      </c>
      <c r="AK121" s="327">
        <v>0.37410534000000001</v>
      </c>
      <c r="AL121"/>
      <c r="AM121" s="326">
        <v>166110.10649999999</v>
      </c>
      <c r="AN121" s="327">
        <v>0.17720264999999999</v>
      </c>
    </row>
    <row r="122" spans="2:40" s="314" customFormat="1" ht="12.75" customHeight="1" x14ac:dyDescent="0.15">
      <c r="B122" s="5" t="s">
        <v>85</v>
      </c>
      <c r="C122" s="8">
        <v>0</v>
      </c>
      <c r="D122" s="7">
        <v>0</v>
      </c>
      <c r="E122"/>
      <c r="F122" s="8">
        <v>0</v>
      </c>
      <c r="G122" s="7">
        <v>0</v>
      </c>
      <c r="H122"/>
      <c r="I122" s="8">
        <v>0</v>
      </c>
      <c r="J122" s="7">
        <v>0</v>
      </c>
      <c r="K122"/>
      <c r="L122" s="8">
        <v>0</v>
      </c>
      <c r="M122" s="7">
        <v>0</v>
      </c>
      <c r="N122"/>
      <c r="O122" s="8">
        <v>0</v>
      </c>
      <c r="P122" s="7">
        <v>0</v>
      </c>
      <c r="Q122"/>
      <c r="R122" s="8">
        <v>0</v>
      </c>
      <c r="S122" s="7">
        <v>0</v>
      </c>
      <c r="T122"/>
      <c r="U122" s="8">
        <v>0</v>
      </c>
      <c r="V122" s="7">
        <v>0</v>
      </c>
      <c r="W122"/>
      <c r="X122" s="8">
        <v>0</v>
      </c>
      <c r="Y122" s="7">
        <v>0</v>
      </c>
      <c r="Z122"/>
      <c r="AA122" s="8">
        <v>0</v>
      </c>
      <c r="AB122" s="7">
        <v>0</v>
      </c>
      <c r="AC122"/>
      <c r="AD122" s="8">
        <v>0</v>
      </c>
      <c r="AE122" s="7">
        <v>0</v>
      </c>
      <c r="AF122"/>
      <c r="AG122" s="8">
        <v>0</v>
      </c>
      <c r="AH122" s="7">
        <v>0</v>
      </c>
      <c r="AI122"/>
      <c r="AJ122" s="8">
        <v>0</v>
      </c>
      <c r="AK122" s="7">
        <v>0</v>
      </c>
      <c r="AL122"/>
      <c r="AM122" s="8">
        <v>0</v>
      </c>
      <c r="AN122" s="7">
        <v>0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3240361.7510000002</v>
      </c>
      <c r="D124" s="327">
        <v>0.25634565999999998</v>
      </c>
      <c r="E124"/>
      <c r="F124" s="326">
        <v>218103.58</v>
      </c>
      <c r="G124" s="327">
        <v>0.21726993999999999</v>
      </c>
      <c r="H124"/>
      <c r="I124" s="326">
        <v>84190.17</v>
      </c>
      <c r="J124" s="327">
        <v>0.10546593</v>
      </c>
      <c r="K124"/>
      <c r="L124" s="326">
        <v>383194.17</v>
      </c>
      <c r="M124" s="327">
        <v>0.33357530000000002</v>
      </c>
      <c r="N124"/>
      <c r="O124" s="326">
        <v>43671.54</v>
      </c>
      <c r="P124" s="327">
        <v>5.8447730000000003E-2</v>
      </c>
      <c r="Q124"/>
      <c r="R124" s="326">
        <v>328439.10710000002</v>
      </c>
      <c r="S124" s="327">
        <v>0.30165284999999997</v>
      </c>
      <c r="T124"/>
      <c r="U124" s="326">
        <v>172482.88870000001</v>
      </c>
      <c r="V124" s="327">
        <v>0.18662196</v>
      </c>
      <c r="W124"/>
      <c r="X124" s="326">
        <v>-8046.1873999999998</v>
      </c>
      <c r="Y124" s="327">
        <v>-1.305098E-2</v>
      </c>
      <c r="Z124"/>
      <c r="AA124" s="326">
        <v>132351.0607</v>
      </c>
      <c r="AB124" s="327">
        <v>0.15733194</v>
      </c>
      <c r="AC124"/>
      <c r="AD124" s="326">
        <v>492942.63419999997</v>
      </c>
      <c r="AE124" s="327">
        <v>0.34516024000000001</v>
      </c>
      <c r="AF124"/>
      <c r="AG124" s="326">
        <v>661120.47560000001</v>
      </c>
      <c r="AH124" s="327">
        <v>0.41480702000000003</v>
      </c>
      <c r="AI124"/>
      <c r="AJ124" s="326">
        <v>565802.20559999999</v>
      </c>
      <c r="AK124" s="327">
        <v>0.37410534000000001</v>
      </c>
      <c r="AL124"/>
      <c r="AM124" s="326">
        <v>166110.10649999999</v>
      </c>
      <c r="AN124" s="327">
        <v>0.17720264999999999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3240361.7510000002</v>
      </c>
      <c r="D127" s="327">
        <v>0.25634565999999998</v>
      </c>
      <c r="E127"/>
      <c r="F127" s="326">
        <v>218103.58</v>
      </c>
      <c r="G127" s="327">
        <v>0.21726993999999999</v>
      </c>
      <c r="H127"/>
      <c r="I127" s="326">
        <v>84190.17</v>
      </c>
      <c r="J127" s="327">
        <v>0.10546593</v>
      </c>
      <c r="K127"/>
      <c r="L127" s="326">
        <v>383194.17</v>
      </c>
      <c r="M127" s="327">
        <v>0.33357530000000002</v>
      </c>
      <c r="N127"/>
      <c r="O127" s="326">
        <v>43671.54</v>
      </c>
      <c r="P127" s="327">
        <v>5.8447730000000003E-2</v>
      </c>
      <c r="Q127"/>
      <c r="R127" s="326">
        <v>328439.10710000002</v>
      </c>
      <c r="S127" s="327">
        <v>0.30165284999999997</v>
      </c>
      <c r="T127"/>
      <c r="U127" s="326">
        <v>172482.88870000001</v>
      </c>
      <c r="V127" s="327">
        <v>0.18662196</v>
      </c>
      <c r="W127"/>
      <c r="X127" s="326">
        <v>-8046.1873999999998</v>
      </c>
      <c r="Y127" s="327">
        <v>-1.305098E-2</v>
      </c>
      <c r="Z127"/>
      <c r="AA127" s="326">
        <v>132351.0607</v>
      </c>
      <c r="AB127" s="327">
        <v>0.15733194</v>
      </c>
      <c r="AC127"/>
      <c r="AD127" s="326">
        <v>492942.63419999997</v>
      </c>
      <c r="AE127" s="327">
        <v>0.34516024000000001</v>
      </c>
      <c r="AF127"/>
      <c r="AG127" s="326">
        <v>661120.47560000001</v>
      </c>
      <c r="AH127" s="327">
        <v>0.41480702000000003</v>
      </c>
      <c r="AI127"/>
      <c r="AJ127" s="326">
        <v>565802.20559999999</v>
      </c>
      <c r="AK127" s="327">
        <v>0.37410534000000001</v>
      </c>
      <c r="AL127"/>
      <c r="AM127" s="326">
        <v>166110.10649999999</v>
      </c>
      <c r="AN127" s="327">
        <v>0.17720264999999999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379206.15100000001</v>
      </c>
      <c r="D129" s="327">
        <v>2.9999069999999999E-2</v>
      </c>
      <c r="E129"/>
      <c r="F129" s="326">
        <v>30112.37</v>
      </c>
      <c r="G129" s="327">
        <v>2.9997269999999999E-2</v>
      </c>
      <c r="H129"/>
      <c r="I129" s="326">
        <v>23942.05</v>
      </c>
      <c r="J129" s="327">
        <v>2.9992459999999999E-2</v>
      </c>
      <c r="K129"/>
      <c r="L129" s="326">
        <v>34461.1</v>
      </c>
      <c r="M129" s="327">
        <v>2.9998819999999999E-2</v>
      </c>
      <c r="N129"/>
      <c r="O129" s="326">
        <v>22414.09</v>
      </c>
      <c r="P129" s="327">
        <v>2.9997860000000001E-2</v>
      </c>
      <c r="Q129"/>
      <c r="R129" s="326">
        <v>32663.9486</v>
      </c>
      <c r="S129" s="327">
        <v>0.03</v>
      </c>
      <c r="T129"/>
      <c r="U129" s="326">
        <v>27727.104800000001</v>
      </c>
      <c r="V129" s="327">
        <v>0.03</v>
      </c>
      <c r="W129"/>
      <c r="X129" s="326">
        <v>18495.599600000001</v>
      </c>
      <c r="Y129" s="327">
        <v>0.03</v>
      </c>
      <c r="Z129"/>
      <c r="AA129" s="326">
        <v>25236.6541</v>
      </c>
      <c r="AB129" s="327">
        <v>0.03</v>
      </c>
      <c r="AC129"/>
      <c r="AD129" s="326">
        <v>42844.676599999999</v>
      </c>
      <c r="AE129" s="327">
        <v>0.03</v>
      </c>
      <c r="AF129"/>
      <c r="AG129" s="326">
        <v>47814.075700000001</v>
      </c>
      <c r="AH129" s="327">
        <v>0.03</v>
      </c>
      <c r="AI129"/>
      <c r="AJ129" s="326">
        <v>45372.424299999999</v>
      </c>
      <c r="AK129" s="327">
        <v>0.03</v>
      </c>
      <c r="AL129"/>
      <c r="AM129" s="326">
        <v>28122.0573</v>
      </c>
      <c r="AN129" s="327">
        <v>0.03</v>
      </c>
    </row>
    <row r="130" spans="2:40" s="314" customFormat="1" ht="12.75" customHeight="1" x14ac:dyDescent="0.15">
      <c r="B130" s="5" t="s">
        <v>90</v>
      </c>
      <c r="C130" s="8">
        <v>379206.15100000001</v>
      </c>
      <c r="D130" s="7">
        <v>2.9999069999999999E-2</v>
      </c>
      <c r="E130"/>
      <c r="F130" s="8">
        <v>30112.37</v>
      </c>
      <c r="G130" s="7">
        <v>2.9997269999999999E-2</v>
      </c>
      <c r="H130"/>
      <c r="I130" s="8">
        <v>23942.05</v>
      </c>
      <c r="J130" s="7">
        <v>2.9992459999999999E-2</v>
      </c>
      <c r="K130"/>
      <c r="L130" s="8">
        <v>34461.1</v>
      </c>
      <c r="M130" s="7">
        <v>2.9998819999999999E-2</v>
      </c>
      <c r="N130"/>
      <c r="O130" s="8">
        <v>22414.09</v>
      </c>
      <c r="P130" s="7">
        <v>2.9997860000000001E-2</v>
      </c>
      <c r="Q130"/>
      <c r="R130" s="8">
        <v>32663.9486</v>
      </c>
      <c r="S130" s="7">
        <v>0.03</v>
      </c>
      <c r="T130"/>
      <c r="U130" s="8">
        <v>27727.104800000001</v>
      </c>
      <c r="V130" s="7">
        <v>0.03</v>
      </c>
      <c r="W130"/>
      <c r="X130" s="8">
        <v>18495.599600000001</v>
      </c>
      <c r="Y130" s="7">
        <v>0.03</v>
      </c>
      <c r="Z130"/>
      <c r="AA130" s="8">
        <v>25236.6541</v>
      </c>
      <c r="AB130" s="7">
        <v>0.03</v>
      </c>
      <c r="AC130"/>
      <c r="AD130" s="8">
        <v>42844.676599999999</v>
      </c>
      <c r="AE130" s="7">
        <v>0.03</v>
      </c>
      <c r="AF130"/>
      <c r="AG130" s="8">
        <v>47814.075700000001</v>
      </c>
      <c r="AH130" s="7">
        <v>0.03</v>
      </c>
      <c r="AI130"/>
      <c r="AJ130" s="8">
        <v>45372.424299999999</v>
      </c>
      <c r="AK130" s="7">
        <v>0.03</v>
      </c>
      <c r="AL130"/>
      <c r="AM130" s="8">
        <v>28122.0573</v>
      </c>
      <c r="AN130" s="7">
        <v>0.03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2861155.6002000002</v>
      </c>
      <c r="D134" s="327">
        <v>0.22634657999999999</v>
      </c>
      <c r="E134"/>
      <c r="F134" s="326">
        <v>187991.21</v>
      </c>
      <c r="G134" s="327">
        <v>0.18727267</v>
      </c>
      <c r="H134"/>
      <c r="I134" s="326">
        <v>60248.12</v>
      </c>
      <c r="J134" s="327">
        <v>7.5473470000000001E-2</v>
      </c>
      <c r="K134"/>
      <c r="L134" s="326">
        <v>348733.07</v>
      </c>
      <c r="M134" s="327">
        <v>0.30357647999999998</v>
      </c>
      <c r="N134"/>
      <c r="O134" s="326">
        <v>21257.45</v>
      </c>
      <c r="P134" s="327">
        <v>2.8449869999999999E-2</v>
      </c>
      <c r="Q134"/>
      <c r="R134" s="326">
        <v>295775.15850000002</v>
      </c>
      <c r="S134" s="327">
        <v>0.27165285</v>
      </c>
      <c r="T134"/>
      <c r="U134" s="326">
        <v>144755.78390000001</v>
      </c>
      <c r="V134" s="327">
        <v>0.15662196</v>
      </c>
      <c r="W134"/>
      <c r="X134" s="326">
        <v>-26541.786899999999</v>
      </c>
      <c r="Y134" s="327">
        <v>-4.3050980000000003E-2</v>
      </c>
      <c r="Z134"/>
      <c r="AA134" s="326">
        <v>107114.4066</v>
      </c>
      <c r="AB134" s="327">
        <v>0.12733194</v>
      </c>
      <c r="AC134"/>
      <c r="AD134" s="326">
        <v>450097.95770000003</v>
      </c>
      <c r="AE134" s="327">
        <v>0.31516023999999998</v>
      </c>
      <c r="AF134"/>
      <c r="AG134" s="326">
        <v>613306.39989999996</v>
      </c>
      <c r="AH134" s="327">
        <v>0.38480702</v>
      </c>
      <c r="AI134"/>
      <c r="AJ134" s="326">
        <v>520429.78129999997</v>
      </c>
      <c r="AK134" s="327">
        <v>0.34410533999999998</v>
      </c>
      <c r="AL134"/>
      <c r="AM134" s="326">
        <v>137988.04920000001</v>
      </c>
      <c r="AN134" s="327">
        <v>0.14720264999999999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2498305.2226</v>
      </c>
      <c r="D136" s="327">
        <v>0.19764142000000001</v>
      </c>
      <c r="E136"/>
      <c r="F136" s="326">
        <v>223495.95</v>
      </c>
      <c r="G136" s="327">
        <v>0.2226417</v>
      </c>
      <c r="H136"/>
      <c r="I136" s="326">
        <v>263525.05</v>
      </c>
      <c r="J136" s="327">
        <v>0.33012066000000001</v>
      </c>
      <c r="K136"/>
      <c r="L136" s="326">
        <v>148607.04000000001</v>
      </c>
      <c r="M136" s="327">
        <v>0.12936428</v>
      </c>
      <c r="N136"/>
      <c r="O136" s="326">
        <v>74166.91</v>
      </c>
      <c r="P136" s="327">
        <v>9.9261149999999992E-2</v>
      </c>
      <c r="Q136"/>
      <c r="R136" s="326">
        <v>217759.65710000001</v>
      </c>
      <c r="S136" s="327">
        <v>0.2</v>
      </c>
      <c r="T136"/>
      <c r="U136" s="326">
        <v>184847.36550000001</v>
      </c>
      <c r="V136" s="327">
        <v>0.2</v>
      </c>
      <c r="W136"/>
      <c r="X136" s="326">
        <v>123303.9972</v>
      </c>
      <c r="Y136" s="327">
        <v>0.2</v>
      </c>
      <c r="Z136"/>
      <c r="AA136" s="326">
        <v>168244.36069999999</v>
      </c>
      <c r="AB136" s="327">
        <v>0.2</v>
      </c>
      <c r="AC136"/>
      <c r="AD136" s="326">
        <v>285631.17719999998</v>
      </c>
      <c r="AE136" s="327">
        <v>0.2</v>
      </c>
      <c r="AF136"/>
      <c r="AG136" s="326">
        <v>318760.50429999997</v>
      </c>
      <c r="AH136" s="327">
        <v>0.2</v>
      </c>
      <c r="AI136"/>
      <c r="AJ136" s="326">
        <v>302482.8284</v>
      </c>
      <c r="AK136" s="327">
        <v>0.2</v>
      </c>
      <c r="AL136"/>
      <c r="AM136" s="326">
        <v>187480.38219999999</v>
      </c>
      <c r="AN136" s="327">
        <v>0.2</v>
      </c>
    </row>
    <row r="137" spans="2:40" s="314" customFormat="1" ht="12.75" customHeight="1" x14ac:dyDescent="0.15">
      <c r="B137" s="5" t="s">
        <v>95</v>
      </c>
      <c r="C137" s="8">
        <v>709794.95</v>
      </c>
      <c r="D137" s="7">
        <v>5.6152019999999997E-2</v>
      </c>
      <c r="E137"/>
      <c r="F137" s="8">
        <v>223495.95</v>
      </c>
      <c r="G137" s="7">
        <v>0.2226417</v>
      </c>
      <c r="H137"/>
      <c r="I137" s="8">
        <v>263525.05</v>
      </c>
      <c r="J137" s="7">
        <v>0.33012066000000001</v>
      </c>
      <c r="K137"/>
      <c r="L137" s="8">
        <v>148607.04000000001</v>
      </c>
      <c r="M137" s="7">
        <v>0.12936428</v>
      </c>
      <c r="N137"/>
      <c r="O137" s="8">
        <v>74166.91</v>
      </c>
      <c r="P137" s="7">
        <v>9.9261149999999992E-2</v>
      </c>
      <c r="Q137"/>
      <c r="R137" s="8">
        <v>0</v>
      </c>
      <c r="S137" s="7">
        <v>0</v>
      </c>
      <c r="T137"/>
      <c r="U137" s="8">
        <v>0</v>
      </c>
      <c r="V137" s="7">
        <v>0</v>
      </c>
      <c r="W137"/>
      <c r="X137" s="8">
        <v>0</v>
      </c>
      <c r="Y137" s="7">
        <v>0</v>
      </c>
      <c r="Z137"/>
      <c r="AA137" s="8">
        <v>0</v>
      </c>
      <c r="AB137" s="7">
        <v>0</v>
      </c>
      <c r="AC137"/>
      <c r="AD137" s="8">
        <v>0</v>
      </c>
      <c r="AE137" s="7">
        <v>0</v>
      </c>
      <c r="AF137"/>
      <c r="AG137" s="8">
        <v>0</v>
      </c>
      <c r="AH137" s="7">
        <v>0</v>
      </c>
      <c r="AI137"/>
      <c r="AJ137" s="8">
        <v>0</v>
      </c>
      <c r="AK137" s="7">
        <v>0</v>
      </c>
      <c r="AL137"/>
      <c r="AM137" s="8">
        <v>0</v>
      </c>
      <c r="AN137" s="7">
        <v>0</v>
      </c>
    </row>
    <row r="138" spans="2:40" s="314" customFormat="1" ht="12.75" customHeight="1" x14ac:dyDescent="0.15">
      <c r="B138" s="5" t="s">
        <v>96</v>
      </c>
      <c r="C138" s="8">
        <v>1788510.2726</v>
      </c>
      <c r="D138" s="7">
        <v>0.14148939999999999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217759.65710000001</v>
      </c>
      <c r="S138" s="7">
        <v>0.2</v>
      </c>
      <c r="T138"/>
      <c r="U138" s="8">
        <v>184847.36550000001</v>
      </c>
      <c r="V138" s="7">
        <v>0.2</v>
      </c>
      <c r="W138"/>
      <c r="X138" s="8">
        <v>123303.9972</v>
      </c>
      <c r="Y138" s="7">
        <v>0.2</v>
      </c>
      <c r="Z138"/>
      <c r="AA138" s="8">
        <v>168244.36069999999</v>
      </c>
      <c r="AB138" s="7">
        <v>0.2</v>
      </c>
      <c r="AC138"/>
      <c r="AD138" s="8">
        <v>285631.17719999998</v>
      </c>
      <c r="AE138" s="7">
        <v>0.2</v>
      </c>
      <c r="AF138"/>
      <c r="AG138" s="8">
        <v>318760.50429999997</v>
      </c>
      <c r="AH138" s="7">
        <v>0.2</v>
      </c>
      <c r="AI138"/>
      <c r="AJ138" s="8">
        <v>302482.8284</v>
      </c>
      <c r="AK138" s="7">
        <v>0.2</v>
      </c>
      <c r="AL138"/>
      <c r="AM138" s="8">
        <v>187480.38219999999</v>
      </c>
      <c r="AN138" s="7">
        <v>0.2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362850.37760000001</v>
      </c>
      <c r="D141" s="327">
        <v>2.870516E-2</v>
      </c>
      <c r="E141"/>
      <c r="F141" s="326">
        <v>-35504.74</v>
      </c>
      <c r="G141" s="327">
        <v>-3.5369030000000003E-2</v>
      </c>
      <c r="H141"/>
      <c r="I141" s="326">
        <v>-203276.93</v>
      </c>
      <c r="J141" s="327">
        <v>-0.25464719000000002</v>
      </c>
      <c r="K141"/>
      <c r="L141" s="326">
        <v>200126.03</v>
      </c>
      <c r="M141" s="327">
        <v>0.17421220000000001</v>
      </c>
      <c r="N141"/>
      <c r="O141" s="326">
        <v>-52909.46</v>
      </c>
      <c r="P141" s="327">
        <v>-7.081127999999999E-2</v>
      </c>
      <c r="Q141"/>
      <c r="R141" s="326">
        <v>78015.501399999994</v>
      </c>
      <c r="S141" s="327">
        <v>7.1652850000000004E-2</v>
      </c>
      <c r="T141"/>
      <c r="U141" s="326">
        <v>-40091.581599999998</v>
      </c>
      <c r="V141" s="327">
        <v>-4.337804E-2</v>
      </c>
      <c r="W141"/>
      <c r="X141" s="326">
        <v>-149845.78409999999</v>
      </c>
      <c r="Y141" s="327">
        <v>-0.24305098</v>
      </c>
      <c r="Z141"/>
      <c r="AA141" s="326">
        <v>-61129.954100000003</v>
      </c>
      <c r="AB141" s="327">
        <v>-7.2668059999999993E-2</v>
      </c>
      <c r="AC141"/>
      <c r="AD141" s="326">
        <v>164466.78049999999</v>
      </c>
      <c r="AE141" s="327">
        <v>0.11516024</v>
      </c>
      <c r="AF141"/>
      <c r="AG141" s="326">
        <v>294545.89559999999</v>
      </c>
      <c r="AH141" s="327">
        <v>0.18480701999999999</v>
      </c>
      <c r="AI141"/>
      <c r="AJ141" s="326">
        <v>217946.9529</v>
      </c>
      <c r="AK141" s="327">
        <v>0.14410534</v>
      </c>
      <c r="AL141"/>
      <c r="AM141" s="326">
        <v>-49492.332999999999</v>
      </c>
      <c r="AN141" s="327">
        <v>-5.2797349999999993E-2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362850.37760000001</v>
      </c>
      <c r="D144" s="327">
        <v>2.870516E-2</v>
      </c>
      <c r="E144"/>
      <c r="F144" s="326">
        <v>-35504.74</v>
      </c>
      <c r="G144" s="327">
        <v>-3.5369030000000003E-2</v>
      </c>
      <c r="H144"/>
      <c r="I144" s="326">
        <v>-203276.93</v>
      </c>
      <c r="J144" s="327">
        <v>-0.25464719000000002</v>
      </c>
      <c r="K144"/>
      <c r="L144" s="326">
        <v>200126.03</v>
      </c>
      <c r="M144" s="327">
        <v>0.17421220000000001</v>
      </c>
      <c r="N144"/>
      <c r="O144" s="326">
        <v>-52909.46</v>
      </c>
      <c r="P144" s="327">
        <v>-7.081127999999999E-2</v>
      </c>
      <c r="Q144"/>
      <c r="R144" s="326">
        <v>78015.501399999994</v>
      </c>
      <c r="S144" s="327">
        <v>7.1652850000000004E-2</v>
      </c>
      <c r="T144"/>
      <c r="U144" s="326">
        <v>-40091.581599999998</v>
      </c>
      <c r="V144" s="327">
        <v>-4.337804E-2</v>
      </c>
      <c r="W144"/>
      <c r="X144" s="326">
        <v>-149845.78409999999</v>
      </c>
      <c r="Y144" s="327">
        <v>-0.24305098</v>
      </c>
      <c r="Z144"/>
      <c r="AA144" s="326">
        <v>-61129.954100000003</v>
      </c>
      <c r="AB144" s="327">
        <v>-7.2668059999999993E-2</v>
      </c>
      <c r="AC144"/>
      <c r="AD144" s="326">
        <v>164466.78049999999</v>
      </c>
      <c r="AE144" s="327">
        <v>0.11516024</v>
      </c>
      <c r="AF144"/>
      <c r="AG144" s="326">
        <v>294545.89559999999</v>
      </c>
      <c r="AH144" s="327">
        <v>0.18480701999999999</v>
      </c>
      <c r="AI144"/>
      <c r="AJ144" s="326">
        <v>217946.9529</v>
      </c>
      <c r="AK144" s="327">
        <v>0.14410534</v>
      </c>
      <c r="AL144"/>
      <c r="AM144" s="326">
        <v>-49492.332999999999</v>
      </c>
      <c r="AN144" s="327">
        <v>-5.2797349999999993E-2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362850.37760000001</v>
      </c>
      <c r="D147" s="327">
        <v>2.870516E-2</v>
      </c>
      <c r="E147"/>
      <c r="F147" s="326">
        <v>-35504.74</v>
      </c>
      <c r="G147" s="327">
        <v>-3.5369030000000003E-2</v>
      </c>
      <c r="H147"/>
      <c r="I147" s="326">
        <v>-203276.93</v>
      </c>
      <c r="J147" s="327">
        <v>-0.25464719000000002</v>
      </c>
      <c r="K147"/>
      <c r="L147" s="326">
        <v>200126.03</v>
      </c>
      <c r="M147" s="327">
        <v>0.17421220000000001</v>
      </c>
      <c r="N147"/>
      <c r="O147" s="326">
        <v>-52909.46</v>
      </c>
      <c r="P147" s="327">
        <v>-7.081127999999999E-2</v>
      </c>
      <c r="Q147"/>
      <c r="R147" s="326">
        <v>78015.501399999994</v>
      </c>
      <c r="S147" s="327">
        <v>7.1652850000000004E-2</v>
      </c>
      <c r="T147"/>
      <c r="U147" s="326">
        <v>-40091.581599999998</v>
      </c>
      <c r="V147" s="327">
        <v>-4.337804E-2</v>
      </c>
      <c r="W147"/>
      <c r="X147" s="326">
        <v>-149845.78409999999</v>
      </c>
      <c r="Y147" s="327">
        <v>-0.24305098</v>
      </c>
      <c r="Z147"/>
      <c r="AA147" s="326">
        <v>-61129.954100000003</v>
      </c>
      <c r="AB147" s="327">
        <v>-7.2668059999999993E-2</v>
      </c>
      <c r="AC147"/>
      <c r="AD147" s="326">
        <v>164466.78049999999</v>
      </c>
      <c r="AE147" s="327">
        <v>0.11516024</v>
      </c>
      <c r="AF147"/>
      <c r="AG147" s="326">
        <v>294545.89559999999</v>
      </c>
      <c r="AH147" s="327">
        <v>0.18480701999999999</v>
      </c>
      <c r="AI147"/>
      <c r="AJ147" s="326">
        <v>217946.9529</v>
      </c>
      <c r="AK147" s="327">
        <v>0.14410534</v>
      </c>
      <c r="AL147"/>
      <c r="AM147" s="326">
        <v>-49492.332999999999</v>
      </c>
      <c r="AN147" s="327">
        <v>-5.2797349999999993E-2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362850.37760000001</v>
      </c>
      <c r="D150" s="327">
        <v>2.870516E-2</v>
      </c>
      <c r="E150"/>
      <c r="F150" s="326">
        <v>-35504.74</v>
      </c>
      <c r="G150" s="327">
        <v>-3.5369030000000003E-2</v>
      </c>
      <c r="H150"/>
      <c r="I150" s="326">
        <v>-203276.93</v>
      </c>
      <c r="J150" s="327">
        <v>-0.25464719000000002</v>
      </c>
      <c r="K150"/>
      <c r="L150" s="326">
        <v>200126.03</v>
      </c>
      <c r="M150" s="327">
        <v>0.17421220000000001</v>
      </c>
      <c r="N150"/>
      <c r="O150" s="326">
        <v>-52909.46</v>
      </c>
      <c r="P150" s="327">
        <v>-7.081127999999999E-2</v>
      </c>
      <c r="Q150"/>
      <c r="R150" s="326">
        <v>78015.501399999994</v>
      </c>
      <c r="S150" s="327">
        <v>7.1652850000000004E-2</v>
      </c>
      <c r="T150"/>
      <c r="U150" s="326">
        <v>-40091.581599999998</v>
      </c>
      <c r="V150" s="327">
        <v>-4.337804E-2</v>
      </c>
      <c r="W150"/>
      <c r="X150" s="326">
        <v>-149845.78409999999</v>
      </c>
      <c r="Y150" s="327">
        <v>-0.24305098</v>
      </c>
      <c r="Z150"/>
      <c r="AA150" s="326">
        <v>-61129.954100000003</v>
      </c>
      <c r="AB150" s="327">
        <v>-7.2668059999999993E-2</v>
      </c>
      <c r="AC150"/>
      <c r="AD150" s="326">
        <v>164466.78049999999</v>
      </c>
      <c r="AE150" s="327">
        <v>0.11516024</v>
      </c>
      <c r="AF150"/>
      <c r="AG150" s="326">
        <v>294545.89559999999</v>
      </c>
      <c r="AH150" s="327">
        <v>0.18480701999999999</v>
      </c>
      <c r="AI150"/>
      <c r="AJ150" s="326">
        <v>217946.9529</v>
      </c>
      <c r="AK150" s="327">
        <v>0.14410534</v>
      </c>
      <c r="AL150"/>
      <c r="AM150" s="326">
        <v>-49492.332999999999</v>
      </c>
      <c r="AN150" s="327">
        <v>-5.2797349999999993E-2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587850.37760000001</v>
      </c>
      <c r="D153" s="7">
        <v>4.6504959999999998E-2</v>
      </c>
      <c r="E153"/>
      <c r="F153" s="8">
        <v>-10504.74</v>
      </c>
      <c r="G153" s="7">
        <v>-1.0464589999999999E-2</v>
      </c>
      <c r="H153"/>
      <c r="I153" s="8">
        <v>-203276.93</v>
      </c>
      <c r="J153" s="7">
        <v>-0.25464719000000002</v>
      </c>
      <c r="K153"/>
      <c r="L153" s="8">
        <v>200126.03</v>
      </c>
      <c r="M153" s="7">
        <v>0.17421220000000001</v>
      </c>
      <c r="N153"/>
      <c r="O153" s="8">
        <v>-52909.46</v>
      </c>
      <c r="P153" s="7">
        <v>-7.081127999999999E-2</v>
      </c>
      <c r="Q153"/>
      <c r="R153" s="8">
        <v>103015.50139999999</v>
      </c>
      <c r="S153" s="7">
        <v>9.4613950000000002E-2</v>
      </c>
      <c r="T153"/>
      <c r="U153" s="8">
        <v>-15091.5816</v>
      </c>
      <c r="V153" s="7">
        <v>-1.6328700000000002E-2</v>
      </c>
      <c r="W153"/>
      <c r="X153" s="8">
        <v>-124845.7841</v>
      </c>
      <c r="Y153" s="7">
        <v>-0.20250079000000001</v>
      </c>
      <c r="Z153"/>
      <c r="AA153" s="8">
        <v>-36129.954100000003</v>
      </c>
      <c r="AB153" s="7">
        <v>-4.2949380000000002E-2</v>
      </c>
      <c r="AC153"/>
      <c r="AD153" s="8">
        <v>189466.78049999999</v>
      </c>
      <c r="AE153" s="7">
        <v>0.13266533999999999</v>
      </c>
      <c r="AF153"/>
      <c r="AG153" s="8">
        <v>319545.89559999999</v>
      </c>
      <c r="AH153" s="7">
        <v>0.20049278000000001</v>
      </c>
      <c r="AI153"/>
      <c r="AJ153" s="8">
        <v>242946.9529</v>
      </c>
      <c r="AK153" s="7">
        <v>0.16063520000000001</v>
      </c>
      <c r="AL153"/>
      <c r="AM153" s="8">
        <v>-24492.332999999999</v>
      </c>
      <c r="AN153" s="7">
        <v>-2.6127890000000001E-2</v>
      </c>
    </row>
    <row r="154" spans="2:40" s="314" customFormat="1" ht="12.75" customHeight="1" x14ac:dyDescent="0.15">
      <c r="B154" s="5" t="s">
        <v>107</v>
      </c>
      <c r="C154" s="6">
        <v>362850.37760000001</v>
      </c>
      <c r="D154" s="7">
        <v>2.870516E-2</v>
      </c>
      <c r="E154"/>
      <c r="F154" s="8">
        <v>-35504.74</v>
      </c>
      <c r="G154" s="7">
        <v>-3.5369030000000003E-2</v>
      </c>
      <c r="H154"/>
      <c r="I154" s="8">
        <v>-203276.93</v>
      </c>
      <c r="J154" s="7">
        <v>-0.25464719000000002</v>
      </c>
      <c r="K154"/>
      <c r="L154" s="8">
        <v>200126.03</v>
      </c>
      <c r="M154" s="7">
        <v>0.17421220000000001</v>
      </c>
      <c r="N154"/>
      <c r="O154" s="8">
        <v>-52909.46</v>
      </c>
      <c r="P154" s="7">
        <v>-7.081127999999999E-2</v>
      </c>
      <c r="Q154"/>
      <c r="R154" s="8">
        <v>78015.501399999994</v>
      </c>
      <c r="S154" s="7">
        <v>7.1652850000000004E-2</v>
      </c>
      <c r="T154"/>
      <c r="U154" s="8">
        <v>-40091.581599999998</v>
      </c>
      <c r="V154" s="7">
        <v>-4.337804E-2</v>
      </c>
      <c r="W154"/>
      <c r="X154" s="8">
        <v>-149845.78409999999</v>
      </c>
      <c r="Y154" s="7">
        <v>-0.24305098</v>
      </c>
      <c r="Z154"/>
      <c r="AA154" s="8">
        <v>-61129.954100000003</v>
      </c>
      <c r="AB154" s="7">
        <v>-7.2668059999999993E-2</v>
      </c>
      <c r="AC154"/>
      <c r="AD154" s="8">
        <v>164466.78049999999</v>
      </c>
      <c r="AE154" s="7">
        <v>0.11516024</v>
      </c>
      <c r="AF154"/>
      <c r="AG154" s="8">
        <v>294545.89559999999</v>
      </c>
      <c r="AH154" s="7">
        <v>0.18480701999999999</v>
      </c>
      <c r="AI154"/>
      <c r="AJ154" s="8">
        <v>217946.9529</v>
      </c>
      <c r="AK154" s="7">
        <v>0.14410534</v>
      </c>
      <c r="AL154"/>
      <c r="AM154" s="8">
        <v>-49492.332999999999</v>
      </c>
      <c r="AN154" s="7">
        <v>-5.2797349999999993E-2</v>
      </c>
    </row>
    <row r="155" spans="2:40" s="314" customFormat="1" ht="12.75" customHeight="1" x14ac:dyDescent="0.15">
      <c r="B155" s="325" t="s">
        <v>108</v>
      </c>
      <c r="C155" s="330">
        <v>542584.72439999995</v>
      </c>
      <c r="D155" s="327">
        <v>4.292398E-2</v>
      </c>
      <c r="E155"/>
      <c r="F155" s="326">
        <v>50187.29</v>
      </c>
      <c r="G155" s="327">
        <v>4.9995459999999999E-2</v>
      </c>
      <c r="H155"/>
      <c r="I155" s="326">
        <v>39903.410000000003</v>
      </c>
      <c r="J155" s="327">
        <v>4.9987429999999999E-2</v>
      </c>
      <c r="K155"/>
      <c r="L155" s="326">
        <v>57435.16</v>
      </c>
      <c r="M155" s="327">
        <v>4.9998019999999997E-2</v>
      </c>
      <c r="N155"/>
      <c r="O155" s="326">
        <v>37356.81</v>
      </c>
      <c r="P155" s="327">
        <v>4.999642E-2</v>
      </c>
      <c r="Q155"/>
      <c r="R155" s="326">
        <v>43551.931400000001</v>
      </c>
      <c r="S155" s="327">
        <v>0.04</v>
      </c>
      <c r="T155"/>
      <c r="U155" s="326">
        <v>36969.473100000003</v>
      </c>
      <c r="V155" s="327">
        <v>0.04</v>
      </c>
      <c r="W155"/>
      <c r="X155" s="326">
        <v>24660.7994</v>
      </c>
      <c r="Y155" s="327">
        <v>0.04</v>
      </c>
      <c r="Z155"/>
      <c r="AA155" s="326">
        <v>33648.872100000001</v>
      </c>
      <c r="AB155" s="327">
        <v>0.04</v>
      </c>
      <c r="AC155"/>
      <c r="AD155" s="326">
        <v>57126.235399999998</v>
      </c>
      <c r="AE155" s="327">
        <v>0.04</v>
      </c>
      <c r="AF155"/>
      <c r="AG155" s="326">
        <v>63752.100899999998</v>
      </c>
      <c r="AH155" s="327">
        <v>0.04</v>
      </c>
      <c r="AI155"/>
      <c r="AJ155" s="326">
        <v>60496.565699999999</v>
      </c>
      <c r="AK155" s="327">
        <v>0.04</v>
      </c>
      <c r="AL155"/>
      <c r="AM155" s="326">
        <v>37496.076399999998</v>
      </c>
      <c r="AN155" s="327">
        <v>0.04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126402.04369999999</v>
      </c>
      <c r="D158" s="7">
        <v>9.9996900000000003E-3</v>
      </c>
      <c r="E158"/>
      <c r="F158" s="8">
        <v>10037.459999999999</v>
      </c>
      <c r="G158" s="7">
        <v>9.9990900000000004E-3</v>
      </c>
      <c r="H158"/>
      <c r="I158" s="8">
        <v>7980.68</v>
      </c>
      <c r="J158" s="7">
        <v>9.9974799999999996E-3</v>
      </c>
      <c r="K158"/>
      <c r="L158" s="8">
        <v>11487.03</v>
      </c>
      <c r="M158" s="7">
        <v>9.9995999999999991E-3</v>
      </c>
      <c r="N158"/>
      <c r="O158" s="8">
        <v>7471.36</v>
      </c>
      <c r="P158" s="7">
        <v>9.999280000000001E-3</v>
      </c>
      <c r="Q158"/>
      <c r="R158" s="8">
        <v>10887.982900000001</v>
      </c>
      <c r="S158" s="7">
        <v>0.01</v>
      </c>
      <c r="T158"/>
      <c r="U158" s="8">
        <v>9242.3683000000001</v>
      </c>
      <c r="V158" s="7">
        <v>0.01</v>
      </c>
      <c r="W158"/>
      <c r="X158" s="8">
        <v>6165.1998999999996</v>
      </c>
      <c r="Y158" s="7">
        <v>0.01</v>
      </c>
      <c r="Z158"/>
      <c r="AA158" s="8">
        <v>8412.2180000000008</v>
      </c>
      <c r="AB158" s="7">
        <v>0.01</v>
      </c>
      <c r="AC158"/>
      <c r="AD158" s="8">
        <v>14281.5589</v>
      </c>
      <c r="AE158" s="7">
        <v>0.01</v>
      </c>
      <c r="AF158"/>
      <c r="AG158" s="8">
        <v>15938.0252</v>
      </c>
      <c r="AH158" s="7">
        <v>0.01</v>
      </c>
      <c r="AI158"/>
      <c r="AJ158" s="8">
        <v>15124.1414</v>
      </c>
      <c r="AK158" s="7">
        <v>0.01</v>
      </c>
      <c r="AL158"/>
      <c r="AM158" s="8">
        <v>9374.0190999999995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223544.90400000001</v>
      </c>
      <c r="D159" s="7">
        <v>1.7684680000000001E-2</v>
      </c>
      <c r="E159"/>
      <c r="F159" s="8">
        <v>2649.95</v>
      </c>
      <c r="G159" s="7">
        <v>2.6398200000000002E-3</v>
      </c>
      <c r="H159"/>
      <c r="I159" s="8">
        <v>-4455.12</v>
      </c>
      <c r="J159" s="7">
        <v>-5.5809800000000001E-3</v>
      </c>
      <c r="K159"/>
      <c r="L159" s="8">
        <v>3680.57</v>
      </c>
      <c r="M159" s="7">
        <v>3.2039799999999999E-3</v>
      </c>
      <c r="N159"/>
      <c r="O159" s="8">
        <v>-1894.28</v>
      </c>
      <c r="P159" s="7">
        <v>-2.53521E-3</v>
      </c>
      <c r="Q159"/>
      <c r="R159" s="8">
        <v>27219.9571</v>
      </c>
      <c r="S159" s="7">
        <v>2.5000000000000001E-2</v>
      </c>
      <c r="T159"/>
      <c r="U159" s="8">
        <v>23105.920699999999</v>
      </c>
      <c r="V159" s="7">
        <v>2.5000000000000001E-2</v>
      </c>
      <c r="W159"/>
      <c r="X159" s="8">
        <v>15412.999599999999</v>
      </c>
      <c r="Y159" s="7">
        <v>2.5000000000000001E-2</v>
      </c>
      <c r="Z159"/>
      <c r="AA159" s="8">
        <v>21030.545099999999</v>
      </c>
      <c r="AB159" s="7">
        <v>2.5000000000000001E-2</v>
      </c>
      <c r="AC159"/>
      <c r="AD159" s="8">
        <v>35703.897100000002</v>
      </c>
      <c r="AE159" s="7">
        <v>2.5000000000000001E-2</v>
      </c>
      <c r="AF159"/>
      <c r="AG159" s="8">
        <v>39845.063000000002</v>
      </c>
      <c r="AH159" s="7">
        <v>2.5000000000000001E-2</v>
      </c>
      <c r="AI159"/>
      <c r="AJ159" s="8">
        <v>37810.353600000002</v>
      </c>
      <c r="AK159" s="7">
        <v>2.5000000000000001E-2</v>
      </c>
      <c r="AL159"/>
      <c r="AM159" s="8">
        <v>23435.0478</v>
      </c>
      <c r="AN159" s="7">
        <v>2.5000000000000001E-2</v>
      </c>
    </row>
    <row r="160" spans="2:40" s="314" customFormat="1" ht="12.75" customHeight="1" x14ac:dyDescent="0.15">
      <c r="B160" s="5" t="s">
        <v>113</v>
      </c>
      <c r="C160" s="6">
        <v>379206.15100000001</v>
      </c>
      <c r="D160" s="7">
        <v>2.9999069999999999E-2</v>
      </c>
      <c r="E160"/>
      <c r="F160" s="8">
        <v>30112.37</v>
      </c>
      <c r="G160" s="7">
        <v>2.9997269999999999E-2</v>
      </c>
      <c r="H160"/>
      <c r="I160" s="8">
        <v>23942.05</v>
      </c>
      <c r="J160" s="7">
        <v>2.9992459999999999E-2</v>
      </c>
      <c r="K160"/>
      <c r="L160" s="8">
        <v>34461.1</v>
      </c>
      <c r="M160" s="7">
        <v>2.9998819999999999E-2</v>
      </c>
      <c r="N160"/>
      <c r="O160" s="8">
        <v>22414.09</v>
      </c>
      <c r="P160" s="7">
        <v>2.9997860000000001E-2</v>
      </c>
      <c r="Q160"/>
      <c r="R160" s="8">
        <v>32663.9486</v>
      </c>
      <c r="S160" s="7">
        <v>0.03</v>
      </c>
      <c r="T160"/>
      <c r="U160" s="8">
        <v>27727.104800000001</v>
      </c>
      <c r="V160" s="7">
        <v>0.03</v>
      </c>
      <c r="W160"/>
      <c r="X160" s="8">
        <v>18495.599600000001</v>
      </c>
      <c r="Y160" s="7">
        <v>0.03</v>
      </c>
      <c r="Z160"/>
      <c r="AA160" s="8">
        <v>25236.6541</v>
      </c>
      <c r="AB160" s="7">
        <v>0.03</v>
      </c>
      <c r="AC160"/>
      <c r="AD160" s="8">
        <v>42844.676599999999</v>
      </c>
      <c r="AE160" s="7">
        <v>0.03</v>
      </c>
      <c r="AF160"/>
      <c r="AG160" s="8">
        <v>47814.075700000001</v>
      </c>
      <c r="AH160" s="7">
        <v>0.03</v>
      </c>
      <c r="AI160"/>
      <c r="AJ160" s="8">
        <v>45372.424299999999</v>
      </c>
      <c r="AK160" s="7">
        <v>0.03</v>
      </c>
      <c r="AL160"/>
      <c r="AM160" s="8">
        <v>28122.0573</v>
      </c>
      <c r="AN160" s="7">
        <v>0.03</v>
      </c>
    </row>
    <row r="161" spans="2:40" s="314" customFormat="1" ht="12.75" customHeight="1" x14ac:dyDescent="0.15">
      <c r="B161" s="5" t="s">
        <v>114</v>
      </c>
      <c r="C161" s="6">
        <v>36976.53</v>
      </c>
      <c r="D161" s="7">
        <v>2.9252200000000001E-3</v>
      </c>
      <c r="E161"/>
      <c r="F161" s="8">
        <v>10037.459999999999</v>
      </c>
      <c r="G161" s="7">
        <v>9.9990900000000004E-3</v>
      </c>
      <c r="H161"/>
      <c r="I161" s="8">
        <v>7980.68</v>
      </c>
      <c r="J161" s="7">
        <v>9.9974799999999996E-3</v>
      </c>
      <c r="K161"/>
      <c r="L161" s="8">
        <v>11487.03</v>
      </c>
      <c r="M161" s="7">
        <v>9.9995999999999991E-3</v>
      </c>
      <c r="N161"/>
      <c r="O161" s="8">
        <v>7471.36</v>
      </c>
      <c r="P161" s="7">
        <v>9.999280000000001E-3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544960.7108</v>
      </c>
      <c r="D162" s="327">
        <v>4.3111950000000003E-2</v>
      </c>
      <c r="E162"/>
      <c r="F162" s="326">
        <v>48469.39</v>
      </c>
      <c r="G162" s="327">
        <v>4.8284130000000001E-2</v>
      </c>
      <c r="H162"/>
      <c r="I162" s="326">
        <v>34345.79</v>
      </c>
      <c r="J162" s="327">
        <v>4.3025340000000002E-2</v>
      </c>
      <c r="K162"/>
      <c r="L162" s="326">
        <v>37365.1</v>
      </c>
      <c r="M162" s="327">
        <v>3.2526779999999998E-2</v>
      </c>
      <c r="N162"/>
      <c r="O162" s="326">
        <v>29078.65</v>
      </c>
      <c r="P162" s="327">
        <v>3.8917359999999998E-2</v>
      </c>
      <c r="Q162"/>
      <c r="R162" s="326">
        <v>46126.768400000001</v>
      </c>
      <c r="S162" s="327">
        <v>4.2364840000000001E-2</v>
      </c>
      <c r="T162"/>
      <c r="U162" s="326">
        <v>39915.607300000003</v>
      </c>
      <c r="V162" s="327">
        <v>4.3187639999999999E-2</v>
      </c>
      <c r="W162"/>
      <c r="X162" s="326">
        <v>28836.599900000001</v>
      </c>
      <c r="Y162" s="327">
        <v>4.6773179999999998E-2</v>
      </c>
      <c r="Z162"/>
      <c r="AA162" s="326">
        <v>41994.832900000001</v>
      </c>
      <c r="AB162" s="327">
        <v>4.9921239999999999E-2</v>
      </c>
      <c r="AC162"/>
      <c r="AD162" s="326">
        <v>58629.279399999999</v>
      </c>
      <c r="AE162" s="327">
        <v>4.1052440000000003E-2</v>
      </c>
      <c r="AF162"/>
      <c r="AG162" s="326">
        <v>73383.912599999996</v>
      </c>
      <c r="AH162" s="327">
        <v>4.6043290000000001E-2</v>
      </c>
      <c r="AI162"/>
      <c r="AJ162" s="326">
        <v>65736.970700000005</v>
      </c>
      <c r="AK162" s="327">
        <v>4.3464929999999999E-2</v>
      </c>
      <c r="AL162"/>
      <c r="AM162" s="326">
        <v>41077.809600000001</v>
      </c>
      <c r="AN162" s="327">
        <v>4.3820919999999999E-2</v>
      </c>
    </row>
    <row r="163" spans="2:40" s="314" customFormat="1" ht="12.75" customHeight="1" x14ac:dyDescent="0.15">
      <c r="B163" s="5" t="s">
        <v>116</v>
      </c>
      <c r="C163" s="6">
        <v>258742.894</v>
      </c>
      <c r="D163" s="7">
        <v>2.04692E-2</v>
      </c>
      <c r="E163"/>
      <c r="F163" s="8">
        <v>20636.84</v>
      </c>
      <c r="G163" s="7">
        <v>2.055796E-2</v>
      </c>
      <c r="H163"/>
      <c r="I163" s="8">
        <v>19565.599999999999</v>
      </c>
      <c r="J163" s="7">
        <v>2.451004E-2</v>
      </c>
      <c r="K163"/>
      <c r="L163" s="8">
        <v>23671.24</v>
      </c>
      <c r="M163" s="7">
        <v>2.060611E-2</v>
      </c>
      <c r="N163"/>
      <c r="O163" s="8">
        <v>13493.95</v>
      </c>
      <c r="P163" s="7">
        <v>1.8059599999999999E-2</v>
      </c>
      <c r="Q163"/>
      <c r="R163" s="8">
        <v>20825.161599999999</v>
      </c>
      <c r="S163" s="7">
        <v>1.912674E-2</v>
      </c>
      <c r="T163"/>
      <c r="U163" s="8">
        <v>17667.371800000001</v>
      </c>
      <c r="V163" s="7">
        <v>1.9115630000000002E-2</v>
      </c>
      <c r="W163"/>
      <c r="X163" s="8">
        <v>12080.25</v>
      </c>
      <c r="Y163" s="7">
        <v>1.9594259999999999E-2</v>
      </c>
      <c r="Z163"/>
      <c r="AA163" s="8">
        <v>19122.3806</v>
      </c>
      <c r="AB163" s="7">
        <v>2.2731669999999999E-2</v>
      </c>
      <c r="AC163"/>
      <c r="AD163" s="8">
        <v>27128.5</v>
      </c>
      <c r="AE163" s="7">
        <v>1.8995479999999999E-2</v>
      </c>
      <c r="AF163"/>
      <c r="AG163" s="8">
        <v>35237.65</v>
      </c>
      <c r="AH163" s="7">
        <v>2.2109170000000001E-2</v>
      </c>
      <c r="AI163"/>
      <c r="AJ163" s="8">
        <v>31028.9</v>
      </c>
      <c r="AK163" s="7">
        <v>2.0516139999999999E-2</v>
      </c>
      <c r="AL163"/>
      <c r="AM163" s="8">
        <v>18285.05</v>
      </c>
      <c r="AN163" s="7">
        <v>1.950609E-2</v>
      </c>
    </row>
    <row r="164" spans="2:40" s="314" customFormat="1" ht="12.75" customHeight="1" x14ac:dyDescent="0.15">
      <c r="B164" s="5" t="s">
        <v>117</v>
      </c>
      <c r="C164" s="6">
        <v>165689.09</v>
      </c>
      <c r="D164" s="7">
        <v>1.31077E-2</v>
      </c>
      <c r="E164"/>
      <c r="F164" s="8">
        <v>11792.48</v>
      </c>
      <c r="G164" s="7">
        <v>1.174741E-2</v>
      </c>
      <c r="H164"/>
      <c r="I164" s="8">
        <v>9898.35</v>
      </c>
      <c r="J164" s="7">
        <v>1.2399769999999999E-2</v>
      </c>
      <c r="K164"/>
      <c r="L164" s="8">
        <v>5921.16</v>
      </c>
      <c r="M164" s="7">
        <v>5.1544399999999997E-3</v>
      </c>
      <c r="N164"/>
      <c r="O164" s="8">
        <v>10223.34</v>
      </c>
      <c r="P164" s="7">
        <v>1.3682389999999999E-2</v>
      </c>
      <c r="Q164"/>
      <c r="R164" s="8">
        <v>14637.615400000001</v>
      </c>
      <c r="S164" s="7">
        <v>1.344383E-2</v>
      </c>
      <c r="T164"/>
      <c r="U164" s="8">
        <v>12407.051299999999</v>
      </c>
      <c r="V164" s="7">
        <v>1.34241E-2</v>
      </c>
      <c r="W164"/>
      <c r="X164" s="8">
        <v>8453.75</v>
      </c>
      <c r="Y164" s="7">
        <v>1.371205E-2</v>
      </c>
      <c r="Z164"/>
      <c r="AA164" s="8">
        <v>13446.3433</v>
      </c>
      <c r="AB164" s="7">
        <v>1.59843E-2</v>
      </c>
      <c r="AC164"/>
      <c r="AD164" s="8">
        <v>19140</v>
      </c>
      <c r="AE164" s="7">
        <v>1.34019E-2</v>
      </c>
      <c r="AF164"/>
      <c r="AG164" s="8">
        <v>24957.25</v>
      </c>
      <c r="AH164" s="7">
        <v>1.5658930000000001E-2</v>
      </c>
      <c r="AI164"/>
      <c r="AJ164" s="8">
        <v>21926</v>
      </c>
      <c r="AK164" s="7">
        <v>1.4497350000000001E-2</v>
      </c>
      <c r="AL164"/>
      <c r="AM164" s="8">
        <v>12885.75</v>
      </c>
      <c r="AN164" s="7">
        <v>1.374624E-2</v>
      </c>
    </row>
    <row r="165" spans="2:40" s="314" customFormat="1" ht="12.75" customHeight="1" x14ac:dyDescent="0.15">
      <c r="B165" s="5" t="s">
        <v>118</v>
      </c>
      <c r="C165" s="6">
        <v>52705.78</v>
      </c>
      <c r="D165" s="7">
        <v>4.1695600000000001E-3</v>
      </c>
      <c r="E165"/>
      <c r="F165" s="8">
        <v>7178.47</v>
      </c>
      <c r="G165" s="7">
        <v>7.1510300000000001E-3</v>
      </c>
      <c r="H165"/>
      <c r="I165" s="8">
        <v>581.73</v>
      </c>
      <c r="J165" s="7">
        <v>7.2873999999999997E-4</v>
      </c>
      <c r="K165"/>
      <c r="L165" s="8">
        <v>2028.96</v>
      </c>
      <c r="M165" s="7">
        <v>1.7662299999999999E-3</v>
      </c>
      <c r="N165"/>
      <c r="O165" s="8">
        <v>1156.6199999999999</v>
      </c>
      <c r="P165" s="7">
        <v>1.5479599999999999E-3</v>
      </c>
      <c r="Q165"/>
      <c r="R165" s="8">
        <v>5220</v>
      </c>
      <c r="S165" s="7">
        <v>4.7942800000000006E-3</v>
      </c>
      <c r="T165"/>
      <c r="U165" s="8">
        <v>5220</v>
      </c>
      <c r="V165" s="7">
        <v>5.6479E-3</v>
      </c>
      <c r="W165"/>
      <c r="X165" s="8">
        <v>5220</v>
      </c>
      <c r="Y165" s="7">
        <v>8.4668799999999995E-3</v>
      </c>
      <c r="Z165"/>
      <c r="AA165" s="8">
        <v>5220</v>
      </c>
      <c r="AB165" s="7">
        <v>6.2052600000000006E-3</v>
      </c>
      <c r="AC165"/>
      <c r="AD165" s="8">
        <v>5220</v>
      </c>
      <c r="AE165" s="7">
        <v>3.6550599999999999E-3</v>
      </c>
      <c r="AF165"/>
      <c r="AG165" s="8">
        <v>5220</v>
      </c>
      <c r="AH165" s="7">
        <v>3.2751899999999999E-3</v>
      </c>
      <c r="AI165"/>
      <c r="AJ165" s="8">
        <v>5220</v>
      </c>
      <c r="AK165" s="7">
        <v>3.4514400000000001E-3</v>
      </c>
      <c r="AL165"/>
      <c r="AM165" s="8">
        <v>5220</v>
      </c>
      <c r="AN165" s="7">
        <v>5.5685800000000001E-3</v>
      </c>
    </row>
    <row r="166" spans="2:40" s="314" customFormat="1" ht="12.75" customHeight="1" x14ac:dyDescent="0.15">
      <c r="B166" s="5" t="s">
        <v>119</v>
      </c>
      <c r="C166" s="6">
        <v>67822.9467</v>
      </c>
      <c r="D166" s="7">
        <v>5.3654900000000014E-3</v>
      </c>
      <c r="E166"/>
      <c r="F166" s="8">
        <v>8861.6</v>
      </c>
      <c r="G166" s="7">
        <v>8.8277300000000006E-3</v>
      </c>
      <c r="H166"/>
      <c r="I166" s="8">
        <v>4300.1099999999997</v>
      </c>
      <c r="J166" s="7">
        <v>5.3867899999999998E-3</v>
      </c>
      <c r="K166"/>
      <c r="L166" s="8">
        <v>5743.74</v>
      </c>
      <c r="M166" s="7">
        <v>5.0000000000000001E-3</v>
      </c>
      <c r="N166"/>
      <c r="O166" s="8">
        <v>4204.74</v>
      </c>
      <c r="P166" s="7">
        <v>5.6274100000000002E-3</v>
      </c>
      <c r="Q166"/>
      <c r="R166" s="8">
        <v>5443.9913999999999</v>
      </c>
      <c r="S166" s="7">
        <v>5.0000000000000001E-3</v>
      </c>
      <c r="T166"/>
      <c r="U166" s="8">
        <v>4621.1841000000004</v>
      </c>
      <c r="V166" s="7">
        <v>5.0000000000000001E-3</v>
      </c>
      <c r="W166"/>
      <c r="X166" s="8">
        <v>3082.5999000000002</v>
      </c>
      <c r="Y166" s="7">
        <v>5.0000000000000001E-3</v>
      </c>
      <c r="Z166"/>
      <c r="AA166" s="8">
        <v>4206.1090000000004</v>
      </c>
      <c r="AB166" s="7">
        <v>5.0000000000000001E-3</v>
      </c>
      <c r="AC166"/>
      <c r="AD166" s="8">
        <v>7140.7794000000004</v>
      </c>
      <c r="AE166" s="7">
        <v>5.0000000000000001E-3</v>
      </c>
      <c r="AF166"/>
      <c r="AG166" s="8">
        <v>7969.0126</v>
      </c>
      <c r="AH166" s="7">
        <v>5.0000000000000001E-3</v>
      </c>
      <c r="AI166"/>
      <c r="AJ166" s="8">
        <v>7562.0707000000002</v>
      </c>
      <c r="AK166" s="7">
        <v>5.0000000000000001E-3</v>
      </c>
      <c r="AL166"/>
      <c r="AM166" s="8">
        <v>4687.0096000000003</v>
      </c>
      <c r="AN166" s="7">
        <v>5.0000000000000001E-3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601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0FCA-631F-4611-B30A-D55260D029B8}">
  <sheetPr>
    <pageSetUpPr fitToPage="1"/>
  </sheetPr>
  <dimension ref="B2:O168"/>
  <sheetViews>
    <sheetView workbookViewId="0">
      <pane xSplit="2" ySplit="10" topLeftCell="F134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A170" sqref="A170:XFD178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143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Main Plaza'!C11</f>
        <v>6648533.7755000005</v>
      </c>
      <c r="D11" s="39">
        <f>'Data Entry Main Plaza'!F11</f>
        <v>358011.94</v>
      </c>
      <c r="E11" s="39">
        <f>'Data Entry Main Plaza'!I11</f>
        <v>437494.52</v>
      </c>
      <c r="F11" s="39">
        <f>'Data Entry Main Plaza'!L11</f>
        <v>568675.63</v>
      </c>
      <c r="G11" s="39">
        <f>'Data Entry Main Plaza'!O11</f>
        <v>429940.74</v>
      </c>
      <c r="H11" s="39">
        <f>'Data Entry Main Plaza'!R11</f>
        <v>517166.32530000003</v>
      </c>
      <c r="I11" s="39">
        <f>'Data Entry Main Plaza'!U11</f>
        <v>591560.95739999996</v>
      </c>
      <c r="J11" s="39">
        <f>'Data Entry Main Plaza'!X11</f>
        <v>481126.04180000001</v>
      </c>
      <c r="K11" s="39">
        <f>'Data Entry Main Plaza'!AA11</f>
        <v>517702.90090000001</v>
      </c>
      <c r="L11" s="39">
        <f>'Data Entry Main Plaza'!AD11</f>
        <v>668208.88210000005</v>
      </c>
      <c r="M11" s="39">
        <f>'Data Entry Main Plaza'!AG11</f>
        <v>780498.2635</v>
      </c>
      <c r="N11" s="39">
        <f>'Data Entry Main Plaza'!AJ11</f>
        <v>706107.07039999997</v>
      </c>
      <c r="O11" s="39">
        <f>'Data Entry Main Plaza'!AM11</f>
        <v>592040.50410000002</v>
      </c>
    </row>
    <row r="12" spans="2:15" ht="14" x14ac:dyDescent="0.15">
      <c r="B12" s="38" t="s">
        <v>22</v>
      </c>
      <c r="C12" s="39">
        <f>'Data Entry Main Plaza'!C12</f>
        <v>2901316.2149999999</v>
      </c>
      <c r="D12" s="39">
        <f>'Data Entry Main Plaza'!F12</f>
        <v>216346.37</v>
      </c>
      <c r="E12" s="39">
        <f>'Data Entry Main Plaza'!I12</f>
        <v>216807.2</v>
      </c>
      <c r="F12" s="39">
        <f>'Data Entry Main Plaza'!L12</f>
        <v>239681.68</v>
      </c>
      <c r="G12" s="39">
        <f>'Data Entry Main Plaza'!O12</f>
        <v>238068.14</v>
      </c>
      <c r="H12" s="39">
        <f>'Data Entry Main Plaza'!R12</f>
        <v>250672.75640000001</v>
      </c>
      <c r="I12" s="39">
        <f>'Data Entry Main Plaza'!U12</f>
        <v>256073.94380000001</v>
      </c>
      <c r="J12" s="39">
        <f>'Data Entry Main Plaza'!X12</f>
        <v>227794.80230000001</v>
      </c>
      <c r="K12" s="39">
        <f>'Data Entry Main Plaza'!AA12</f>
        <v>245972.91899999999</v>
      </c>
      <c r="L12" s="39">
        <f>'Data Entry Main Plaza'!AD12</f>
        <v>256562.658</v>
      </c>
      <c r="M12" s="39">
        <f>'Data Entry Main Plaza'!AG12</f>
        <v>249706.42389999999</v>
      </c>
      <c r="N12" s="39">
        <f>'Data Entry Main Plaza'!AJ12</f>
        <v>258880.63440000001</v>
      </c>
      <c r="O12" s="39">
        <f>'Data Entry Main Plaza'!AM12</f>
        <v>244748.68719999999</v>
      </c>
    </row>
    <row r="13" spans="2:15" ht="14" x14ac:dyDescent="0.15">
      <c r="B13" s="38" t="s">
        <v>23</v>
      </c>
      <c r="C13" s="39">
        <f>'Data Entry Main Plaza'!C13</f>
        <v>1052051.6771</v>
      </c>
      <c r="D13" s="39">
        <f>'Data Entry Main Plaza'!F13</f>
        <v>-79523.41</v>
      </c>
      <c r="E13" s="39">
        <f>'Data Entry Main Plaza'!I13</f>
        <v>30565.99</v>
      </c>
      <c r="F13" s="39">
        <f>'Data Entry Main Plaza'!L13</f>
        <v>119388.33</v>
      </c>
      <c r="G13" s="39">
        <f>'Data Entry Main Plaza'!O13</f>
        <v>-74111.91</v>
      </c>
      <c r="H13" s="39">
        <f>'Data Entry Main Plaza'!R13</f>
        <v>71248.778399999996</v>
      </c>
      <c r="I13" s="39">
        <f>'Data Entry Main Plaza'!U13</f>
        <v>120805.1906</v>
      </c>
      <c r="J13" s="39">
        <f>'Data Entry Main Plaza'!X13</f>
        <v>55364.2549</v>
      </c>
      <c r="K13" s="39">
        <f>'Data Entry Main Plaza'!AA13</f>
        <v>76320.442800000004</v>
      </c>
      <c r="L13" s="39">
        <f>'Data Entry Main Plaza'!AD13</f>
        <v>156363.18950000001</v>
      </c>
      <c r="M13" s="39">
        <f>'Data Entry Main Plaza'!AG13</f>
        <v>259755.4461</v>
      </c>
      <c r="N13" s="39">
        <f>'Data Entry Main Plaza'!AJ13</f>
        <v>204418.32879999999</v>
      </c>
      <c r="O13" s="39">
        <f>'Data Entry Main Plaza'!AM13</f>
        <v>111457.046</v>
      </c>
    </row>
    <row r="14" spans="2:15" ht="14" x14ac:dyDescent="0.15">
      <c r="B14" s="38" t="s">
        <v>24</v>
      </c>
      <c r="C14" s="39">
        <f>'Data Entry Main Plaza'!C14</f>
        <v>43070</v>
      </c>
      <c r="D14" s="39">
        <f>'Data Entry Main Plaza'!F14</f>
        <v>3658</v>
      </c>
      <c r="E14" s="39">
        <f>'Data Entry Main Plaza'!I14</f>
        <v>3304</v>
      </c>
      <c r="F14" s="39">
        <f>'Data Entry Main Plaza'!L14</f>
        <v>3658</v>
      </c>
      <c r="G14" s="39">
        <f>'Data Entry Main Plaza'!O14</f>
        <v>3540</v>
      </c>
      <c r="H14" s="39">
        <f>'Data Entry Main Plaza'!R14</f>
        <v>3658</v>
      </c>
      <c r="I14" s="39">
        <f>'Data Entry Main Plaza'!U14</f>
        <v>3540</v>
      </c>
      <c r="J14" s="39">
        <f>'Data Entry Main Plaza'!X14</f>
        <v>3658</v>
      </c>
      <c r="K14" s="39">
        <f>'Data Entry Main Plaza'!AA14</f>
        <v>3658</v>
      </c>
      <c r="L14" s="39">
        <f>'Data Entry Main Plaza'!AD14</f>
        <v>3540</v>
      </c>
      <c r="M14" s="39">
        <f>'Data Entry Main Plaza'!AG14</f>
        <v>3658</v>
      </c>
      <c r="N14" s="39">
        <f>'Data Entry Main Plaza'!AJ14</f>
        <v>3540</v>
      </c>
      <c r="O14" s="39">
        <f>'Data Entry Main Plaza'!AM14</f>
        <v>3658</v>
      </c>
    </row>
    <row r="15" spans="2:15" ht="14" x14ac:dyDescent="0.15">
      <c r="B15" s="38" t="s">
        <v>25</v>
      </c>
      <c r="C15" s="39">
        <f>'Data Entry Main Plaza'!C15</f>
        <v>27759</v>
      </c>
      <c r="D15" s="39">
        <f>'Data Entry Main Plaza'!F15</f>
        <v>1554</v>
      </c>
      <c r="E15" s="39">
        <f>'Data Entry Main Plaza'!I15</f>
        <v>1750</v>
      </c>
      <c r="F15" s="39">
        <f>'Data Entry Main Plaza'!L15</f>
        <v>2367</v>
      </c>
      <c r="G15" s="39">
        <f>'Data Entry Main Plaza'!O15</f>
        <v>2242</v>
      </c>
      <c r="H15" s="39">
        <f>'Data Entry Main Plaza'!R15</f>
        <v>2536</v>
      </c>
      <c r="I15" s="39">
        <f>'Data Entry Main Plaza'!U15</f>
        <v>2221</v>
      </c>
      <c r="J15" s="39">
        <f>'Data Entry Main Plaza'!X15</f>
        <v>2132</v>
      </c>
      <c r="K15" s="39">
        <f>'Data Entry Main Plaza'!AA15</f>
        <v>2408</v>
      </c>
      <c r="L15" s="39">
        <f>'Data Entry Main Plaza'!AD15</f>
        <v>2658</v>
      </c>
      <c r="M15" s="39">
        <f>'Data Entry Main Plaza'!AG15</f>
        <v>2738</v>
      </c>
      <c r="N15" s="39">
        <f>'Data Entry Main Plaza'!AJ15</f>
        <v>2745</v>
      </c>
      <c r="O15" s="39">
        <f>'Data Entry Main Plaza'!AM15</f>
        <v>2408</v>
      </c>
    </row>
    <row r="16" spans="2:15" ht="14" x14ac:dyDescent="0.15">
      <c r="B16" s="38" t="s">
        <v>26</v>
      </c>
      <c r="C16" s="39">
        <f>'Data Entry Main Plaza'!C16</f>
        <v>65.166008822847004</v>
      </c>
      <c r="D16" s="39">
        <f>'Data Entry Main Plaza'!F16</f>
        <v>43.411700382722998</v>
      </c>
      <c r="E16" s="39">
        <f>'Data Entry Main Plaza'!I16</f>
        <v>54.116222760291002</v>
      </c>
      <c r="F16" s="39">
        <f>'Data Entry Main Plaza'!L16</f>
        <v>65.855658829961996</v>
      </c>
      <c r="G16" s="39">
        <f>'Data Entry Main Plaza'!O16</f>
        <v>64.293785310733995</v>
      </c>
      <c r="H16" s="39">
        <f>'Data Entry Main Plaza'!R16</f>
        <v>69.874248223072996</v>
      </c>
      <c r="I16" s="39">
        <f>'Data Entry Main Plaza'!U16</f>
        <v>63.305084745762997</v>
      </c>
      <c r="J16" s="39">
        <f>'Data Entry Main Plaza'!X16</f>
        <v>58.829961727719997</v>
      </c>
      <c r="K16" s="39">
        <f>'Data Entry Main Plaza'!AA16</f>
        <v>66.375068343357</v>
      </c>
      <c r="L16" s="39">
        <f>'Data Entry Main Plaza'!AD16</f>
        <v>75.649717514124006</v>
      </c>
      <c r="M16" s="39">
        <f>'Data Entry Main Plaza'!AG16</f>
        <v>75.396391470748995</v>
      </c>
      <c r="N16" s="39">
        <f>'Data Entry Main Plaza'!AJ16</f>
        <v>78.107344632768005</v>
      </c>
      <c r="O16" s="39">
        <f>'Data Entry Main Plaza'!AM16</f>
        <v>66.375068343357</v>
      </c>
    </row>
    <row r="17" spans="2:15" ht="14" x14ac:dyDescent="0.15">
      <c r="B17" s="38" t="s">
        <v>27</v>
      </c>
      <c r="C17" s="39">
        <f>'Data Entry Main Plaza'!C17</f>
        <v>162.33645319716001</v>
      </c>
      <c r="D17" s="39">
        <f>'Data Entry Main Plaza'!F17</f>
        <v>165.41910553411</v>
      </c>
      <c r="E17" s="39">
        <f>'Data Entry Main Plaza'!I17</f>
        <v>176.81943428571</v>
      </c>
      <c r="F17" s="39">
        <f>'Data Entry Main Plaza'!L17</f>
        <v>167.13547106041</v>
      </c>
      <c r="G17" s="39">
        <f>'Data Entry Main Plaza'!O17</f>
        <v>126.66239072257</v>
      </c>
      <c r="H17" s="39">
        <f>'Data Entry Main Plaza'!R17</f>
        <v>149.98814041797999</v>
      </c>
      <c r="I17" s="39">
        <f>'Data Entry Main Plaza'!U17</f>
        <v>168.30685799189999</v>
      </c>
      <c r="J17" s="39">
        <f>'Data Entry Main Plaza'!X17</f>
        <v>149.00234521575999</v>
      </c>
      <c r="K17" s="39">
        <f>'Data Entry Main Plaza'!AA17</f>
        <v>145.12458471760999</v>
      </c>
      <c r="L17" s="39">
        <f>'Data Entry Main Plaza'!AD17</f>
        <v>163.33121444695001</v>
      </c>
      <c r="M17" s="39">
        <f>'Data Entry Main Plaza'!AG17</f>
        <v>205.11020474799</v>
      </c>
      <c r="N17" s="39">
        <f>'Data Entry Main Plaza'!AJ17</f>
        <v>170.97595628414999</v>
      </c>
      <c r="O17" s="39">
        <f>'Data Entry Main Plaza'!AM17</f>
        <v>155.25249169435</v>
      </c>
    </row>
    <row r="18" spans="2:15" ht="14" x14ac:dyDescent="0.15">
      <c r="B18" s="38" t="s">
        <v>28</v>
      </c>
      <c r="C18" s="39">
        <f>'Data Entry Main Plaza'!C18</f>
        <v>96.880309828186995</v>
      </c>
      <c r="D18" s="39">
        <f>'Data Entry Main Plaza'!F18</f>
        <v>62.582676325861001</v>
      </c>
      <c r="E18" s="39">
        <f>'Data Entry Main Plaza'!I18</f>
        <v>87.124334140436005</v>
      </c>
      <c r="F18" s="39">
        <f>'Data Entry Main Plaza'!L18</f>
        <v>99.388769819573994</v>
      </c>
      <c r="G18" s="39">
        <f>'Data Entry Main Plaza'!O18</f>
        <v>73.573172316384003</v>
      </c>
      <c r="H18" s="39">
        <f>'Data Entry Main Plaza'!R18</f>
        <v>95.781827255330995</v>
      </c>
      <c r="I18" s="39">
        <f>'Data Entry Main Plaza'!U18</f>
        <v>97.618511751412001</v>
      </c>
      <c r="J18" s="39">
        <f>'Data Entry Main Plaza'!X18</f>
        <v>79.478676872608006</v>
      </c>
      <c r="K18" s="39">
        <f>'Data Entry Main Plaza'!AA18</f>
        <v>88.168398031711007</v>
      </c>
      <c r="L18" s="39">
        <f>'Data Entry Main Plaza'!AD18</f>
        <v>114.32044293785</v>
      </c>
      <c r="M18" s="39">
        <f>'Data Entry Main Plaza'!AG18</f>
        <v>145.47614559869001</v>
      </c>
      <c r="N18" s="39">
        <f>'Data Entry Main Plaza'!AJ18</f>
        <v>124.26242937853</v>
      </c>
      <c r="O18" s="39">
        <f>'Data Entry Main Plaza'!AM18</f>
        <v>94.562055768178993</v>
      </c>
    </row>
    <row r="19" spans="2:15" ht="14" x14ac:dyDescent="0.15">
      <c r="B19" s="38" t="s">
        <v>29</v>
      </c>
      <c r="C19" s="39">
        <f>'Data Entry Main Plaza'!C19</f>
        <v>154.36577143023001</v>
      </c>
      <c r="D19" s="39">
        <f>'Data Entry Main Plaza'!F19</f>
        <v>97.870951339529995</v>
      </c>
      <c r="E19" s="39">
        <f>'Data Entry Main Plaza'!I19</f>
        <v>132.41359564165001</v>
      </c>
      <c r="F19" s="39">
        <f>'Data Entry Main Plaza'!L19</f>
        <v>155.46080645161001</v>
      </c>
      <c r="G19" s="39">
        <f>'Data Entry Main Plaza'!O19</f>
        <v>121.45218644067999</v>
      </c>
      <c r="H19" s="39">
        <f>'Data Entry Main Plaza'!R19</f>
        <v>141.37953124658</v>
      </c>
      <c r="I19" s="39">
        <f>'Data Entry Main Plaza'!U19</f>
        <v>167.10761508474999</v>
      </c>
      <c r="J19" s="39">
        <f>'Data Entry Main Plaza'!X19</f>
        <v>131.52707539638999</v>
      </c>
      <c r="K19" s="39">
        <f>'Data Entry Main Plaza'!AA19</f>
        <v>141.52621675779</v>
      </c>
      <c r="L19" s="39">
        <f>'Data Entry Main Plaza'!AD19</f>
        <v>188.75957121469</v>
      </c>
      <c r="M19" s="39">
        <f>'Data Entry Main Plaza'!AG19</f>
        <v>213.36748592127</v>
      </c>
      <c r="N19" s="39">
        <f>'Data Entry Main Plaza'!AJ19</f>
        <v>199.46527412429</v>
      </c>
      <c r="O19" s="39">
        <f>'Data Entry Main Plaza'!AM19</f>
        <v>161.84814218151999</v>
      </c>
    </row>
    <row r="20" spans="2:15" ht="14" x14ac:dyDescent="0.15">
      <c r="B20" s="38" t="s">
        <v>30</v>
      </c>
      <c r="C20" s="39">
        <f>'Data Entry Main Plaza'!C20</f>
        <v>41541.191599999998</v>
      </c>
      <c r="D20" s="39">
        <f>'Data Entry Main Plaza'!F20</f>
        <v>2356</v>
      </c>
      <c r="E20" s="39">
        <f>'Data Entry Main Plaza'!I20</f>
        <v>2483</v>
      </c>
      <c r="F20" s="39">
        <f>'Data Entry Main Plaza'!L20</f>
        <v>3194</v>
      </c>
      <c r="G20" s="39">
        <f>'Data Entry Main Plaza'!O20</f>
        <v>3794</v>
      </c>
      <c r="H20" s="39">
        <f>'Data Entry Main Plaza'!R20</f>
        <v>3623.6518999999998</v>
      </c>
      <c r="I20" s="39">
        <f>'Data Entry Main Plaza'!U20</f>
        <v>3231.3000999999999</v>
      </c>
      <c r="J20" s="39">
        <f>'Data Entry Main Plaza'!X20</f>
        <v>3681.0796</v>
      </c>
      <c r="K20" s="39">
        <f>'Data Entry Main Plaza'!AA20</f>
        <v>4297.5600000000004</v>
      </c>
      <c r="L20" s="39">
        <f>'Data Entry Main Plaza'!AD20</f>
        <v>3749.2</v>
      </c>
      <c r="M20" s="39">
        <f>'Data Entry Main Plaza'!AG20</f>
        <v>3861.2</v>
      </c>
      <c r="N20" s="39">
        <f>'Data Entry Main Plaza'!AJ20</f>
        <v>3871</v>
      </c>
      <c r="O20" s="39">
        <f>'Data Entry Main Plaza'!AM20</f>
        <v>3399.2</v>
      </c>
    </row>
    <row r="21" spans="2:15" ht="14" x14ac:dyDescent="0.15">
      <c r="B21" s="38" t="s">
        <v>31</v>
      </c>
      <c r="C21" s="39">
        <f>'Data Entry Main Plaza'!C21</f>
        <v>1.4800723839384</v>
      </c>
      <c r="D21" s="39">
        <f>'Data Entry Main Plaza'!F21</f>
        <v>1.4836272040302001</v>
      </c>
      <c r="E21" s="39">
        <f>'Data Entry Main Plaza'!I21</f>
        <v>1.3887024608501</v>
      </c>
      <c r="F21" s="39">
        <f>'Data Entry Main Plaza'!L21</f>
        <v>1.3258613532586001</v>
      </c>
      <c r="G21" s="39">
        <f>'Data Entry Main Plaza'!O21</f>
        <v>1.6669595782074</v>
      </c>
      <c r="H21" s="39">
        <f>'Data Entry Main Plaza'!R21</f>
        <v>1.4177041862285</v>
      </c>
      <c r="I21" s="39">
        <f>'Data Entry Main Plaza'!U21</f>
        <v>1.4419009817046</v>
      </c>
      <c r="J21" s="39">
        <f>'Data Entry Main Plaza'!X21</f>
        <v>1.7105388475836001</v>
      </c>
      <c r="K21" s="39">
        <f>'Data Entry Main Plaza'!AA21</f>
        <v>1.77</v>
      </c>
      <c r="L21" s="39">
        <f>'Data Entry Main Plaza'!AD21</f>
        <v>1.4</v>
      </c>
      <c r="M21" s="39">
        <f>'Data Entry Main Plaza'!AG21</f>
        <v>1.4</v>
      </c>
      <c r="N21" s="39">
        <f>'Data Entry Main Plaza'!AJ21</f>
        <v>1.4</v>
      </c>
      <c r="O21" s="39">
        <f>'Data Entry Main Plaza'!AM21</f>
        <v>1.4</v>
      </c>
    </row>
    <row r="22" spans="2:15" ht="14" x14ac:dyDescent="0.15">
      <c r="B22" s="38" t="s">
        <v>32</v>
      </c>
      <c r="C22" s="39">
        <f>'Data Entry Main Plaza'!C22</f>
        <v>34589.501799999998</v>
      </c>
      <c r="D22" s="39">
        <f>'Data Entry Main Plaza'!F22</f>
        <v>0</v>
      </c>
      <c r="E22" s="39">
        <f>'Data Entry Main Plaza'!I22</f>
        <v>0</v>
      </c>
      <c r="F22" s="39">
        <f>'Data Entry Main Plaza'!L22</f>
        <v>0</v>
      </c>
      <c r="G22" s="39">
        <f>'Data Entry Main Plaza'!O22</f>
        <v>0</v>
      </c>
      <c r="H22" s="39">
        <f>'Data Entry Main Plaza'!R22</f>
        <v>3645.5023999999999</v>
      </c>
      <c r="I22" s="39">
        <f>'Data Entry Main Plaza'!U22</f>
        <v>4038.1621</v>
      </c>
      <c r="J22" s="39">
        <f>'Data Entry Main Plaza'!X22</f>
        <v>4388.9988999999996</v>
      </c>
      <c r="K22" s="39">
        <f>'Data Entry Main Plaza'!AA22</f>
        <v>4835.1944000000003</v>
      </c>
      <c r="L22" s="39">
        <f>'Data Entry Main Plaza'!AD22</f>
        <v>4428.4080000000004</v>
      </c>
      <c r="M22" s="39">
        <f>'Data Entry Main Plaza'!AG22</f>
        <v>4568.2879999999996</v>
      </c>
      <c r="N22" s="39">
        <f>'Data Entry Main Plaza'!AJ22</f>
        <v>4504.54</v>
      </c>
      <c r="O22" s="39">
        <f>'Data Entry Main Plaza'!AM22</f>
        <v>4180.4080000000004</v>
      </c>
    </row>
    <row r="23" spans="2:15" ht="14" x14ac:dyDescent="0.15">
      <c r="B23" s="38" t="s">
        <v>33</v>
      </c>
      <c r="C23" s="39">
        <f>'Data Entry Main Plaza'!C23</f>
        <v>32.167499999999997</v>
      </c>
      <c r="D23" s="39">
        <f>'Data Entry Main Plaza'!F23</f>
        <v>32.69</v>
      </c>
      <c r="E23" s="39">
        <f>'Data Entry Main Plaza'!I23</f>
        <v>30.69</v>
      </c>
      <c r="F23" s="39">
        <f>'Data Entry Main Plaza'!L23</f>
        <v>30.69</v>
      </c>
      <c r="G23" s="39">
        <f>'Data Entry Main Plaza'!O23</f>
        <v>31.34</v>
      </c>
      <c r="H23" s="39">
        <f>'Data Entry Main Plaza'!R23</f>
        <v>29.95</v>
      </c>
      <c r="I23" s="39">
        <f>'Data Entry Main Plaza'!U23</f>
        <v>32.950000000000003</v>
      </c>
      <c r="J23" s="39">
        <f>'Data Entry Main Plaza'!X23</f>
        <v>32.950000000000003</v>
      </c>
      <c r="K23" s="39">
        <f>'Data Entry Main Plaza'!AA23</f>
        <v>32.950000000000003</v>
      </c>
      <c r="L23" s="39">
        <f>'Data Entry Main Plaza'!AD23</f>
        <v>32.950000000000003</v>
      </c>
      <c r="M23" s="39">
        <f>'Data Entry Main Plaza'!AG23</f>
        <v>32.950000000000003</v>
      </c>
      <c r="N23" s="39">
        <f>'Data Entry Main Plaza'!AJ23</f>
        <v>32.950000000000003</v>
      </c>
      <c r="O23" s="39">
        <f>'Data Entry Main Plaza'!AM23</f>
        <v>32.950000000000003</v>
      </c>
    </row>
    <row r="24" spans="2:15" x14ac:dyDescent="0.15">
      <c r="C24" s="39">
        <f>'Data Entry Main Plaza'!C24</f>
        <v>0</v>
      </c>
      <c r="D24" s="39">
        <f>'Data Entry Main Plaza'!F24</f>
        <v>0</v>
      </c>
      <c r="E24" s="39">
        <f>'Data Entry Main Plaza'!I24</f>
        <v>0</v>
      </c>
      <c r="F24" s="39">
        <f>'Data Entry Main Plaza'!L24</f>
        <v>0</v>
      </c>
      <c r="G24" s="39">
        <f>'Data Entry Main Plaza'!O24</f>
        <v>0</v>
      </c>
      <c r="H24" s="39">
        <f>'Data Entry Main Plaza'!R24</f>
        <v>0</v>
      </c>
      <c r="I24" s="39">
        <f>'Data Entry Main Plaza'!U24</f>
        <v>0</v>
      </c>
      <c r="J24" s="39">
        <f>'Data Entry Main Plaza'!X24</f>
        <v>0</v>
      </c>
      <c r="K24" s="39">
        <f>'Data Entry Main Plaza'!AA24</f>
        <v>0</v>
      </c>
      <c r="L24" s="39">
        <f>'Data Entry Main Plaza'!AD24</f>
        <v>0</v>
      </c>
      <c r="M24" s="39">
        <f>'Data Entry Main Plaza'!AG24</f>
        <v>0</v>
      </c>
      <c r="N24" s="39">
        <f>'Data Entry Main Plaza'!AJ24</f>
        <v>0</v>
      </c>
      <c r="O24" s="39">
        <f>'Data Entry Main Plaza'!AM24</f>
        <v>0</v>
      </c>
    </row>
    <row r="25" spans="2:15" ht="14" x14ac:dyDescent="0.15">
      <c r="B25" s="38" t="s">
        <v>34</v>
      </c>
      <c r="C25" s="39">
        <f>'Data Entry Main Plaza'!C25</f>
        <v>0</v>
      </c>
      <c r="D25" s="39">
        <f>'Data Entry Main Plaza'!F25</f>
        <v>0</v>
      </c>
      <c r="E25" s="39">
        <f>'Data Entry Main Plaza'!I25</f>
        <v>0</v>
      </c>
      <c r="F25" s="39">
        <f>'Data Entry Main Plaza'!L25</f>
        <v>0</v>
      </c>
      <c r="G25" s="39">
        <f>'Data Entry Main Plaza'!O25</f>
        <v>0</v>
      </c>
      <c r="H25" s="39">
        <f>'Data Entry Main Plaza'!R25</f>
        <v>0</v>
      </c>
      <c r="I25" s="39">
        <f>'Data Entry Main Plaza'!U25</f>
        <v>0</v>
      </c>
      <c r="J25" s="39">
        <f>'Data Entry Main Plaza'!X25</f>
        <v>0</v>
      </c>
      <c r="K25" s="39">
        <f>'Data Entry Main Plaza'!AA25</f>
        <v>0</v>
      </c>
      <c r="L25" s="39">
        <f>'Data Entry Main Plaza'!AD25</f>
        <v>0</v>
      </c>
      <c r="M25" s="39">
        <f>'Data Entry Main Plaza'!AG25</f>
        <v>0</v>
      </c>
      <c r="N25" s="39">
        <f>'Data Entry Main Plaza'!AJ25</f>
        <v>0</v>
      </c>
      <c r="O25" s="39">
        <f>'Data Entry Main Plaza'!AM25</f>
        <v>0</v>
      </c>
    </row>
    <row r="26" spans="2:15" x14ac:dyDescent="0.15">
      <c r="B26" s="40"/>
      <c r="C26" s="39">
        <f>'Data Entry Main Plaza'!C26</f>
        <v>0</v>
      </c>
      <c r="D26" s="39">
        <f>'Data Entry Main Plaza'!F26</f>
        <v>0</v>
      </c>
      <c r="E26" s="39">
        <f>'Data Entry Main Plaza'!I26</f>
        <v>0</v>
      </c>
      <c r="F26" s="39">
        <f>'Data Entry Main Plaza'!L26</f>
        <v>0</v>
      </c>
      <c r="G26" s="39">
        <f>'Data Entry Main Plaza'!O26</f>
        <v>0</v>
      </c>
      <c r="H26" s="39">
        <f>'Data Entry Main Plaza'!R26</f>
        <v>0</v>
      </c>
      <c r="I26" s="39">
        <f>'Data Entry Main Plaza'!U26</f>
        <v>0</v>
      </c>
      <c r="J26" s="39">
        <f>'Data Entry Main Plaza'!X26</f>
        <v>0</v>
      </c>
      <c r="K26" s="39">
        <f>'Data Entry Main Plaza'!AA26</f>
        <v>0</v>
      </c>
      <c r="L26" s="39">
        <f>'Data Entry Main Plaza'!AD26</f>
        <v>0</v>
      </c>
      <c r="M26" s="39">
        <f>'Data Entry Main Plaza'!AG26</f>
        <v>0</v>
      </c>
      <c r="N26" s="39">
        <f>'Data Entry Main Plaza'!AJ26</f>
        <v>0</v>
      </c>
      <c r="O26" s="39">
        <f>'Data Entry Main Plaza'!AM26</f>
        <v>0</v>
      </c>
    </row>
    <row r="27" spans="2:15" ht="14" x14ac:dyDescent="0.15">
      <c r="B27" s="42" t="s">
        <v>21</v>
      </c>
      <c r="C27" s="39">
        <f>'Data Entry Main Plaza'!C27</f>
        <v>6648533.7755000005</v>
      </c>
      <c r="D27" s="39">
        <f>'Data Entry Main Plaza'!F27</f>
        <v>358011.94</v>
      </c>
      <c r="E27" s="39">
        <f>'Data Entry Main Plaza'!I27</f>
        <v>437494.52</v>
      </c>
      <c r="F27" s="39">
        <f>'Data Entry Main Plaza'!L27</f>
        <v>568675.63</v>
      </c>
      <c r="G27" s="39">
        <f>'Data Entry Main Plaza'!O27</f>
        <v>429940.74</v>
      </c>
      <c r="H27" s="39">
        <f>'Data Entry Main Plaza'!R27</f>
        <v>517166.32530000003</v>
      </c>
      <c r="I27" s="39">
        <f>'Data Entry Main Plaza'!U27</f>
        <v>591560.95739999996</v>
      </c>
      <c r="J27" s="39">
        <f>'Data Entry Main Plaza'!X27</f>
        <v>481126.04180000001</v>
      </c>
      <c r="K27" s="39">
        <f>'Data Entry Main Plaza'!AA27</f>
        <v>517702.90090000001</v>
      </c>
      <c r="L27" s="39">
        <f>'Data Entry Main Plaza'!AD27</f>
        <v>668208.88210000005</v>
      </c>
      <c r="M27" s="39">
        <f>'Data Entry Main Plaza'!AG27</f>
        <v>780498.2635</v>
      </c>
      <c r="N27" s="39">
        <f>'Data Entry Main Plaza'!AJ27</f>
        <v>706107.07039999997</v>
      </c>
      <c r="O27" s="39">
        <f>'Data Entry Main Plaza'!AM27</f>
        <v>592040.50410000002</v>
      </c>
    </row>
    <row r="28" spans="2:15" ht="14" x14ac:dyDescent="0.15">
      <c r="B28" s="38" t="s">
        <v>35</v>
      </c>
      <c r="C28" s="39">
        <f>'Data Entry Main Plaza'!C28</f>
        <v>4506297.6042999998</v>
      </c>
      <c r="D28" s="39">
        <f>'Data Entry Main Plaza'!F28</f>
        <v>257061.29</v>
      </c>
      <c r="E28" s="39">
        <f>'Data Entry Main Plaza'!I28</f>
        <v>309434.01</v>
      </c>
      <c r="F28" s="39">
        <f>'Data Entry Main Plaza'!L28</f>
        <v>395609.66</v>
      </c>
      <c r="G28" s="39">
        <f>'Data Entry Main Plaza'!O28</f>
        <v>283977.08</v>
      </c>
      <c r="H28" s="39">
        <f>'Data Entry Main Plaza'!R28</f>
        <v>380369.9241</v>
      </c>
      <c r="I28" s="39">
        <f>'Data Entry Main Plaza'!U28</f>
        <v>373809.53159999999</v>
      </c>
      <c r="J28" s="39">
        <f>'Data Entry Main Plaza'!X28</f>
        <v>317673</v>
      </c>
      <c r="K28" s="39">
        <f>'Data Entry Main Plaza'!AA28</f>
        <v>349460</v>
      </c>
      <c r="L28" s="39">
        <f>'Data Entry Main Plaza'!AD28</f>
        <v>434134.36800000002</v>
      </c>
      <c r="M28" s="39">
        <f>'Data Entry Main Plaza'!AG28</f>
        <v>561591.74060000002</v>
      </c>
      <c r="N28" s="39">
        <f>'Data Entry Main Plaza'!AJ28</f>
        <v>469329</v>
      </c>
      <c r="O28" s="39">
        <f>'Data Entry Main Plaza'!AM28</f>
        <v>373848</v>
      </c>
    </row>
    <row r="29" spans="2:15" ht="14" x14ac:dyDescent="0.15">
      <c r="B29" s="38" t="s">
        <v>36</v>
      </c>
      <c r="C29" s="39">
        <f>'Data Entry Main Plaza'!C29</f>
        <v>1697667.1812</v>
      </c>
      <c r="D29" s="39">
        <f>'Data Entry Main Plaza'!F29</f>
        <v>77765.19</v>
      </c>
      <c r="E29" s="39">
        <f>'Data Entry Main Plaza'!I29</f>
        <v>91019.37</v>
      </c>
      <c r="F29" s="39">
        <f>'Data Entry Main Plaza'!L29</f>
        <v>138026.26</v>
      </c>
      <c r="G29" s="39">
        <f>'Data Entry Main Plaza'!O29</f>
        <v>112749.94</v>
      </c>
      <c r="H29" s="39">
        <f>'Data Entry Main Plaza'!R29</f>
        <v>100244.4412</v>
      </c>
      <c r="I29" s="39">
        <f>'Data Entry Main Plaza'!U29</f>
        <v>181258.76579999999</v>
      </c>
      <c r="J29" s="39">
        <f>'Data Entry Main Plaza'!X29</f>
        <v>130373.5218</v>
      </c>
      <c r="K29" s="39">
        <f>'Data Entry Main Plaza'!AA29</f>
        <v>132331.62090000001</v>
      </c>
      <c r="L29" s="39">
        <f>'Data Entry Main Plaza'!AD29</f>
        <v>193098.2341</v>
      </c>
      <c r="M29" s="39">
        <f>'Data Entry Main Plaza'!AG29</f>
        <v>177109.44289999999</v>
      </c>
      <c r="N29" s="39">
        <f>'Data Entry Main Plaza'!AJ29</f>
        <v>194909.1704</v>
      </c>
      <c r="O29" s="39">
        <f>'Data Entry Main Plaza'!AM29</f>
        <v>168781.22409999999</v>
      </c>
    </row>
    <row r="30" spans="2:15" ht="14" x14ac:dyDescent="0.15">
      <c r="B30" s="38" t="s">
        <v>37</v>
      </c>
      <c r="C30" s="39">
        <f>'Data Entry Main Plaza'!C30</f>
        <v>375680.54</v>
      </c>
      <c r="D30" s="39">
        <f>'Data Entry Main Plaza'!F30</f>
        <v>22141.54</v>
      </c>
      <c r="E30" s="39">
        <f>'Data Entry Main Plaza'!I30</f>
        <v>23125.42</v>
      </c>
      <c r="F30" s="39">
        <f>'Data Entry Main Plaza'!L30</f>
        <v>28586.080000000002</v>
      </c>
      <c r="G30" s="39">
        <f>'Data Entry Main Plaza'!O30</f>
        <v>27738.54</v>
      </c>
      <c r="H30" s="39">
        <f>'Data Entry Main Plaza'!R30</f>
        <v>31551.96</v>
      </c>
      <c r="I30" s="39">
        <f>'Data Entry Main Plaza'!U30</f>
        <v>30492.66</v>
      </c>
      <c r="J30" s="39">
        <f>'Data Entry Main Plaza'!X30</f>
        <v>29579.52</v>
      </c>
      <c r="K30" s="39">
        <f>'Data Entry Main Plaza'!AA30</f>
        <v>32411.279999999999</v>
      </c>
      <c r="L30" s="39">
        <f>'Data Entry Main Plaza'!AD30</f>
        <v>34976.28</v>
      </c>
      <c r="M30" s="39">
        <f>'Data Entry Main Plaza'!AG30</f>
        <v>35797.08</v>
      </c>
      <c r="N30" s="39">
        <f>'Data Entry Main Plaza'!AJ30</f>
        <v>35868.9</v>
      </c>
      <c r="O30" s="39">
        <f>'Data Entry Main Plaza'!AM30</f>
        <v>43411.28</v>
      </c>
    </row>
    <row r="31" spans="2:15" ht="14" x14ac:dyDescent="0.15">
      <c r="B31" s="38" t="s">
        <v>38</v>
      </c>
      <c r="C31" s="39">
        <f>'Data Entry Main Plaza'!C31</f>
        <v>68888.45</v>
      </c>
      <c r="D31" s="39">
        <f>'Data Entry Main Plaza'!F31</f>
        <v>1043.92</v>
      </c>
      <c r="E31" s="39">
        <f>'Data Entry Main Plaza'!I31</f>
        <v>13915.72</v>
      </c>
      <c r="F31" s="39">
        <f>'Data Entry Main Plaza'!L31</f>
        <v>6453.63</v>
      </c>
      <c r="G31" s="39">
        <f>'Data Entry Main Plaza'!O31</f>
        <v>5475.18</v>
      </c>
      <c r="H31" s="39">
        <f>'Data Entry Main Plaza'!R31</f>
        <v>5000</v>
      </c>
      <c r="I31" s="39">
        <f>'Data Entry Main Plaza'!U31</f>
        <v>6000</v>
      </c>
      <c r="J31" s="39">
        <f>'Data Entry Main Plaza'!X31</f>
        <v>3500</v>
      </c>
      <c r="K31" s="39">
        <f>'Data Entry Main Plaza'!AA31</f>
        <v>3500</v>
      </c>
      <c r="L31" s="39">
        <f>'Data Entry Main Plaza'!AD31</f>
        <v>6000</v>
      </c>
      <c r="M31" s="39">
        <f>'Data Entry Main Plaza'!AG31</f>
        <v>6000</v>
      </c>
      <c r="N31" s="39">
        <f>'Data Entry Main Plaza'!AJ31</f>
        <v>6000</v>
      </c>
      <c r="O31" s="39">
        <f>'Data Entry Main Plaza'!AM31</f>
        <v>6000</v>
      </c>
    </row>
    <row r="32" spans="2:15" x14ac:dyDescent="0.15">
      <c r="B32" s="40"/>
      <c r="C32" s="39">
        <f>'Data Entry Main Plaza'!C32</f>
        <v>0</v>
      </c>
      <c r="D32" s="39">
        <f>'Data Entry Main Plaza'!F32</f>
        <v>0</v>
      </c>
      <c r="E32" s="39">
        <f>'Data Entry Main Plaza'!I32</f>
        <v>0</v>
      </c>
      <c r="F32" s="39">
        <f>'Data Entry Main Plaza'!L32</f>
        <v>0</v>
      </c>
      <c r="G32" s="39">
        <f>'Data Entry Main Plaza'!O32</f>
        <v>0</v>
      </c>
      <c r="H32" s="39">
        <f>'Data Entry Main Plaza'!R32</f>
        <v>0</v>
      </c>
      <c r="I32" s="39">
        <f>'Data Entry Main Plaza'!U32</f>
        <v>0</v>
      </c>
      <c r="J32" s="39">
        <f>'Data Entry Main Plaza'!X32</f>
        <v>0</v>
      </c>
      <c r="K32" s="39">
        <f>'Data Entry Main Plaza'!AA32</f>
        <v>0</v>
      </c>
      <c r="L32" s="39">
        <f>'Data Entry Main Plaza'!AD32</f>
        <v>0</v>
      </c>
      <c r="M32" s="39">
        <f>'Data Entry Main Plaza'!AG32</f>
        <v>0</v>
      </c>
      <c r="N32" s="39">
        <f>'Data Entry Main Plaza'!AJ32</f>
        <v>0</v>
      </c>
      <c r="O32" s="39">
        <f>'Data Entry Main Plaza'!AM32</f>
        <v>0</v>
      </c>
    </row>
    <row r="33" spans="2:15" ht="14" x14ac:dyDescent="0.15">
      <c r="B33" s="44" t="s">
        <v>39</v>
      </c>
      <c r="C33" s="39">
        <f>'Data Entry Main Plaza'!C33</f>
        <v>0</v>
      </c>
      <c r="D33" s="39">
        <f>'Data Entry Main Plaza'!F33</f>
        <v>0</v>
      </c>
      <c r="E33" s="39">
        <f>'Data Entry Main Plaza'!I33</f>
        <v>0</v>
      </c>
      <c r="F33" s="39">
        <f>'Data Entry Main Plaza'!L33</f>
        <v>0</v>
      </c>
      <c r="G33" s="39">
        <f>'Data Entry Main Plaza'!O33</f>
        <v>0</v>
      </c>
      <c r="H33" s="39">
        <f>'Data Entry Main Plaza'!R33</f>
        <v>0</v>
      </c>
      <c r="I33" s="39">
        <f>'Data Entry Main Plaza'!U33</f>
        <v>0</v>
      </c>
      <c r="J33" s="39">
        <f>'Data Entry Main Plaza'!X33</f>
        <v>0</v>
      </c>
      <c r="K33" s="39">
        <f>'Data Entry Main Plaza'!AA33</f>
        <v>0</v>
      </c>
      <c r="L33" s="39">
        <f>'Data Entry Main Plaza'!AD33</f>
        <v>0</v>
      </c>
      <c r="M33" s="39">
        <f>'Data Entry Main Plaza'!AG33</f>
        <v>0</v>
      </c>
      <c r="N33" s="39">
        <f>'Data Entry Main Plaza'!AJ33</f>
        <v>0</v>
      </c>
      <c r="O33" s="39">
        <f>'Data Entry Main Plaza'!AM33</f>
        <v>0</v>
      </c>
    </row>
    <row r="34" spans="2:15" ht="14" x14ac:dyDescent="0.15">
      <c r="B34" s="42" t="s">
        <v>35</v>
      </c>
      <c r="C34" s="39">
        <f>'Data Entry Main Plaza'!C34</f>
        <v>4506297.6042999998</v>
      </c>
      <c r="D34" s="39">
        <f>'Data Entry Main Plaza'!F34</f>
        <v>257061.29</v>
      </c>
      <c r="E34" s="39">
        <f>'Data Entry Main Plaza'!I34</f>
        <v>309434.01</v>
      </c>
      <c r="F34" s="39">
        <f>'Data Entry Main Plaza'!L34</f>
        <v>395609.66</v>
      </c>
      <c r="G34" s="39">
        <f>'Data Entry Main Plaza'!O34</f>
        <v>283977.08</v>
      </c>
      <c r="H34" s="39">
        <f>'Data Entry Main Plaza'!R34</f>
        <v>380369.9241</v>
      </c>
      <c r="I34" s="39">
        <f>'Data Entry Main Plaza'!U34</f>
        <v>373809.53159999999</v>
      </c>
      <c r="J34" s="39">
        <f>'Data Entry Main Plaza'!X34</f>
        <v>317673</v>
      </c>
      <c r="K34" s="39">
        <f>'Data Entry Main Plaza'!AA34</f>
        <v>349460</v>
      </c>
      <c r="L34" s="39">
        <f>'Data Entry Main Plaza'!AD34</f>
        <v>434134.36800000002</v>
      </c>
      <c r="M34" s="39">
        <f>'Data Entry Main Plaza'!AG34</f>
        <v>561591.74060000002</v>
      </c>
      <c r="N34" s="39">
        <f>'Data Entry Main Plaza'!AJ34</f>
        <v>469329</v>
      </c>
      <c r="O34" s="39">
        <f>'Data Entry Main Plaza'!AM34</f>
        <v>373848</v>
      </c>
    </row>
    <row r="35" spans="2:15" ht="14" x14ac:dyDescent="0.15">
      <c r="B35" s="38" t="s">
        <v>22</v>
      </c>
      <c r="C35" s="39">
        <f>'Data Entry Main Plaza'!C35</f>
        <v>1211076.9528999999</v>
      </c>
      <c r="D35" s="39">
        <f>'Data Entry Main Plaza'!F35</f>
        <v>82246.75</v>
      </c>
      <c r="E35" s="39">
        <f>'Data Entry Main Plaza'!I35</f>
        <v>81157.279999999999</v>
      </c>
      <c r="F35" s="39">
        <f>'Data Entry Main Plaza'!L35</f>
        <v>92406.15</v>
      </c>
      <c r="G35" s="39">
        <f>'Data Entry Main Plaza'!O35</f>
        <v>96227.02</v>
      </c>
      <c r="H35" s="39">
        <f>'Data Entry Main Plaza'!R35</f>
        <v>108414.534</v>
      </c>
      <c r="I35" s="39">
        <f>'Data Entry Main Plaza'!U35</f>
        <v>106458.1217</v>
      </c>
      <c r="J35" s="39">
        <f>'Data Entry Main Plaza'!X35</f>
        <v>98203.470300000001</v>
      </c>
      <c r="K35" s="39">
        <f>'Data Entry Main Plaza'!AA35</f>
        <v>107901.2562</v>
      </c>
      <c r="L35" s="39">
        <f>'Data Entry Main Plaza'!AD35</f>
        <v>109756.66800000001</v>
      </c>
      <c r="M35" s="39">
        <f>'Data Entry Main Plaza'!AG35</f>
        <v>109057.40089999999</v>
      </c>
      <c r="N35" s="39">
        <f>'Data Entry Main Plaza'!AJ35</f>
        <v>113253.00659999999</v>
      </c>
      <c r="O35" s="39">
        <f>'Data Entry Main Plaza'!AM35</f>
        <v>105995.29519999999</v>
      </c>
    </row>
    <row r="36" spans="2:15" ht="14" x14ac:dyDescent="0.15">
      <c r="B36" s="38" t="s">
        <v>40</v>
      </c>
      <c r="C36" s="39">
        <f>'Data Entry Main Plaza'!C36</f>
        <v>738240.65319999994</v>
      </c>
      <c r="D36" s="39">
        <f>'Data Entry Main Plaza'!F36</f>
        <v>61193.4</v>
      </c>
      <c r="E36" s="39">
        <f>'Data Entry Main Plaza'!I36</f>
        <v>54864.39</v>
      </c>
      <c r="F36" s="39">
        <f>'Data Entry Main Plaza'!L36</f>
        <v>57082.02</v>
      </c>
      <c r="G36" s="39">
        <f>'Data Entry Main Plaza'!O36</f>
        <v>60133.56</v>
      </c>
      <c r="H36" s="39">
        <f>'Data Entry Main Plaza'!R36</f>
        <v>60465.963199999998</v>
      </c>
      <c r="I36" s="39">
        <f>'Data Entry Main Plaza'!U36</f>
        <v>56756.278299999998</v>
      </c>
      <c r="J36" s="39">
        <f>'Data Entry Main Plaza'!X36</f>
        <v>56632.21</v>
      </c>
      <c r="K36" s="39">
        <f>'Data Entry Main Plaza'!AA36</f>
        <v>62425.62</v>
      </c>
      <c r="L36" s="39">
        <f>'Data Entry Main Plaza'!AD36</f>
        <v>66241.83</v>
      </c>
      <c r="M36" s="39">
        <f>'Data Entry Main Plaza'!AG36</f>
        <v>76565.669699999999</v>
      </c>
      <c r="N36" s="39">
        <f>'Data Entry Main Plaza'!AJ36</f>
        <v>68298.203999999998</v>
      </c>
      <c r="O36" s="39">
        <f>'Data Entry Main Plaza'!AM36</f>
        <v>57581.508000000002</v>
      </c>
    </row>
    <row r="37" spans="2:15" ht="14" x14ac:dyDescent="0.15">
      <c r="B37" s="42" t="s">
        <v>41</v>
      </c>
      <c r="C37" s="39">
        <f>'Data Entry Main Plaza'!C37</f>
        <v>2556979.9981999998</v>
      </c>
      <c r="D37" s="39">
        <f>'Data Entry Main Plaza'!F37</f>
        <v>113621.14</v>
      </c>
      <c r="E37" s="39">
        <f>'Data Entry Main Plaza'!I37</f>
        <v>173412.34</v>
      </c>
      <c r="F37" s="39">
        <f>'Data Entry Main Plaza'!L37</f>
        <v>246121.49</v>
      </c>
      <c r="G37" s="39">
        <f>'Data Entry Main Plaza'!O37</f>
        <v>127616.5</v>
      </c>
      <c r="H37" s="39">
        <f>'Data Entry Main Plaza'!R37</f>
        <v>211489.42679999999</v>
      </c>
      <c r="I37" s="39">
        <f>'Data Entry Main Plaza'!U37</f>
        <v>210595.13159999999</v>
      </c>
      <c r="J37" s="39">
        <f>'Data Entry Main Plaza'!X37</f>
        <v>162837.31969999999</v>
      </c>
      <c r="K37" s="39">
        <f>'Data Entry Main Plaza'!AA37</f>
        <v>179133.1238</v>
      </c>
      <c r="L37" s="39">
        <f>'Data Entry Main Plaza'!AD37</f>
        <v>258135.87</v>
      </c>
      <c r="M37" s="39">
        <f>'Data Entry Main Plaza'!AG37</f>
        <v>375968.67009999999</v>
      </c>
      <c r="N37" s="39">
        <f>'Data Entry Main Plaza'!AJ37</f>
        <v>287777.78940000001</v>
      </c>
      <c r="O37" s="39">
        <f>'Data Entry Main Plaza'!AM37</f>
        <v>210271.19680000001</v>
      </c>
    </row>
    <row r="38" spans="2:15" x14ac:dyDescent="0.15">
      <c r="B38" s="40"/>
      <c r="C38" s="39">
        <f>'Data Entry Main Plaza'!C38</f>
        <v>0</v>
      </c>
      <c r="D38" s="39">
        <f>'Data Entry Main Plaza'!F38</f>
        <v>0</v>
      </c>
      <c r="E38" s="39">
        <f>'Data Entry Main Plaza'!I38</f>
        <v>0</v>
      </c>
      <c r="F38" s="39">
        <f>'Data Entry Main Plaza'!L38</f>
        <v>0</v>
      </c>
      <c r="G38" s="39">
        <f>'Data Entry Main Plaza'!O38</f>
        <v>0</v>
      </c>
      <c r="H38" s="39">
        <f>'Data Entry Main Plaza'!R38</f>
        <v>0</v>
      </c>
      <c r="I38" s="39">
        <f>'Data Entry Main Plaza'!U38</f>
        <v>0</v>
      </c>
      <c r="J38" s="39">
        <f>'Data Entry Main Plaza'!X38</f>
        <v>0</v>
      </c>
      <c r="K38" s="39">
        <f>'Data Entry Main Plaza'!AA38</f>
        <v>0</v>
      </c>
      <c r="L38" s="39">
        <f>'Data Entry Main Plaza'!AD38</f>
        <v>0</v>
      </c>
      <c r="M38" s="39">
        <f>'Data Entry Main Plaza'!AG38</f>
        <v>0</v>
      </c>
      <c r="N38" s="39">
        <f>'Data Entry Main Plaza'!AJ38</f>
        <v>0</v>
      </c>
      <c r="O38" s="39">
        <f>'Data Entry Main Plaza'!AM38</f>
        <v>0</v>
      </c>
    </row>
    <row r="39" spans="2:15" ht="14" x14ac:dyDescent="0.15">
      <c r="B39" s="44" t="s">
        <v>42</v>
      </c>
      <c r="C39" s="39">
        <f>'Data Entry Main Plaza'!C39</f>
        <v>0</v>
      </c>
      <c r="D39" s="39">
        <f>'Data Entry Main Plaza'!F39</f>
        <v>0</v>
      </c>
      <c r="E39" s="39">
        <f>'Data Entry Main Plaza'!I39</f>
        <v>0</v>
      </c>
      <c r="F39" s="39">
        <f>'Data Entry Main Plaza'!L39</f>
        <v>0</v>
      </c>
      <c r="G39" s="39">
        <f>'Data Entry Main Plaza'!O39</f>
        <v>0</v>
      </c>
      <c r="H39" s="39">
        <f>'Data Entry Main Plaza'!R39</f>
        <v>0</v>
      </c>
      <c r="I39" s="39">
        <f>'Data Entry Main Plaza'!U39</f>
        <v>0</v>
      </c>
      <c r="J39" s="39">
        <f>'Data Entry Main Plaza'!X39</f>
        <v>0</v>
      </c>
      <c r="K39" s="39">
        <f>'Data Entry Main Plaza'!AA39</f>
        <v>0</v>
      </c>
      <c r="L39" s="39">
        <f>'Data Entry Main Plaza'!AD39</f>
        <v>0</v>
      </c>
      <c r="M39" s="39">
        <f>'Data Entry Main Plaza'!AG39</f>
        <v>0</v>
      </c>
      <c r="N39" s="39">
        <f>'Data Entry Main Plaza'!AJ39</f>
        <v>0</v>
      </c>
      <c r="O39" s="39">
        <f>'Data Entry Main Plaza'!AM39</f>
        <v>0</v>
      </c>
    </row>
    <row r="40" spans="2:15" ht="14" x14ac:dyDescent="0.15">
      <c r="B40" s="38" t="s">
        <v>43</v>
      </c>
      <c r="C40" s="39">
        <f>'Data Entry Main Plaza'!C40</f>
        <v>1010706.5775</v>
      </c>
      <c r="D40" s="39">
        <f>'Data Entry Main Plaza'!F40</f>
        <v>46969.66</v>
      </c>
      <c r="E40" s="39">
        <f>'Data Entry Main Plaza'!I40</f>
        <v>50181.55</v>
      </c>
      <c r="F40" s="39">
        <f>'Data Entry Main Plaza'!L40</f>
        <v>87538.84</v>
      </c>
      <c r="G40" s="39">
        <f>'Data Entry Main Plaza'!O40</f>
        <v>66432.23</v>
      </c>
      <c r="H40" s="39">
        <f>'Data Entry Main Plaza'!R40</f>
        <v>61123.554600000003</v>
      </c>
      <c r="I40" s="39">
        <f>'Data Entry Main Plaza'!U40</f>
        <v>108404.0926</v>
      </c>
      <c r="J40" s="39">
        <f>'Data Entry Main Plaza'!X40</f>
        <v>81717.787500000006</v>
      </c>
      <c r="K40" s="39">
        <f>'Data Entry Main Plaza'!AA40</f>
        <v>82539.217300000004</v>
      </c>
      <c r="L40" s="39">
        <f>'Data Entry Main Plaza'!AD40</f>
        <v>112912.4221</v>
      </c>
      <c r="M40" s="39">
        <f>'Data Entry Main Plaza'!AG40</f>
        <v>104666.5309</v>
      </c>
      <c r="N40" s="39">
        <f>'Data Entry Main Plaza'!AJ40</f>
        <v>111637.5104</v>
      </c>
      <c r="O40" s="39">
        <f>'Data Entry Main Plaza'!AM40</f>
        <v>96583.182100000005</v>
      </c>
    </row>
    <row r="41" spans="2:15" ht="14" x14ac:dyDescent="0.15">
      <c r="B41" s="38" t="s">
        <v>44</v>
      </c>
      <c r="C41" s="39">
        <f>'Data Entry Main Plaza'!C41</f>
        <v>505332.45370000001</v>
      </c>
      <c r="D41" s="39">
        <f>'Data Entry Main Plaza'!F41</f>
        <v>26022.92</v>
      </c>
      <c r="E41" s="39">
        <f>'Data Entry Main Plaza'!I41</f>
        <v>30308.49</v>
      </c>
      <c r="F41" s="39">
        <f>'Data Entry Main Plaza'!L41</f>
        <v>33622.79</v>
      </c>
      <c r="G41" s="39">
        <f>'Data Entry Main Plaza'!O41</f>
        <v>32130.95</v>
      </c>
      <c r="H41" s="39">
        <f>'Data Entry Main Plaza'!R41</f>
        <v>28549.816599999998</v>
      </c>
      <c r="I41" s="39">
        <f>'Data Entry Main Plaza'!U41</f>
        <v>48122.603199999998</v>
      </c>
      <c r="J41" s="39">
        <f>'Data Entry Main Plaza'!X41</f>
        <v>37103.054300000003</v>
      </c>
      <c r="K41" s="39">
        <f>'Data Entry Main Plaza'!AA41</f>
        <v>39777.063600000001</v>
      </c>
      <c r="L41" s="39">
        <f>'Data Entry Main Plaza'!AD41</f>
        <v>56405.552000000003</v>
      </c>
      <c r="M41" s="39">
        <f>'Data Entry Main Plaza'!AG41</f>
        <v>54121.332000000002</v>
      </c>
      <c r="N41" s="39">
        <f>'Data Entry Main Plaza'!AJ41</f>
        <v>60872.71</v>
      </c>
      <c r="O41" s="39">
        <f>'Data Entry Main Plaza'!AM41</f>
        <v>58295.171999999999</v>
      </c>
    </row>
    <row r="42" spans="2:15" ht="14" x14ac:dyDescent="0.15">
      <c r="B42" s="38" t="s">
        <v>45</v>
      </c>
      <c r="C42" s="39">
        <f>'Data Entry Main Plaza'!C42</f>
        <v>181628.15</v>
      </c>
      <c r="D42" s="39">
        <f>'Data Entry Main Plaza'!F42</f>
        <v>4772.6099999999997</v>
      </c>
      <c r="E42" s="39">
        <f>'Data Entry Main Plaza'!I42</f>
        <v>10529.33</v>
      </c>
      <c r="F42" s="39">
        <f>'Data Entry Main Plaza'!L42</f>
        <v>16864.63</v>
      </c>
      <c r="G42" s="39">
        <f>'Data Entry Main Plaza'!O42</f>
        <v>14186.76</v>
      </c>
      <c r="H42" s="39">
        <f>'Data Entry Main Plaza'!R42</f>
        <v>10571.07</v>
      </c>
      <c r="I42" s="39">
        <f>'Data Entry Main Plaza'!U42</f>
        <v>24732.07</v>
      </c>
      <c r="J42" s="39">
        <f>'Data Entry Main Plaza'!X42</f>
        <v>11552.68</v>
      </c>
      <c r="K42" s="39">
        <f>'Data Entry Main Plaza'!AA42</f>
        <v>10015.34</v>
      </c>
      <c r="L42" s="39">
        <f>'Data Entry Main Plaza'!AD42</f>
        <v>23780.26</v>
      </c>
      <c r="M42" s="39">
        <f>'Data Entry Main Plaza'!AG42</f>
        <v>18321.580000000002</v>
      </c>
      <c r="N42" s="39">
        <f>'Data Entry Main Plaza'!AJ42</f>
        <v>22398.95</v>
      </c>
      <c r="O42" s="39">
        <f>'Data Entry Main Plaza'!AM42</f>
        <v>13902.87</v>
      </c>
    </row>
    <row r="43" spans="2:15" ht="14" x14ac:dyDescent="0.15">
      <c r="B43" s="42" t="s">
        <v>36</v>
      </c>
      <c r="C43" s="39">
        <f>'Data Entry Main Plaza'!C43</f>
        <v>1697667.1812</v>
      </c>
      <c r="D43" s="39">
        <f>'Data Entry Main Plaza'!F43</f>
        <v>77765.19</v>
      </c>
      <c r="E43" s="39">
        <f>'Data Entry Main Plaza'!I43</f>
        <v>91019.37</v>
      </c>
      <c r="F43" s="39">
        <f>'Data Entry Main Plaza'!L43</f>
        <v>138026.26</v>
      </c>
      <c r="G43" s="39">
        <f>'Data Entry Main Plaza'!O43</f>
        <v>112749.94</v>
      </c>
      <c r="H43" s="39">
        <f>'Data Entry Main Plaza'!R43</f>
        <v>100244.4412</v>
      </c>
      <c r="I43" s="39">
        <f>'Data Entry Main Plaza'!U43</f>
        <v>181258.76579999999</v>
      </c>
      <c r="J43" s="39">
        <f>'Data Entry Main Plaza'!X43</f>
        <v>130373.5218</v>
      </c>
      <c r="K43" s="39">
        <f>'Data Entry Main Plaza'!AA43</f>
        <v>132331.62090000001</v>
      </c>
      <c r="L43" s="39">
        <f>'Data Entry Main Plaza'!AD43</f>
        <v>193098.2341</v>
      </c>
      <c r="M43" s="39">
        <f>'Data Entry Main Plaza'!AG43</f>
        <v>177109.44289999999</v>
      </c>
      <c r="N43" s="39">
        <f>'Data Entry Main Plaza'!AJ43</f>
        <v>194909.1704</v>
      </c>
      <c r="O43" s="39">
        <f>'Data Entry Main Plaza'!AM43</f>
        <v>168781.22409999999</v>
      </c>
    </row>
    <row r="44" spans="2:15" ht="14" x14ac:dyDescent="0.15">
      <c r="B44" s="38" t="s">
        <v>46</v>
      </c>
      <c r="C44" s="39">
        <f>'Data Entry Main Plaza'!C44</f>
        <v>323351.05440000002</v>
      </c>
      <c r="D44" s="39">
        <f>'Data Entry Main Plaza'!F44</f>
        <v>18934.560000000001</v>
      </c>
      <c r="E44" s="39">
        <f>'Data Entry Main Plaza'!I44</f>
        <v>19568.8</v>
      </c>
      <c r="F44" s="39">
        <f>'Data Entry Main Plaza'!L44</f>
        <v>29481.119999999999</v>
      </c>
      <c r="G44" s="39">
        <f>'Data Entry Main Plaza'!O44</f>
        <v>24432.38</v>
      </c>
      <c r="H44" s="39">
        <f>'Data Entry Main Plaza'!R44</f>
        <v>18642.470700000002</v>
      </c>
      <c r="I44" s="39">
        <f>'Data Entry Main Plaza'!U44</f>
        <v>31945.474399999999</v>
      </c>
      <c r="J44" s="39">
        <f>'Data Entry Main Plaza'!X44</f>
        <v>25854.150600000001</v>
      </c>
      <c r="K44" s="39">
        <f>'Data Entry Main Plaza'!AA44</f>
        <v>26459.324400000001</v>
      </c>
      <c r="L44" s="39">
        <f>'Data Entry Main Plaza'!AD44</f>
        <v>33554.9084</v>
      </c>
      <c r="M44" s="39">
        <f>'Data Entry Main Plaza'!AG44</f>
        <v>31279.982</v>
      </c>
      <c r="N44" s="39">
        <f>'Data Entry Main Plaza'!AJ44</f>
        <v>33701.750399999997</v>
      </c>
      <c r="O44" s="39">
        <f>'Data Entry Main Plaza'!AM44</f>
        <v>29496.1335</v>
      </c>
    </row>
    <row r="45" spans="2:15" ht="14" x14ac:dyDescent="0.15">
      <c r="B45" s="38" t="s">
        <v>47</v>
      </c>
      <c r="C45" s="39">
        <f>'Data Entry Main Plaza'!C45</f>
        <v>99084.414999999994</v>
      </c>
      <c r="D45" s="39">
        <f>'Data Entry Main Plaza'!F45</f>
        <v>6672.59</v>
      </c>
      <c r="E45" s="39">
        <f>'Data Entry Main Plaza'!I45</f>
        <v>4017.06</v>
      </c>
      <c r="F45" s="39">
        <f>'Data Entry Main Plaza'!L45</f>
        <v>9500.1200000000008</v>
      </c>
      <c r="G45" s="39">
        <f>'Data Entry Main Plaza'!O45</f>
        <v>11113.84</v>
      </c>
      <c r="H45" s="39">
        <f>'Data Entry Main Plaza'!R45</f>
        <v>5043.8087999999998</v>
      </c>
      <c r="I45" s="39">
        <f>'Data Entry Main Plaza'!U45</f>
        <v>8438.6826000000001</v>
      </c>
      <c r="J45" s="39">
        <f>'Data Entry Main Plaza'!X45</f>
        <v>6574.2030000000004</v>
      </c>
      <c r="K45" s="39">
        <f>'Data Entry Main Plaza'!AA45</f>
        <v>7087.2161999999998</v>
      </c>
      <c r="L45" s="39">
        <f>'Data Entry Main Plaza'!AD45</f>
        <v>9938.2093999999997</v>
      </c>
      <c r="M45" s="39">
        <f>'Data Entry Main Plaza'!AG45</f>
        <v>9576.3546000000006</v>
      </c>
      <c r="N45" s="39">
        <f>'Data Entry Main Plaza'!AJ45</f>
        <v>10754.773800000001</v>
      </c>
      <c r="O45" s="39">
        <f>'Data Entry Main Plaza'!AM45</f>
        <v>10367.5566</v>
      </c>
    </row>
    <row r="46" spans="2:15" ht="14" x14ac:dyDescent="0.15">
      <c r="B46" s="38" t="s">
        <v>48</v>
      </c>
      <c r="C46" s="39">
        <f>'Data Entry Main Plaza'!C46</f>
        <v>8268.57</v>
      </c>
      <c r="D46" s="39">
        <f>'Data Entry Main Plaza'!F46</f>
        <v>868.94</v>
      </c>
      <c r="E46" s="39">
        <f>'Data Entry Main Plaza'!I46</f>
        <v>7334.71</v>
      </c>
      <c r="F46" s="39">
        <f>'Data Entry Main Plaza'!L46</f>
        <v>678.29</v>
      </c>
      <c r="G46" s="39">
        <f>'Data Entry Main Plaza'!O46</f>
        <v>-613.37</v>
      </c>
      <c r="H46" s="39">
        <f>'Data Entry Main Plaza'!R46</f>
        <v>0</v>
      </c>
      <c r="I46" s="39">
        <f>'Data Entry Main Plaza'!U46</f>
        <v>0</v>
      </c>
      <c r="J46" s="39">
        <f>'Data Entry Main Plaza'!X46</f>
        <v>0</v>
      </c>
      <c r="K46" s="39">
        <f>'Data Entry Main Plaza'!AA46</f>
        <v>0</v>
      </c>
      <c r="L46" s="39">
        <f>'Data Entry Main Plaza'!AD46</f>
        <v>0</v>
      </c>
      <c r="M46" s="39">
        <f>'Data Entry Main Plaza'!AG46</f>
        <v>0</v>
      </c>
      <c r="N46" s="39">
        <f>'Data Entry Main Plaza'!AJ46</f>
        <v>0</v>
      </c>
      <c r="O46" s="39">
        <f>'Data Entry Main Plaza'!AM46</f>
        <v>0</v>
      </c>
    </row>
    <row r="47" spans="2:15" ht="14" x14ac:dyDescent="0.15">
      <c r="B47" s="42" t="s">
        <v>49</v>
      </c>
      <c r="C47" s="39">
        <f>'Data Entry Main Plaza'!C47</f>
        <v>430704.03909999999</v>
      </c>
      <c r="D47" s="39">
        <f>'Data Entry Main Plaza'!F47</f>
        <v>26476.09</v>
      </c>
      <c r="E47" s="39">
        <f>'Data Entry Main Plaza'!I47</f>
        <v>30920.57</v>
      </c>
      <c r="F47" s="39">
        <f>'Data Entry Main Plaza'!L47</f>
        <v>39659.53</v>
      </c>
      <c r="G47" s="39">
        <f>'Data Entry Main Plaza'!O47</f>
        <v>34932.85</v>
      </c>
      <c r="H47" s="39">
        <f>'Data Entry Main Plaza'!R47</f>
        <v>23686.279500000001</v>
      </c>
      <c r="I47" s="39">
        <f>'Data Entry Main Plaza'!U47</f>
        <v>40384.156999999999</v>
      </c>
      <c r="J47" s="39">
        <f>'Data Entry Main Plaza'!X47</f>
        <v>32428.353599999999</v>
      </c>
      <c r="K47" s="39">
        <f>'Data Entry Main Plaza'!AA47</f>
        <v>33546.5406</v>
      </c>
      <c r="L47" s="39">
        <f>'Data Entry Main Plaza'!AD47</f>
        <v>43493.117700000003</v>
      </c>
      <c r="M47" s="39">
        <f>'Data Entry Main Plaza'!AG47</f>
        <v>40856.336499999998</v>
      </c>
      <c r="N47" s="39">
        <f>'Data Entry Main Plaza'!AJ47</f>
        <v>44456.5242</v>
      </c>
      <c r="O47" s="39">
        <f>'Data Entry Main Plaza'!AM47</f>
        <v>39863.69</v>
      </c>
    </row>
    <row r="48" spans="2:15" ht="14" x14ac:dyDescent="0.15">
      <c r="B48" s="38" t="s">
        <v>22</v>
      </c>
      <c r="C48" s="39">
        <f>'Data Entry Main Plaza'!C48</f>
        <v>1199249.2829</v>
      </c>
      <c r="D48" s="39">
        <f>'Data Entry Main Plaza'!F48</f>
        <v>101935.91</v>
      </c>
      <c r="E48" s="39">
        <f>'Data Entry Main Plaza'!I48</f>
        <v>97715.15</v>
      </c>
      <c r="F48" s="39">
        <f>'Data Entry Main Plaza'!L48</f>
        <v>99779.520000000004</v>
      </c>
      <c r="G48" s="39">
        <f>'Data Entry Main Plaza'!O48</f>
        <v>102990.27</v>
      </c>
      <c r="H48" s="39">
        <f>'Data Entry Main Plaza'!R48</f>
        <v>101934.55989999999</v>
      </c>
      <c r="I48" s="39">
        <f>'Data Entry Main Plaza'!U48</f>
        <v>106630.2421</v>
      </c>
      <c r="J48" s="39">
        <f>'Data Entry Main Plaza'!X48</f>
        <v>90741.940499999997</v>
      </c>
      <c r="K48" s="39">
        <f>'Data Entry Main Plaza'!AA48</f>
        <v>96688.398300000001</v>
      </c>
      <c r="L48" s="39">
        <f>'Data Entry Main Plaza'!AD48</f>
        <v>102862.383</v>
      </c>
      <c r="M48" s="39">
        <f>'Data Entry Main Plaza'!AG48</f>
        <v>97108.820600000006</v>
      </c>
      <c r="N48" s="39">
        <f>'Data Entry Main Plaza'!AJ48</f>
        <v>103293.87300000001</v>
      </c>
      <c r="O48" s="39">
        <f>'Data Entry Main Plaza'!AM48</f>
        <v>97568.215500000006</v>
      </c>
    </row>
    <row r="49" spans="2:15" ht="14" x14ac:dyDescent="0.15">
      <c r="B49" s="38" t="s">
        <v>40</v>
      </c>
      <c r="C49" s="39">
        <f>'Data Entry Main Plaza'!C49</f>
        <v>104297.91009999999</v>
      </c>
      <c r="D49" s="39">
        <f>'Data Entry Main Plaza'!F49</f>
        <v>11415.64</v>
      </c>
      <c r="E49" s="39">
        <f>'Data Entry Main Plaza'!I49</f>
        <v>7469.5</v>
      </c>
      <c r="F49" s="39">
        <f>'Data Entry Main Plaza'!L49</f>
        <v>8081.21</v>
      </c>
      <c r="G49" s="39">
        <f>'Data Entry Main Plaza'!O49</f>
        <v>12974.5</v>
      </c>
      <c r="H49" s="39">
        <f>'Data Entry Main Plaza'!R49</f>
        <v>7405</v>
      </c>
      <c r="I49" s="39">
        <f>'Data Entry Main Plaza'!U49</f>
        <v>13839.540499999999</v>
      </c>
      <c r="J49" s="39">
        <f>'Data Entry Main Plaza'!X49</f>
        <v>2980.8498</v>
      </c>
      <c r="K49" s="39">
        <f>'Data Entry Main Plaza'!AA49</f>
        <v>2797.7791999999999</v>
      </c>
      <c r="L49" s="39">
        <f>'Data Entry Main Plaza'!AD49</f>
        <v>13737.102000000001</v>
      </c>
      <c r="M49" s="39">
        <f>'Data Entry Main Plaza'!AG49</f>
        <v>7759.5720000000001</v>
      </c>
      <c r="N49" s="39">
        <f>'Data Entry Main Plaza'!AJ49</f>
        <v>7756.1350000000002</v>
      </c>
      <c r="O49" s="39">
        <f>'Data Entry Main Plaza'!AM49</f>
        <v>8081.0816000000004</v>
      </c>
    </row>
    <row r="50" spans="2:15" ht="14" x14ac:dyDescent="0.15">
      <c r="B50" s="42" t="s">
        <v>41</v>
      </c>
      <c r="C50" s="39">
        <f>'Data Entry Main Plaza'!C50</f>
        <v>-36584.051099999997</v>
      </c>
      <c r="D50" s="39">
        <f>'Data Entry Main Plaza'!F50</f>
        <v>-62062.45</v>
      </c>
      <c r="E50" s="39">
        <f>'Data Entry Main Plaza'!I50</f>
        <v>-45085.85</v>
      </c>
      <c r="F50" s="39">
        <f>'Data Entry Main Plaza'!L50</f>
        <v>-9494</v>
      </c>
      <c r="G50" s="39">
        <f>'Data Entry Main Plaza'!O50</f>
        <v>-38147.68</v>
      </c>
      <c r="H50" s="39">
        <f>'Data Entry Main Plaza'!R50</f>
        <v>-32781.398200000003</v>
      </c>
      <c r="I50" s="39">
        <f>'Data Entry Main Plaza'!U50</f>
        <v>20404.8262</v>
      </c>
      <c r="J50" s="39">
        <f>'Data Entry Main Plaza'!X50</f>
        <v>4222.3779000000004</v>
      </c>
      <c r="K50" s="39">
        <f>'Data Entry Main Plaza'!AA50</f>
        <v>-701.09720000000004</v>
      </c>
      <c r="L50" s="39">
        <f>'Data Entry Main Plaza'!AD50</f>
        <v>33005.631300000001</v>
      </c>
      <c r="M50" s="39">
        <f>'Data Entry Main Plaza'!AG50</f>
        <v>31384.7137</v>
      </c>
      <c r="N50" s="39">
        <f>'Data Entry Main Plaza'!AJ50</f>
        <v>39402.638200000001</v>
      </c>
      <c r="O50" s="39">
        <f>'Data Entry Main Plaza'!AM50</f>
        <v>23268.237000000001</v>
      </c>
    </row>
    <row r="51" spans="2:15" x14ac:dyDescent="0.15">
      <c r="B51" s="40"/>
      <c r="C51" s="39">
        <f>'Data Entry Main Plaza'!C51</f>
        <v>0</v>
      </c>
      <c r="D51" s="39">
        <f>'Data Entry Main Plaza'!F51</f>
        <v>0</v>
      </c>
      <c r="E51" s="39">
        <f>'Data Entry Main Plaza'!I51</f>
        <v>0</v>
      </c>
      <c r="F51" s="39">
        <f>'Data Entry Main Plaza'!L51</f>
        <v>0</v>
      </c>
      <c r="G51" s="39">
        <f>'Data Entry Main Plaza'!O51</f>
        <v>0</v>
      </c>
      <c r="H51" s="39">
        <f>'Data Entry Main Plaza'!R51</f>
        <v>0</v>
      </c>
      <c r="I51" s="39">
        <f>'Data Entry Main Plaza'!U51</f>
        <v>0</v>
      </c>
      <c r="J51" s="39">
        <f>'Data Entry Main Plaza'!X51</f>
        <v>0</v>
      </c>
      <c r="K51" s="39">
        <f>'Data Entry Main Plaza'!AA51</f>
        <v>0</v>
      </c>
      <c r="L51" s="39">
        <f>'Data Entry Main Plaza'!AD51</f>
        <v>0</v>
      </c>
      <c r="M51" s="39">
        <f>'Data Entry Main Plaza'!AG51</f>
        <v>0</v>
      </c>
      <c r="N51" s="39">
        <f>'Data Entry Main Plaza'!AJ51</f>
        <v>0</v>
      </c>
      <c r="O51" s="39">
        <f>'Data Entry Main Plaza'!AM51</f>
        <v>0</v>
      </c>
    </row>
    <row r="52" spans="2:15" ht="14" x14ac:dyDescent="0.15">
      <c r="B52" s="44" t="s">
        <v>50</v>
      </c>
      <c r="C52" s="39">
        <f>'Data Entry Main Plaza'!C52</f>
        <v>0</v>
      </c>
      <c r="D52" s="39">
        <f>'Data Entry Main Plaza'!F52</f>
        <v>0</v>
      </c>
      <c r="E52" s="39">
        <f>'Data Entry Main Plaza'!I52</f>
        <v>0</v>
      </c>
      <c r="F52" s="39">
        <f>'Data Entry Main Plaza'!L52</f>
        <v>0</v>
      </c>
      <c r="G52" s="39">
        <f>'Data Entry Main Plaza'!O52</f>
        <v>0</v>
      </c>
      <c r="H52" s="39">
        <f>'Data Entry Main Plaza'!R52</f>
        <v>0</v>
      </c>
      <c r="I52" s="39">
        <f>'Data Entry Main Plaza'!U52</f>
        <v>0</v>
      </c>
      <c r="J52" s="39">
        <f>'Data Entry Main Plaza'!X52</f>
        <v>0</v>
      </c>
      <c r="K52" s="39">
        <f>'Data Entry Main Plaza'!AA52</f>
        <v>0</v>
      </c>
      <c r="L52" s="39">
        <f>'Data Entry Main Plaza'!AD52</f>
        <v>0</v>
      </c>
      <c r="M52" s="39">
        <f>'Data Entry Main Plaza'!AG52</f>
        <v>0</v>
      </c>
      <c r="N52" s="39">
        <f>'Data Entry Main Plaza'!AJ52</f>
        <v>0</v>
      </c>
      <c r="O52" s="39">
        <f>'Data Entry Main Plaza'!AM52</f>
        <v>0</v>
      </c>
    </row>
    <row r="53" spans="2:15" ht="14" x14ac:dyDescent="0.15">
      <c r="B53" s="38" t="s">
        <v>37</v>
      </c>
      <c r="C53" s="39">
        <f>'Data Entry Main Plaza'!C53</f>
        <v>375680.54</v>
      </c>
      <c r="D53" s="39">
        <f>'Data Entry Main Plaza'!F53</f>
        <v>22141.54</v>
      </c>
      <c r="E53" s="39">
        <f>'Data Entry Main Plaza'!I53</f>
        <v>23125.42</v>
      </c>
      <c r="F53" s="39">
        <f>'Data Entry Main Plaza'!L53</f>
        <v>28586.080000000002</v>
      </c>
      <c r="G53" s="39">
        <f>'Data Entry Main Plaza'!O53</f>
        <v>27738.54</v>
      </c>
      <c r="H53" s="39">
        <f>'Data Entry Main Plaza'!R53</f>
        <v>31551.96</v>
      </c>
      <c r="I53" s="39">
        <f>'Data Entry Main Plaza'!U53</f>
        <v>30492.66</v>
      </c>
      <c r="J53" s="39">
        <f>'Data Entry Main Plaza'!X53</f>
        <v>29579.52</v>
      </c>
      <c r="K53" s="39">
        <f>'Data Entry Main Plaza'!AA53</f>
        <v>32411.279999999999</v>
      </c>
      <c r="L53" s="39">
        <f>'Data Entry Main Plaza'!AD53</f>
        <v>34976.28</v>
      </c>
      <c r="M53" s="39">
        <f>'Data Entry Main Plaza'!AG53</f>
        <v>35797.08</v>
      </c>
      <c r="N53" s="39">
        <f>'Data Entry Main Plaza'!AJ53</f>
        <v>35868.9</v>
      </c>
      <c r="O53" s="39">
        <f>'Data Entry Main Plaza'!AM53</f>
        <v>43411.28</v>
      </c>
    </row>
    <row r="54" spans="2:15" ht="14" x14ac:dyDescent="0.15">
      <c r="B54" s="38" t="s">
        <v>49</v>
      </c>
      <c r="C54" s="39">
        <f>'Data Entry Main Plaza'!C54</f>
        <v>5658.8472000000002</v>
      </c>
      <c r="D54" s="39">
        <f>'Data Entry Main Plaza'!F54</f>
        <v>239</v>
      </c>
      <c r="E54" s="39">
        <f>'Data Entry Main Plaza'!I54</f>
        <v>436</v>
      </c>
      <c r="F54" s="39">
        <f>'Data Entry Main Plaza'!L54</f>
        <v>233.49</v>
      </c>
      <c r="G54" s="39">
        <f>'Data Entry Main Plaza'!O54</f>
        <v>225</v>
      </c>
      <c r="H54" s="39">
        <f>'Data Entry Main Plaza'!R54</f>
        <v>578.16719999999998</v>
      </c>
      <c r="I54" s="39">
        <f>'Data Entry Main Plaza'!U54</f>
        <v>506.91419999999999</v>
      </c>
      <c r="J54" s="39">
        <f>'Data Entry Main Plaza'!X54</f>
        <v>486.7824</v>
      </c>
      <c r="K54" s="39">
        <f>'Data Entry Main Plaza'!AA54</f>
        <v>549.21360000000004</v>
      </c>
      <c r="L54" s="39">
        <f>'Data Entry Main Plaza'!AD54</f>
        <v>605.7636</v>
      </c>
      <c r="M54" s="39">
        <f>'Data Entry Main Plaza'!AG54</f>
        <v>623.8596</v>
      </c>
      <c r="N54" s="39">
        <f>'Data Entry Main Plaza'!AJ54</f>
        <v>625.44299999999998</v>
      </c>
      <c r="O54" s="39">
        <f>'Data Entry Main Plaza'!AM54</f>
        <v>549.21360000000004</v>
      </c>
    </row>
    <row r="55" spans="2:15" ht="14" x14ac:dyDescent="0.15">
      <c r="B55" s="38" t="s">
        <v>22</v>
      </c>
      <c r="C55" s="39">
        <f>'Data Entry Main Plaza'!C55</f>
        <v>0</v>
      </c>
      <c r="D55" s="39">
        <f>'Data Entry Main Plaza'!F55</f>
        <v>0</v>
      </c>
      <c r="E55" s="39">
        <f>'Data Entry Main Plaza'!I55</f>
        <v>0</v>
      </c>
      <c r="F55" s="39">
        <f>'Data Entry Main Plaza'!L55</f>
        <v>0</v>
      </c>
      <c r="G55" s="39">
        <f>'Data Entry Main Plaza'!O55</f>
        <v>0</v>
      </c>
      <c r="H55" s="39">
        <f>'Data Entry Main Plaza'!R55</f>
        <v>0</v>
      </c>
      <c r="I55" s="39">
        <f>'Data Entry Main Plaza'!U55</f>
        <v>0</v>
      </c>
      <c r="J55" s="39">
        <f>'Data Entry Main Plaza'!X55</f>
        <v>0</v>
      </c>
      <c r="K55" s="39">
        <f>'Data Entry Main Plaza'!AA55</f>
        <v>0</v>
      </c>
      <c r="L55" s="39">
        <f>'Data Entry Main Plaza'!AD55</f>
        <v>0</v>
      </c>
      <c r="M55" s="39">
        <f>'Data Entry Main Plaza'!AG55</f>
        <v>0</v>
      </c>
      <c r="N55" s="39">
        <f>'Data Entry Main Plaza'!AJ55</f>
        <v>0</v>
      </c>
      <c r="O55" s="39">
        <f>'Data Entry Main Plaza'!AM55</f>
        <v>0</v>
      </c>
    </row>
    <row r="56" spans="2:15" ht="14" x14ac:dyDescent="0.15">
      <c r="B56" s="38" t="s">
        <v>40</v>
      </c>
      <c r="C56" s="39">
        <f>'Data Entry Main Plaza'!C56</f>
        <v>51419.3</v>
      </c>
      <c r="D56" s="39">
        <f>'Data Entry Main Plaza'!F56</f>
        <v>4985.26</v>
      </c>
      <c r="E56" s="39">
        <f>'Data Entry Main Plaza'!I56</f>
        <v>4435.1499999999996</v>
      </c>
      <c r="F56" s="39">
        <f>'Data Entry Main Plaza'!L56</f>
        <v>3256.77</v>
      </c>
      <c r="G56" s="39">
        <f>'Data Entry Main Plaza'!O56</f>
        <v>3842.12</v>
      </c>
      <c r="H56" s="39">
        <f>'Data Entry Main Plaza'!R56</f>
        <v>4350</v>
      </c>
      <c r="I56" s="39">
        <f>'Data Entry Main Plaza'!U56</f>
        <v>4450</v>
      </c>
      <c r="J56" s="39">
        <f>'Data Entry Main Plaza'!X56</f>
        <v>4350</v>
      </c>
      <c r="K56" s="39">
        <f>'Data Entry Main Plaza'!AA56</f>
        <v>4350</v>
      </c>
      <c r="L56" s="39">
        <f>'Data Entry Main Plaza'!AD56</f>
        <v>4350</v>
      </c>
      <c r="M56" s="39">
        <f>'Data Entry Main Plaza'!AG56</f>
        <v>4350</v>
      </c>
      <c r="N56" s="39">
        <f>'Data Entry Main Plaza'!AJ56</f>
        <v>4350</v>
      </c>
      <c r="O56" s="39">
        <f>'Data Entry Main Plaza'!AM56</f>
        <v>4350</v>
      </c>
    </row>
    <row r="57" spans="2:15" ht="14" x14ac:dyDescent="0.15">
      <c r="B57" s="42" t="s">
        <v>41</v>
      </c>
      <c r="C57" s="39">
        <f>'Data Entry Main Plaza'!C57</f>
        <v>318602.39279999997</v>
      </c>
      <c r="D57" s="39">
        <f>'Data Entry Main Plaza'!F57</f>
        <v>16917.28</v>
      </c>
      <c r="E57" s="39">
        <f>'Data Entry Main Plaza'!I57</f>
        <v>18254.27</v>
      </c>
      <c r="F57" s="39">
        <f>'Data Entry Main Plaza'!L57</f>
        <v>25095.82</v>
      </c>
      <c r="G57" s="39">
        <f>'Data Entry Main Plaza'!O57</f>
        <v>23671.42</v>
      </c>
      <c r="H57" s="39">
        <f>'Data Entry Main Plaza'!R57</f>
        <v>26623.792799999999</v>
      </c>
      <c r="I57" s="39">
        <f>'Data Entry Main Plaza'!U57</f>
        <v>25535.745800000001</v>
      </c>
      <c r="J57" s="39">
        <f>'Data Entry Main Plaza'!X57</f>
        <v>24742.7376</v>
      </c>
      <c r="K57" s="39">
        <f>'Data Entry Main Plaza'!AA57</f>
        <v>27512.0664</v>
      </c>
      <c r="L57" s="39">
        <f>'Data Entry Main Plaza'!AD57</f>
        <v>30020.5164</v>
      </c>
      <c r="M57" s="39">
        <f>'Data Entry Main Plaza'!AG57</f>
        <v>30823.220399999998</v>
      </c>
      <c r="N57" s="39">
        <f>'Data Entry Main Plaza'!AJ57</f>
        <v>30893.456999999999</v>
      </c>
      <c r="O57" s="39">
        <f>'Data Entry Main Plaza'!AM57</f>
        <v>38512.066400000003</v>
      </c>
    </row>
    <row r="58" spans="2:15" x14ac:dyDescent="0.15">
      <c r="B58" s="40"/>
      <c r="C58" s="39">
        <f>'Data Entry Main Plaza'!C58</f>
        <v>0</v>
      </c>
      <c r="D58" s="39">
        <f>'Data Entry Main Plaza'!F58</f>
        <v>0</v>
      </c>
      <c r="E58" s="39">
        <f>'Data Entry Main Plaza'!I58</f>
        <v>0</v>
      </c>
      <c r="F58" s="39">
        <f>'Data Entry Main Plaza'!L58</f>
        <v>0</v>
      </c>
      <c r="G58" s="39">
        <f>'Data Entry Main Plaza'!O58</f>
        <v>0</v>
      </c>
      <c r="H58" s="39">
        <f>'Data Entry Main Plaza'!R58</f>
        <v>0</v>
      </c>
      <c r="I58" s="39">
        <f>'Data Entry Main Plaza'!U58</f>
        <v>0</v>
      </c>
      <c r="J58" s="39">
        <f>'Data Entry Main Plaza'!X58</f>
        <v>0</v>
      </c>
      <c r="K58" s="39">
        <f>'Data Entry Main Plaza'!AA58</f>
        <v>0</v>
      </c>
      <c r="L58" s="39">
        <f>'Data Entry Main Plaza'!AD58</f>
        <v>0</v>
      </c>
      <c r="M58" s="39">
        <f>'Data Entry Main Plaza'!AG58</f>
        <v>0</v>
      </c>
      <c r="N58" s="39">
        <f>'Data Entry Main Plaza'!AJ58</f>
        <v>0</v>
      </c>
      <c r="O58" s="39">
        <f>'Data Entry Main Plaza'!AM58</f>
        <v>0</v>
      </c>
    </row>
    <row r="59" spans="2:15" ht="14" x14ac:dyDescent="0.15">
      <c r="B59" s="44" t="s">
        <v>38</v>
      </c>
      <c r="C59" s="39">
        <f>'Data Entry Main Plaza'!C59</f>
        <v>0</v>
      </c>
      <c r="D59" s="39">
        <f>'Data Entry Main Plaza'!F59</f>
        <v>0</v>
      </c>
      <c r="E59" s="39">
        <f>'Data Entry Main Plaza'!I59</f>
        <v>0</v>
      </c>
      <c r="F59" s="39">
        <f>'Data Entry Main Plaza'!L59</f>
        <v>0</v>
      </c>
      <c r="G59" s="39">
        <f>'Data Entry Main Plaza'!O59</f>
        <v>0</v>
      </c>
      <c r="H59" s="39">
        <f>'Data Entry Main Plaza'!R59</f>
        <v>0</v>
      </c>
      <c r="I59" s="39">
        <f>'Data Entry Main Plaza'!U59</f>
        <v>0</v>
      </c>
      <c r="J59" s="39">
        <f>'Data Entry Main Plaza'!X59</f>
        <v>0</v>
      </c>
      <c r="K59" s="39">
        <f>'Data Entry Main Plaza'!AA59</f>
        <v>0</v>
      </c>
      <c r="L59" s="39">
        <f>'Data Entry Main Plaza'!AD59</f>
        <v>0</v>
      </c>
      <c r="M59" s="39">
        <f>'Data Entry Main Plaza'!AG59</f>
        <v>0</v>
      </c>
      <c r="N59" s="39">
        <f>'Data Entry Main Plaza'!AJ59</f>
        <v>0</v>
      </c>
      <c r="O59" s="39">
        <f>'Data Entry Main Plaza'!AM59</f>
        <v>0</v>
      </c>
    </row>
    <row r="60" spans="2:15" ht="14" x14ac:dyDescent="0.15">
      <c r="B60" s="42" t="s">
        <v>38</v>
      </c>
      <c r="C60" s="39">
        <f>'Data Entry Main Plaza'!C60</f>
        <v>68888.45</v>
      </c>
      <c r="D60" s="39">
        <f>'Data Entry Main Plaza'!F60</f>
        <v>1043.92</v>
      </c>
      <c r="E60" s="39">
        <f>'Data Entry Main Plaza'!I60</f>
        <v>13915.72</v>
      </c>
      <c r="F60" s="39">
        <f>'Data Entry Main Plaza'!L60</f>
        <v>6453.63</v>
      </c>
      <c r="G60" s="39">
        <f>'Data Entry Main Plaza'!O60</f>
        <v>5475.18</v>
      </c>
      <c r="H60" s="39">
        <f>'Data Entry Main Plaza'!R60</f>
        <v>5000</v>
      </c>
      <c r="I60" s="39">
        <f>'Data Entry Main Plaza'!U60</f>
        <v>6000</v>
      </c>
      <c r="J60" s="39">
        <f>'Data Entry Main Plaza'!X60</f>
        <v>3500</v>
      </c>
      <c r="K60" s="39">
        <f>'Data Entry Main Plaza'!AA60</f>
        <v>3500</v>
      </c>
      <c r="L60" s="39">
        <f>'Data Entry Main Plaza'!AD60</f>
        <v>6000</v>
      </c>
      <c r="M60" s="39">
        <f>'Data Entry Main Plaza'!AG60</f>
        <v>6000</v>
      </c>
      <c r="N60" s="39">
        <f>'Data Entry Main Plaza'!AJ60</f>
        <v>6000</v>
      </c>
      <c r="O60" s="39">
        <f>'Data Entry Main Plaza'!AM60</f>
        <v>6000</v>
      </c>
    </row>
    <row r="61" spans="2:15" x14ac:dyDescent="0.15">
      <c r="B61" s="40"/>
      <c r="C61" s="39">
        <f>'Data Entry Main Plaza'!C61</f>
        <v>0</v>
      </c>
      <c r="D61" s="39">
        <f>'Data Entry Main Plaza'!F61</f>
        <v>0</v>
      </c>
      <c r="E61" s="39">
        <f>'Data Entry Main Plaza'!I61</f>
        <v>0</v>
      </c>
      <c r="F61" s="39">
        <f>'Data Entry Main Plaza'!L61</f>
        <v>0</v>
      </c>
      <c r="G61" s="39">
        <f>'Data Entry Main Plaza'!O61</f>
        <v>0</v>
      </c>
      <c r="H61" s="39">
        <f>'Data Entry Main Plaza'!R61</f>
        <v>0</v>
      </c>
      <c r="I61" s="39">
        <f>'Data Entry Main Plaza'!U61</f>
        <v>0</v>
      </c>
      <c r="J61" s="39">
        <f>'Data Entry Main Plaza'!X61</f>
        <v>0</v>
      </c>
      <c r="K61" s="39">
        <f>'Data Entry Main Plaza'!AA61</f>
        <v>0</v>
      </c>
      <c r="L61" s="39">
        <f>'Data Entry Main Plaza'!AD61</f>
        <v>0</v>
      </c>
      <c r="M61" s="39">
        <f>'Data Entry Main Plaza'!AG61</f>
        <v>0</v>
      </c>
      <c r="N61" s="39">
        <f>'Data Entry Main Plaza'!AJ61</f>
        <v>0</v>
      </c>
      <c r="O61" s="39">
        <f>'Data Entry Main Plaza'!AM61</f>
        <v>0</v>
      </c>
    </row>
    <row r="62" spans="2:15" ht="14" x14ac:dyDescent="0.15">
      <c r="B62" s="44" t="s">
        <v>51</v>
      </c>
      <c r="C62" s="39">
        <f>'Data Entry Main Plaza'!C62</f>
        <v>0</v>
      </c>
      <c r="D62" s="39">
        <f>'Data Entry Main Plaza'!F62</f>
        <v>0</v>
      </c>
      <c r="E62" s="39">
        <f>'Data Entry Main Plaza'!I62</f>
        <v>0</v>
      </c>
      <c r="F62" s="39">
        <f>'Data Entry Main Plaza'!L62</f>
        <v>0</v>
      </c>
      <c r="G62" s="39">
        <f>'Data Entry Main Plaza'!O62</f>
        <v>0</v>
      </c>
      <c r="H62" s="39">
        <f>'Data Entry Main Plaza'!R62</f>
        <v>0</v>
      </c>
      <c r="I62" s="39">
        <f>'Data Entry Main Plaza'!U62</f>
        <v>0</v>
      </c>
      <c r="J62" s="39">
        <f>'Data Entry Main Plaza'!X62</f>
        <v>0</v>
      </c>
      <c r="K62" s="39">
        <f>'Data Entry Main Plaza'!AA62</f>
        <v>0</v>
      </c>
      <c r="L62" s="39">
        <f>'Data Entry Main Plaza'!AD62</f>
        <v>0</v>
      </c>
      <c r="M62" s="39">
        <f>'Data Entry Main Plaza'!AG62</f>
        <v>0</v>
      </c>
      <c r="N62" s="39">
        <f>'Data Entry Main Plaza'!AJ62</f>
        <v>0</v>
      </c>
      <c r="O62" s="39">
        <f>'Data Entry Main Plaza'!AM62</f>
        <v>0</v>
      </c>
    </row>
    <row r="63" spans="2:15" ht="14" x14ac:dyDescent="0.15">
      <c r="B63" s="42" t="s">
        <v>52</v>
      </c>
      <c r="C63" s="39">
        <f>'Data Entry Main Plaza'!C63</f>
        <v>2907886.7899000002</v>
      </c>
      <c r="D63" s="39">
        <f>'Data Entry Main Plaza'!F63</f>
        <v>69519.89</v>
      </c>
      <c r="E63" s="39">
        <f>'Data Entry Main Plaza'!I63</f>
        <v>160496.48000000001</v>
      </c>
      <c r="F63" s="39">
        <f>'Data Entry Main Plaza'!L63</f>
        <v>268176.94</v>
      </c>
      <c r="G63" s="39">
        <f>'Data Entry Main Plaza'!O63</f>
        <v>118615.42</v>
      </c>
      <c r="H63" s="39">
        <f>'Data Entry Main Plaza'!R63</f>
        <v>210331.82139999999</v>
      </c>
      <c r="I63" s="39">
        <f>'Data Entry Main Plaza'!U63</f>
        <v>262535.70360000001</v>
      </c>
      <c r="J63" s="39">
        <f>'Data Entry Main Plaza'!X63</f>
        <v>195302.43520000001</v>
      </c>
      <c r="K63" s="39">
        <f>'Data Entry Main Plaza'!AA63</f>
        <v>209444.0931</v>
      </c>
      <c r="L63" s="39">
        <f>'Data Entry Main Plaza'!AD63</f>
        <v>327162.01770000003</v>
      </c>
      <c r="M63" s="39">
        <f>'Data Entry Main Plaza'!AG63</f>
        <v>444176.6042</v>
      </c>
      <c r="N63" s="39">
        <f>'Data Entry Main Plaza'!AJ63</f>
        <v>364073.88449999999</v>
      </c>
      <c r="O63" s="39">
        <f>'Data Entry Main Plaza'!AM63</f>
        <v>278051.50020000001</v>
      </c>
    </row>
    <row r="64" spans="2:15" x14ac:dyDescent="0.15">
      <c r="B64" s="40"/>
      <c r="C64" s="39">
        <f>'Data Entry Main Plaza'!C64</f>
        <v>0</v>
      </c>
      <c r="D64" s="39">
        <f>'Data Entry Main Plaza'!F64</f>
        <v>0</v>
      </c>
      <c r="E64" s="39">
        <f>'Data Entry Main Plaza'!I64</f>
        <v>0</v>
      </c>
      <c r="F64" s="39">
        <f>'Data Entry Main Plaza'!L64</f>
        <v>0</v>
      </c>
      <c r="G64" s="39">
        <f>'Data Entry Main Plaza'!O64</f>
        <v>0</v>
      </c>
      <c r="H64" s="39">
        <f>'Data Entry Main Plaza'!R64</f>
        <v>0</v>
      </c>
      <c r="I64" s="39">
        <f>'Data Entry Main Plaza'!U64</f>
        <v>0</v>
      </c>
      <c r="J64" s="39">
        <f>'Data Entry Main Plaza'!X64</f>
        <v>0</v>
      </c>
      <c r="K64" s="39">
        <f>'Data Entry Main Plaza'!AA64</f>
        <v>0</v>
      </c>
      <c r="L64" s="39">
        <f>'Data Entry Main Plaza'!AD64</f>
        <v>0</v>
      </c>
      <c r="M64" s="39">
        <f>'Data Entry Main Plaza'!AG64</f>
        <v>0</v>
      </c>
      <c r="N64" s="39">
        <f>'Data Entry Main Plaza'!AJ64</f>
        <v>0</v>
      </c>
      <c r="O64" s="39">
        <f>'Data Entry Main Plaza'!AM64</f>
        <v>0</v>
      </c>
    </row>
    <row r="65" spans="2:15" ht="14" x14ac:dyDescent="0.15">
      <c r="B65" s="44" t="s">
        <v>53</v>
      </c>
      <c r="C65" s="39">
        <f>'Data Entry Main Plaza'!C65</f>
        <v>0</v>
      </c>
      <c r="D65" s="39">
        <f>'Data Entry Main Plaza'!F65</f>
        <v>0</v>
      </c>
      <c r="E65" s="39">
        <f>'Data Entry Main Plaza'!I65</f>
        <v>0</v>
      </c>
      <c r="F65" s="39">
        <f>'Data Entry Main Plaza'!L65</f>
        <v>0</v>
      </c>
      <c r="G65" s="39">
        <f>'Data Entry Main Plaza'!O65</f>
        <v>0</v>
      </c>
      <c r="H65" s="39">
        <f>'Data Entry Main Plaza'!R65</f>
        <v>0</v>
      </c>
      <c r="I65" s="39">
        <f>'Data Entry Main Plaza'!U65</f>
        <v>0</v>
      </c>
      <c r="J65" s="39">
        <f>'Data Entry Main Plaza'!X65</f>
        <v>0</v>
      </c>
      <c r="K65" s="39">
        <f>'Data Entry Main Plaza'!AA65</f>
        <v>0</v>
      </c>
      <c r="L65" s="39">
        <f>'Data Entry Main Plaza'!AD65</f>
        <v>0</v>
      </c>
      <c r="M65" s="39">
        <f>'Data Entry Main Plaza'!AG65</f>
        <v>0</v>
      </c>
      <c r="N65" s="39">
        <f>'Data Entry Main Plaza'!AJ65</f>
        <v>0</v>
      </c>
      <c r="O65" s="39">
        <f>'Data Entry Main Plaza'!AM65</f>
        <v>0</v>
      </c>
    </row>
    <row r="66" spans="2:15" ht="14" x14ac:dyDescent="0.15">
      <c r="B66" s="38" t="s">
        <v>22</v>
      </c>
      <c r="C66" s="39">
        <f>'Data Entry Main Plaza'!C66</f>
        <v>233142.587</v>
      </c>
      <c r="D66" s="39">
        <f>'Data Entry Main Plaza'!F66</f>
        <v>16053.89</v>
      </c>
      <c r="E66" s="39">
        <f>'Data Entry Main Plaza'!I66</f>
        <v>20372.8</v>
      </c>
      <c r="F66" s="39">
        <f>'Data Entry Main Plaza'!L66</f>
        <v>24619.4</v>
      </c>
      <c r="G66" s="39">
        <f>'Data Entry Main Plaza'!O66</f>
        <v>19459.330000000002</v>
      </c>
      <c r="H66" s="39">
        <f>'Data Entry Main Plaza'!R66</f>
        <v>19074.981299999999</v>
      </c>
      <c r="I66" s="39">
        <f>'Data Entry Main Plaza'!U66</f>
        <v>19108.927100000001</v>
      </c>
      <c r="J66" s="39">
        <f>'Data Entry Main Plaza'!X66</f>
        <v>19066.134900000001</v>
      </c>
      <c r="K66" s="39">
        <f>'Data Entry Main Plaza'!AA66</f>
        <v>19069.7768</v>
      </c>
      <c r="L66" s="39">
        <f>'Data Entry Main Plaza'!AD66</f>
        <v>19066.134900000001</v>
      </c>
      <c r="M66" s="39">
        <f>'Data Entry Main Plaza'!AG66</f>
        <v>19069.7768</v>
      </c>
      <c r="N66" s="39">
        <f>'Data Entry Main Plaza'!AJ66</f>
        <v>19066.134900000001</v>
      </c>
      <c r="O66" s="39">
        <f>'Data Entry Main Plaza'!AM66</f>
        <v>19115.300299999999</v>
      </c>
    </row>
    <row r="67" spans="2:15" ht="14" x14ac:dyDescent="0.15">
      <c r="B67" s="38" t="s">
        <v>40</v>
      </c>
      <c r="C67" s="39">
        <f>'Data Entry Main Plaza'!C67</f>
        <v>241714.42439999999</v>
      </c>
      <c r="D67" s="39">
        <f>'Data Entry Main Plaza'!F67</f>
        <v>11574.94</v>
      </c>
      <c r="E67" s="39">
        <f>'Data Entry Main Plaza'!I67</f>
        <v>7580.31</v>
      </c>
      <c r="F67" s="39">
        <f>'Data Entry Main Plaza'!L67</f>
        <v>12260.35</v>
      </c>
      <c r="G67" s="39">
        <f>'Data Entry Main Plaza'!O67</f>
        <v>77609.13</v>
      </c>
      <c r="H67" s="39">
        <f>'Data Entry Main Plaza'!R67</f>
        <v>15426.9228</v>
      </c>
      <c r="I67" s="39">
        <f>'Data Entry Main Plaza'!U67</f>
        <v>14057.448200000001</v>
      </c>
      <c r="J67" s="39">
        <f>'Data Entry Main Plaza'!X67</f>
        <v>17394.940999999999</v>
      </c>
      <c r="K67" s="39">
        <f>'Data Entry Main Plaza'!AA67</f>
        <v>14164.487999999999</v>
      </c>
      <c r="L67" s="39">
        <f>'Data Entry Main Plaza'!AD67</f>
        <v>16696.9676</v>
      </c>
      <c r="M67" s="39">
        <f>'Data Entry Main Plaza'!AG67</f>
        <v>19057.755300000001</v>
      </c>
      <c r="N67" s="39">
        <f>'Data Entry Main Plaza'!AJ67</f>
        <v>20732.571400000001</v>
      </c>
      <c r="O67" s="39">
        <f>'Data Entry Main Plaza'!AM67</f>
        <v>15158.6001</v>
      </c>
    </row>
    <row r="68" spans="2:15" ht="14" x14ac:dyDescent="0.15">
      <c r="B68" s="42" t="s">
        <v>41</v>
      </c>
      <c r="C68" s="39">
        <f>'Data Entry Main Plaza'!C68</f>
        <v>-474857.01160000003</v>
      </c>
      <c r="D68" s="39">
        <f>'Data Entry Main Plaza'!F68</f>
        <v>-27628.83</v>
      </c>
      <c r="E68" s="39">
        <f>'Data Entry Main Plaza'!I68</f>
        <v>-27953.11</v>
      </c>
      <c r="F68" s="39">
        <f>'Data Entry Main Plaza'!L68</f>
        <v>-36879.75</v>
      </c>
      <c r="G68" s="39">
        <f>'Data Entry Main Plaza'!O68</f>
        <v>-97068.46</v>
      </c>
      <c r="H68" s="39">
        <f>'Data Entry Main Plaza'!R68</f>
        <v>-34501.9041</v>
      </c>
      <c r="I68" s="39">
        <f>'Data Entry Main Plaza'!U68</f>
        <v>-33166.375200000002</v>
      </c>
      <c r="J68" s="39">
        <f>'Data Entry Main Plaza'!X68</f>
        <v>-36461.076000000001</v>
      </c>
      <c r="K68" s="39">
        <f>'Data Entry Main Plaza'!AA68</f>
        <v>-33234.264799999997</v>
      </c>
      <c r="L68" s="39">
        <f>'Data Entry Main Plaza'!AD68</f>
        <v>-35763.102599999998</v>
      </c>
      <c r="M68" s="39">
        <f>'Data Entry Main Plaza'!AG68</f>
        <v>-38127.532099999997</v>
      </c>
      <c r="N68" s="39">
        <f>'Data Entry Main Plaza'!AJ68</f>
        <v>-39798.706400000003</v>
      </c>
      <c r="O68" s="39">
        <f>'Data Entry Main Plaza'!AM68</f>
        <v>-34273.900399999999</v>
      </c>
    </row>
    <row r="69" spans="2:15" x14ac:dyDescent="0.15">
      <c r="B69" s="40"/>
      <c r="C69" s="39">
        <f>'Data Entry Main Plaza'!C69</f>
        <v>0</v>
      </c>
      <c r="D69" s="39">
        <f>'Data Entry Main Plaza'!F69</f>
        <v>0</v>
      </c>
      <c r="E69" s="39">
        <f>'Data Entry Main Plaza'!I69</f>
        <v>0</v>
      </c>
      <c r="F69" s="39">
        <f>'Data Entry Main Plaza'!L69</f>
        <v>0</v>
      </c>
      <c r="G69" s="39">
        <f>'Data Entry Main Plaza'!O69</f>
        <v>0</v>
      </c>
      <c r="H69" s="39">
        <f>'Data Entry Main Plaza'!R69</f>
        <v>0</v>
      </c>
      <c r="I69" s="39">
        <f>'Data Entry Main Plaza'!U69</f>
        <v>0</v>
      </c>
      <c r="J69" s="39">
        <f>'Data Entry Main Plaza'!X69</f>
        <v>0</v>
      </c>
      <c r="K69" s="39">
        <f>'Data Entry Main Plaza'!AA69</f>
        <v>0</v>
      </c>
      <c r="L69" s="39">
        <f>'Data Entry Main Plaza'!AD69</f>
        <v>0</v>
      </c>
      <c r="M69" s="39">
        <f>'Data Entry Main Plaza'!AG69</f>
        <v>0</v>
      </c>
      <c r="N69" s="39">
        <f>'Data Entry Main Plaza'!AJ69</f>
        <v>0</v>
      </c>
      <c r="O69" s="39">
        <f>'Data Entry Main Plaza'!AM69</f>
        <v>0</v>
      </c>
    </row>
    <row r="70" spans="2:15" ht="14" x14ac:dyDescent="0.15">
      <c r="B70" s="44" t="s">
        <v>54</v>
      </c>
      <c r="C70" s="39">
        <f>'Data Entry Main Plaza'!C70</f>
        <v>0</v>
      </c>
      <c r="D70" s="39">
        <f>'Data Entry Main Plaza'!F70</f>
        <v>0</v>
      </c>
      <c r="E70" s="39">
        <f>'Data Entry Main Plaza'!I70</f>
        <v>0</v>
      </c>
      <c r="F70" s="39">
        <f>'Data Entry Main Plaza'!L70</f>
        <v>0</v>
      </c>
      <c r="G70" s="39">
        <f>'Data Entry Main Plaza'!O70</f>
        <v>0</v>
      </c>
      <c r="H70" s="39">
        <f>'Data Entry Main Plaza'!R70</f>
        <v>0</v>
      </c>
      <c r="I70" s="39">
        <f>'Data Entry Main Plaza'!U70</f>
        <v>0</v>
      </c>
      <c r="J70" s="39">
        <f>'Data Entry Main Plaza'!X70</f>
        <v>0</v>
      </c>
      <c r="K70" s="39">
        <f>'Data Entry Main Plaza'!AA70</f>
        <v>0</v>
      </c>
      <c r="L70" s="39">
        <f>'Data Entry Main Plaza'!AD70</f>
        <v>0</v>
      </c>
      <c r="M70" s="39">
        <f>'Data Entry Main Plaza'!AG70</f>
        <v>0</v>
      </c>
      <c r="N70" s="39">
        <f>'Data Entry Main Plaza'!AJ70</f>
        <v>0</v>
      </c>
      <c r="O70" s="39">
        <f>'Data Entry Main Plaza'!AM70</f>
        <v>0</v>
      </c>
    </row>
    <row r="71" spans="2:15" ht="14" x14ac:dyDescent="0.15">
      <c r="B71" s="38" t="s">
        <v>55</v>
      </c>
      <c r="C71" s="39">
        <f>'Data Entry Main Plaza'!C71</f>
        <v>18009</v>
      </c>
      <c r="D71" s="39">
        <f>'Data Entry Main Plaza'!F71</f>
        <v>2100.1799999999998</v>
      </c>
      <c r="E71" s="39">
        <f>'Data Entry Main Plaza'!I71</f>
        <v>2138.5100000000002</v>
      </c>
      <c r="F71" s="39">
        <f>'Data Entry Main Plaza'!L71</f>
        <v>2248.9299999999998</v>
      </c>
      <c r="G71" s="39">
        <f>'Data Entry Main Plaza'!O71</f>
        <v>2073.38</v>
      </c>
      <c r="H71" s="39">
        <f>'Data Entry Main Plaza'!R71</f>
        <v>1181</v>
      </c>
      <c r="I71" s="39">
        <f>'Data Entry Main Plaza'!U71</f>
        <v>1181</v>
      </c>
      <c r="J71" s="39">
        <f>'Data Entry Main Plaza'!X71</f>
        <v>1181</v>
      </c>
      <c r="K71" s="39">
        <f>'Data Entry Main Plaza'!AA71</f>
        <v>1181</v>
      </c>
      <c r="L71" s="39">
        <f>'Data Entry Main Plaza'!AD71</f>
        <v>1181</v>
      </c>
      <c r="M71" s="39">
        <f>'Data Entry Main Plaza'!AG71</f>
        <v>1181</v>
      </c>
      <c r="N71" s="39">
        <f>'Data Entry Main Plaza'!AJ71</f>
        <v>1181</v>
      </c>
      <c r="O71" s="39">
        <f>'Data Entry Main Plaza'!AM71</f>
        <v>1181</v>
      </c>
    </row>
    <row r="72" spans="2:15" ht="14" x14ac:dyDescent="0.15">
      <c r="B72" s="38" t="s">
        <v>56</v>
      </c>
      <c r="C72" s="39">
        <f>'Data Entry Main Plaza'!C72</f>
        <v>82569.61</v>
      </c>
      <c r="D72" s="39">
        <f>'Data Entry Main Plaza'!F72</f>
        <v>6222.51</v>
      </c>
      <c r="E72" s="39">
        <f>'Data Entry Main Plaza'!I72</f>
        <v>6603.99</v>
      </c>
      <c r="F72" s="39">
        <f>'Data Entry Main Plaza'!L72</f>
        <v>5781</v>
      </c>
      <c r="G72" s="39">
        <f>'Data Entry Main Plaza'!O72</f>
        <v>1369.41</v>
      </c>
      <c r="H72" s="39">
        <f>'Data Entry Main Plaza'!R72</f>
        <v>6195.87</v>
      </c>
      <c r="I72" s="39">
        <f>'Data Entry Main Plaza'!U72</f>
        <v>6947.11</v>
      </c>
      <c r="J72" s="39">
        <f>'Data Entry Main Plaza'!X72</f>
        <v>12803.37</v>
      </c>
      <c r="K72" s="39">
        <f>'Data Entry Main Plaza'!AA72</f>
        <v>5393.37</v>
      </c>
      <c r="L72" s="39">
        <f>'Data Entry Main Plaza'!AD72</f>
        <v>5717.87</v>
      </c>
      <c r="M72" s="39">
        <f>'Data Entry Main Plaza'!AG72</f>
        <v>11748.37</v>
      </c>
      <c r="N72" s="39">
        <f>'Data Entry Main Plaza'!AJ72</f>
        <v>5393.37</v>
      </c>
      <c r="O72" s="39">
        <f>'Data Entry Main Plaza'!AM72</f>
        <v>8393.3700000000008</v>
      </c>
    </row>
    <row r="73" spans="2:15" ht="14" x14ac:dyDescent="0.15">
      <c r="B73" s="38" t="s">
        <v>40</v>
      </c>
      <c r="C73" s="39">
        <f>'Data Entry Main Plaza'!C73</f>
        <v>1427</v>
      </c>
      <c r="D73" s="39">
        <f>'Data Entry Main Plaza'!F73</f>
        <v>0</v>
      </c>
      <c r="E73" s="39">
        <f>'Data Entry Main Plaza'!I73</f>
        <v>-1253</v>
      </c>
      <c r="F73" s="39">
        <f>'Data Entry Main Plaza'!L73</f>
        <v>0</v>
      </c>
      <c r="G73" s="39">
        <f>'Data Entry Main Plaza'!O73</f>
        <v>0</v>
      </c>
      <c r="H73" s="39">
        <f>'Data Entry Main Plaza'!R73</f>
        <v>335</v>
      </c>
      <c r="I73" s="39">
        <f>'Data Entry Main Plaza'!U73</f>
        <v>335</v>
      </c>
      <c r="J73" s="39">
        <f>'Data Entry Main Plaza'!X73</f>
        <v>335</v>
      </c>
      <c r="K73" s="39">
        <f>'Data Entry Main Plaza'!AA73</f>
        <v>335</v>
      </c>
      <c r="L73" s="39">
        <f>'Data Entry Main Plaza'!AD73</f>
        <v>335</v>
      </c>
      <c r="M73" s="39">
        <f>'Data Entry Main Plaza'!AG73</f>
        <v>335</v>
      </c>
      <c r="N73" s="39">
        <f>'Data Entry Main Plaza'!AJ73</f>
        <v>335</v>
      </c>
      <c r="O73" s="39">
        <f>'Data Entry Main Plaza'!AM73</f>
        <v>335</v>
      </c>
    </row>
    <row r="74" spans="2:15" ht="14" x14ac:dyDescent="0.15">
      <c r="B74" s="42" t="s">
        <v>41</v>
      </c>
      <c r="C74" s="39">
        <f>'Data Entry Main Plaza'!C74</f>
        <v>-102005.61</v>
      </c>
      <c r="D74" s="39">
        <f>'Data Entry Main Plaza'!F74</f>
        <v>-8322.69</v>
      </c>
      <c r="E74" s="39">
        <f>'Data Entry Main Plaza'!I74</f>
        <v>-7489.5</v>
      </c>
      <c r="F74" s="39">
        <f>'Data Entry Main Plaza'!L74</f>
        <v>-8029.93</v>
      </c>
      <c r="G74" s="39">
        <f>'Data Entry Main Plaza'!O74</f>
        <v>-3442.79</v>
      </c>
      <c r="H74" s="39">
        <f>'Data Entry Main Plaza'!R74</f>
        <v>-7711.87</v>
      </c>
      <c r="I74" s="39">
        <f>'Data Entry Main Plaza'!U74</f>
        <v>-8463.11</v>
      </c>
      <c r="J74" s="39">
        <f>'Data Entry Main Plaza'!X74</f>
        <v>-14319.37</v>
      </c>
      <c r="K74" s="39">
        <f>'Data Entry Main Plaza'!AA74</f>
        <v>-6909.37</v>
      </c>
      <c r="L74" s="39">
        <f>'Data Entry Main Plaza'!AD74</f>
        <v>-7233.87</v>
      </c>
      <c r="M74" s="39">
        <f>'Data Entry Main Plaza'!AG74</f>
        <v>-13264.37</v>
      </c>
      <c r="N74" s="39">
        <f>'Data Entry Main Plaza'!AJ74</f>
        <v>-6909.37</v>
      </c>
      <c r="O74" s="39">
        <f>'Data Entry Main Plaza'!AM74</f>
        <v>-9909.3700000000008</v>
      </c>
    </row>
    <row r="75" spans="2:15" x14ac:dyDescent="0.15">
      <c r="B75" s="40"/>
      <c r="C75" s="39">
        <f>'Data Entry Main Plaza'!C75</f>
        <v>0</v>
      </c>
      <c r="D75" s="39">
        <f>'Data Entry Main Plaza'!F75</f>
        <v>0</v>
      </c>
      <c r="E75" s="39">
        <f>'Data Entry Main Plaza'!I75</f>
        <v>0</v>
      </c>
      <c r="F75" s="39">
        <f>'Data Entry Main Plaza'!L75</f>
        <v>0</v>
      </c>
      <c r="G75" s="39">
        <f>'Data Entry Main Plaza'!O75</f>
        <v>0</v>
      </c>
      <c r="H75" s="39">
        <f>'Data Entry Main Plaza'!R75</f>
        <v>0</v>
      </c>
      <c r="I75" s="39">
        <f>'Data Entry Main Plaza'!U75</f>
        <v>0</v>
      </c>
      <c r="J75" s="39">
        <f>'Data Entry Main Plaza'!X75</f>
        <v>0</v>
      </c>
      <c r="K75" s="39">
        <f>'Data Entry Main Plaza'!AA75</f>
        <v>0</v>
      </c>
      <c r="L75" s="39">
        <f>'Data Entry Main Plaza'!AD75</f>
        <v>0</v>
      </c>
      <c r="M75" s="39">
        <f>'Data Entry Main Plaza'!AG75</f>
        <v>0</v>
      </c>
      <c r="N75" s="39">
        <f>'Data Entry Main Plaza'!AJ75</f>
        <v>0</v>
      </c>
      <c r="O75" s="39">
        <f>'Data Entry Main Plaza'!AM75</f>
        <v>0</v>
      </c>
    </row>
    <row r="76" spans="2:15" ht="14" x14ac:dyDescent="0.15">
      <c r="B76" s="44" t="s">
        <v>57</v>
      </c>
      <c r="C76" s="39">
        <f>'Data Entry Main Plaza'!C76</f>
        <v>0</v>
      </c>
      <c r="D76" s="39">
        <f>'Data Entry Main Plaza'!F76</f>
        <v>0</v>
      </c>
      <c r="E76" s="39">
        <f>'Data Entry Main Plaza'!I76</f>
        <v>0</v>
      </c>
      <c r="F76" s="39">
        <f>'Data Entry Main Plaza'!L76</f>
        <v>0</v>
      </c>
      <c r="G76" s="39">
        <f>'Data Entry Main Plaza'!O76</f>
        <v>0</v>
      </c>
      <c r="H76" s="39">
        <f>'Data Entry Main Plaza'!R76</f>
        <v>0</v>
      </c>
      <c r="I76" s="39">
        <f>'Data Entry Main Plaza'!U76</f>
        <v>0</v>
      </c>
      <c r="J76" s="39">
        <f>'Data Entry Main Plaza'!X76</f>
        <v>0</v>
      </c>
      <c r="K76" s="39">
        <f>'Data Entry Main Plaza'!AA76</f>
        <v>0</v>
      </c>
      <c r="L76" s="39">
        <f>'Data Entry Main Plaza'!AD76</f>
        <v>0</v>
      </c>
      <c r="M76" s="39">
        <f>'Data Entry Main Plaza'!AG76</f>
        <v>0</v>
      </c>
      <c r="N76" s="39">
        <f>'Data Entry Main Plaza'!AJ76</f>
        <v>0</v>
      </c>
      <c r="O76" s="39">
        <f>'Data Entry Main Plaza'!AM76</f>
        <v>0</v>
      </c>
    </row>
    <row r="77" spans="2:15" ht="14" x14ac:dyDescent="0.15">
      <c r="B77" s="38" t="s">
        <v>22</v>
      </c>
      <c r="C77" s="39">
        <f>'Data Entry Main Plaza'!C77</f>
        <v>115168.07769999999</v>
      </c>
      <c r="D77" s="39">
        <f>'Data Entry Main Plaza'!F77</f>
        <v>3570.84</v>
      </c>
      <c r="E77" s="39">
        <f>'Data Entry Main Plaza'!I77</f>
        <v>8631.86</v>
      </c>
      <c r="F77" s="39">
        <f>'Data Entry Main Plaza'!L77</f>
        <v>8475.61</v>
      </c>
      <c r="G77" s="39">
        <f>'Data Entry Main Plaza'!O77</f>
        <v>6390.55</v>
      </c>
      <c r="H77" s="39">
        <f>'Data Entry Main Plaza'!R77</f>
        <v>10244.2739</v>
      </c>
      <c r="I77" s="39">
        <f>'Data Entry Main Plaza'!U77</f>
        <v>10636.3838</v>
      </c>
      <c r="J77" s="39">
        <f>'Data Entry Main Plaza'!X77</f>
        <v>9370.09</v>
      </c>
      <c r="K77" s="39">
        <f>'Data Entry Main Plaza'!AA77</f>
        <v>9543.1615000000002</v>
      </c>
      <c r="L77" s="39">
        <f>'Data Entry Main Plaza'!AD77</f>
        <v>11779.8433</v>
      </c>
      <c r="M77" s="39">
        <f>'Data Entry Main Plaza'!AG77</f>
        <v>13535.956</v>
      </c>
      <c r="N77" s="39">
        <f>'Data Entry Main Plaza'!AJ77</f>
        <v>12345.2898</v>
      </c>
      <c r="O77" s="39">
        <f>'Data Entry Main Plaza'!AM77</f>
        <v>10644.2194</v>
      </c>
    </row>
    <row r="78" spans="2:15" ht="14" x14ac:dyDescent="0.15">
      <c r="B78" s="38" t="s">
        <v>40</v>
      </c>
      <c r="C78" s="39">
        <f>'Data Entry Main Plaza'!C78</f>
        <v>301451.16340000002</v>
      </c>
      <c r="D78" s="39">
        <f>'Data Entry Main Plaza'!F78</f>
        <v>20810.86</v>
      </c>
      <c r="E78" s="39">
        <f>'Data Entry Main Plaza'!I78</f>
        <v>20635.810000000001</v>
      </c>
      <c r="F78" s="39">
        <f>'Data Entry Main Plaza'!L78</f>
        <v>19027.650000000001</v>
      </c>
      <c r="G78" s="39">
        <f>'Data Entry Main Plaza'!O78</f>
        <v>27268.79</v>
      </c>
      <c r="H78" s="39">
        <f>'Data Entry Main Plaza'!R78</f>
        <v>26478.742999999999</v>
      </c>
      <c r="I78" s="39">
        <f>'Data Entry Main Plaza'!U78</f>
        <v>26674.652699999999</v>
      </c>
      <c r="J78" s="39">
        <f>'Data Entry Main Plaza'!X78</f>
        <v>22597.2156</v>
      </c>
      <c r="K78" s="39">
        <f>'Data Entry Main Plaza'!AA78</f>
        <v>22790.5435</v>
      </c>
      <c r="L78" s="39">
        <f>'Data Entry Main Plaza'!AD78</f>
        <v>28762.492399999999</v>
      </c>
      <c r="M78" s="39">
        <f>'Data Entry Main Plaza'!AG78</f>
        <v>32473.267500000002</v>
      </c>
      <c r="N78" s="39">
        <f>'Data Entry Main Plaza'!AJ78</f>
        <v>28940.831099999999</v>
      </c>
      <c r="O78" s="39">
        <f>'Data Entry Main Plaza'!AM78</f>
        <v>24990.3076</v>
      </c>
    </row>
    <row r="79" spans="2:15" ht="14" x14ac:dyDescent="0.15">
      <c r="B79" s="42" t="s">
        <v>41</v>
      </c>
      <c r="C79" s="39">
        <f>'Data Entry Main Plaza'!C79</f>
        <v>-416619.24109999998</v>
      </c>
      <c r="D79" s="39">
        <f>'Data Entry Main Plaza'!F79</f>
        <v>-24381.7</v>
      </c>
      <c r="E79" s="39">
        <f>'Data Entry Main Plaza'!I79</f>
        <v>-29267.67</v>
      </c>
      <c r="F79" s="39">
        <f>'Data Entry Main Plaza'!L79</f>
        <v>-27503.26</v>
      </c>
      <c r="G79" s="39">
        <f>'Data Entry Main Plaza'!O79</f>
        <v>-33659.339999999997</v>
      </c>
      <c r="H79" s="39">
        <f>'Data Entry Main Plaza'!R79</f>
        <v>-36723.016900000002</v>
      </c>
      <c r="I79" s="39">
        <f>'Data Entry Main Plaza'!U79</f>
        <v>-37311.036500000002</v>
      </c>
      <c r="J79" s="39">
        <f>'Data Entry Main Plaza'!X79</f>
        <v>-31967.3056</v>
      </c>
      <c r="K79" s="39">
        <f>'Data Entry Main Plaza'!AA79</f>
        <v>-32333.705099999999</v>
      </c>
      <c r="L79" s="39">
        <f>'Data Entry Main Plaza'!AD79</f>
        <v>-40542.335800000001</v>
      </c>
      <c r="M79" s="39">
        <f>'Data Entry Main Plaza'!AG79</f>
        <v>-46009.2235</v>
      </c>
      <c r="N79" s="39">
        <f>'Data Entry Main Plaza'!AJ79</f>
        <v>-41286.120799999997</v>
      </c>
      <c r="O79" s="39">
        <f>'Data Entry Main Plaza'!AM79</f>
        <v>-35634.526899999997</v>
      </c>
    </row>
    <row r="80" spans="2:15" x14ac:dyDescent="0.15">
      <c r="B80" s="40"/>
      <c r="C80" s="39">
        <f>'Data Entry Main Plaza'!C80</f>
        <v>0</v>
      </c>
      <c r="D80" s="39">
        <f>'Data Entry Main Plaza'!F80</f>
        <v>0</v>
      </c>
      <c r="E80" s="39">
        <f>'Data Entry Main Plaza'!I80</f>
        <v>0</v>
      </c>
      <c r="F80" s="39">
        <f>'Data Entry Main Plaza'!L80</f>
        <v>0</v>
      </c>
      <c r="G80" s="39">
        <f>'Data Entry Main Plaza'!O80</f>
        <v>0</v>
      </c>
      <c r="H80" s="39">
        <f>'Data Entry Main Plaza'!R80</f>
        <v>0</v>
      </c>
      <c r="I80" s="39">
        <f>'Data Entry Main Plaza'!U80</f>
        <v>0</v>
      </c>
      <c r="J80" s="39">
        <f>'Data Entry Main Plaza'!X80</f>
        <v>0</v>
      </c>
      <c r="K80" s="39">
        <f>'Data Entry Main Plaza'!AA80</f>
        <v>0</v>
      </c>
      <c r="L80" s="39">
        <f>'Data Entry Main Plaza'!AD80</f>
        <v>0</v>
      </c>
      <c r="M80" s="39">
        <f>'Data Entry Main Plaza'!AG80</f>
        <v>0</v>
      </c>
      <c r="N80" s="39">
        <f>'Data Entry Main Plaza'!AJ80</f>
        <v>0</v>
      </c>
      <c r="O80" s="39">
        <f>'Data Entry Main Plaza'!AM80</f>
        <v>0</v>
      </c>
    </row>
    <row r="81" spans="2:15" ht="14" x14ac:dyDescent="0.15">
      <c r="B81" s="44" t="s">
        <v>58</v>
      </c>
      <c r="C81" s="39">
        <f>'Data Entry Main Plaza'!C81</f>
        <v>0</v>
      </c>
      <c r="D81" s="39">
        <f>'Data Entry Main Plaza'!F81</f>
        <v>0</v>
      </c>
      <c r="E81" s="39">
        <f>'Data Entry Main Plaza'!I81</f>
        <v>0</v>
      </c>
      <c r="F81" s="39">
        <f>'Data Entry Main Plaza'!L81</f>
        <v>0</v>
      </c>
      <c r="G81" s="39">
        <f>'Data Entry Main Plaza'!O81</f>
        <v>0</v>
      </c>
      <c r="H81" s="39">
        <f>'Data Entry Main Plaza'!R81</f>
        <v>0</v>
      </c>
      <c r="I81" s="39">
        <f>'Data Entry Main Plaza'!U81</f>
        <v>0</v>
      </c>
      <c r="J81" s="39">
        <f>'Data Entry Main Plaza'!X81</f>
        <v>0</v>
      </c>
      <c r="K81" s="39">
        <f>'Data Entry Main Plaza'!AA81</f>
        <v>0</v>
      </c>
      <c r="L81" s="39">
        <f>'Data Entry Main Plaza'!AD81</f>
        <v>0</v>
      </c>
      <c r="M81" s="39">
        <f>'Data Entry Main Plaza'!AG81</f>
        <v>0</v>
      </c>
      <c r="N81" s="39">
        <f>'Data Entry Main Plaza'!AJ81</f>
        <v>0</v>
      </c>
      <c r="O81" s="39">
        <f>'Data Entry Main Plaza'!AM81</f>
        <v>0</v>
      </c>
    </row>
    <row r="82" spans="2:15" ht="14" x14ac:dyDescent="0.15">
      <c r="B82" s="38" t="s">
        <v>22</v>
      </c>
      <c r="C82" s="39">
        <f>'Data Entry Main Plaza'!C82</f>
        <v>142679.3144</v>
      </c>
      <c r="D82" s="39">
        <f>'Data Entry Main Plaza'!F82</f>
        <v>12538.98</v>
      </c>
      <c r="E82" s="39">
        <f>'Data Entry Main Plaza'!I82</f>
        <v>8930.11</v>
      </c>
      <c r="F82" s="39">
        <f>'Data Entry Main Plaza'!L82</f>
        <v>14401</v>
      </c>
      <c r="G82" s="39">
        <f>'Data Entry Main Plaza'!O82</f>
        <v>13000.97</v>
      </c>
      <c r="H82" s="39">
        <f>'Data Entry Main Plaza'!R82</f>
        <v>11004.407300000001</v>
      </c>
      <c r="I82" s="39">
        <f>'Data Entry Main Plaza'!U82</f>
        <v>13240.2691</v>
      </c>
      <c r="J82" s="39">
        <f>'Data Entry Main Plaza'!X82</f>
        <v>10413.1666</v>
      </c>
      <c r="K82" s="39">
        <f>'Data Entry Main Plaza'!AA82</f>
        <v>12770.3261</v>
      </c>
      <c r="L82" s="39">
        <f>'Data Entry Main Plaza'!AD82</f>
        <v>13097.6288</v>
      </c>
      <c r="M82" s="39">
        <f>'Data Entry Main Plaza'!AG82</f>
        <v>10934.4696</v>
      </c>
      <c r="N82" s="39">
        <f>'Data Entry Main Plaza'!AJ82</f>
        <v>10922.33</v>
      </c>
      <c r="O82" s="39">
        <f>'Data Entry Main Plaza'!AM82</f>
        <v>11425.6569</v>
      </c>
    </row>
    <row r="83" spans="2:15" ht="14" x14ac:dyDescent="0.15">
      <c r="B83" s="38" t="s">
        <v>40</v>
      </c>
      <c r="C83" s="39">
        <f>'Data Entry Main Plaza'!C83</f>
        <v>280017</v>
      </c>
      <c r="D83" s="39">
        <f>'Data Entry Main Plaza'!F83</f>
        <v>29306.17</v>
      </c>
      <c r="E83" s="39">
        <f>'Data Entry Main Plaza'!I83</f>
        <v>15952.19</v>
      </c>
      <c r="F83" s="39">
        <f>'Data Entry Main Plaza'!L83</f>
        <v>24625.98</v>
      </c>
      <c r="G83" s="39">
        <f>'Data Entry Main Plaza'!O83</f>
        <v>15599.66</v>
      </c>
      <c r="H83" s="39">
        <f>'Data Entry Main Plaza'!R83</f>
        <v>20672</v>
      </c>
      <c r="I83" s="39">
        <f>'Data Entry Main Plaza'!U83</f>
        <v>18500</v>
      </c>
      <c r="J83" s="39">
        <f>'Data Entry Main Plaza'!X83</f>
        <v>17219</v>
      </c>
      <c r="K83" s="39">
        <f>'Data Entry Main Plaza'!AA83</f>
        <v>14622</v>
      </c>
      <c r="L83" s="39">
        <f>'Data Entry Main Plaza'!AD83</f>
        <v>39896</v>
      </c>
      <c r="M83" s="39">
        <f>'Data Entry Main Plaza'!AG83</f>
        <v>38650</v>
      </c>
      <c r="N83" s="39">
        <f>'Data Entry Main Plaza'!AJ83</f>
        <v>13572</v>
      </c>
      <c r="O83" s="39">
        <f>'Data Entry Main Plaza'!AM83</f>
        <v>31402</v>
      </c>
    </row>
    <row r="84" spans="2:15" ht="14" x14ac:dyDescent="0.15">
      <c r="B84" s="42" t="s">
        <v>41</v>
      </c>
      <c r="C84" s="39">
        <f>'Data Entry Main Plaza'!C84</f>
        <v>-422696.31439999997</v>
      </c>
      <c r="D84" s="39">
        <f>'Data Entry Main Plaza'!F84</f>
        <v>-41845.15</v>
      </c>
      <c r="E84" s="39">
        <f>'Data Entry Main Plaza'!I84</f>
        <v>-24882.3</v>
      </c>
      <c r="F84" s="39">
        <f>'Data Entry Main Plaza'!L84</f>
        <v>-39026.980000000003</v>
      </c>
      <c r="G84" s="39">
        <f>'Data Entry Main Plaza'!O84</f>
        <v>-28600.63</v>
      </c>
      <c r="H84" s="39">
        <f>'Data Entry Main Plaza'!R84</f>
        <v>-31676.407299999999</v>
      </c>
      <c r="I84" s="39">
        <f>'Data Entry Main Plaza'!U84</f>
        <v>-31740.269100000001</v>
      </c>
      <c r="J84" s="39">
        <f>'Data Entry Main Plaza'!X84</f>
        <v>-27632.1666</v>
      </c>
      <c r="K84" s="39">
        <f>'Data Entry Main Plaza'!AA84</f>
        <v>-27392.326099999998</v>
      </c>
      <c r="L84" s="39">
        <f>'Data Entry Main Plaza'!AD84</f>
        <v>-52993.628799999999</v>
      </c>
      <c r="M84" s="39">
        <f>'Data Entry Main Plaza'!AG84</f>
        <v>-49584.469599999997</v>
      </c>
      <c r="N84" s="39">
        <f>'Data Entry Main Plaza'!AJ84</f>
        <v>-24494.33</v>
      </c>
      <c r="O84" s="39">
        <f>'Data Entry Main Plaza'!AM84</f>
        <v>-42827.656900000002</v>
      </c>
    </row>
    <row r="85" spans="2:15" x14ac:dyDescent="0.15">
      <c r="B85" s="40"/>
      <c r="C85" s="39">
        <f>'Data Entry Main Plaza'!C85</f>
        <v>0</v>
      </c>
      <c r="D85" s="39">
        <f>'Data Entry Main Plaza'!F85</f>
        <v>0</v>
      </c>
      <c r="E85" s="39">
        <f>'Data Entry Main Plaza'!I85</f>
        <v>0</v>
      </c>
      <c r="F85" s="39">
        <f>'Data Entry Main Plaza'!L85</f>
        <v>0</v>
      </c>
      <c r="G85" s="39">
        <f>'Data Entry Main Plaza'!O85</f>
        <v>0</v>
      </c>
      <c r="H85" s="39">
        <f>'Data Entry Main Plaza'!R85</f>
        <v>0</v>
      </c>
      <c r="I85" s="39">
        <f>'Data Entry Main Plaza'!U85</f>
        <v>0</v>
      </c>
      <c r="J85" s="39">
        <f>'Data Entry Main Plaza'!X85</f>
        <v>0</v>
      </c>
      <c r="K85" s="39">
        <f>'Data Entry Main Plaza'!AA85</f>
        <v>0</v>
      </c>
      <c r="L85" s="39">
        <f>'Data Entry Main Plaza'!AD85</f>
        <v>0</v>
      </c>
      <c r="M85" s="39">
        <f>'Data Entry Main Plaza'!AG85</f>
        <v>0</v>
      </c>
      <c r="N85" s="39">
        <f>'Data Entry Main Plaza'!AJ85</f>
        <v>0</v>
      </c>
      <c r="O85" s="39">
        <f>'Data Entry Main Plaza'!AM85</f>
        <v>0</v>
      </c>
    </row>
    <row r="86" spans="2:15" ht="14" x14ac:dyDescent="0.15">
      <c r="B86" s="44" t="s">
        <v>59</v>
      </c>
      <c r="C86" s="39">
        <f>'Data Entry Main Plaza'!C86</f>
        <v>0</v>
      </c>
      <c r="D86" s="39">
        <f>'Data Entry Main Plaza'!F86</f>
        <v>0</v>
      </c>
      <c r="E86" s="39">
        <f>'Data Entry Main Plaza'!I86</f>
        <v>0</v>
      </c>
      <c r="F86" s="39">
        <f>'Data Entry Main Plaza'!L86</f>
        <v>0</v>
      </c>
      <c r="G86" s="39">
        <f>'Data Entry Main Plaza'!O86</f>
        <v>0</v>
      </c>
      <c r="H86" s="39">
        <f>'Data Entry Main Plaza'!R86</f>
        <v>0</v>
      </c>
      <c r="I86" s="39">
        <f>'Data Entry Main Plaza'!U86</f>
        <v>0</v>
      </c>
      <c r="J86" s="39">
        <f>'Data Entry Main Plaza'!X86</f>
        <v>0</v>
      </c>
      <c r="K86" s="39">
        <f>'Data Entry Main Plaza'!AA86</f>
        <v>0</v>
      </c>
      <c r="L86" s="39">
        <f>'Data Entry Main Plaza'!AD86</f>
        <v>0</v>
      </c>
      <c r="M86" s="39">
        <f>'Data Entry Main Plaza'!AG86</f>
        <v>0</v>
      </c>
      <c r="N86" s="39">
        <f>'Data Entry Main Plaza'!AJ86</f>
        <v>0</v>
      </c>
      <c r="O86" s="39">
        <f>'Data Entry Main Plaza'!AM86</f>
        <v>0</v>
      </c>
    </row>
    <row r="87" spans="2:15" ht="14" x14ac:dyDescent="0.15">
      <c r="B87" s="42" t="s">
        <v>41</v>
      </c>
      <c r="C87" s="39">
        <f>'Data Entry Main Plaza'!C87</f>
        <v>-439656.93609999999</v>
      </c>
      <c r="D87" s="39">
        <f>'Data Entry Main Plaza'!F87</f>
        <v>-46864.93</v>
      </c>
      <c r="E87" s="39">
        <f>'Data Entry Main Plaza'!I87</f>
        <v>-40337.910000000003</v>
      </c>
      <c r="F87" s="39">
        <f>'Data Entry Main Plaza'!L87</f>
        <v>-37348.69</v>
      </c>
      <c r="G87" s="39">
        <f>'Data Entry Main Plaza'!O87</f>
        <v>-29956.11</v>
      </c>
      <c r="H87" s="39">
        <f>'Data Entry Main Plaza'!R87</f>
        <v>-28469.844700000001</v>
      </c>
      <c r="I87" s="39">
        <f>'Data Entry Main Plaza'!U87</f>
        <v>-31049.722099999999</v>
      </c>
      <c r="J87" s="39">
        <f>'Data Entry Main Plaza'!X87</f>
        <v>-29558.2621</v>
      </c>
      <c r="K87" s="39">
        <f>'Data Entry Main Plaza'!AA87</f>
        <v>-33253.984299999996</v>
      </c>
      <c r="L87" s="39">
        <f>'Data Entry Main Plaza'!AD87</f>
        <v>-34265.891199999998</v>
      </c>
      <c r="M87" s="39">
        <f>'Data Entry Main Plaza'!AG87</f>
        <v>-37435.563000000002</v>
      </c>
      <c r="N87" s="39">
        <f>'Data Entry Main Plaza'!AJ87</f>
        <v>-47167.028700000003</v>
      </c>
      <c r="O87" s="39">
        <f>'Data Entry Main Plaza'!AM87</f>
        <v>-43949</v>
      </c>
    </row>
    <row r="88" spans="2:15" x14ac:dyDescent="0.15">
      <c r="B88" s="40"/>
      <c r="C88" s="39">
        <f>'Data Entry Main Plaza'!C88</f>
        <v>0</v>
      </c>
      <c r="D88" s="39">
        <f>'Data Entry Main Plaza'!F88</f>
        <v>0</v>
      </c>
      <c r="E88" s="39">
        <f>'Data Entry Main Plaza'!I88</f>
        <v>0</v>
      </c>
      <c r="F88" s="39">
        <f>'Data Entry Main Plaza'!L88</f>
        <v>0</v>
      </c>
      <c r="G88" s="39">
        <f>'Data Entry Main Plaza'!O88</f>
        <v>0</v>
      </c>
      <c r="H88" s="39">
        <f>'Data Entry Main Plaza'!R88</f>
        <v>0</v>
      </c>
      <c r="I88" s="39">
        <f>'Data Entry Main Plaza'!U88</f>
        <v>0</v>
      </c>
      <c r="J88" s="39">
        <f>'Data Entry Main Plaza'!X88</f>
        <v>0</v>
      </c>
      <c r="K88" s="39">
        <f>'Data Entry Main Plaza'!AA88</f>
        <v>0</v>
      </c>
      <c r="L88" s="39">
        <f>'Data Entry Main Plaza'!AD88</f>
        <v>0</v>
      </c>
      <c r="M88" s="39">
        <f>'Data Entry Main Plaza'!AG88</f>
        <v>0</v>
      </c>
      <c r="N88" s="39">
        <f>'Data Entry Main Plaza'!AJ88</f>
        <v>0</v>
      </c>
      <c r="O88" s="39">
        <f>'Data Entry Main Plaza'!AM88</f>
        <v>0</v>
      </c>
    </row>
    <row r="89" spans="2:15" ht="14" x14ac:dyDescent="0.15">
      <c r="B89" s="42" t="s">
        <v>23</v>
      </c>
      <c r="C89" s="39">
        <f>'Data Entry Main Plaza'!C89</f>
        <v>1052051.6771</v>
      </c>
      <c r="D89" s="39">
        <f>'Data Entry Main Plaza'!F89</f>
        <v>-79523.41</v>
      </c>
      <c r="E89" s="39">
        <f>'Data Entry Main Plaza'!I89</f>
        <v>30565.99</v>
      </c>
      <c r="F89" s="39">
        <f>'Data Entry Main Plaza'!L89</f>
        <v>119388.33</v>
      </c>
      <c r="G89" s="39">
        <f>'Data Entry Main Plaza'!O89</f>
        <v>-74111.91</v>
      </c>
      <c r="H89" s="39">
        <f>'Data Entry Main Plaza'!R89</f>
        <v>71248.778399999996</v>
      </c>
      <c r="I89" s="39">
        <f>'Data Entry Main Plaza'!U89</f>
        <v>120805.1906</v>
      </c>
      <c r="J89" s="39">
        <f>'Data Entry Main Plaza'!X89</f>
        <v>55364.2549</v>
      </c>
      <c r="K89" s="39">
        <f>'Data Entry Main Plaza'!AA89</f>
        <v>76320.442800000004</v>
      </c>
      <c r="L89" s="39">
        <f>'Data Entry Main Plaza'!AD89</f>
        <v>156363.18950000001</v>
      </c>
      <c r="M89" s="39">
        <f>'Data Entry Main Plaza'!AG89</f>
        <v>259755.4461</v>
      </c>
      <c r="N89" s="39">
        <f>'Data Entry Main Plaza'!AJ89</f>
        <v>204418.32879999999</v>
      </c>
      <c r="O89" s="39">
        <f>'Data Entry Main Plaza'!AM89</f>
        <v>111457.046</v>
      </c>
    </row>
    <row r="90" spans="2:15" x14ac:dyDescent="0.15">
      <c r="B90" s="40"/>
      <c r="C90" s="39">
        <f>'Data Entry Main Plaza'!C90</f>
        <v>0</v>
      </c>
      <c r="D90" s="39">
        <f>'Data Entry Main Plaza'!F90</f>
        <v>0</v>
      </c>
      <c r="E90" s="39">
        <f>'Data Entry Main Plaza'!I90</f>
        <v>0</v>
      </c>
      <c r="F90" s="39">
        <f>'Data Entry Main Plaza'!L90</f>
        <v>0</v>
      </c>
      <c r="G90" s="39">
        <f>'Data Entry Main Plaza'!O90</f>
        <v>0</v>
      </c>
      <c r="H90" s="39">
        <f>'Data Entry Main Plaza'!R90</f>
        <v>0</v>
      </c>
      <c r="I90" s="39">
        <f>'Data Entry Main Plaza'!U90</f>
        <v>0</v>
      </c>
      <c r="J90" s="39">
        <f>'Data Entry Main Plaza'!X90</f>
        <v>0</v>
      </c>
      <c r="K90" s="39">
        <f>'Data Entry Main Plaza'!AA90</f>
        <v>0</v>
      </c>
      <c r="L90" s="39">
        <f>'Data Entry Main Plaza'!AD90</f>
        <v>0</v>
      </c>
      <c r="M90" s="39">
        <f>'Data Entry Main Plaza'!AG90</f>
        <v>0</v>
      </c>
      <c r="N90" s="39">
        <f>'Data Entry Main Plaza'!AJ90</f>
        <v>0</v>
      </c>
      <c r="O90" s="39">
        <f>'Data Entry Main Plaza'!AM90</f>
        <v>0</v>
      </c>
    </row>
    <row r="91" spans="2:15" ht="14" x14ac:dyDescent="0.15">
      <c r="B91" s="42" t="s">
        <v>60</v>
      </c>
      <c r="C91" s="39">
        <f>'Data Entry Main Plaza'!C91</f>
        <v>0</v>
      </c>
      <c r="D91" s="39">
        <f>'Data Entry Main Plaza'!F91</f>
        <v>0</v>
      </c>
      <c r="E91" s="39">
        <f>'Data Entry Main Plaza'!I91</f>
        <v>0</v>
      </c>
      <c r="F91" s="39">
        <f>'Data Entry Main Plaza'!L91</f>
        <v>0</v>
      </c>
      <c r="G91" s="39">
        <f>'Data Entry Main Plaza'!O91</f>
        <v>0</v>
      </c>
      <c r="H91" s="39">
        <f>'Data Entry Main Plaza'!R91</f>
        <v>0</v>
      </c>
      <c r="I91" s="39">
        <f>'Data Entry Main Plaza'!U91</f>
        <v>0</v>
      </c>
      <c r="J91" s="39">
        <f>'Data Entry Main Plaza'!X91</f>
        <v>0</v>
      </c>
      <c r="K91" s="39">
        <f>'Data Entry Main Plaza'!AA91</f>
        <v>0</v>
      </c>
      <c r="L91" s="39">
        <f>'Data Entry Main Plaza'!AD91</f>
        <v>0</v>
      </c>
      <c r="M91" s="39">
        <f>'Data Entry Main Plaza'!AG91</f>
        <v>0</v>
      </c>
      <c r="N91" s="39">
        <f>'Data Entry Main Plaza'!AJ91</f>
        <v>0</v>
      </c>
      <c r="O91" s="39">
        <f>'Data Entry Main Plaza'!AM91</f>
        <v>0</v>
      </c>
    </row>
    <row r="92" spans="2:15" ht="14" x14ac:dyDescent="0.15">
      <c r="B92" s="38" t="s">
        <v>61</v>
      </c>
      <c r="C92" s="39">
        <f>'Data Entry Main Plaza'!C92</f>
        <v>0</v>
      </c>
      <c r="D92" s="39">
        <f>'Data Entry Main Plaza'!F92</f>
        <v>0</v>
      </c>
      <c r="E92" s="39">
        <f>'Data Entry Main Plaza'!I92</f>
        <v>0</v>
      </c>
      <c r="F92" s="39">
        <f>'Data Entry Main Plaza'!L92</f>
        <v>0</v>
      </c>
      <c r="G92" s="39">
        <f>'Data Entry Main Plaza'!O92</f>
        <v>0</v>
      </c>
      <c r="H92" s="39">
        <f>'Data Entry Main Plaza'!R92</f>
        <v>0</v>
      </c>
      <c r="I92" s="39">
        <f>'Data Entry Main Plaza'!U92</f>
        <v>0</v>
      </c>
      <c r="J92" s="39">
        <f>'Data Entry Main Plaza'!X92</f>
        <v>0</v>
      </c>
      <c r="K92" s="39">
        <f>'Data Entry Main Plaza'!AA92</f>
        <v>0</v>
      </c>
      <c r="L92" s="39">
        <f>'Data Entry Main Plaza'!AD92</f>
        <v>0</v>
      </c>
      <c r="M92" s="39">
        <f>'Data Entry Main Plaza'!AG92</f>
        <v>0</v>
      </c>
      <c r="N92" s="39">
        <f>'Data Entry Main Plaza'!AJ92</f>
        <v>0</v>
      </c>
      <c r="O92" s="39">
        <f>'Data Entry Main Plaza'!AM92</f>
        <v>0</v>
      </c>
    </row>
    <row r="93" spans="2:15" ht="14" x14ac:dyDescent="0.15">
      <c r="B93" s="38" t="s">
        <v>62</v>
      </c>
      <c r="C93" s="39">
        <f>'Data Entry Main Plaza'!C93</f>
        <v>0</v>
      </c>
      <c r="D93" s="39">
        <f>'Data Entry Main Plaza'!F93</f>
        <v>0</v>
      </c>
      <c r="E93" s="39">
        <f>'Data Entry Main Plaza'!I93</f>
        <v>0</v>
      </c>
      <c r="F93" s="39">
        <f>'Data Entry Main Plaza'!L93</f>
        <v>0</v>
      </c>
      <c r="G93" s="39">
        <f>'Data Entry Main Plaza'!O93</f>
        <v>0</v>
      </c>
      <c r="H93" s="39">
        <f>'Data Entry Main Plaza'!R93</f>
        <v>0</v>
      </c>
      <c r="I93" s="39">
        <f>'Data Entry Main Plaza'!U93</f>
        <v>0</v>
      </c>
      <c r="J93" s="39">
        <f>'Data Entry Main Plaza'!X93</f>
        <v>0</v>
      </c>
      <c r="K93" s="39">
        <f>'Data Entry Main Plaza'!AA93</f>
        <v>0</v>
      </c>
      <c r="L93" s="39">
        <f>'Data Entry Main Plaza'!AD93</f>
        <v>0</v>
      </c>
      <c r="M93" s="39">
        <f>'Data Entry Main Plaza'!AG93</f>
        <v>0</v>
      </c>
      <c r="N93" s="39">
        <f>'Data Entry Main Plaza'!AJ93</f>
        <v>0</v>
      </c>
      <c r="O93" s="39">
        <f>'Data Entry Main Plaza'!AM93</f>
        <v>0</v>
      </c>
    </row>
    <row r="94" spans="2:15" ht="14" x14ac:dyDescent="0.15">
      <c r="B94" s="38" t="s">
        <v>63</v>
      </c>
      <c r="C94" s="39">
        <f>'Data Entry Main Plaza'!C94</f>
        <v>0</v>
      </c>
      <c r="D94" s="39">
        <f>'Data Entry Main Plaza'!F94</f>
        <v>0</v>
      </c>
      <c r="E94" s="39">
        <f>'Data Entry Main Plaza'!I94</f>
        <v>0</v>
      </c>
      <c r="F94" s="39">
        <f>'Data Entry Main Plaza'!L94</f>
        <v>0</v>
      </c>
      <c r="G94" s="39">
        <f>'Data Entry Main Plaza'!O94</f>
        <v>0</v>
      </c>
      <c r="H94" s="39">
        <f>'Data Entry Main Plaza'!R94</f>
        <v>0</v>
      </c>
      <c r="I94" s="39">
        <f>'Data Entry Main Plaza'!U94</f>
        <v>0</v>
      </c>
      <c r="J94" s="39">
        <f>'Data Entry Main Plaza'!X94</f>
        <v>0</v>
      </c>
      <c r="K94" s="39">
        <f>'Data Entry Main Plaza'!AA94</f>
        <v>0</v>
      </c>
      <c r="L94" s="39">
        <f>'Data Entry Main Plaza'!AD94</f>
        <v>0</v>
      </c>
      <c r="M94" s="39">
        <f>'Data Entry Main Plaza'!AG94</f>
        <v>0</v>
      </c>
      <c r="N94" s="39">
        <f>'Data Entry Main Plaza'!AJ94</f>
        <v>0</v>
      </c>
      <c r="O94" s="39">
        <f>'Data Entry Main Plaza'!AM94</f>
        <v>0</v>
      </c>
    </row>
    <row r="95" spans="2:15" ht="14" x14ac:dyDescent="0.15">
      <c r="B95" s="38" t="s">
        <v>64</v>
      </c>
      <c r="C95" s="39">
        <f>'Data Entry Main Plaza'!C95</f>
        <v>0</v>
      </c>
      <c r="D95" s="39">
        <f>'Data Entry Main Plaza'!F95</f>
        <v>0</v>
      </c>
      <c r="E95" s="39">
        <f>'Data Entry Main Plaza'!I95</f>
        <v>0</v>
      </c>
      <c r="F95" s="39">
        <f>'Data Entry Main Plaza'!L95</f>
        <v>0</v>
      </c>
      <c r="G95" s="39">
        <f>'Data Entry Main Plaza'!O95</f>
        <v>0</v>
      </c>
      <c r="H95" s="39">
        <f>'Data Entry Main Plaza'!R95</f>
        <v>0</v>
      </c>
      <c r="I95" s="39">
        <f>'Data Entry Main Plaza'!U95</f>
        <v>0</v>
      </c>
      <c r="J95" s="39">
        <f>'Data Entry Main Plaza'!X95</f>
        <v>0</v>
      </c>
      <c r="K95" s="39">
        <f>'Data Entry Main Plaza'!AA95</f>
        <v>0</v>
      </c>
      <c r="L95" s="39">
        <f>'Data Entry Main Plaza'!AD95</f>
        <v>0</v>
      </c>
      <c r="M95" s="39">
        <f>'Data Entry Main Plaza'!AG95</f>
        <v>0</v>
      </c>
      <c r="N95" s="39">
        <f>'Data Entry Main Plaza'!AJ95</f>
        <v>0</v>
      </c>
      <c r="O95" s="39">
        <f>'Data Entry Main Plaza'!AM95</f>
        <v>0</v>
      </c>
    </row>
    <row r="96" spans="2:15" x14ac:dyDescent="0.15">
      <c r="B96" s="40"/>
      <c r="C96" s="39">
        <f>'Data Entry Main Plaza'!C96</f>
        <v>0</v>
      </c>
      <c r="D96" s="39">
        <f>'Data Entry Main Plaza'!F96</f>
        <v>0</v>
      </c>
      <c r="E96" s="39">
        <f>'Data Entry Main Plaza'!I96</f>
        <v>0</v>
      </c>
      <c r="F96" s="39">
        <f>'Data Entry Main Plaza'!L96</f>
        <v>0</v>
      </c>
      <c r="G96" s="39">
        <f>'Data Entry Main Plaza'!O96</f>
        <v>0</v>
      </c>
      <c r="H96" s="39">
        <f>'Data Entry Main Plaza'!R96</f>
        <v>0</v>
      </c>
      <c r="I96" s="39">
        <f>'Data Entry Main Plaza'!U96</f>
        <v>0</v>
      </c>
      <c r="J96" s="39">
        <f>'Data Entry Main Plaza'!X96</f>
        <v>0</v>
      </c>
      <c r="K96" s="39">
        <f>'Data Entry Main Plaza'!AA96</f>
        <v>0</v>
      </c>
      <c r="L96" s="39">
        <f>'Data Entry Main Plaza'!AD96</f>
        <v>0</v>
      </c>
      <c r="M96" s="39">
        <f>'Data Entry Main Plaza'!AG96</f>
        <v>0</v>
      </c>
      <c r="N96" s="39">
        <f>'Data Entry Main Plaza'!AJ96</f>
        <v>0</v>
      </c>
      <c r="O96" s="39">
        <f>'Data Entry Main Plaza'!AM96</f>
        <v>0</v>
      </c>
    </row>
    <row r="97" spans="2:15" ht="14" x14ac:dyDescent="0.15">
      <c r="B97" s="42" t="s">
        <v>65</v>
      </c>
      <c r="C97" s="39">
        <f>'Data Entry Main Plaza'!C97</f>
        <v>0</v>
      </c>
      <c r="D97" s="39">
        <f>'Data Entry Main Plaza'!F97</f>
        <v>0</v>
      </c>
      <c r="E97" s="39">
        <f>'Data Entry Main Plaza'!I97</f>
        <v>0</v>
      </c>
      <c r="F97" s="39">
        <f>'Data Entry Main Plaza'!L97</f>
        <v>0</v>
      </c>
      <c r="G97" s="39">
        <f>'Data Entry Main Plaza'!O97</f>
        <v>0</v>
      </c>
      <c r="H97" s="39">
        <f>'Data Entry Main Plaza'!R97</f>
        <v>0</v>
      </c>
      <c r="I97" s="39">
        <f>'Data Entry Main Plaza'!U97</f>
        <v>0</v>
      </c>
      <c r="J97" s="39">
        <f>'Data Entry Main Plaza'!X97</f>
        <v>0</v>
      </c>
      <c r="K97" s="39">
        <f>'Data Entry Main Plaza'!AA97</f>
        <v>0</v>
      </c>
      <c r="L97" s="39">
        <f>'Data Entry Main Plaza'!AD97</f>
        <v>0</v>
      </c>
      <c r="M97" s="39">
        <f>'Data Entry Main Plaza'!AG97</f>
        <v>0</v>
      </c>
      <c r="N97" s="39">
        <f>'Data Entry Main Plaza'!AJ97</f>
        <v>0</v>
      </c>
      <c r="O97" s="39">
        <f>'Data Entry Main Plaza'!AM97</f>
        <v>0</v>
      </c>
    </row>
    <row r="98" spans="2:15" ht="14" x14ac:dyDescent="0.15">
      <c r="B98" s="38" t="s">
        <v>66</v>
      </c>
      <c r="C98" s="39">
        <f>'Data Entry Main Plaza'!C98</f>
        <v>0</v>
      </c>
      <c r="D98" s="39">
        <f>'Data Entry Main Plaza'!F98</f>
        <v>0</v>
      </c>
      <c r="E98" s="39">
        <f>'Data Entry Main Plaza'!I98</f>
        <v>0</v>
      </c>
      <c r="F98" s="39">
        <f>'Data Entry Main Plaza'!L98</f>
        <v>0</v>
      </c>
      <c r="G98" s="39">
        <f>'Data Entry Main Plaza'!O98</f>
        <v>0</v>
      </c>
      <c r="H98" s="39">
        <f>'Data Entry Main Plaza'!R98</f>
        <v>0</v>
      </c>
      <c r="I98" s="39">
        <f>'Data Entry Main Plaza'!U98</f>
        <v>0</v>
      </c>
      <c r="J98" s="39">
        <f>'Data Entry Main Plaza'!X98</f>
        <v>0</v>
      </c>
      <c r="K98" s="39">
        <f>'Data Entry Main Plaza'!AA98</f>
        <v>0</v>
      </c>
      <c r="L98" s="39">
        <f>'Data Entry Main Plaza'!AD98</f>
        <v>0</v>
      </c>
      <c r="M98" s="39">
        <f>'Data Entry Main Plaza'!AG98</f>
        <v>0</v>
      </c>
      <c r="N98" s="39">
        <f>'Data Entry Main Plaza'!AJ98</f>
        <v>0</v>
      </c>
      <c r="O98" s="39">
        <f>'Data Entry Main Plaza'!AM98</f>
        <v>0</v>
      </c>
    </row>
    <row r="99" spans="2:15" ht="14" x14ac:dyDescent="0.15">
      <c r="B99" s="38" t="s">
        <v>67</v>
      </c>
      <c r="C99" s="39">
        <f>'Data Entry Main Plaza'!C99</f>
        <v>0</v>
      </c>
      <c r="D99" s="39">
        <f>'Data Entry Main Plaza'!F99</f>
        <v>0</v>
      </c>
      <c r="E99" s="39">
        <f>'Data Entry Main Plaza'!I99</f>
        <v>0</v>
      </c>
      <c r="F99" s="39">
        <f>'Data Entry Main Plaza'!L99</f>
        <v>0</v>
      </c>
      <c r="G99" s="39">
        <f>'Data Entry Main Plaza'!O99</f>
        <v>0</v>
      </c>
      <c r="H99" s="39">
        <f>'Data Entry Main Plaza'!R99</f>
        <v>0</v>
      </c>
      <c r="I99" s="39">
        <f>'Data Entry Main Plaza'!U99</f>
        <v>0</v>
      </c>
      <c r="J99" s="39">
        <f>'Data Entry Main Plaza'!X99</f>
        <v>0</v>
      </c>
      <c r="K99" s="39">
        <f>'Data Entry Main Plaza'!AA99</f>
        <v>0</v>
      </c>
      <c r="L99" s="39">
        <f>'Data Entry Main Plaza'!AD99</f>
        <v>0</v>
      </c>
      <c r="M99" s="39">
        <f>'Data Entry Main Plaza'!AG99</f>
        <v>0</v>
      </c>
      <c r="N99" s="39">
        <f>'Data Entry Main Plaza'!AJ99</f>
        <v>0</v>
      </c>
      <c r="O99" s="39">
        <f>'Data Entry Main Plaza'!AM99</f>
        <v>0</v>
      </c>
    </row>
    <row r="100" spans="2:15" x14ac:dyDescent="0.15">
      <c r="B100" s="40"/>
      <c r="C100" s="39">
        <f>'Data Entry Main Plaza'!C100</f>
        <v>0</v>
      </c>
      <c r="D100" s="39">
        <f>'Data Entry Main Plaza'!F100</f>
        <v>0</v>
      </c>
      <c r="E100" s="39">
        <f>'Data Entry Main Plaza'!I100</f>
        <v>0</v>
      </c>
      <c r="F100" s="39">
        <f>'Data Entry Main Plaza'!L100</f>
        <v>0</v>
      </c>
      <c r="G100" s="39">
        <f>'Data Entry Main Plaza'!O100</f>
        <v>0</v>
      </c>
      <c r="H100" s="39">
        <f>'Data Entry Main Plaza'!R100</f>
        <v>0</v>
      </c>
      <c r="I100" s="39">
        <f>'Data Entry Main Plaza'!U100</f>
        <v>0</v>
      </c>
      <c r="J100" s="39">
        <f>'Data Entry Main Plaza'!X100</f>
        <v>0</v>
      </c>
      <c r="K100" s="39">
        <f>'Data Entry Main Plaza'!AA100</f>
        <v>0</v>
      </c>
      <c r="L100" s="39">
        <f>'Data Entry Main Plaza'!AD100</f>
        <v>0</v>
      </c>
      <c r="M100" s="39">
        <f>'Data Entry Main Plaza'!AG100</f>
        <v>0</v>
      </c>
      <c r="N100" s="39">
        <f>'Data Entry Main Plaza'!AJ100</f>
        <v>0</v>
      </c>
      <c r="O100" s="39">
        <f>'Data Entry Main Plaza'!AM100</f>
        <v>0</v>
      </c>
    </row>
    <row r="101" spans="2:15" ht="28" x14ac:dyDescent="0.15">
      <c r="B101" s="42" t="s">
        <v>68</v>
      </c>
      <c r="C101" s="39">
        <f>'Data Entry Main Plaza'!C101</f>
        <v>0</v>
      </c>
      <c r="D101" s="39">
        <f>'Data Entry Main Plaza'!F101</f>
        <v>0</v>
      </c>
      <c r="E101" s="39">
        <f>'Data Entry Main Plaza'!I101</f>
        <v>0</v>
      </c>
      <c r="F101" s="39">
        <f>'Data Entry Main Plaza'!L101</f>
        <v>0</v>
      </c>
      <c r="G101" s="39">
        <f>'Data Entry Main Plaza'!O101</f>
        <v>0</v>
      </c>
      <c r="H101" s="39">
        <f>'Data Entry Main Plaza'!R101</f>
        <v>0</v>
      </c>
      <c r="I101" s="39">
        <f>'Data Entry Main Plaza'!U101</f>
        <v>0</v>
      </c>
      <c r="J101" s="39">
        <f>'Data Entry Main Plaza'!X101</f>
        <v>0</v>
      </c>
      <c r="K101" s="39">
        <f>'Data Entry Main Plaza'!AA101</f>
        <v>0</v>
      </c>
      <c r="L101" s="39">
        <f>'Data Entry Main Plaza'!AD101</f>
        <v>0</v>
      </c>
      <c r="M101" s="39">
        <f>'Data Entry Main Plaza'!AG101</f>
        <v>0</v>
      </c>
      <c r="N101" s="39">
        <f>'Data Entry Main Plaza'!AJ101</f>
        <v>0</v>
      </c>
      <c r="O101" s="39">
        <f>'Data Entry Main Plaza'!AM101</f>
        <v>0</v>
      </c>
    </row>
    <row r="102" spans="2:15" x14ac:dyDescent="0.15">
      <c r="B102" s="40"/>
      <c r="C102" s="39">
        <f>'Data Entry Main Plaza'!C102</f>
        <v>0</v>
      </c>
      <c r="D102" s="39">
        <f>'Data Entry Main Plaza'!F102</f>
        <v>0</v>
      </c>
      <c r="E102" s="39">
        <f>'Data Entry Main Plaza'!I102</f>
        <v>0</v>
      </c>
      <c r="F102" s="39">
        <f>'Data Entry Main Plaza'!L102</f>
        <v>0</v>
      </c>
      <c r="G102" s="39">
        <f>'Data Entry Main Plaza'!O102</f>
        <v>0</v>
      </c>
      <c r="H102" s="39">
        <f>'Data Entry Main Plaza'!R102</f>
        <v>0</v>
      </c>
      <c r="I102" s="39">
        <f>'Data Entry Main Plaza'!U102</f>
        <v>0</v>
      </c>
      <c r="J102" s="39">
        <f>'Data Entry Main Plaza'!X102</f>
        <v>0</v>
      </c>
      <c r="K102" s="39">
        <f>'Data Entry Main Plaza'!AA102</f>
        <v>0</v>
      </c>
      <c r="L102" s="39">
        <f>'Data Entry Main Plaza'!AD102</f>
        <v>0</v>
      </c>
      <c r="M102" s="39">
        <f>'Data Entry Main Plaza'!AG102</f>
        <v>0</v>
      </c>
      <c r="N102" s="39">
        <f>'Data Entry Main Plaza'!AJ102</f>
        <v>0</v>
      </c>
      <c r="O102" s="39">
        <f>'Data Entry Main Plaza'!AM102</f>
        <v>0</v>
      </c>
    </row>
    <row r="103" spans="2:15" ht="14" x14ac:dyDescent="0.15">
      <c r="B103" s="42" t="s">
        <v>69</v>
      </c>
      <c r="C103" s="39">
        <f>'Data Entry Main Plaza'!C103</f>
        <v>1052051.6771</v>
      </c>
      <c r="D103" s="39">
        <f>'Data Entry Main Plaza'!F103</f>
        <v>-79523.41</v>
      </c>
      <c r="E103" s="39">
        <f>'Data Entry Main Plaza'!I103</f>
        <v>30565.99</v>
      </c>
      <c r="F103" s="39">
        <f>'Data Entry Main Plaza'!L103</f>
        <v>119388.33</v>
      </c>
      <c r="G103" s="39">
        <f>'Data Entry Main Plaza'!O103</f>
        <v>-74111.91</v>
      </c>
      <c r="H103" s="39">
        <f>'Data Entry Main Plaza'!R103</f>
        <v>71248.778399999996</v>
      </c>
      <c r="I103" s="39">
        <f>'Data Entry Main Plaza'!U103</f>
        <v>120805.1906</v>
      </c>
      <c r="J103" s="39">
        <f>'Data Entry Main Plaza'!X103</f>
        <v>55364.2549</v>
      </c>
      <c r="K103" s="39">
        <f>'Data Entry Main Plaza'!AA103</f>
        <v>76320.442800000004</v>
      </c>
      <c r="L103" s="39">
        <f>'Data Entry Main Plaza'!AD103</f>
        <v>156363.18950000001</v>
      </c>
      <c r="M103" s="39">
        <f>'Data Entry Main Plaza'!AG103</f>
        <v>259755.4461</v>
      </c>
      <c r="N103" s="39">
        <f>'Data Entry Main Plaza'!AJ103</f>
        <v>204418.32879999999</v>
      </c>
      <c r="O103" s="39">
        <f>'Data Entry Main Plaza'!AM103</f>
        <v>111457.046</v>
      </c>
    </row>
    <row r="104" spans="2:15" x14ac:dyDescent="0.15">
      <c r="B104" s="40"/>
      <c r="C104" s="39">
        <f>'Data Entry Main Plaza'!C104</f>
        <v>0</v>
      </c>
      <c r="D104" s="39">
        <f>'Data Entry Main Plaza'!F104</f>
        <v>0</v>
      </c>
      <c r="E104" s="39">
        <f>'Data Entry Main Plaza'!I104</f>
        <v>0</v>
      </c>
      <c r="F104" s="39">
        <f>'Data Entry Main Plaza'!L104</f>
        <v>0</v>
      </c>
      <c r="G104" s="39">
        <f>'Data Entry Main Plaza'!O104</f>
        <v>0</v>
      </c>
      <c r="H104" s="39">
        <f>'Data Entry Main Plaza'!R104</f>
        <v>0</v>
      </c>
      <c r="I104" s="39">
        <f>'Data Entry Main Plaza'!U104</f>
        <v>0</v>
      </c>
      <c r="J104" s="39">
        <f>'Data Entry Main Plaza'!X104</f>
        <v>0</v>
      </c>
      <c r="K104" s="39">
        <f>'Data Entry Main Plaza'!AA104</f>
        <v>0</v>
      </c>
      <c r="L104" s="39">
        <f>'Data Entry Main Plaza'!AD104</f>
        <v>0</v>
      </c>
      <c r="M104" s="39">
        <f>'Data Entry Main Plaza'!AG104</f>
        <v>0</v>
      </c>
      <c r="N104" s="39">
        <f>'Data Entry Main Plaza'!AJ104</f>
        <v>0</v>
      </c>
      <c r="O104" s="39">
        <f>'Data Entry Main Plaza'!AM104</f>
        <v>0</v>
      </c>
    </row>
    <row r="105" spans="2:15" ht="14" x14ac:dyDescent="0.15">
      <c r="B105" s="42" t="s">
        <v>70</v>
      </c>
      <c r="C105" s="39">
        <f>'Data Entry Main Plaza'!C105</f>
        <v>333297.61</v>
      </c>
      <c r="D105" s="39">
        <f>'Data Entry Main Plaza'!F105</f>
        <v>14599.93</v>
      </c>
      <c r="E105" s="39">
        <f>'Data Entry Main Plaza'!I105</f>
        <v>14599.93</v>
      </c>
      <c r="F105" s="39">
        <f>'Data Entry Main Plaza'!L105</f>
        <v>14599.93</v>
      </c>
      <c r="G105" s="39">
        <f>'Data Entry Main Plaza'!O105</f>
        <v>20042.54</v>
      </c>
      <c r="H105" s="39">
        <f>'Data Entry Main Plaza'!R105</f>
        <v>33681.910000000003</v>
      </c>
      <c r="I105" s="39">
        <f>'Data Entry Main Plaza'!U105</f>
        <v>33681.910000000003</v>
      </c>
      <c r="J105" s="39">
        <f>'Data Entry Main Plaza'!X105</f>
        <v>33681.910000000003</v>
      </c>
      <c r="K105" s="39">
        <f>'Data Entry Main Plaza'!AA105</f>
        <v>33681.910000000003</v>
      </c>
      <c r="L105" s="39">
        <f>'Data Entry Main Plaza'!AD105</f>
        <v>33681.910000000003</v>
      </c>
      <c r="M105" s="39">
        <f>'Data Entry Main Plaza'!AG105</f>
        <v>33681.910000000003</v>
      </c>
      <c r="N105" s="39">
        <f>'Data Entry Main Plaza'!AJ105</f>
        <v>33681.910000000003</v>
      </c>
      <c r="O105" s="39">
        <f>'Data Entry Main Plaza'!AM105</f>
        <v>33681.910000000003</v>
      </c>
    </row>
    <row r="106" spans="2:15" ht="14" x14ac:dyDescent="0.15">
      <c r="B106" s="38" t="s">
        <v>71</v>
      </c>
      <c r="C106" s="39">
        <f>'Data Entry Main Plaza'!C106</f>
        <v>263697.61</v>
      </c>
      <c r="D106" s="39">
        <f>'Data Entry Main Plaza'!F106</f>
        <v>14599.93</v>
      </c>
      <c r="E106" s="39">
        <f>'Data Entry Main Plaza'!I106</f>
        <v>14599.93</v>
      </c>
      <c r="F106" s="39">
        <f>'Data Entry Main Plaza'!L106</f>
        <v>14599.93</v>
      </c>
      <c r="G106" s="39">
        <f>'Data Entry Main Plaza'!O106</f>
        <v>20042.54</v>
      </c>
      <c r="H106" s="39">
        <f>'Data Entry Main Plaza'!R106</f>
        <v>24981.91</v>
      </c>
      <c r="I106" s="39">
        <f>'Data Entry Main Plaza'!U106</f>
        <v>24981.91</v>
      </c>
      <c r="J106" s="39">
        <f>'Data Entry Main Plaza'!X106</f>
        <v>24981.91</v>
      </c>
      <c r="K106" s="39">
        <f>'Data Entry Main Plaza'!AA106</f>
        <v>24981.91</v>
      </c>
      <c r="L106" s="39">
        <f>'Data Entry Main Plaza'!AD106</f>
        <v>24981.91</v>
      </c>
      <c r="M106" s="39">
        <f>'Data Entry Main Plaza'!AG106</f>
        <v>24981.91</v>
      </c>
      <c r="N106" s="39">
        <f>'Data Entry Main Plaza'!AJ106</f>
        <v>24981.91</v>
      </c>
      <c r="O106" s="39">
        <f>'Data Entry Main Plaza'!AM106</f>
        <v>24981.91</v>
      </c>
    </row>
    <row r="107" spans="2:15" ht="14" x14ac:dyDescent="0.15">
      <c r="B107" s="38" t="s">
        <v>72</v>
      </c>
      <c r="C107" s="39">
        <f>'Data Entry Main Plaza'!C107</f>
        <v>0</v>
      </c>
      <c r="D107" s="39">
        <f>'Data Entry Main Plaza'!F107</f>
        <v>0</v>
      </c>
      <c r="E107" s="39">
        <f>'Data Entry Main Plaza'!I107</f>
        <v>0</v>
      </c>
      <c r="F107" s="39">
        <f>'Data Entry Main Plaza'!L107</f>
        <v>0</v>
      </c>
      <c r="G107" s="39">
        <f>'Data Entry Main Plaza'!O107</f>
        <v>0</v>
      </c>
      <c r="H107" s="39">
        <f>'Data Entry Main Plaza'!R107</f>
        <v>0</v>
      </c>
      <c r="I107" s="39">
        <f>'Data Entry Main Plaza'!U107</f>
        <v>0</v>
      </c>
      <c r="J107" s="39">
        <f>'Data Entry Main Plaza'!X107</f>
        <v>0</v>
      </c>
      <c r="K107" s="39">
        <f>'Data Entry Main Plaza'!AA107</f>
        <v>0</v>
      </c>
      <c r="L107" s="39">
        <f>'Data Entry Main Plaza'!AD107</f>
        <v>0</v>
      </c>
      <c r="M107" s="39">
        <f>'Data Entry Main Plaza'!AG107</f>
        <v>0</v>
      </c>
      <c r="N107" s="39">
        <f>'Data Entry Main Plaza'!AJ107</f>
        <v>0</v>
      </c>
      <c r="O107" s="39">
        <f>'Data Entry Main Plaza'!AM107</f>
        <v>0</v>
      </c>
    </row>
    <row r="108" spans="2:15" ht="14" x14ac:dyDescent="0.15">
      <c r="B108" s="38" t="s">
        <v>73</v>
      </c>
      <c r="C108" s="39">
        <f>'Data Entry Main Plaza'!C108</f>
        <v>32000</v>
      </c>
      <c r="D108" s="39">
        <f>'Data Entry Main Plaza'!F108</f>
        <v>0</v>
      </c>
      <c r="E108" s="39">
        <f>'Data Entry Main Plaza'!I108</f>
        <v>0</v>
      </c>
      <c r="F108" s="39">
        <f>'Data Entry Main Plaza'!L108</f>
        <v>0</v>
      </c>
      <c r="G108" s="39">
        <f>'Data Entry Main Plaza'!O108</f>
        <v>0</v>
      </c>
      <c r="H108" s="39">
        <f>'Data Entry Main Plaza'!R108</f>
        <v>4000</v>
      </c>
      <c r="I108" s="39">
        <f>'Data Entry Main Plaza'!U108</f>
        <v>4000</v>
      </c>
      <c r="J108" s="39">
        <f>'Data Entry Main Plaza'!X108</f>
        <v>4000</v>
      </c>
      <c r="K108" s="39">
        <f>'Data Entry Main Plaza'!AA108</f>
        <v>4000</v>
      </c>
      <c r="L108" s="39">
        <f>'Data Entry Main Plaza'!AD108</f>
        <v>4000</v>
      </c>
      <c r="M108" s="39">
        <f>'Data Entry Main Plaza'!AG108</f>
        <v>4000</v>
      </c>
      <c r="N108" s="39">
        <f>'Data Entry Main Plaza'!AJ108</f>
        <v>4000</v>
      </c>
      <c r="O108" s="39">
        <f>'Data Entry Main Plaza'!AM108</f>
        <v>4000</v>
      </c>
    </row>
    <row r="109" spans="2:15" ht="14" x14ac:dyDescent="0.15">
      <c r="B109" s="38" t="s">
        <v>74</v>
      </c>
      <c r="C109" s="39">
        <f>'Data Entry Main Plaza'!C109</f>
        <v>0</v>
      </c>
      <c r="D109" s="39">
        <f>'Data Entry Main Plaza'!F109</f>
        <v>0</v>
      </c>
      <c r="E109" s="39">
        <f>'Data Entry Main Plaza'!I109</f>
        <v>0</v>
      </c>
      <c r="F109" s="39">
        <f>'Data Entry Main Plaza'!L109</f>
        <v>0</v>
      </c>
      <c r="G109" s="39">
        <f>'Data Entry Main Plaza'!O109</f>
        <v>0</v>
      </c>
      <c r="H109" s="39">
        <f>'Data Entry Main Plaza'!R109</f>
        <v>0</v>
      </c>
      <c r="I109" s="39">
        <f>'Data Entry Main Plaza'!U109</f>
        <v>0</v>
      </c>
      <c r="J109" s="39">
        <f>'Data Entry Main Plaza'!X109</f>
        <v>0</v>
      </c>
      <c r="K109" s="39">
        <f>'Data Entry Main Plaza'!AA109</f>
        <v>0</v>
      </c>
      <c r="L109" s="39">
        <f>'Data Entry Main Plaza'!AD109</f>
        <v>0</v>
      </c>
      <c r="M109" s="39">
        <f>'Data Entry Main Plaza'!AG109</f>
        <v>0</v>
      </c>
      <c r="N109" s="39">
        <f>'Data Entry Main Plaza'!AJ109</f>
        <v>0</v>
      </c>
      <c r="O109" s="39">
        <f>'Data Entry Main Plaza'!AM109</f>
        <v>0</v>
      </c>
    </row>
    <row r="110" spans="2:15" ht="14" x14ac:dyDescent="0.15">
      <c r="B110" s="38" t="s">
        <v>75</v>
      </c>
      <c r="C110" s="39">
        <f>'Data Entry Main Plaza'!C110</f>
        <v>37600</v>
      </c>
      <c r="D110" s="39">
        <f>'Data Entry Main Plaza'!F110</f>
        <v>0</v>
      </c>
      <c r="E110" s="39">
        <f>'Data Entry Main Plaza'!I110</f>
        <v>0</v>
      </c>
      <c r="F110" s="39">
        <f>'Data Entry Main Plaza'!L110</f>
        <v>0</v>
      </c>
      <c r="G110" s="39">
        <f>'Data Entry Main Plaza'!O110</f>
        <v>0</v>
      </c>
      <c r="H110" s="39">
        <f>'Data Entry Main Plaza'!R110</f>
        <v>4700</v>
      </c>
      <c r="I110" s="39">
        <f>'Data Entry Main Plaza'!U110</f>
        <v>4700</v>
      </c>
      <c r="J110" s="39">
        <f>'Data Entry Main Plaza'!X110</f>
        <v>4700</v>
      </c>
      <c r="K110" s="39">
        <f>'Data Entry Main Plaza'!AA110</f>
        <v>4700</v>
      </c>
      <c r="L110" s="39">
        <f>'Data Entry Main Plaza'!AD110</f>
        <v>4700</v>
      </c>
      <c r="M110" s="39">
        <f>'Data Entry Main Plaza'!AG110</f>
        <v>4700</v>
      </c>
      <c r="N110" s="39">
        <f>'Data Entry Main Plaza'!AJ110</f>
        <v>4700</v>
      </c>
      <c r="O110" s="39">
        <f>'Data Entry Main Plaza'!AM110</f>
        <v>4700</v>
      </c>
    </row>
    <row r="111" spans="2:15" ht="14" x14ac:dyDescent="0.15">
      <c r="B111" s="38" t="s">
        <v>76</v>
      </c>
      <c r="C111" s="39">
        <f>'Data Entry Main Plaza'!C111</f>
        <v>0</v>
      </c>
      <c r="D111" s="39">
        <f>'Data Entry Main Plaza'!F111</f>
        <v>0</v>
      </c>
      <c r="E111" s="39">
        <f>'Data Entry Main Plaza'!I111</f>
        <v>0</v>
      </c>
      <c r="F111" s="39">
        <f>'Data Entry Main Plaza'!L111</f>
        <v>0</v>
      </c>
      <c r="G111" s="39">
        <f>'Data Entry Main Plaza'!O111</f>
        <v>0</v>
      </c>
      <c r="H111" s="39">
        <f>'Data Entry Main Plaza'!R111</f>
        <v>0</v>
      </c>
      <c r="I111" s="39">
        <f>'Data Entry Main Plaza'!U111</f>
        <v>0</v>
      </c>
      <c r="J111" s="39">
        <f>'Data Entry Main Plaza'!X111</f>
        <v>0</v>
      </c>
      <c r="K111" s="39">
        <f>'Data Entry Main Plaza'!AA111</f>
        <v>0</v>
      </c>
      <c r="L111" s="39">
        <f>'Data Entry Main Plaza'!AD111</f>
        <v>0</v>
      </c>
      <c r="M111" s="39">
        <f>'Data Entry Main Plaza'!AG111</f>
        <v>0</v>
      </c>
      <c r="N111" s="39">
        <f>'Data Entry Main Plaza'!AJ111</f>
        <v>0</v>
      </c>
      <c r="O111" s="39">
        <f>'Data Entry Main Plaza'!AM111</f>
        <v>0</v>
      </c>
    </row>
    <row r="112" spans="2:15" ht="14" x14ac:dyDescent="0.15">
      <c r="B112" s="38" t="s">
        <v>77</v>
      </c>
      <c r="C112" s="39">
        <f>'Data Entry Main Plaza'!C112</f>
        <v>0</v>
      </c>
      <c r="D112" s="39">
        <f>'Data Entry Main Plaza'!F112</f>
        <v>0</v>
      </c>
      <c r="E112" s="39">
        <f>'Data Entry Main Plaza'!I112</f>
        <v>0</v>
      </c>
      <c r="F112" s="39">
        <f>'Data Entry Main Plaza'!L112</f>
        <v>0</v>
      </c>
      <c r="G112" s="39">
        <f>'Data Entry Main Plaza'!O112</f>
        <v>0</v>
      </c>
      <c r="H112" s="39">
        <f>'Data Entry Main Plaza'!R112</f>
        <v>0</v>
      </c>
      <c r="I112" s="39">
        <f>'Data Entry Main Plaza'!U112</f>
        <v>0</v>
      </c>
      <c r="J112" s="39">
        <f>'Data Entry Main Plaza'!X112</f>
        <v>0</v>
      </c>
      <c r="K112" s="39">
        <f>'Data Entry Main Plaza'!AA112</f>
        <v>0</v>
      </c>
      <c r="L112" s="39">
        <f>'Data Entry Main Plaza'!AD112</f>
        <v>0</v>
      </c>
      <c r="M112" s="39">
        <f>'Data Entry Main Plaza'!AG112</f>
        <v>0</v>
      </c>
      <c r="N112" s="39">
        <f>'Data Entry Main Plaza'!AJ112</f>
        <v>0</v>
      </c>
      <c r="O112" s="39">
        <f>'Data Entry Main Plaza'!AM112</f>
        <v>0</v>
      </c>
    </row>
    <row r="113" spans="2:15" ht="14" x14ac:dyDescent="0.15">
      <c r="B113" s="38" t="s">
        <v>78</v>
      </c>
      <c r="C113" s="39">
        <f>'Data Entry Main Plaza'!C113</f>
        <v>0</v>
      </c>
      <c r="D113" s="39">
        <f>'Data Entry Main Plaza'!F113</f>
        <v>0</v>
      </c>
      <c r="E113" s="39">
        <f>'Data Entry Main Plaza'!I113</f>
        <v>0</v>
      </c>
      <c r="F113" s="39">
        <f>'Data Entry Main Plaza'!L113</f>
        <v>0</v>
      </c>
      <c r="G113" s="39">
        <f>'Data Entry Main Plaza'!O113</f>
        <v>0</v>
      </c>
      <c r="H113" s="39">
        <f>'Data Entry Main Plaza'!R113</f>
        <v>0</v>
      </c>
      <c r="I113" s="39">
        <f>'Data Entry Main Plaza'!U113</f>
        <v>0</v>
      </c>
      <c r="J113" s="39">
        <f>'Data Entry Main Plaza'!X113</f>
        <v>0</v>
      </c>
      <c r="K113" s="39">
        <f>'Data Entry Main Plaza'!AA113</f>
        <v>0</v>
      </c>
      <c r="L113" s="39">
        <f>'Data Entry Main Plaza'!AD113</f>
        <v>0</v>
      </c>
      <c r="M113" s="39">
        <f>'Data Entry Main Plaza'!AG113</f>
        <v>0</v>
      </c>
      <c r="N113" s="39">
        <f>'Data Entry Main Plaza'!AJ113</f>
        <v>0</v>
      </c>
      <c r="O113" s="39">
        <f>'Data Entry Main Plaza'!AM113</f>
        <v>0</v>
      </c>
    </row>
    <row r="114" spans="2:15" ht="14" x14ac:dyDescent="0.15">
      <c r="B114" s="38" t="s">
        <v>79</v>
      </c>
      <c r="C114" s="39">
        <f>'Data Entry Main Plaza'!C114</f>
        <v>0</v>
      </c>
      <c r="D114" s="39">
        <f>'Data Entry Main Plaza'!F114</f>
        <v>0</v>
      </c>
      <c r="E114" s="39">
        <f>'Data Entry Main Plaza'!I114</f>
        <v>0</v>
      </c>
      <c r="F114" s="39">
        <f>'Data Entry Main Plaza'!L114</f>
        <v>0</v>
      </c>
      <c r="G114" s="39">
        <f>'Data Entry Main Plaza'!O114</f>
        <v>0</v>
      </c>
      <c r="H114" s="39">
        <f>'Data Entry Main Plaza'!R114</f>
        <v>0</v>
      </c>
      <c r="I114" s="39">
        <f>'Data Entry Main Plaza'!U114</f>
        <v>0</v>
      </c>
      <c r="J114" s="39">
        <f>'Data Entry Main Plaza'!X114</f>
        <v>0</v>
      </c>
      <c r="K114" s="39">
        <f>'Data Entry Main Plaza'!AA114</f>
        <v>0</v>
      </c>
      <c r="L114" s="39">
        <f>'Data Entry Main Plaza'!AD114</f>
        <v>0</v>
      </c>
      <c r="M114" s="39">
        <f>'Data Entry Main Plaza'!AG114</f>
        <v>0</v>
      </c>
      <c r="N114" s="39">
        <f>'Data Entry Main Plaza'!AJ114</f>
        <v>0</v>
      </c>
      <c r="O114" s="39">
        <f>'Data Entry Main Plaza'!AM114</f>
        <v>0</v>
      </c>
    </row>
    <row r="115" spans="2:15" ht="14" x14ac:dyDescent="0.15">
      <c r="B115" s="38" t="s">
        <v>80</v>
      </c>
      <c r="C115" s="39">
        <f>'Data Entry Main Plaza'!C115</f>
        <v>0</v>
      </c>
      <c r="D115" s="39">
        <f>'Data Entry Main Plaza'!F115</f>
        <v>0</v>
      </c>
      <c r="E115" s="39">
        <f>'Data Entry Main Plaza'!I115</f>
        <v>0</v>
      </c>
      <c r="F115" s="39">
        <f>'Data Entry Main Plaza'!L115</f>
        <v>0</v>
      </c>
      <c r="G115" s="39">
        <f>'Data Entry Main Plaza'!O115</f>
        <v>0</v>
      </c>
      <c r="H115" s="39">
        <f>'Data Entry Main Plaza'!R115</f>
        <v>0</v>
      </c>
      <c r="I115" s="39">
        <f>'Data Entry Main Plaza'!U115</f>
        <v>0</v>
      </c>
      <c r="J115" s="39">
        <f>'Data Entry Main Plaza'!X115</f>
        <v>0</v>
      </c>
      <c r="K115" s="39">
        <f>'Data Entry Main Plaza'!AA115</f>
        <v>0</v>
      </c>
      <c r="L115" s="39">
        <f>'Data Entry Main Plaza'!AD115</f>
        <v>0</v>
      </c>
      <c r="M115" s="39">
        <f>'Data Entry Main Plaza'!AG115</f>
        <v>0</v>
      </c>
      <c r="N115" s="39">
        <f>'Data Entry Main Plaza'!AJ115</f>
        <v>0</v>
      </c>
      <c r="O115" s="39">
        <f>'Data Entry Main Plaza'!AM115</f>
        <v>0</v>
      </c>
    </row>
    <row r="116" spans="2:15" x14ac:dyDescent="0.15">
      <c r="B116" s="40"/>
      <c r="C116" s="39">
        <f>'Data Entry Main Plaza'!C116</f>
        <v>0</v>
      </c>
      <c r="D116" s="39">
        <f>'Data Entry Main Plaza'!F116</f>
        <v>0</v>
      </c>
      <c r="E116" s="39">
        <f>'Data Entry Main Plaza'!I116</f>
        <v>0</v>
      </c>
      <c r="F116" s="39">
        <f>'Data Entry Main Plaza'!L116</f>
        <v>0</v>
      </c>
      <c r="G116" s="39">
        <f>'Data Entry Main Plaza'!O116</f>
        <v>0</v>
      </c>
      <c r="H116" s="39">
        <f>'Data Entry Main Plaza'!R116</f>
        <v>0</v>
      </c>
      <c r="I116" s="39">
        <f>'Data Entry Main Plaza'!U116</f>
        <v>0</v>
      </c>
      <c r="J116" s="39">
        <f>'Data Entry Main Plaza'!X116</f>
        <v>0</v>
      </c>
      <c r="K116" s="39">
        <f>'Data Entry Main Plaza'!AA116</f>
        <v>0</v>
      </c>
      <c r="L116" s="39">
        <f>'Data Entry Main Plaza'!AD116</f>
        <v>0</v>
      </c>
      <c r="M116" s="39">
        <f>'Data Entry Main Plaza'!AG116</f>
        <v>0</v>
      </c>
      <c r="N116" s="39">
        <f>'Data Entry Main Plaza'!AJ116</f>
        <v>0</v>
      </c>
      <c r="O116" s="39">
        <f>'Data Entry Main Plaza'!AM116</f>
        <v>0</v>
      </c>
    </row>
    <row r="117" spans="2:15" ht="14" x14ac:dyDescent="0.15">
      <c r="B117" s="42" t="s">
        <v>81</v>
      </c>
      <c r="C117" s="39">
        <f>'Data Entry Main Plaza'!C117</f>
        <v>0</v>
      </c>
      <c r="D117" s="39">
        <f>'Data Entry Main Plaza'!F117</f>
        <v>0</v>
      </c>
      <c r="E117" s="39">
        <f>'Data Entry Main Plaza'!I117</f>
        <v>0</v>
      </c>
      <c r="F117" s="39">
        <f>'Data Entry Main Plaza'!L117</f>
        <v>0</v>
      </c>
      <c r="G117" s="39">
        <f>'Data Entry Main Plaza'!O117</f>
        <v>0</v>
      </c>
      <c r="H117" s="39">
        <f>'Data Entry Main Plaza'!R117</f>
        <v>0</v>
      </c>
      <c r="I117" s="39">
        <f>'Data Entry Main Plaza'!U117</f>
        <v>0</v>
      </c>
      <c r="J117" s="39">
        <f>'Data Entry Main Plaza'!X117</f>
        <v>0</v>
      </c>
      <c r="K117" s="39">
        <f>'Data Entry Main Plaza'!AA117</f>
        <v>0</v>
      </c>
      <c r="L117" s="39">
        <f>'Data Entry Main Plaza'!AD117</f>
        <v>0</v>
      </c>
      <c r="M117" s="39">
        <f>'Data Entry Main Plaza'!AG117</f>
        <v>0</v>
      </c>
      <c r="N117" s="39">
        <f>'Data Entry Main Plaza'!AJ117</f>
        <v>0</v>
      </c>
      <c r="O117" s="39">
        <f>'Data Entry Main Plaza'!AM117</f>
        <v>0</v>
      </c>
    </row>
    <row r="118" spans="2:15" ht="14" x14ac:dyDescent="0.15">
      <c r="B118" s="38" t="s">
        <v>82</v>
      </c>
      <c r="C118" s="39">
        <f>'Data Entry Main Plaza'!C118</f>
        <v>0</v>
      </c>
      <c r="D118" s="39">
        <f>'Data Entry Main Plaza'!F118</f>
        <v>0</v>
      </c>
      <c r="E118" s="39">
        <f>'Data Entry Main Plaza'!I118</f>
        <v>0</v>
      </c>
      <c r="F118" s="39">
        <f>'Data Entry Main Plaza'!L118</f>
        <v>0</v>
      </c>
      <c r="G118" s="39">
        <f>'Data Entry Main Plaza'!O118</f>
        <v>0</v>
      </c>
      <c r="H118" s="39">
        <f>'Data Entry Main Plaza'!R118</f>
        <v>0</v>
      </c>
      <c r="I118" s="39">
        <f>'Data Entry Main Plaza'!U118</f>
        <v>0</v>
      </c>
      <c r="J118" s="39">
        <f>'Data Entry Main Plaza'!X118</f>
        <v>0</v>
      </c>
      <c r="K118" s="39">
        <f>'Data Entry Main Plaza'!AA118</f>
        <v>0</v>
      </c>
      <c r="L118" s="39">
        <f>'Data Entry Main Plaza'!AD118</f>
        <v>0</v>
      </c>
      <c r="M118" s="39">
        <f>'Data Entry Main Plaza'!AG118</f>
        <v>0</v>
      </c>
      <c r="N118" s="39">
        <f>'Data Entry Main Plaza'!AJ118</f>
        <v>0</v>
      </c>
      <c r="O118" s="39">
        <f>'Data Entry Main Plaza'!AM118</f>
        <v>0</v>
      </c>
    </row>
    <row r="119" spans="2:15" ht="14" x14ac:dyDescent="0.15">
      <c r="B119" s="38" t="s">
        <v>83</v>
      </c>
      <c r="C119" s="39">
        <f>'Data Entry Main Plaza'!C119</f>
        <v>0</v>
      </c>
      <c r="D119" s="39">
        <f>'Data Entry Main Plaza'!F119</f>
        <v>0</v>
      </c>
      <c r="E119" s="39">
        <f>'Data Entry Main Plaza'!I119</f>
        <v>0</v>
      </c>
      <c r="F119" s="39">
        <f>'Data Entry Main Plaza'!L119</f>
        <v>0</v>
      </c>
      <c r="G119" s="39">
        <f>'Data Entry Main Plaza'!O119</f>
        <v>0</v>
      </c>
      <c r="H119" s="39">
        <f>'Data Entry Main Plaza'!R119</f>
        <v>0</v>
      </c>
      <c r="I119" s="39">
        <f>'Data Entry Main Plaza'!U119</f>
        <v>0</v>
      </c>
      <c r="J119" s="39">
        <f>'Data Entry Main Plaza'!X119</f>
        <v>0</v>
      </c>
      <c r="K119" s="39">
        <f>'Data Entry Main Plaza'!AA119</f>
        <v>0</v>
      </c>
      <c r="L119" s="39">
        <f>'Data Entry Main Plaza'!AD119</f>
        <v>0</v>
      </c>
      <c r="M119" s="39">
        <f>'Data Entry Main Plaza'!AG119</f>
        <v>0</v>
      </c>
      <c r="N119" s="39">
        <f>'Data Entry Main Plaza'!AJ119</f>
        <v>0</v>
      </c>
      <c r="O119" s="39">
        <f>'Data Entry Main Plaza'!AM119</f>
        <v>0</v>
      </c>
    </row>
    <row r="120" spans="2:15" x14ac:dyDescent="0.15">
      <c r="B120" s="40"/>
      <c r="C120" s="39">
        <f>'Data Entry Main Plaza'!C120</f>
        <v>0</v>
      </c>
      <c r="D120" s="39">
        <f>'Data Entry Main Plaza'!F120</f>
        <v>0</v>
      </c>
      <c r="E120" s="39">
        <f>'Data Entry Main Plaza'!I120</f>
        <v>0</v>
      </c>
      <c r="F120" s="39">
        <f>'Data Entry Main Plaza'!L120</f>
        <v>0</v>
      </c>
      <c r="G120" s="39">
        <f>'Data Entry Main Plaza'!O120</f>
        <v>0</v>
      </c>
      <c r="H120" s="39">
        <f>'Data Entry Main Plaza'!R120</f>
        <v>0</v>
      </c>
      <c r="I120" s="39">
        <f>'Data Entry Main Plaza'!U120</f>
        <v>0</v>
      </c>
      <c r="J120" s="39">
        <f>'Data Entry Main Plaza'!X120</f>
        <v>0</v>
      </c>
      <c r="K120" s="39">
        <f>'Data Entry Main Plaza'!AA120</f>
        <v>0</v>
      </c>
      <c r="L120" s="39">
        <f>'Data Entry Main Plaza'!AD120</f>
        <v>0</v>
      </c>
      <c r="M120" s="39">
        <f>'Data Entry Main Plaza'!AG120</f>
        <v>0</v>
      </c>
      <c r="N120" s="39">
        <f>'Data Entry Main Plaza'!AJ120</f>
        <v>0</v>
      </c>
      <c r="O120" s="39">
        <f>'Data Entry Main Plaza'!AM120</f>
        <v>0</v>
      </c>
    </row>
    <row r="121" spans="2:15" ht="14" x14ac:dyDescent="0.15">
      <c r="B121" s="42" t="s">
        <v>84</v>
      </c>
      <c r="C121" s="39">
        <f>'Data Entry Main Plaza'!C121</f>
        <v>718754.06709999999</v>
      </c>
      <c r="D121" s="39">
        <f>'Data Entry Main Plaza'!F121</f>
        <v>-94123.34</v>
      </c>
      <c r="E121" s="39">
        <f>'Data Entry Main Plaza'!I121</f>
        <v>15966.06</v>
      </c>
      <c r="F121" s="39">
        <f>'Data Entry Main Plaza'!L121</f>
        <v>104788.4</v>
      </c>
      <c r="G121" s="39">
        <f>'Data Entry Main Plaza'!O121</f>
        <v>-94154.45</v>
      </c>
      <c r="H121" s="39">
        <f>'Data Entry Main Plaza'!R121</f>
        <v>37566.868399999999</v>
      </c>
      <c r="I121" s="39">
        <f>'Data Entry Main Plaza'!U121</f>
        <v>87123.280599999998</v>
      </c>
      <c r="J121" s="39">
        <f>'Data Entry Main Plaza'!X121</f>
        <v>21682.3449</v>
      </c>
      <c r="K121" s="39">
        <f>'Data Entry Main Plaza'!AA121</f>
        <v>42638.532800000001</v>
      </c>
      <c r="L121" s="39">
        <f>'Data Entry Main Plaza'!AD121</f>
        <v>122681.2795</v>
      </c>
      <c r="M121" s="39">
        <f>'Data Entry Main Plaza'!AG121</f>
        <v>226073.5361</v>
      </c>
      <c r="N121" s="39">
        <f>'Data Entry Main Plaza'!AJ121</f>
        <v>170736.41880000001</v>
      </c>
      <c r="O121" s="39">
        <f>'Data Entry Main Plaza'!AM121</f>
        <v>77775.135999999999</v>
      </c>
    </row>
    <row r="122" spans="2:15" ht="14" x14ac:dyDescent="0.15">
      <c r="B122" s="38" t="s">
        <v>85</v>
      </c>
      <c r="C122" s="39">
        <f>'Data Entry Main Plaza'!C122</f>
        <v>49194.907399999996</v>
      </c>
      <c r="D122" s="39">
        <f>'Data Entry Main Plaza'!F122</f>
        <v>0</v>
      </c>
      <c r="E122" s="39">
        <f>'Data Entry Main Plaza'!I122</f>
        <v>0</v>
      </c>
      <c r="F122" s="39">
        <f>'Data Entry Main Plaza'!L122</f>
        <v>0</v>
      </c>
      <c r="G122" s="39">
        <f>'Data Entry Main Plaza'!O122</f>
        <v>0</v>
      </c>
      <c r="H122" s="39">
        <f>'Data Entry Main Plaza'!R122</f>
        <v>4447.6304</v>
      </c>
      <c r="I122" s="39">
        <f>'Data Entry Main Plaza'!U122</f>
        <v>5619.8290999999999</v>
      </c>
      <c r="J122" s="39">
        <f>'Data Entry Main Plaza'!X122</f>
        <v>6350.8638000000001</v>
      </c>
      <c r="K122" s="39">
        <f>'Data Entry Main Plaza'!AA122</f>
        <v>6264.2051000000001</v>
      </c>
      <c r="L122" s="39">
        <f>'Data Entry Main Plaza'!AD122</f>
        <v>6013.8798999999999</v>
      </c>
      <c r="M122" s="39">
        <f>'Data Entry Main Plaza'!AG122</f>
        <v>7255.5861999999997</v>
      </c>
      <c r="N122" s="39">
        <f>'Data Entry Main Plaza'!AJ122</f>
        <v>6863.6534000000001</v>
      </c>
      <c r="O122" s="39">
        <f>'Data Entry Main Plaza'!AM122</f>
        <v>6379.2595000000001</v>
      </c>
    </row>
    <row r="123" spans="2:15" x14ac:dyDescent="0.15">
      <c r="B123" s="40"/>
      <c r="C123" s="39">
        <f>'Data Entry Main Plaza'!C123</f>
        <v>0</v>
      </c>
      <c r="D123" s="39">
        <f>'Data Entry Main Plaza'!F123</f>
        <v>0</v>
      </c>
      <c r="E123" s="39">
        <f>'Data Entry Main Plaza'!I123</f>
        <v>0</v>
      </c>
      <c r="F123" s="39">
        <f>'Data Entry Main Plaza'!L123</f>
        <v>0</v>
      </c>
      <c r="G123" s="39">
        <f>'Data Entry Main Plaza'!O123</f>
        <v>0</v>
      </c>
      <c r="H123" s="39">
        <f>'Data Entry Main Plaza'!R123</f>
        <v>0</v>
      </c>
      <c r="I123" s="39">
        <f>'Data Entry Main Plaza'!U123</f>
        <v>0</v>
      </c>
      <c r="J123" s="39">
        <f>'Data Entry Main Plaza'!X123</f>
        <v>0</v>
      </c>
      <c r="K123" s="39">
        <f>'Data Entry Main Plaza'!AA123</f>
        <v>0</v>
      </c>
      <c r="L123" s="39">
        <f>'Data Entry Main Plaza'!AD123</f>
        <v>0</v>
      </c>
      <c r="M123" s="39">
        <f>'Data Entry Main Plaza'!AG123</f>
        <v>0</v>
      </c>
      <c r="N123" s="39">
        <f>'Data Entry Main Plaza'!AJ123</f>
        <v>0</v>
      </c>
      <c r="O123" s="39">
        <f>'Data Entry Main Plaza'!AM123</f>
        <v>0</v>
      </c>
    </row>
    <row r="124" spans="2:15" ht="14" x14ac:dyDescent="0.15">
      <c r="B124" s="42" t="s">
        <v>86</v>
      </c>
      <c r="C124" s="39">
        <f>'Data Entry Main Plaza'!C124</f>
        <v>669559.15960000001</v>
      </c>
      <c r="D124" s="39">
        <f>'Data Entry Main Plaza'!F124</f>
        <v>-94123.34</v>
      </c>
      <c r="E124" s="39">
        <f>'Data Entry Main Plaza'!I124</f>
        <v>15966.06</v>
      </c>
      <c r="F124" s="39">
        <f>'Data Entry Main Plaza'!L124</f>
        <v>104788.4</v>
      </c>
      <c r="G124" s="39">
        <f>'Data Entry Main Plaza'!O124</f>
        <v>-94154.45</v>
      </c>
      <c r="H124" s="39">
        <f>'Data Entry Main Plaza'!R124</f>
        <v>33119.237999999998</v>
      </c>
      <c r="I124" s="39">
        <f>'Data Entry Main Plaza'!U124</f>
        <v>81503.451499999996</v>
      </c>
      <c r="J124" s="39">
        <f>'Data Entry Main Plaza'!X124</f>
        <v>15331.4812</v>
      </c>
      <c r="K124" s="39">
        <f>'Data Entry Main Plaza'!AA124</f>
        <v>36374.327700000002</v>
      </c>
      <c r="L124" s="39">
        <f>'Data Entry Main Plaza'!AD124</f>
        <v>116667.3995</v>
      </c>
      <c r="M124" s="39">
        <f>'Data Entry Main Plaza'!AG124</f>
        <v>218817.94990000001</v>
      </c>
      <c r="N124" s="39">
        <f>'Data Entry Main Plaza'!AJ124</f>
        <v>163872.7653</v>
      </c>
      <c r="O124" s="39">
        <f>'Data Entry Main Plaza'!AM124</f>
        <v>71395.876499999998</v>
      </c>
    </row>
    <row r="125" spans="2:15" ht="14" x14ac:dyDescent="0.15">
      <c r="B125" s="38" t="s">
        <v>87</v>
      </c>
      <c r="C125" s="39">
        <f>'Data Entry Main Plaza'!C125</f>
        <v>0</v>
      </c>
      <c r="D125" s="39">
        <f>'Data Entry Main Plaza'!F125</f>
        <v>0</v>
      </c>
      <c r="E125" s="39">
        <f>'Data Entry Main Plaza'!I125</f>
        <v>0</v>
      </c>
      <c r="F125" s="39">
        <f>'Data Entry Main Plaza'!L125</f>
        <v>0</v>
      </c>
      <c r="G125" s="39">
        <f>'Data Entry Main Plaza'!O125</f>
        <v>0</v>
      </c>
      <c r="H125" s="39">
        <f>'Data Entry Main Plaza'!R125</f>
        <v>0</v>
      </c>
      <c r="I125" s="39">
        <f>'Data Entry Main Plaza'!U125</f>
        <v>0</v>
      </c>
      <c r="J125" s="39">
        <f>'Data Entry Main Plaza'!X125</f>
        <v>0</v>
      </c>
      <c r="K125" s="39">
        <f>'Data Entry Main Plaza'!AA125</f>
        <v>0</v>
      </c>
      <c r="L125" s="39">
        <f>'Data Entry Main Plaza'!AD125</f>
        <v>0</v>
      </c>
      <c r="M125" s="39">
        <f>'Data Entry Main Plaza'!AG125</f>
        <v>0</v>
      </c>
      <c r="N125" s="39">
        <f>'Data Entry Main Plaza'!AJ125</f>
        <v>0</v>
      </c>
      <c r="O125" s="39">
        <f>'Data Entry Main Plaza'!AM125</f>
        <v>0</v>
      </c>
    </row>
    <row r="126" spans="2:15" x14ac:dyDescent="0.15">
      <c r="B126" s="40"/>
      <c r="C126" s="39">
        <f>'Data Entry Main Plaza'!C126</f>
        <v>0</v>
      </c>
      <c r="D126" s="39">
        <f>'Data Entry Main Plaza'!F126</f>
        <v>0</v>
      </c>
      <c r="E126" s="39">
        <f>'Data Entry Main Plaza'!I126</f>
        <v>0</v>
      </c>
      <c r="F126" s="39">
        <f>'Data Entry Main Plaza'!L126</f>
        <v>0</v>
      </c>
      <c r="G126" s="39">
        <f>'Data Entry Main Plaza'!O126</f>
        <v>0</v>
      </c>
      <c r="H126" s="39">
        <f>'Data Entry Main Plaza'!R126</f>
        <v>0</v>
      </c>
      <c r="I126" s="39">
        <f>'Data Entry Main Plaza'!U126</f>
        <v>0</v>
      </c>
      <c r="J126" s="39">
        <f>'Data Entry Main Plaza'!X126</f>
        <v>0</v>
      </c>
      <c r="K126" s="39">
        <f>'Data Entry Main Plaza'!AA126</f>
        <v>0</v>
      </c>
      <c r="L126" s="39">
        <f>'Data Entry Main Plaza'!AD126</f>
        <v>0</v>
      </c>
      <c r="M126" s="39">
        <f>'Data Entry Main Plaza'!AG126</f>
        <v>0</v>
      </c>
      <c r="N126" s="39">
        <f>'Data Entry Main Plaza'!AJ126</f>
        <v>0</v>
      </c>
      <c r="O126" s="39">
        <f>'Data Entry Main Plaza'!AM126</f>
        <v>0</v>
      </c>
    </row>
    <row r="127" spans="2:15" ht="14" x14ac:dyDescent="0.15">
      <c r="B127" s="42" t="s">
        <v>88</v>
      </c>
      <c r="C127" s="39">
        <f>'Data Entry Main Plaza'!C127</f>
        <v>669559.15960000001</v>
      </c>
      <c r="D127" s="39">
        <f>'Data Entry Main Plaza'!F127</f>
        <v>-94123.34</v>
      </c>
      <c r="E127" s="39">
        <f>'Data Entry Main Plaza'!I127</f>
        <v>15966.06</v>
      </c>
      <c r="F127" s="39">
        <f>'Data Entry Main Plaza'!L127</f>
        <v>104788.4</v>
      </c>
      <c r="G127" s="39">
        <f>'Data Entry Main Plaza'!O127</f>
        <v>-94154.45</v>
      </c>
      <c r="H127" s="39">
        <f>'Data Entry Main Plaza'!R127</f>
        <v>33119.237999999998</v>
      </c>
      <c r="I127" s="39">
        <f>'Data Entry Main Plaza'!U127</f>
        <v>81503.451499999996</v>
      </c>
      <c r="J127" s="39">
        <f>'Data Entry Main Plaza'!X127</f>
        <v>15331.4812</v>
      </c>
      <c r="K127" s="39">
        <f>'Data Entry Main Plaza'!AA127</f>
        <v>36374.327700000002</v>
      </c>
      <c r="L127" s="39">
        <f>'Data Entry Main Plaza'!AD127</f>
        <v>116667.3995</v>
      </c>
      <c r="M127" s="39">
        <f>'Data Entry Main Plaza'!AG127</f>
        <v>218817.94990000001</v>
      </c>
      <c r="N127" s="39">
        <f>'Data Entry Main Plaza'!AJ127</f>
        <v>163872.7653</v>
      </c>
      <c r="O127" s="39">
        <f>'Data Entry Main Plaza'!AM127</f>
        <v>71395.876499999998</v>
      </c>
    </row>
    <row r="128" spans="2:15" x14ac:dyDescent="0.15">
      <c r="B128" s="40"/>
      <c r="C128" s="39">
        <f>'Data Entry Main Plaza'!C128</f>
        <v>0</v>
      </c>
      <c r="D128" s="39">
        <f>'Data Entry Main Plaza'!F128</f>
        <v>0</v>
      </c>
      <c r="E128" s="39">
        <f>'Data Entry Main Plaza'!I128</f>
        <v>0</v>
      </c>
      <c r="F128" s="39">
        <f>'Data Entry Main Plaza'!L128</f>
        <v>0</v>
      </c>
      <c r="G128" s="39">
        <f>'Data Entry Main Plaza'!O128</f>
        <v>0</v>
      </c>
      <c r="H128" s="39">
        <f>'Data Entry Main Plaza'!R128</f>
        <v>0</v>
      </c>
      <c r="I128" s="39">
        <f>'Data Entry Main Plaza'!U128</f>
        <v>0</v>
      </c>
      <c r="J128" s="39">
        <f>'Data Entry Main Plaza'!X128</f>
        <v>0</v>
      </c>
      <c r="K128" s="39">
        <f>'Data Entry Main Plaza'!AA128</f>
        <v>0</v>
      </c>
      <c r="L128" s="39">
        <f>'Data Entry Main Plaza'!AD128</f>
        <v>0</v>
      </c>
      <c r="M128" s="39">
        <f>'Data Entry Main Plaza'!AG128</f>
        <v>0</v>
      </c>
      <c r="N128" s="39">
        <f>'Data Entry Main Plaza'!AJ128</f>
        <v>0</v>
      </c>
      <c r="O128" s="39">
        <f>'Data Entry Main Plaza'!AM128</f>
        <v>0</v>
      </c>
    </row>
    <row r="129" spans="2:15" ht="14" x14ac:dyDescent="0.15">
      <c r="B129" s="42" t="s">
        <v>89</v>
      </c>
      <c r="C129" s="39">
        <f>'Data Entry Main Plaza'!C129</f>
        <v>140517.9088</v>
      </c>
      <c r="D129" s="39">
        <f>'Data Entry Main Plaza'!F129</f>
        <v>10608.88</v>
      </c>
      <c r="E129" s="39">
        <f>'Data Entry Main Plaza'!I129</f>
        <v>12999.26</v>
      </c>
      <c r="F129" s="39">
        <f>'Data Entry Main Plaza'!L129</f>
        <v>11300.81</v>
      </c>
      <c r="G129" s="39">
        <f>'Data Entry Main Plaza'!O129</f>
        <v>8520.74</v>
      </c>
      <c r="H129" s="39">
        <f>'Data Entry Main Plaza'!R129</f>
        <v>10343.326499999999</v>
      </c>
      <c r="I129" s="39">
        <f>'Data Entry Main Plaza'!U129</f>
        <v>11831.2191</v>
      </c>
      <c r="J129" s="39">
        <f>'Data Entry Main Plaza'!X129</f>
        <v>9622.5208000000002</v>
      </c>
      <c r="K129" s="39">
        <f>'Data Entry Main Plaza'!AA129</f>
        <v>10354.058000000001</v>
      </c>
      <c r="L129" s="39">
        <f>'Data Entry Main Plaza'!AD129</f>
        <v>13364.177600000001</v>
      </c>
      <c r="M129" s="39">
        <f>'Data Entry Main Plaza'!AG129</f>
        <v>15609.9653</v>
      </c>
      <c r="N129" s="39">
        <f>'Data Entry Main Plaza'!AJ129</f>
        <v>14122.1414</v>
      </c>
      <c r="O129" s="39">
        <f>'Data Entry Main Plaza'!AM129</f>
        <v>11840.810100000001</v>
      </c>
    </row>
    <row r="130" spans="2:15" ht="14" x14ac:dyDescent="0.15">
      <c r="B130" s="38" t="s">
        <v>90</v>
      </c>
      <c r="C130" s="39">
        <f>'Data Entry Main Plaza'!C130</f>
        <v>140517.9088</v>
      </c>
      <c r="D130" s="39">
        <f>'Data Entry Main Plaza'!F130</f>
        <v>10608.88</v>
      </c>
      <c r="E130" s="39">
        <f>'Data Entry Main Plaza'!I130</f>
        <v>12999.26</v>
      </c>
      <c r="F130" s="39">
        <f>'Data Entry Main Plaza'!L130</f>
        <v>11300.81</v>
      </c>
      <c r="G130" s="39">
        <f>'Data Entry Main Plaza'!O130</f>
        <v>8520.74</v>
      </c>
      <c r="H130" s="39">
        <f>'Data Entry Main Plaza'!R130</f>
        <v>10343.326499999999</v>
      </c>
      <c r="I130" s="39">
        <f>'Data Entry Main Plaza'!U130</f>
        <v>11831.2191</v>
      </c>
      <c r="J130" s="39">
        <f>'Data Entry Main Plaza'!X130</f>
        <v>9622.5208000000002</v>
      </c>
      <c r="K130" s="39">
        <f>'Data Entry Main Plaza'!AA130</f>
        <v>10354.058000000001</v>
      </c>
      <c r="L130" s="39">
        <f>'Data Entry Main Plaza'!AD130</f>
        <v>13364.177600000001</v>
      </c>
      <c r="M130" s="39">
        <f>'Data Entry Main Plaza'!AG130</f>
        <v>15609.9653</v>
      </c>
      <c r="N130" s="39">
        <f>'Data Entry Main Plaza'!AJ130</f>
        <v>14122.1414</v>
      </c>
      <c r="O130" s="39">
        <f>'Data Entry Main Plaza'!AM130</f>
        <v>11840.810100000001</v>
      </c>
    </row>
    <row r="131" spans="2:15" ht="14" x14ac:dyDescent="0.15">
      <c r="B131" s="38" t="s">
        <v>91</v>
      </c>
      <c r="C131" s="39">
        <f>'Data Entry Main Plaza'!C131</f>
        <v>0</v>
      </c>
      <c r="D131" s="39">
        <f>'Data Entry Main Plaza'!F131</f>
        <v>0</v>
      </c>
      <c r="E131" s="39">
        <f>'Data Entry Main Plaza'!I131</f>
        <v>0</v>
      </c>
      <c r="F131" s="39">
        <f>'Data Entry Main Plaza'!L131</f>
        <v>0</v>
      </c>
      <c r="G131" s="39">
        <f>'Data Entry Main Plaza'!O131</f>
        <v>0</v>
      </c>
      <c r="H131" s="39">
        <f>'Data Entry Main Plaza'!R131</f>
        <v>0</v>
      </c>
      <c r="I131" s="39">
        <f>'Data Entry Main Plaza'!U131</f>
        <v>0</v>
      </c>
      <c r="J131" s="39">
        <f>'Data Entry Main Plaza'!X131</f>
        <v>0</v>
      </c>
      <c r="K131" s="39">
        <f>'Data Entry Main Plaza'!AA131</f>
        <v>0</v>
      </c>
      <c r="L131" s="39">
        <f>'Data Entry Main Plaza'!AD131</f>
        <v>0</v>
      </c>
      <c r="M131" s="39">
        <f>'Data Entry Main Plaza'!AG131</f>
        <v>0</v>
      </c>
      <c r="N131" s="39">
        <f>'Data Entry Main Plaza'!AJ131</f>
        <v>0</v>
      </c>
      <c r="O131" s="39">
        <f>'Data Entry Main Plaza'!AM131</f>
        <v>0</v>
      </c>
    </row>
    <row r="132" spans="2:15" ht="14" x14ac:dyDescent="0.15">
      <c r="B132" s="38" t="s">
        <v>92</v>
      </c>
      <c r="C132" s="39">
        <f>'Data Entry Main Plaza'!C132</f>
        <v>0</v>
      </c>
      <c r="D132" s="39">
        <f>'Data Entry Main Plaza'!F132</f>
        <v>0</v>
      </c>
      <c r="E132" s="39">
        <f>'Data Entry Main Plaza'!I132</f>
        <v>0</v>
      </c>
      <c r="F132" s="39">
        <f>'Data Entry Main Plaza'!L132</f>
        <v>0</v>
      </c>
      <c r="G132" s="39">
        <f>'Data Entry Main Plaza'!O132</f>
        <v>0</v>
      </c>
      <c r="H132" s="39">
        <f>'Data Entry Main Plaza'!R132</f>
        <v>0</v>
      </c>
      <c r="I132" s="39">
        <f>'Data Entry Main Plaza'!U132</f>
        <v>0</v>
      </c>
      <c r="J132" s="39">
        <f>'Data Entry Main Plaza'!X132</f>
        <v>0</v>
      </c>
      <c r="K132" s="39">
        <f>'Data Entry Main Plaza'!AA132</f>
        <v>0</v>
      </c>
      <c r="L132" s="39">
        <f>'Data Entry Main Plaza'!AD132</f>
        <v>0</v>
      </c>
      <c r="M132" s="39">
        <f>'Data Entry Main Plaza'!AG132</f>
        <v>0</v>
      </c>
      <c r="N132" s="39">
        <f>'Data Entry Main Plaza'!AJ132</f>
        <v>0</v>
      </c>
      <c r="O132" s="39">
        <f>'Data Entry Main Plaza'!AM132</f>
        <v>0</v>
      </c>
    </row>
    <row r="133" spans="2:15" x14ac:dyDescent="0.15">
      <c r="B133" s="40"/>
      <c r="C133" s="39">
        <f>'Data Entry Main Plaza'!C133</f>
        <v>0</v>
      </c>
      <c r="D133" s="39">
        <f>'Data Entry Main Plaza'!F133</f>
        <v>0</v>
      </c>
      <c r="E133" s="39">
        <f>'Data Entry Main Plaza'!I133</f>
        <v>0</v>
      </c>
      <c r="F133" s="39">
        <f>'Data Entry Main Plaza'!L133</f>
        <v>0</v>
      </c>
      <c r="G133" s="39">
        <f>'Data Entry Main Plaza'!O133</f>
        <v>0</v>
      </c>
      <c r="H133" s="39">
        <f>'Data Entry Main Plaza'!R133</f>
        <v>0</v>
      </c>
      <c r="I133" s="39">
        <f>'Data Entry Main Plaza'!U133</f>
        <v>0</v>
      </c>
      <c r="J133" s="39">
        <f>'Data Entry Main Plaza'!X133</f>
        <v>0</v>
      </c>
      <c r="K133" s="39">
        <f>'Data Entry Main Plaza'!AA133</f>
        <v>0</v>
      </c>
      <c r="L133" s="39">
        <f>'Data Entry Main Plaza'!AD133</f>
        <v>0</v>
      </c>
      <c r="M133" s="39">
        <f>'Data Entry Main Plaza'!AG133</f>
        <v>0</v>
      </c>
      <c r="N133" s="39">
        <f>'Data Entry Main Plaza'!AJ133</f>
        <v>0</v>
      </c>
      <c r="O133" s="39">
        <f>'Data Entry Main Plaza'!AM133</f>
        <v>0</v>
      </c>
    </row>
    <row r="134" spans="2:15" ht="14" x14ac:dyDescent="0.15">
      <c r="B134" s="42" t="s">
        <v>93</v>
      </c>
      <c r="C134" s="39">
        <f>'Data Entry Main Plaza'!C134</f>
        <v>529041.25080000004</v>
      </c>
      <c r="D134" s="39">
        <f>'Data Entry Main Plaza'!F134</f>
        <v>-104732.22</v>
      </c>
      <c r="E134" s="39">
        <f>'Data Entry Main Plaza'!I134</f>
        <v>2966.8</v>
      </c>
      <c r="F134" s="39">
        <f>'Data Entry Main Plaza'!L134</f>
        <v>93487.59</v>
      </c>
      <c r="G134" s="39">
        <f>'Data Entry Main Plaza'!O134</f>
        <v>-102675.19</v>
      </c>
      <c r="H134" s="39">
        <f>'Data Entry Main Plaza'!R134</f>
        <v>22775.911499999998</v>
      </c>
      <c r="I134" s="39">
        <f>'Data Entry Main Plaza'!U134</f>
        <v>69672.232399999994</v>
      </c>
      <c r="J134" s="39">
        <f>'Data Entry Main Plaza'!X134</f>
        <v>5708.9603999999999</v>
      </c>
      <c r="K134" s="39">
        <f>'Data Entry Main Plaza'!AA134</f>
        <v>26020.2696</v>
      </c>
      <c r="L134" s="39">
        <f>'Data Entry Main Plaza'!AD134</f>
        <v>103303.2219</v>
      </c>
      <c r="M134" s="39">
        <f>'Data Entry Main Plaza'!AG134</f>
        <v>203207.9847</v>
      </c>
      <c r="N134" s="39">
        <f>'Data Entry Main Plaza'!AJ134</f>
        <v>149750.62390000001</v>
      </c>
      <c r="O134" s="39">
        <f>'Data Entry Main Plaza'!AM134</f>
        <v>59555.066400000003</v>
      </c>
    </row>
    <row r="135" spans="2:15" x14ac:dyDescent="0.15">
      <c r="B135" s="40"/>
      <c r="C135" s="39">
        <f>'Data Entry Main Plaza'!C135</f>
        <v>0</v>
      </c>
      <c r="D135" s="39">
        <f>'Data Entry Main Plaza'!F135</f>
        <v>0</v>
      </c>
      <c r="E135" s="39">
        <f>'Data Entry Main Plaza'!I135</f>
        <v>0</v>
      </c>
      <c r="F135" s="39">
        <f>'Data Entry Main Plaza'!L135</f>
        <v>0</v>
      </c>
      <c r="G135" s="39">
        <f>'Data Entry Main Plaza'!O135</f>
        <v>0</v>
      </c>
      <c r="H135" s="39">
        <f>'Data Entry Main Plaza'!R135</f>
        <v>0</v>
      </c>
      <c r="I135" s="39">
        <f>'Data Entry Main Plaza'!U135</f>
        <v>0</v>
      </c>
      <c r="J135" s="39">
        <f>'Data Entry Main Plaza'!X135</f>
        <v>0</v>
      </c>
      <c r="K135" s="39">
        <f>'Data Entry Main Plaza'!AA135</f>
        <v>0</v>
      </c>
      <c r="L135" s="39">
        <f>'Data Entry Main Plaza'!AD135</f>
        <v>0</v>
      </c>
      <c r="M135" s="39">
        <f>'Data Entry Main Plaza'!AG135</f>
        <v>0</v>
      </c>
      <c r="N135" s="39">
        <f>'Data Entry Main Plaza'!AJ135</f>
        <v>0</v>
      </c>
      <c r="O135" s="39">
        <f>'Data Entry Main Plaza'!AM135</f>
        <v>0</v>
      </c>
    </row>
    <row r="136" spans="2:15" ht="14" x14ac:dyDescent="0.15">
      <c r="B136" s="42" t="s">
        <v>94</v>
      </c>
      <c r="C136" s="39">
        <f>'Data Entry Main Plaza'!C136</f>
        <v>2060391.04</v>
      </c>
      <c r="D136" s="39">
        <f>'Data Entry Main Plaza'!F136</f>
        <v>169819.92</v>
      </c>
      <c r="E136" s="39">
        <f>'Data Entry Main Plaza'!I136</f>
        <v>169819.92</v>
      </c>
      <c r="F136" s="39">
        <f>'Data Entry Main Plaza'!L136</f>
        <v>169887.6</v>
      </c>
      <c r="G136" s="39">
        <f>'Data Entry Main Plaza'!O136</f>
        <v>169887.6</v>
      </c>
      <c r="H136" s="39">
        <f>'Data Entry Main Plaza'!R136</f>
        <v>172622</v>
      </c>
      <c r="I136" s="39">
        <f>'Data Entry Main Plaza'!U136</f>
        <v>172622</v>
      </c>
      <c r="J136" s="39">
        <f>'Data Entry Main Plaza'!X136</f>
        <v>172622</v>
      </c>
      <c r="K136" s="39">
        <f>'Data Entry Main Plaza'!AA136</f>
        <v>172622</v>
      </c>
      <c r="L136" s="39">
        <f>'Data Entry Main Plaza'!AD136</f>
        <v>172622</v>
      </c>
      <c r="M136" s="39">
        <f>'Data Entry Main Plaza'!AG136</f>
        <v>172622</v>
      </c>
      <c r="N136" s="39">
        <f>'Data Entry Main Plaza'!AJ136</f>
        <v>172622</v>
      </c>
      <c r="O136" s="39">
        <f>'Data Entry Main Plaza'!AM136</f>
        <v>172622</v>
      </c>
    </row>
    <row r="137" spans="2:15" ht="14" x14ac:dyDescent="0.15">
      <c r="B137" s="38" t="s">
        <v>95</v>
      </c>
      <c r="C137" s="39">
        <f>'Data Entry Main Plaza'!C137</f>
        <v>2060391.04</v>
      </c>
      <c r="D137" s="39">
        <f>'Data Entry Main Plaza'!F137</f>
        <v>169819.92</v>
      </c>
      <c r="E137" s="39">
        <f>'Data Entry Main Plaza'!I137</f>
        <v>169819.92</v>
      </c>
      <c r="F137" s="39">
        <f>'Data Entry Main Plaza'!L137</f>
        <v>169887.6</v>
      </c>
      <c r="G137" s="39">
        <f>'Data Entry Main Plaza'!O137</f>
        <v>169887.6</v>
      </c>
      <c r="H137" s="39">
        <f>'Data Entry Main Plaza'!R137</f>
        <v>172622</v>
      </c>
      <c r="I137" s="39">
        <f>'Data Entry Main Plaza'!U137</f>
        <v>172622</v>
      </c>
      <c r="J137" s="39">
        <f>'Data Entry Main Plaza'!X137</f>
        <v>172622</v>
      </c>
      <c r="K137" s="39">
        <f>'Data Entry Main Plaza'!AA137</f>
        <v>172622</v>
      </c>
      <c r="L137" s="39">
        <f>'Data Entry Main Plaza'!AD137</f>
        <v>172622</v>
      </c>
      <c r="M137" s="39">
        <f>'Data Entry Main Plaza'!AG137</f>
        <v>172622</v>
      </c>
      <c r="N137" s="39">
        <f>'Data Entry Main Plaza'!AJ137</f>
        <v>172622</v>
      </c>
      <c r="O137" s="39">
        <f>'Data Entry Main Plaza'!AM137</f>
        <v>172622</v>
      </c>
    </row>
    <row r="138" spans="2:15" ht="14" x14ac:dyDescent="0.15">
      <c r="B138" s="38" t="s">
        <v>96</v>
      </c>
      <c r="C138" s="39">
        <f>'Data Entry Main Plaza'!C138</f>
        <v>0</v>
      </c>
      <c r="D138" s="39">
        <f>'Data Entry Main Plaza'!F138</f>
        <v>0</v>
      </c>
      <c r="E138" s="39">
        <f>'Data Entry Main Plaza'!I138</f>
        <v>0</v>
      </c>
      <c r="F138" s="39">
        <f>'Data Entry Main Plaza'!L138</f>
        <v>0</v>
      </c>
      <c r="G138" s="39">
        <f>'Data Entry Main Plaza'!O138</f>
        <v>0</v>
      </c>
      <c r="H138" s="39">
        <f>'Data Entry Main Plaza'!R138</f>
        <v>0</v>
      </c>
      <c r="I138" s="39">
        <f>'Data Entry Main Plaza'!U138</f>
        <v>0</v>
      </c>
      <c r="J138" s="39">
        <f>'Data Entry Main Plaza'!X138</f>
        <v>0</v>
      </c>
      <c r="K138" s="39">
        <f>'Data Entry Main Plaza'!AA138</f>
        <v>0</v>
      </c>
      <c r="L138" s="39">
        <f>'Data Entry Main Plaza'!AD138</f>
        <v>0</v>
      </c>
      <c r="M138" s="39">
        <f>'Data Entry Main Plaza'!AG138</f>
        <v>0</v>
      </c>
      <c r="N138" s="39">
        <f>'Data Entry Main Plaza'!AJ138</f>
        <v>0</v>
      </c>
      <c r="O138" s="39">
        <f>'Data Entry Main Plaza'!AM138</f>
        <v>0</v>
      </c>
    </row>
    <row r="139" spans="2:15" ht="14" x14ac:dyDescent="0.15">
      <c r="B139" s="38" t="s">
        <v>97</v>
      </c>
      <c r="C139" s="39">
        <f>'Data Entry Main Plaza'!C139</f>
        <v>0</v>
      </c>
      <c r="D139" s="39">
        <f>'Data Entry Main Plaza'!F139</f>
        <v>0</v>
      </c>
      <c r="E139" s="39">
        <f>'Data Entry Main Plaza'!I139</f>
        <v>0</v>
      </c>
      <c r="F139" s="39">
        <f>'Data Entry Main Plaza'!L139</f>
        <v>0</v>
      </c>
      <c r="G139" s="39">
        <f>'Data Entry Main Plaza'!O139</f>
        <v>0</v>
      </c>
      <c r="H139" s="39">
        <f>'Data Entry Main Plaza'!R139</f>
        <v>0</v>
      </c>
      <c r="I139" s="39">
        <f>'Data Entry Main Plaza'!U139</f>
        <v>0</v>
      </c>
      <c r="J139" s="39">
        <f>'Data Entry Main Plaza'!X139</f>
        <v>0</v>
      </c>
      <c r="K139" s="39">
        <f>'Data Entry Main Plaza'!AA139</f>
        <v>0</v>
      </c>
      <c r="L139" s="39">
        <f>'Data Entry Main Plaza'!AD139</f>
        <v>0</v>
      </c>
      <c r="M139" s="39">
        <f>'Data Entry Main Plaza'!AG139</f>
        <v>0</v>
      </c>
      <c r="N139" s="39">
        <f>'Data Entry Main Plaza'!AJ139</f>
        <v>0</v>
      </c>
      <c r="O139" s="39">
        <f>'Data Entry Main Plaza'!AM139</f>
        <v>0</v>
      </c>
    </row>
    <row r="140" spans="2:15" x14ac:dyDescent="0.15">
      <c r="B140" s="40"/>
      <c r="C140" s="39">
        <f>'Data Entry Main Plaza'!C140</f>
        <v>0</v>
      </c>
      <c r="D140" s="39">
        <f>'Data Entry Main Plaza'!F140</f>
        <v>0</v>
      </c>
      <c r="E140" s="39">
        <f>'Data Entry Main Plaza'!I140</f>
        <v>0</v>
      </c>
      <c r="F140" s="39">
        <f>'Data Entry Main Plaza'!L140</f>
        <v>0</v>
      </c>
      <c r="G140" s="39">
        <f>'Data Entry Main Plaza'!O140</f>
        <v>0</v>
      </c>
      <c r="H140" s="39">
        <f>'Data Entry Main Plaza'!R140</f>
        <v>0</v>
      </c>
      <c r="I140" s="39">
        <f>'Data Entry Main Plaza'!U140</f>
        <v>0</v>
      </c>
      <c r="J140" s="39">
        <f>'Data Entry Main Plaza'!X140</f>
        <v>0</v>
      </c>
      <c r="K140" s="39">
        <f>'Data Entry Main Plaza'!AA140</f>
        <v>0</v>
      </c>
      <c r="L140" s="39">
        <f>'Data Entry Main Plaza'!AD140</f>
        <v>0</v>
      </c>
      <c r="M140" s="39">
        <f>'Data Entry Main Plaza'!AG140</f>
        <v>0</v>
      </c>
      <c r="N140" s="39">
        <f>'Data Entry Main Plaza'!AJ140</f>
        <v>0</v>
      </c>
      <c r="O140" s="39">
        <f>'Data Entry Main Plaza'!AM140</f>
        <v>0</v>
      </c>
    </row>
    <row r="141" spans="2:15" ht="28" x14ac:dyDescent="0.15">
      <c r="B141" s="42" t="s">
        <v>98</v>
      </c>
      <c r="C141" s="39">
        <f>'Data Entry Main Plaza'!C141</f>
        <v>-1531349.7892</v>
      </c>
      <c r="D141" s="39">
        <f>'Data Entry Main Plaza'!F141</f>
        <v>-274552.14</v>
      </c>
      <c r="E141" s="39">
        <f>'Data Entry Main Plaza'!I141</f>
        <v>-166853.12</v>
      </c>
      <c r="F141" s="39">
        <f>'Data Entry Main Plaza'!L141</f>
        <v>-76400.009999999995</v>
      </c>
      <c r="G141" s="39">
        <f>'Data Entry Main Plaza'!O141</f>
        <v>-272562.78999999998</v>
      </c>
      <c r="H141" s="39">
        <f>'Data Entry Main Plaza'!R141</f>
        <v>-149846.08850000001</v>
      </c>
      <c r="I141" s="39">
        <f>'Data Entry Main Plaza'!U141</f>
        <v>-102949.76760000001</v>
      </c>
      <c r="J141" s="39">
        <f>'Data Entry Main Plaza'!X141</f>
        <v>-166913.03959999999</v>
      </c>
      <c r="K141" s="39">
        <f>'Data Entry Main Plaza'!AA141</f>
        <v>-146601.7304</v>
      </c>
      <c r="L141" s="39">
        <f>'Data Entry Main Plaza'!AD141</f>
        <v>-69318.778099999996</v>
      </c>
      <c r="M141" s="39">
        <f>'Data Entry Main Plaza'!AG141</f>
        <v>30585.984700000001</v>
      </c>
      <c r="N141" s="39">
        <f>'Data Entry Main Plaza'!AJ141</f>
        <v>-22871.376100000001</v>
      </c>
      <c r="O141" s="39">
        <f>'Data Entry Main Plaza'!AM141</f>
        <v>-113066.9336</v>
      </c>
    </row>
    <row r="142" spans="2:15" ht="14" x14ac:dyDescent="0.15">
      <c r="B142" s="38" t="s">
        <v>99</v>
      </c>
      <c r="C142" s="39">
        <f>'Data Entry Main Plaza'!C142</f>
        <v>0</v>
      </c>
      <c r="D142" s="39">
        <f>'Data Entry Main Plaza'!F142</f>
        <v>0</v>
      </c>
      <c r="E142" s="39">
        <f>'Data Entry Main Plaza'!I142</f>
        <v>0</v>
      </c>
      <c r="F142" s="39">
        <f>'Data Entry Main Plaza'!L142</f>
        <v>0</v>
      </c>
      <c r="G142" s="39">
        <f>'Data Entry Main Plaza'!O142</f>
        <v>0</v>
      </c>
      <c r="H142" s="39">
        <f>'Data Entry Main Plaza'!R142</f>
        <v>0</v>
      </c>
      <c r="I142" s="39">
        <f>'Data Entry Main Plaza'!U142</f>
        <v>0</v>
      </c>
      <c r="J142" s="39">
        <f>'Data Entry Main Plaza'!X142</f>
        <v>0</v>
      </c>
      <c r="K142" s="39">
        <f>'Data Entry Main Plaza'!AA142</f>
        <v>0</v>
      </c>
      <c r="L142" s="39">
        <f>'Data Entry Main Plaza'!AD142</f>
        <v>0</v>
      </c>
      <c r="M142" s="39">
        <f>'Data Entry Main Plaza'!AG142</f>
        <v>0</v>
      </c>
      <c r="N142" s="39">
        <f>'Data Entry Main Plaza'!AJ142</f>
        <v>0</v>
      </c>
      <c r="O142" s="39">
        <f>'Data Entry Main Plaza'!AM142</f>
        <v>0</v>
      </c>
    </row>
    <row r="143" spans="2:15" x14ac:dyDescent="0.15">
      <c r="B143" s="40"/>
      <c r="C143" s="39">
        <f>'Data Entry Main Plaza'!C143</f>
        <v>0</v>
      </c>
      <c r="D143" s="39">
        <f>'Data Entry Main Plaza'!F143</f>
        <v>0</v>
      </c>
      <c r="E143" s="39">
        <f>'Data Entry Main Plaza'!I143</f>
        <v>0</v>
      </c>
      <c r="F143" s="39">
        <f>'Data Entry Main Plaza'!L143</f>
        <v>0</v>
      </c>
      <c r="G143" s="39">
        <f>'Data Entry Main Plaza'!O143</f>
        <v>0</v>
      </c>
      <c r="H143" s="39">
        <f>'Data Entry Main Plaza'!R143</f>
        <v>0</v>
      </c>
      <c r="I143" s="39">
        <f>'Data Entry Main Plaza'!U143</f>
        <v>0</v>
      </c>
      <c r="J143" s="39">
        <f>'Data Entry Main Plaza'!X143</f>
        <v>0</v>
      </c>
      <c r="K143" s="39">
        <f>'Data Entry Main Plaza'!AA143</f>
        <v>0</v>
      </c>
      <c r="L143" s="39">
        <f>'Data Entry Main Plaza'!AD143</f>
        <v>0</v>
      </c>
      <c r="M143" s="39">
        <f>'Data Entry Main Plaza'!AG143</f>
        <v>0</v>
      </c>
      <c r="N143" s="39">
        <f>'Data Entry Main Plaza'!AJ143</f>
        <v>0</v>
      </c>
      <c r="O143" s="39">
        <f>'Data Entry Main Plaza'!AM143</f>
        <v>0</v>
      </c>
    </row>
    <row r="144" spans="2:15" ht="14" x14ac:dyDescent="0.15">
      <c r="B144" s="42" t="s">
        <v>100</v>
      </c>
      <c r="C144" s="39">
        <f>'Data Entry Main Plaza'!C144</f>
        <v>-1531349.7892</v>
      </c>
      <c r="D144" s="39">
        <f>'Data Entry Main Plaza'!F144</f>
        <v>-274552.14</v>
      </c>
      <c r="E144" s="39">
        <f>'Data Entry Main Plaza'!I144</f>
        <v>-166853.12</v>
      </c>
      <c r="F144" s="39">
        <f>'Data Entry Main Plaza'!L144</f>
        <v>-76400.009999999995</v>
      </c>
      <c r="G144" s="39">
        <f>'Data Entry Main Plaza'!O144</f>
        <v>-272562.78999999998</v>
      </c>
      <c r="H144" s="39">
        <f>'Data Entry Main Plaza'!R144</f>
        <v>-149846.08850000001</v>
      </c>
      <c r="I144" s="39">
        <f>'Data Entry Main Plaza'!U144</f>
        <v>-102949.76760000001</v>
      </c>
      <c r="J144" s="39">
        <f>'Data Entry Main Plaza'!X144</f>
        <v>-166913.03959999999</v>
      </c>
      <c r="K144" s="39">
        <f>'Data Entry Main Plaza'!AA144</f>
        <v>-146601.7304</v>
      </c>
      <c r="L144" s="39">
        <f>'Data Entry Main Plaza'!AD144</f>
        <v>-69318.778099999996</v>
      </c>
      <c r="M144" s="39">
        <f>'Data Entry Main Plaza'!AG144</f>
        <v>30585.984700000001</v>
      </c>
      <c r="N144" s="39">
        <f>'Data Entry Main Plaza'!AJ144</f>
        <v>-22871.376100000001</v>
      </c>
      <c r="O144" s="39">
        <f>'Data Entry Main Plaza'!AM144</f>
        <v>-113066.9336</v>
      </c>
    </row>
    <row r="145" spans="2:15" ht="14" x14ac:dyDescent="0.15">
      <c r="B145" s="38" t="s">
        <v>101</v>
      </c>
      <c r="C145" s="39">
        <f>'Data Entry Main Plaza'!C145</f>
        <v>0</v>
      </c>
      <c r="D145" s="39">
        <f>'Data Entry Main Plaza'!F145</f>
        <v>0</v>
      </c>
      <c r="E145" s="39">
        <f>'Data Entry Main Plaza'!I145</f>
        <v>0</v>
      </c>
      <c r="F145" s="39">
        <f>'Data Entry Main Plaza'!L145</f>
        <v>0</v>
      </c>
      <c r="G145" s="39">
        <f>'Data Entry Main Plaza'!O145</f>
        <v>0</v>
      </c>
      <c r="H145" s="39">
        <f>'Data Entry Main Plaza'!R145</f>
        <v>0</v>
      </c>
      <c r="I145" s="39">
        <f>'Data Entry Main Plaza'!U145</f>
        <v>0</v>
      </c>
      <c r="J145" s="39">
        <f>'Data Entry Main Plaza'!X145</f>
        <v>0</v>
      </c>
      <c r="K145" s="39">
        <f>'Data Entry Main Plaza'!AA145</f>
        <v>0</v>
      </c>
      <c r="L145" s="39">
        <f>'Data Entry Main Plaza'!AD145</f>
        <v>0</v>
      </c>
      <c r="M145" s="39">
        <f>'Data Entry Main Plaza'!AG145</f>
        <v>0</v>
      </c>
      <c r="N145" s="39">
        <f>'Data Entry Main Plaza'!AJ145</f>
        <v>0</v>
      </c>
      <c r="O145" s="39">
        <f>'Data Entry Main Plaza'!AM145</f>
        <v>0</v>
      </c>
    </row>
    <row r="146" spans="2:15" x14ac:dyDescent="0.15">
      <c r="B146" s="40"/>
      <c r="C146" s="39">
        <f>'Data Entry Main Plaza'!C146</f>
        <v>0</v>
      </c>
      <c r="D146" s="39">
        <f>'Data Entry Main Plaza'!F146</f>
        <v>0</v>
      </c>
      <c r="E146" s="39">
        <f>'Data Entry Main Plaza'!I146</f>
        <v>0</v>
      </c>
      <c r="F146" s="39">
        <f>'Data Entry Main Plaza'!L146</f>
        <v>0</v>
      </c>
      <c r="G146" s="39">
        <f>'Data Entry Main Plaza'!O146</f>
        <v>0</v>
      </c>
      <c r="H146" s="39">
        <f>'Data Entry Main Plaza'!R146</f>
        <v>0</v>
      </c>
      <c r="I146" s="39">
        <f>'Data Entry Main Plaza'!U146</f>
        <v>0</v>
      </c>
      <c r="J146" s="39">
        <f>'Data Entry Main Plaza'!X146</f>
        <v>0</v>
      </c>
      <c r="K146" s="39">
        <f>'Data Entry Main Plaza'!AA146</f>
        <v>0</v>
      </c>
      <c r="L146" s="39">
        <f>'Data Entry Main Plaza'!AD146</f>
        <v>0</v>
      </c>
      <c r="M146" s="39">
        <f>'Data Entry Main Plaza'!AG146</f>
        <v>0</v>
      </c>
      <c r="N146" s="39">
        <f>'Data Entry Main Plaza'!AJ146</f>
        <v>0</v>
      </c>
      <c r="O146" s="39">
        <f>'Data Entry Main Plaza'!AM146</f>
        <v>0</v>
      </c>
    </row>
    <row r="147" spans="2:15" ht="28" x14ac:dyDescent="0.15">
      <c r="B147" s="42" t="s">
        <v>102</v>
      </c>
      <c r="C147" s="39">
        <f>'Data Entry Main Plaza'!C147</f>
        <v>-1531349.7892</v>
      </c>
      <c r="D147" s="39">
        <f>'Data Entry Main Plaza'!F147</f>
        <v>-274552.14</v>
      </c>
      <c r="E147" s="39">
        <f>'Data Entry Main Plaza'!I147</f>
        <v>-166853.12</v>
      </c>
      <c r="F147" s="39">
        <f>'Data Entry Main Plaza'!L147</f>
        <v>-76400.009999999995</v>
      </c>
      <c r="G147" s="39">
        <f>'Data Entry Main Plaza'!O147</f>
        <v>-272562.78999999998</v>
      </c>
      <c r="H147" s="39">
        <f>'Data Entry Main Plaza'!R147</f>
        <v>-149846.08850000001</v>
      </c>
      <c r="I147" s="39">
        <f>'Data Entry Main Plaza'!U147</f>
        <v>-102949.76760000001</v>
      </c>
      <c r="J147" s="39">
        <f>'Data Entry Main Plaza'!X147</f>
        <v>-166913.03959999999</v>
      </c>
      <c r="K147" s="39">
        <f>'Data Entry Main Plaza'!AA147</f>
        <v>-146601.7304</v>
      </c>
      <c r="L147" s="39">
        <f>'Data Entry Main Plaza'!AD147</f>
        <v>-69318.778099999996</v>
      </c>
      <c r="M147" s="39">
        <f>'Data Entry Main Plaza'!AG147</f>
        <v>30585.984700000001</v>
      </c>
      <c r="N147" s="39">
        <f>'Data Entry Main Plaza'!AJ147</f>
        <v>-22871.376100000001</v>
      </c>
      <c r="O147" s="39">
        <f>'Data Entry Main Plaza'!AM147</f>
        <v>-113066.9336</v>
      </c>
    </row>
    <row r="148" spans="2:15" ht="14" x14ac:dyDescent="0.15">
      <c r="B148" s="38" t="s">
        <v>103</v>
      </c>
      <c r="C148" s="39">
        <f>'Data Entry Main Plaza'!C148</f>
        <v>0</v>
      </c>
      <c r="D148" s="39">
        <f>'Data Entry Main Plaza'!F148</f>
        <v>0</v>
      </c>
      <c r="E148" s="39">
        <f>'Data Entry Main Plaza'!I148</f>
        <v>0</v>
      </c>
      <c r="F148" s="39">
        <f>'Data Entry Main Plaza'!L148</f>
        <v>0</v>
      </c>
      <c r="G148" s="39">
        <f>'Data Entry Main Plaza'!O148</f>
        <v>0</v>
      </c>
      <c r="H148" s="39">
        <f>'Data Entry Main Plaza'!R148</f>
        <v>0</v>
      </c>
      <c r="I148" s="39">
        <f>'Data Entry Main Plaza'!U148</f>
        <v>0</v>
      </c>
      <c r="J148" s="39">
        <f>'Data Entry Main Plaza'!X148</f>
        <v>0</v>
      </c>
      <c r="K148" s="39">
        <f>'Data Entry Main Plaza'!AA148</f>
        <v>0</v>
      </c>
      <c r="L148" s="39">
        <f>'Data Entry Main Plaza'!AD148</f>
        <v>0</v>
      </c>
      <c r="M148" s="39">
        <f>'Data Entry Main Plaza'!AG148</f>
        <v>0</v>
      </c>
      <c r="N148" s="39">
        <f>'Data Entry Main Plaza'!AJ148</f>
        <v>0</v>
      </c>
      <c r="O148" s="39">
        <f>'Data Entry Main Plaza'!AM148</f>
        <v>0</v>
      </c>
    </row>
    <row r="149" spans="2:15" x14ac:dyDescent="0.15">
      <c r="B149" s="40"/>
      <c r="C149" s="39">
        <f>'Data Entry Main Plaza'!C149</f>
        <v>0</v>
      </c>
      <c r="D149" s="39">
        <f>'Data Entry Main Plaza'!F149</f>
        <v>0</v>
      </c>
      <c r="E149" s="39">
        <f>'Data Entry Main Plaza'!I149</f>
        <v>0</v>
      </c>
      <c r="F149" s="39">
        <f>'Data Entry Main Plaza'!L149</f>
        <v>0</v>
      </c>
      <c r="G149" s="39">
        <f>'Data Entry Main Plaza'!O149</f>
        <v>0</v>
      </c>
      <c r="H149" s="39">
        <f>'Data Entry Main Plaza'!R149</f>
        <v>0</v>
      </c>
      <c r="I149" s="39">
        <f>'Data Entry Main Plaza'!U149</f>
        <v>0</v>
      </c>
      <c r="J149" s="39">
        <f>'Data Entry Main Plaza'!X149</f>
        <v>0</v>
      </c>
      <c r="K149" s="39">
        <f>'Data Entry Main Plaza'!AA149</f>
        <v>0</v>
      </c>
      <c r="L149" s="39">
        <f>'Data Entry Main Plaza'!AD149</f>
        <v>0</v>
      </c>
      <c r="M149" s="39">
        <f>'Data Entry Main Plaza'!AG149</f>
        <v>0</v>
      </c>
      <c r="N149" s="39">
        <f>'Data Entry Main Plaza'!AJ149</f>
        <v>0</v>
      </c>
      <c r="O149" s="39">
        <f>'Data Entry Main Plaza'!AM149</f>
        <v>0</v>
      </c>
    </row>
    <row r="150" spans="2:15" ht="14" x14ac:dyDescent="0.15">
      <c r="B150" s="42" t="s">
        <v>104</v>
      </c>
      <c r="C150" s="39">
        <f>'Data Entry Main Plaza'!C150</f>
        <v>-1531349.7892</v>
      </c>
      <c r="D150" s="39">
        <f>'Data Entry Main Plaza'!F150</f>
        <v>-274552.14</v>
      </c>
      <c r="E150" s="39">
        <f>'Data Entry Main Plaza'!I150</f>
        <v>-166853.12</v>
      </c>
      <c r="F150" s="39">
        <f>'Data Entry Main Plaza'!L150</f>
        <v>-76400.009999999995</v>
      </c>
      <c r="G150" s="39">
        <f>'Data Entry Main Plaza'!O150</f>
        <v>-272562.78999999998</v>
      </c>
      <c r="H150" s="39">
        <f>'Data Entry Main Plaza'!R150</f>
        <v>-149846.08850000001</v>
      </c>
      <c r="I150" s="39">
        <f>'Data Entry Main Plaza'!U150</f>
        <v>-102949.76760000001</v>
      </c>
      <c r="J150" s="39">
        <f>'Data Entry Main Plaza'!X150</f>
        <v>-166913.03959999999</v>
      </c>
      <c r="K150" s="39">
        <f>'Data Entry Main Plaza'!AA150</f>
        <v>-146601.7304</v>
      </c>
      <c r="L150" s="39">
        <f>'Data Entry Main Plaza'!AD150</f>
        <v>-69318.778099999996</v>
      </c>
      <c r="M150" s="39">
        <f>'Data Entry Main Plaza'!AG150</f>
        <v>30585.984700000001</v>
      </c>
      <c r="N150" s="39">
        <f>'Data Entry Main Plaza'!AJ150</f>
        <v>-22871.376100000001</v>
      </c>
      <c r="O150" s="39">
        <f>'Data Entry Main Plaza'!AM150</f>
        <v>-113066.9336</v>
      </c>
    </row>
    <row r="151" spans="2:15" x14ac:dyDescent="0.15">
      <c r="B151" s="40"/>
      <c r="C151" s="39">
        <f>'Data Entry Main Plaza'!C151</f>
        <v>0</v>
      </c>
      <c r="D151" s="39">
        <f>'Data Entry Main Plaza'!F151</f>
        <v>0</v>
      </c>
      <c r="E151" s="39">
        <f>'Data Entry Main Plaza'!I151</f>
        <v>0</v>
      </c>
      <c r="F151" s="39">
        <f>'Data Entry Main Plaza'!L151</f>
        <v>0</v>
      </c>
      <c r="G151" s="39">
        <f>'Data Entry Main Plaza'!O151</f>
        <v>0</v>
      </c>
      <c r="H151" s="39">
        <f>'Data Entry Main Plaza'!R151</f>
        <v>0</v>
      </c>
      <c r="I151" s="39">
        <f>'Data Entry Main Plaza'!U151</f>
        <v>0</v>
      </c>
      <c r="J151" s="39">
        <f>'Data Entry Main Plaza'!X151</f>
        <v>0</v>
      </c>
      <c r="K151" s="39">
        <f>'Data Entry Main Plaza'!AA151</f>
        <v>0</v>
      </c>
      <c r="L151" s="39">
        <f>'Data Entry Main Plaza'!AD151</f>
        <v>0</v>
      </c>
      <c r="M151" s="39">
        <f>'Data Entry Main Plaza'!AG151</f>
        <v>0</v>
      </c>
      <c r="N151" s="39">
        <f>'Data Entry Main Plaza'!AJ151</f>
        <v>0</v>
      </c>
      <c r="O151" s="39">
        <f>'Data Entry Main Plaza'!AM151</f>
        <v>0</v>
      </c>
    </row>
    <row r="152" spans="2:15" ht="14" x14ac:dyDescent="0.15">
      <c r="B152" s="44" t="s">
        <v>105</v>
      </c>
      <c r="C152" s="39">
        <f>'Data Entry Main Plaza'!C152</f>
        <v>0</v>
      </c>
      <c r="D152" s="39">
        <f>'Data Entry Main Plaza'!F152</f>
        <v>0</v>
      </c>
      <c r="E152" s="39">
        <f>'Data Entry Main Plaza'!I152</f>
        <v>0</v>
      </c>
      <c r="F152" s="39">
        <f>'Data Entry Main Plaza'!L152</f>
        <v>0</v>
      </c>
      <c r="G152" s="39">
        <f>'Data Entry Main Plaza'!O152</f>
        <v>0</v>
      </c>
      <c r="H152" s="39">
        <f>'Data Entry Main Plaza'!R152</f>
        <v>0</v>
      </c>
      <c r="I152" s="39">
        <f>'Data Entry Main Plaza'!U152</f>
        <v>0</v>
      </c>
      <c r="J152" s="39">
        <f>'Data Entry Main Plaza'!X152</f>
        <v>0</v>
      </c>
      <c r="K152" s="39">
        <f>'Data Entry Main Plaza'!AA152</f>
        <v>0</v>
      </c>
      <c r="L152" s="39">
        <f>'Data Entry Main Plaza'!AD152</f>
        <v>0</v>
      </c>
      <c r="M152" s="39">
        <f>'Data Entry Main Plaza'!AG152</f>
        <v>0</v>
      </c>
      <c r="N152" s="39">
        <f>'Data Entry Main Plaza'!AJ152</f>
        <v>0</v>
      </c>
      <c r="O152" s="39">
        <f>'Data Entry Main Plaza'!AM152</f>
        <v>0</v>
      </c>
    </row>
    <row r="153" spans="2:15" ht="14" x14ac:dyDescent="0.15">
      <c r="B153" s="38" t="s">
        <v>106</v>
      </c>
      <c r="C153" s="39">
        <f>'Data Entry Main Plaza'!C153</f>
        <v>-1499349.7892</v>
      </c>
      <c r="D153" s="39">
        <f>'Data Entry Main Plaza'!F153</f>
        <v>-274552.14</v>
      </c>
      <c r="E153" s="39">
        <f>'Data Entry Main Plaza'!I153</f>
        <v>-166853.12</v>
      </c>
      <c r="F153" s="39">
        <f>'Data Entry Main Plaza'!L153</f>
        <v>-76400.009999999995</v>
      </c>
      <c r="G153" s="39">
        <f>'Data Entry Main Plaza'!O153</f>
        <v>-272562.78999999998</v>
      </c>
      <c r="H153" s="39">
        <f>'Data Entry Main Plaza'!R153</f>
        <v>-145846.08850000001</v>
      </c>
      <c r="I153" s="39">
        <f>'Data Entry Main Plaza'!U153</f>
        <v>-98949.767600000006</v>
      </c>
      <c r="J153" s="39">
        <f>'Data Entry Main Plaza'!X153</f>
        <v>-162913.03959999999</v>
      </c>
      <c r="K153" s="39">
        <f>'Data Entry Main Plaza'!AA153</f>
        <v>-142601.7304</v>
      </c>
      <c r="L153" s="39">
        <f>'Data Entry Main Plaza'!AD153</f>
        <v>-65318.778100000003</v>
      </c>
      <c r="M153" s="39">
        <f>'Data Entry Main Plaza'!AG153</f>
        <v>34585.984700000001</v>
      </c>
      <c r="N153" s="39">
        <f>'Data Entry Main Plaza'!AJ153</f>
        <v>-18871.376100000001</v>
      </c>
      <c r="O153" s="39">
        <f>'Data Entry Main Plaza'!AM153</f>
        <v>-109066.9336</v>
      </c>
    </row>
    <row r="154" spans="2:15" ht="14" x14ac:dyDescent="0.15">
      <c r="B154" s="38" t="s">
        <v>107</v>
      </c>
      <c r="C154" s="39">
        <f>'Data Entry Main Plaza'!C154</f>
        <v>-1531349.7892</v>
      </c>
      <c r="D154" s="39">
        <f>'Data Entry Main Plaza'!F154</f>
        <v>-274552.14</v>
      </c>
      <c r="E154" s="39">
        <f>'Data Entry Main Plaza'!I154</f>
        <v>-166853.12</v>
      </c>
      <c r="F154" s="39">
        <f>'Data Entry Main Plaza'!L154</f>
        <v>-76400.009999999995</v>
      </c>
      <c r="G154" s="39">
        <f>'Data Entry Main Plaza'!O154</f>
        <v>-272562.78999999998</v>
      </c>
      <c r="H154" s="39">
        <f>'Data Entry Main Plaza'!R154</f>
        <v>-149846.08850000001</v>
      </c>
      <c r="I154" s="39">
        <f>'Data Entry Main Plaza'!U154</f>
        <v>-102949.76760000001</v>
      </c>
      <c r="J154" s="39">
        <f>'Data Entry Main Plaza'!X154</f>
        <v>-166913.03959999999</v>
      </c>
      <c r="K154" s="39">
        <f>'Data Entry Main Plaza'!AA154</f>
        <v>-146601.7304</v>
      </c>
      <c r="L154" s="39">
        <f>'Data Entry Main Plaza'!AD154</f>
        <v>-69318.778099999996</v>
      </c>
      <c r="M154" s="39">
        <f>'Data Entry Main Plaza'!AG154</f>
        <v>30585.984700000001</v>
      </c>
      <c r="N154" s="39">
        <f>'Data Entry Main Plaza'!AJ154</f>
        <v>-22871.376100000001</v>
      </c>
      <c r="O154" s="39">
        <f>'Data Entry Main Plaza'!AM154</f>
        <v>-113066.9336</v>
      </c>
    </row>
    <row r="155" spans="2:15" ht="14" x14ac:dyDescent="0.15">
      <c r="B155" s="42" t="s">
        <v>108</v>
      </c>
      <c r="C155" s="39">
        <f>'Data Entry Main Plaza'!C155</f>
        <v>224622.31839999999</v>
      </c>
      <c r="D155" s="39">
        <f>'Data Entry Main Plaza'!F155</f>
        <v>17681.46</v>
      </c>
      <c r="E155" s="39">
        <f>'Data Entry Main Plaza'!I155</f>
        <v>21665.439999999999</v>
      </c>
      <c r="F155" s="39">
        <f>'Data Entry Main Plaza'!L155</f>
        <v>22601.61</v>
      </c>
      <c r="G155" s="39">
        <f>'Data Entry Main Plaza'!O155</f>
        <v>17041.48</v>
      </c>
      <c r="H155" s="39">
        <f>'Data Entry Main Plaza'!R155</f>
        <v>15514.989799999999</v>
      </c>
      <c r="I155" s="39">
        <f>'Data Entry Main Plaza'!U155</f>
        <v>17746.828699999998</v>
      </c>
      <c r="J155" s="39">
        <f>'Data Entry Main Plaza'!X155</f>
        <v>14433.781300000001</v>
      </c>
      <c r="K155" s="39">
        <f>'Data Entry Main Plaza'!AA155</f>
        <v>15531.087</v>
      </c>
      <c r="L155" s="39">
        <f>'Data Entry Main Plaza'!AD155</f>
        <v>20046.266500000002</v>
      </c>
      <c r="M155" s="39">
        <f>'Data Entry Main Plaza'!AG155</f>
        <v>23414.947899999999</v>
      </c>
      <c r="N155" s="39">
        <f>'Data Entry Main Plaza'!AJ155</f>
        <v>21183.212100000001</v>
      </c>
      <c r="O155" s="39">
        <f>'Data Entry Main Plaza'!AM155</f>
        <v>17761.215100000001</v>
      </c>
    </row>
    <row r="156" spans="2:15" ht="14" x14ac:dyDescent="0.15">
      <c r="B156" s="38" t="s">
        <v>109</v>
      </c>
      <c r="C156" s="39">
        <f>'Data Entry Main Plaza'!C156</f>
        <v>0</v>
      </c>
      <c r="D156" s="39">
        <f>'Data Entry Main Plaza'!F156</f>
        <v>0</v>
      </c>
      <c r="E156" s="39">
        <f>'Data Entry Main Plaza'!I156</f>
        <v>0</v>
      </c>
      <c r="F156" s="39">
        <f>'Data Entry Main Plaza'!L156</f>
        <v>0</v>
      </c>
      <c r="G156" s="39">
        <f>'Data Entry Main Plaza'!O156</f>
        <v>0</v>
      </c>
      <c r="H156" s="39">
        <f>'Data Entry Main Plaza'!R156</f>
        <v>0</v>
      </c>
      <c r="I156" s="39">
        <f>'Data Entry Main Plaza'!U156</f>
        <v>0</v>
      </c>
      <c r="J156" s="39">
        <f>'Data Entry Main Plaza'!X156</f>
        <v>0</v>
      </c>
      <c r="K156" s="39">
        <f>'Data Entry Main Plaza'!AA156</f>
        <v>0</v>
      </c>
      <c r="L156" s="39">
        <f>'Data Entry Main Plaza'!AD156</f>
        <v>0</v>
      </c>
      <c r="M156" s="39">
        <f>'Data Entry Main Plaza'!AG156</f>
        <v>0</v>
      </c>
      <c r="N156" s="39">
        <f>'Data Entry Main Plaza'!AJ156</f>
        <v>0</v>
      </c>
      <c r="O156" s="39">
        <f>'Data Entry Main Plaza'!AM156</f>
        <v>0</v>
      </c>
    </row>
    <row r="157" spans="2:15" ht="14" x14ac:dyDescent="0.15">
      <c r="B157" s="38" t="s">
        <v>110</v>
      </c>
      <c r="C157" s="39">
        <f>'Data Entry Main Plaza'!C157</f>
        <v>0</v>
      </c>
      <c r="D157" s="39">
        <f>'Data Entry Main Plaza'!F157</f>
        <v>0</v>
      </c>
      <c r="E157" s="39">
        <f>'Data Entry Main Plaza'!I157</f>
        <v>0</v>
      </c>
      <c r="F157" s="39">
        <f>'Data Entry Main Plaza'!L157</f>
        <v>0</v>
      </c>
      <c r="G157" s="39">
        <f>'Data Entry Main Plaza'!O157</f>
        <v>0</v>
      </c>
      <c r="H157" s="39">
        <f>'Data Entry Main Plaza'!R157</f>
        <v>0</v>
      </c>
      <c r="I157" s="39">
        <f>'Data Entry Main Plaza'!U157</f>
        <v>0</v>
      </c>
      <c r="J157" s="39">
        <f>'Data Entry Main Plaza'!X157</f>
        <v>0</v>
      </c>
      <c r="K157" s="39">
        <f>'Data Entry Main Plaza'!AA157</f>
        <v>0</v>
      </c>
      <c r="L157" s="39">
        <f>'Data Entry Main Plaza'!AD157</f>
        <v>0</v>
      </c>
      <c r="M157" s="39">
        <f>'Data Entry Main Plaza'!AG157</f>
        <v>0</v>
      </c>
      <c r="N157" s="39">
        <f>'Data Entry Main Plaza'!AJ157</f>
        <v>0</v>
      </c>
      <c r="O157" s="39">
        <f>'Data Entry Main Plaza'!AM157</f>
        <v>0</v>
      </c>
    </row>
    <row r="158" spans="2:15" ht="14" x14ac:dyDescent="0.15">
      <c r="B158" s="38" t="s">
        <v>111</v>
      </c>
      <c r="C158" s="39">
        <f>'Data Entry Main Plaza'!C158</f>
        <v>66324.259399999995</v>
      </c>
      <c r="D158" s="39">
        <f>'Data Entry Main Plaza'!F158</f>
        <v>3536.29</v>
      </c>
      <c r="E158" s="39">
        <f>'Data Entry Main Plaza'!I158</f>
        <v>4333.09</v>
      </c>
      <c r="F158" s="39">
        <f>'Data Entry Main Plaza'!L158</f>
        <v>5650.4</v>
      </c>
      <c r="G158" s="39">
        <f>'Data Entry Main Plaza'!O158</f>
        <v>4260.37</v>
      </c>
      <c r="H158" s="39">
        <f>'Data Entry Main Plaza'!R158</f>
        <v>5171.6633000000002</v>
      </c>
      <c r="I158" s="39">
        <f>'Data Entry Main Plaza'!U158</f>
        <v>5915.6095999999998</v>
      </c>
      <c r="J158" s="39">
        <f>'Data Entry Main Plaza'!X158</f>
        <v>4811.2604000000001</v>
      </c>
      <c r="K158" s="39">
        <f>'Data Entry Main Plaza'!AA158</f>
        <v>5177.0290000000005</v>
      </c>
      <c r="L158" s="39">
        <f>'Data Entry Main Plaza'!AD158</f>
        <v>6682.0888000000004</v>
      </c>
      <c r="M158" s="39">
        <f>'Data Entry Main Plaza'!AG158</f>
        <v>7804.9826000000003</v>
      </c>
      <c r="N158" s="39">
        <f>'Data Entry Main Plaza'!AJ158</f>
        <v>7061.0707000000002</v>
      </c>
      <c r="O158" s="39">
        <f>'Data Entry Main Plaza'!AM158</f>
        <v>5920.4049999999997</v>
      </c>
    </row>
    <row r="159" spans="2:15" ht="14" x14ac:dyDescent="0.15">
      <c r="B159" s="38" t="s">
        <v>112</v>
      </c>
      <c r="C159" s="39">
        <f>'Data Entry Main Plaza'!C159</f>
        <v>35626.867299999998</v>
      </c>
      <c r="D159" s="39">
        <f>'Data Entry Main Plaza'!F159</f>
        <v>-8496.5499999999993</v>
      </c>
      <c r="E159" s="39">
        <f>'Data Entry Main Plaza'!I159</f>
        <v>-2341.8200000000002</v>
      </c>
      <c r="F159" s="39">
        <f>'Data Entry Main Plaza'!L159</f>
        <v>-6884.69</v>
      </c>
      <c r="G159" s="39">
        <f>'Data Entry Main Plaza'!O159</f>
        <v>-8332.68</v>
      </c>
      <c r="H159" s="39">
        <f>'Data Entry Main Plaza'!R159</f>
        <v>6045.8472000000002</v>
      </c>
      <c r="I159" s="39">
        <f>'Data Entry Main Plaza'!U159</f>
        <v>7181.9034000000001</v>
      </c>
      <c r="J159" s="39">
        <f>'Data Entry Main Plaza'!X159</f>
        <v>4811.2604000000001</v>
      </c>
      <c r="K159" s="39">
        <f>'Data Entry Main Plaza'!AA159</f>
        <v>5350.1005999999998</v>
      </c>
      <c r="L159" s="39">
        <f>'Data Entry Main Plaza'!AD159</f>
        <v>9091.8421999999991</v>
      </c>
      <c r="M159" s="39">
        <f>'Data Entry Main Plaza'!AG159</f>
        <v>11970.848599999999</v>
      </c>
      <c r="N159" s="39">
        <f>'Data Entry Main Plaza'!AJ159</f>
        <v>10036.270500000001</v>
      </c>
      <c r="O159" s="39">
        <f>'Data Entry Main Plaza'!AM159</f>
        <v>7194.5343999999996</v>
      </c>
    </row>
    <row r="160" spans="2:15" ht="14" x14ac:dyDescent="0.15">
      <c r="B160" s="38" t="s">
        <v>113</v>
      </c>
      <c r="C160" s="39">
        <f>'Data Entry Main Plaza'!C160</f>
        <v>140517.9088</v>
      </c>
      <c r="D160" s="39">
        <f>'Data Entry Main Plaza'!F160</f>
        <v>10608.88</v>
      </c>
      <c r="E160" s="39">
        <f>'Data Entry Main Plaza'!I160</f>
        <v>12999.26</v>
      </c>
      <c r="F160" s="39">
        <f>'Data Entry Main Plaza'!L160</f>
        <v>11300.81</v>
      </c>
      <c r="G160" s="39">
        <f>'Data Entry Main Plaza'!O160</f>
        <v>8520.74</v>
      </c>
      <c r="H160" s="39">
        <f>'Data Entry Main Plaza'!R160</f>
        <v>10343.326499999999</v>
      </c>
      <c r="I160" s="39">
        <f>'Data Entry Main Plaza'!U160</f>
        <v>11831.2191</v>
      </c>
      <c r="J160" s="39">
        <f>'Data Entry Main Plaza'!X160</f>
        <v>9622.5208000000002</v>
      </c>
      <c r="K160" s="39">
        <f>'Data Entry Main Plaza'!AA160</f>
        <v>10354.058000000001</v>
      </c>
      <c r="L160" s="39">
        <f>'Data Entry Main Plaza'!AD160</f>
        <v>13364.177600000001</v>
      </c>
      <c r="M160" s="39">
        <f>'Data Entry Main Plaza'!AG160</f>
        <v>15609.9653</v>
      </c>
      <c r="N160" s="39">
        <f>'Data Entry Main Plaza'!AJ160</f>
        <v>14122.1414</v>
      </c>
      <c r="O160" s="39">
        <f>'Data Entry Main Plaza'!AM160</f>
        <v>11840.810100000001</v>
      </c>
    </row>
    <row r="161" spans="2:15" ht="14" x14ac:dyDescent="0.15">
      <c r="B161" s="38" t="s">
        <v>114</v>
      </c>
      <c r="C161" s="39">
        <f>'Data Entry Main Plaza'!C161</f>
        <v>17780.150000000001</v>
      </c>
      <c r="D161" s="39">
        <f>'Data Entry Main Plaza'!F161</f>
        <v>3536.29</v>
      </c>
      <c r="E161" s="39">
        <f>'Data Entry Main Plaza'!I161</f>
        <v>4333.09</v>
      </c>
      <c r="F161" s="39">
        <f>'Data Entry Main Plaza'!L161</f>
        <v>5650.4</v>
      </c>
      <c r="G161" s="39">
        <f>'Data Entry Main Plaza'!O161</f>
        <v>4260.37</v>
      </c>
      <c r="H161" s="39">
        <f>'Data Entry Main Plaza'!R161</f>
        <v>0</v>
      </c>
      <c r="I161" s="39">
        <f>'Data Entry Main Plaza'!U161</f>
        <v>0</v>
      </c>
      <c r="J161" s="39">
        <f>'Data Entry Main Plaza'!X161</f>
        <v>0</v>
      </c>
      <c r="K161" s="39">
        <f>'Data Entry Main Plaza'!AA161</f>
        <v>0</v>
      </c>
      <c r="L161" s="39">
        <f>'Data Entry Main Plaza'!AD161</f>
        <v>0</v>
      </c>
      <c r="M161" s="39">
        <f>'Data Entry Main Plaza'!AG161</f>
        <v>0</v>
      </c>
      <c r="N161" s="39">
        <f>'Data Entry Main Plaza'!AJ161</f>
        <v>0</v>
      </c>
      <c r="O161" s="39">
        <f>'Data Entry Main Plaza'!AM161</f>
        <v>0</v>
      </c>
    </row>
    <row r="162" spans="2:15" ht="14" x14ac:dyDescent="0.15">
      <c r="B162" s="42" t="s">
        <v>115</v>
      </c>
      <c r="C162" s="39">
        <f>'Data Entry Main Plaza'!C162</f>
        <v>354381.14870000002</v>
      </c>
      <c r="D162" s="39">
        <f>'Data Entry Main Plaza'!F162</f>
        <v>22377.84</v>
      </c>
      <c r="E162" s="39">
        <f>'Data Entry Main Plaza'!I162</f>
        <v>27277.31</v>
      </c>
      <c r="F162" s="39">
        <f>'Data Entry Main Plaza'!L162</f>
        <v>25238.87</v>
      </c>
      <c r="G162" s="39">
        <f>'Data Entry Main Plaza'!O162</f>
        <v>29223.64</v>
      </c>
      <c r="H162" s="39">
        <f>'Data Entry Main Plaza'!R162</f>
        <v>29169.027099999999</v>
      </c>
      <c r="I162" s="39">
        <f>'Data Entry Main Plaza'!U162</f>
        <v>29191.376700000001</v>
      </c>
      <c r="J162" s="39">
        <f>'Data Entry Main Plaza'!X162</f>
        <v>25303.510200000001</v>
      </c>
      <c r="K162" s="39">
        <f>'Data Entry Main Plaza'!AA162</f>
        <v>27393.6145</v>
      </c>
      <c r="L162" s="39">
        <f>'Data Entry Main Plaza'!AD162</f>
        <v>33164.106500000002</v>
      </c>
      <c r="M162" s="39">
        <f>'Data Entry Main Plaza'!AG162</f>
        <v>41372.995799999997</v>
      </c>
      <c r="N162" s="39">
        <f>'Data Entry Main Plaza'!AJ162</f>
        <v>35465.275399999999</v>
      </c>
      <c r="O162" s="39">
        <f>'Data Entry Main Plaza'!AM162</f>
        <v>29203.5825</v>
      </c>
    </row>
    <row r="163" spans="2:15" ht="14" x14ac:dyDescent="0.15">
      <c r="B163" s="38" t="s">
        <v>116</v>
      </c>
      <c r="C163" s="39">
        <f>'Data Entry Main Plaza'!C163</f>
        <v>158422.05470000001</v>
      </c>
      <c r="D163" s="39">
        <f>'Data Entry Main Plaza'!F163</f>
        <v>8997.14</v>
      </c>
      <c r="E163" s="39">
        <f>'Data Entry Main Plaza'!I163</f>
        <v>13112.08</v>
      </c>
      <c r="F163" s="39">
        <f>'Data Entry Main Plaza'!L163</f>
        <v>13846.35</v>
      </c>
      <c r="G163" s="39">
        <f>'Data Entry Main Plaza'!O163</f>
        <v>8358.94</v>
      </c>
      <c r="H163" s="39">
        <f>'Data Entry Main Plaza'!R163</f>
        <v>13312.9473</v>
      </c>
      <c r="I163" s="39">
        <f>'Data Entry Main Plaza'!U163</f>
        <v>13083.3336</v>
      </c>
      <c r="J163" s="39">
        <f>'Data Entry Main Plaza'!X163</f>
        <v>11118.555</v>
      </c>
      <c r="K163" s="39">
        <f>'Data Entry Main Plaza'!AA163</f>
        <v>12231.1</v>
      </c>
      <c r="L163" s="39">
        <f>'Data Entry Main Plaza'!AD163</f>
        <v>15194.7029</v>
      </c>
      <c r="M163" s="39">
        <f>'Data Entry Main Plaza'!AG163</f>
        <v>19655.710899999998</v>
      </c>
      <c r="N163" s="39">
        <f>'Data Entry Main Plaza'!AJ163</f>
        <v>16426.514999999999</v>
      </c>
      <c r="O163" s="39">
        <f>'Data Entry Main Plaza'!AM163</f>
        <v>13084.68</v>
      </c>
    </row>
    <row r="164" spans="2:15" ht="14" x14ac:dyDescent="0.15">
      <c r="B164" s="38" t="s">
        <v>117</v>
      </c>
      <c r="C164" s="39">
        <f>'Data Entry Main Plaza'!C164</f>
        <v>106641.6591</v>
      </c>
      <c r="D164" s="39">
        <f>'Data Entry Main Plaza'!F164</f>
        <v>5140.22</v>
      </c>
      <c r="E164" s="39">
        <f>'Data Entry Main Plaza'!I164</f>
        <v>9456.4599999999991</v>
      </c>
      <c r="F164" s="39">
        <f>'Data Entry Main Plaza'!L164</f>
        <v>7912.2</v>
      </c>
      <c r="G164" s="39">
        <f>'Data Entry Main Plaza'!O164</f>
        <v>8336.89</v>
      </c>
      <c r="H164" s="39">
        <f>'Data Entry Main Plaza'!R164</f>
        <v>8759.2481000000007</v>
      </c>
      <c r="I164" s="39">
        <f>'Data Entry Main Plaza'!U164</f>
        <v>8639.2383000000009</v>
      </c>
      <c r="J164" s="39">
        <f>'Data Entry Main Plaza'!X164</f>
        <v>7268.3249999999998</v>
      </c>
      <c r="K164" s="39">
        <f>'Data Entry Main Plaza'!AA164</f>
        <v>8063</v>
      </c>
      <c r="L164" s="39">
        <f>'Data Entry Main Plaza'!AD164</f>
        <v>10117.359200000001</v>
      </c>
      <c r="M164" s="39">
        <f>'Data Entry Main Plaza'!AG164</f>
        <v>13303.7935</v>
      </c>
      <c r="N164" s="39">
        <f>'Data Entry Main Plaza'!AJ164</f>
        <v>10997.225</v>
      </c>
      <c r="O164" s="39">
        <f>'Data Entry Main Plaza'!AM164</f>
        <v>8647.7000000000007</v>
      </c>
    </row>
    <row r="165" spans="2:15" ht="14" x14ac:dyDescent="0.15">
      <c r="B165" s="38" t="s">
        <v>118</v>
      </c>
      <c r="C165" s="39">
        <f>'Data Entry Main Plaza'!C165</f>
        <v>49451.22</v>
      </c>
      <c r="D165" s="39">
        <f>'Data Entry Main Plaza'!F165</f>
        <v>6451.52</v>
      </c>
      <c r="E165" s="39">
        <f>'Data Entry Main Plaza'!I165</f>
        <v>-206.84</v>
      </c>
      <c r="F165" s="39">
        <f>'Data Entry Main Plaza'!L165</f>
        <v>949.46</v>
      </c>
      <c r="G165" s="39">
        <f>'Data Entry Main Plaza'!O165</f>
        <v>6169.08</v>
      </c>
      <c r="H165" s="39">
        <f>'Data Entry Main Plaza'!R165</f>
        <v>4511</v>
      </c>
      <c r="I165" s="39">
        <f>'Data Entry Main Plaza'!U165</f>
        <v>4511</v>
      </c>
      <c r="J165" s="39">
        <f>'Data Entry Main Plaza'!X165</f>
        <v>4511</v>
      </c>
      <c r="K165" s="39">
        <f>'Data Entry Main Plaza'!AA165</f>
        <v>4511</v>
      </c>
      <c r="L165" s="39">
        <f>'Data Entry Main Plaza'!AD165</f>
        <v>4511</v>
      </c>
      <c r="M165" s="39">
        <f>'Data Entry Main Plaza'!AG165</f>
        <v>4511</v>
      </c>
      <c r="N165" s="39">
        <f>'Data Entry Main Plaza'!AJ165</f>
        <v>4511</v>
      </c>
      <c r="O165" s="39">
        <f>'Data Entry Main Plaza'!AM165</f>
        <v>4511</v>
      </c>
    </row>
    <row r="166" spans="2:15" ht="14" x14ac:dyDescent="0.15">
      <c r="B166" s="38" t="s">
        <v>119</v>
      </c>
      <c r="C166" s="39">
        <f>'Data Entry Main Plaza'!C166</f>
        <v>39866.214699999997</v>
      </c>
      <c r="D166" s="39">
        <f>'Data Entry Main Plaza'!F166</f>
        <v>1788.96</v>
      </c>
      <c r="E166" s="39">
        <f>'Data Entry Main Plaza'!I166</f>
        <v>4915.6099999999997</v>
      </c>
      <c r="F166" s="39">
        <f>'Data Entry Main Plaza'!L166</f>
        <v>2530.86</v>
      </c>
      <c r="G166" s="39">
        <f>'Data Entry Main Plaza'!O166</f>
        <v>6358.73</v>
      </c>
      <c r="H166" s="39">
        <f>'Data Entry Main Plaza'!R166</f>
        <v>2585.8316</v>
      </c>
      <c r="I166" s="39">
        <f>'Data Entry Main Plaza'!U166</f>
        <v>2957.8047999999999</v>
      </c>
      <c r="J166" s="39">
        <f>'Data Entry Main Plaza'!X166</f>
        <v>2405.6302000000001</v>
      </c>
      <c r="K166" s="39">
        <f>'Data Entry Main Plaza'!AA166</f>
        <v>2588.5145000000002</v>
      </c>
      <c r="L166" s="39">
        <f>'Data Entry Main Plaza'!AD166</f>
        <v>3341.0444000000002</v>
      </c>
      <c r="M166" s="39">
        <f>'Data Entry Main Plaza'!AG166</f>
        <v>3902.4913000000001</v>
      </c>
      <c r="N166" s="39">
        <f>'Data Entry Main Plaza'!AJ166</f>
        <v>3530.5354000000002</v>
      </c>
      <c r="O166" s="39">
        <f>'Data Entry Main Plaza'!AM166</f>
        <v>2960.2024999999999</v>
      </c>
    </row>
    <row r="168" spans="2:15" ht="14" x14ac:dyDescent="0.15">
      <c r="B168" s="33" t="s">
        <v>144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CDF-2CE7-426D-BE2F-1FFBDA45258A}">
  <sheetPr>
    <pageSetUpPr fitToPage="1"/>
  </sheetPr>
  <dimension ref="B2:AN168"/>
  <sheetViews>
    <sheetView workbookViewId="0">
      <pane xSplit="2" ySplit="10" topLeftCell="AB11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141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9052061.0266999993</v>
      </c>
      <c r="D11" s="7">
        <v>1</v>
      </c>
      <c r="E11"/>
      <c r="F11" s="6">
        <v>548596.02</v>
      </c>
      <c r="G11" s="7">
        <v>1</v>
      </c>
      <c r="H11"/>
      <c r="I11" s="6">
        <v>665633.06000000006</v>
      </c>
      <c r="J11" s="7">
        <v>1</v>
      </c>
      <c r="K11"/>
      <c r="L11" s="6">
        <v>992235.08</v>
      </c>
      <c r="M11" s="7">
        <v>1</v>
      </c>
      <c r="N11"/>
      <c r="O11" s="6">
        <v>473670.48</v>
      </c>
      <c r="P11" s="7">
        <v>1</v>
      </c>
      <c r="Q11"/>
      <c r="R11" s="6">
        <v>809538.63210000005</v>
      </c>
      <c r="S11" s="7">
        <v>1</v>
      </c>
      <c r="T11"/>
      <c r="U11" s="6">
        <v>839347.35990000004</v>
      </c>
      <c r="V11" s="7">
        <v>1</v>
      </c>
      <c r="W11"/>
      <c r="X11" s="6">
        <v>557946.26670000004</v>
      </c>
      <c r="Y11" s="7">
        <v>1</v>
      </c>
      <c r="Z11"/>
      <c r="AA11" s="6">
        <v>593907.04610000004</v>
      </c>
      <c r="AB11" s="7">
        <v>1</v>
      </c>
      <c r="AC11"/>
      <c r="AD11" s="6">
        <v>956936.44640000002</v>
      </c>
      <c r="AE11" s="7">
        <v>1</v>
      </c>
      <c r="AF11"/>
      <c r="AG11" s="6">
        <v>989479.37250000006</v>
      </c>
      <c r="AH11" s="7">
        <v>1</v>
      </c>
      <c r="AI11"/>
      <c r="AJ11" s="6">
        <v>1012919.1928</v>
      </c>
      <c r="AK11" s="7">
        <v>1</v>
      </c>
      <c r="AL11"/>
      <c r="AM11" s="6">
        <v>611852.07019999996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3439149.2259999998</v>
      </c>
      <c r="D12" s="7">
        <v>0.37992996000000001</v>
      </c>
      <c r="E12"/>
      <c r="F12" s="6">
        <v>247480.08</v>
      </c>
      <c r="G12" s="7">
        <v>0.45111533999999998</v>
      </c>
      <c r="H12"/>
      <c r="I12" s="6">
        <v>258391.19</v>
      </c>
      <c r="J12" s="7">
        <v>0.38818863999999997</v>
      </c>
      <c r="K12"/>
      <c r="L12" s="6">
        <v>329267.92</v>
      </c>
      <c r="M12" s="7">
        <v>0.33184467000000001</v>
      </c>
      <c r="N12"/>
      <c r="O12" s="6">
        <v>221562.65</v>
      </c>
      <c r="P12" s="7">
        <v>0.46775693000000002</v>
      </c>
      <c r="Q12"/>
      <c r="R12" s="6">
        <v>283178.9448</v>
      </c>
      <c r="S12" s="7">
        <v>0.34980287999999998</v>
      </c>
      <c r="T12"/>
      <c r="U12" s="6">
        <v>288720.36940000003</v>
      </c>
      <c r="V12" s="7">
        <v>0.34398198000000002</v>
      </c>
      <c r="W12"/>
      <c r="X12" s="6">
        <v>259131.45970000001</v>
      </c>
      <c r="Y12" s="7">
        <v>0.46443802000000001</v>
      </c>
      <c r="Z12"/>
      <c r="AA12" s="6">
        <v>249384.3358</v>
      </c>
      <c r="AB12" s="7">
        <v>0.41990465999999999</v>
      </c>
      <c r="AC12"/>
      <c r="AD12" s="6">
        <v>290473.2573</v>
      </c>
      <c r="AE12" s="7">
        <v>0.30354498000000002</v>
      </c>
      <c r="AF12"/>
      <c r="AG12" s="6">
        <v>300864.49560000002</v>
      </c>
      <c r="AH12" s="7">
        <v>0.30406343000000002</v>
      </c>
      <c r="AI12"/>
      <c r="AJ12" s="6">
        <v>399843.1053</v>
      </c>
      <c r="AK12" s="7">
        <v>0.39474334</v>
      </c>
      <c r="AL12"/>
      <c r="AM12" s="6">
        <v>310851.41810000001</v>
      </c>
      <c r="AN12" s="7">
        <v>0.50804996000000002</v>
      </c>
    </row>
    <row r="13" spans="2:40" s="314" customFormat="1" ht="12.75" customHeight="1" x14ac:dyDescent="0.15">
      <c r="B13" s="5" t="s">
        <v>23</v>
      </c>
      <c r="C13" s="6">
        <v>2437030.1198999998</v>
      </c>
      <c r="D13" s="7">
        <v>0</v>
      </c>
      <c r="E13"/>
      <c r="F13" s="6">
        <v>79093.14</v>
      </c>
      <c r="G13" s="7">
        <v>0</v>
      </c>
      <c r="H13"/>
      <c r="I13" s="6">
        <v>176836.98</v>
      </c>
      <c r="J13" s="7">
        <v>0</v>
      </c>
      <c r="K13"/>
      <c r="L13" s="6">
        <v>291873.93</v>
      </c>
      <c r="M13" s="7">
        <v>0</v>
      </c>
      <c r="N13"/>
      <c r="O13" s="6">
        <v>74918.5</v>
      </c>
      <c r="P13" s="7">
        <v>0</v>
      </c>
      <c r="Q13"/>
      <c r="R13" s="6">
        <v>253291.67019999999</v>
      </c>
      <c r="S13" s="7">
        <v>0</v>
      </c>
      <c r="T13"/>
      <c r="U13" s="6">
        <v>260858.27220000001</v>
      </c>
      <c r="V13" s="7">
        <v>0</v>
      </c>
      <c r="W13"/>
      <c r="X13" s="6">
        <v>79811.573799999998</v>
      </c>
      <c r="Y13" s="7">
        <v>0</v>
      </c>
      <c r="Z13"/>
      <c r="AA13" s="6">
        <v>121662.598</v>
      </c>
      <c r="AB13" s="7">
        <v>0</v>
      </c>
      <c r="AC13"/>
      <c r="AD13" s="6">
        <v>351025.78419999999</v>
      </c>
      <c r="AE13" s="7">
        <v>0</v>
      </c>
      <c r="AF13"/>
      <c r="AG13" s="6">
        <v>385114.61330000003</v>
      </c>
      <c r="AH13" s="7">
        <v>0</v>
      </c>
      <c r="AI13"/>
      <c r="AJ13" s="6">
        <v>292267.59539999999</v>
      </c>
      <c r="AK13" s="7">
        <v>0</v>
      </c>
      <c r="AL13"/>
      <c r="AM13" s="6">
        <v>70275.462799999994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110595</v>
      </c>
      <c r="D14" s="7">
        <v>0</v>
      </c>
      <c r="E14"/>
      <c r="F14" s="8">
        <v>9393</v>
      </c>
      <c r="G14" s="7">
        <v>0</v>
      </c>
      <c r="H14"/>
      <c r="I14" s="8">
        <v>8484</v>
      </c>
      <c r="J14" s="7">
        <v>0</v>
      </c>
      <c r="K14"/>
      <c r="L14" s="8">
        <v>9393</v>
      </c>
      <c r="M14" s="7">
        <v>0</v>
      </c>
      <c r="N14"/>
      <c r="O14" s="8">
        <v>9090</v>
      </c>
      <c r="P14" s="7">
        <v>0</v>
      </c>
      <c r="Q14"/>
      <c r="R14" s="8">
        <v>9393</v>
      </c>
      <c r="S14" s="7">
        <v>0</v>
      </c>
      <c r="T14"/>
      <c r="U14" s="8">
        <v>9090</v>
      </c>
      <c r="V14" s="7">
        <v>0</v>
      </c>
      <c r="W14"/>
      <c r="X14" s="8">
        <v>9393</v>
      </c>
      <c r="Y14" s="7">
        <v>0</v>
      </c>
      <c r="Z14"/>
      <c r="AA14" s="8">
        <v>9393</v>
      </c>
      <c r="AB14" s="7">
        <v>0</v>
      </c>
      <c r="AC14"/>
      <c r="AD14" s="8">
        <v>9090</v>
      </c>
      <c r="AE14" s="7">
        <v>0</v>
      </c>
      <c r="AF14"/>
      <c r="AG14" s="8">
        <v>9393</v>
      </c>
      <c r="AH14" s="7">
        <v>0</v>
      </c>
      <c r="AI14"/>
      <c r="AJ14" s="8">
        <v>9090</v>
      </c>
      <c r="AK14" s="7">
        <v>0</v>
      </c>
      <c r="AL14"/>
      <c r="AM14" s="8">
        <v>9393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63650</v>
      </c>
      <c r="D15" s="7">
        <v>0</v>
      </c>
      <c r="E15"/>
      <c r="F15" s="9">
        <v>4455</v>
      </c>
      <c r="G15" s="7">
        <v>0</v>
      </c>
      <c r="H15"/>
      <c r="I15" s="9">
        <v>4909</v>
      </c>
      <c r="J15" s="7">
        <v>0</v>
      </c>
      <c r="K15"/>
      <c r="L15" s="9">
        <v>5861</v>
      </c>
      <c r="M15" s="7">
        <v>0</v>
      </c>
      <c r="N15"/>
      <c r="O15" s="9">
        <v>3796</v>
      </c>
      <c r="P15" s="7">
        <v>0</v>
      </c>
      <c r="Q15"/>
      <c r="R15" s="9">
        <v>5761</v>
      </c>
      <c r="S15" s="7">
        <v>0</v>
      </c>
      <c r="T15"/>
      <c r="U15" s="9">
        <v>5538</v>
      </c>
      <c r="V15" s="7">
        <v>0</v>
      </c>
      <c r="W15"/>
      <c r="X15" s="9">
        <v>4788</v>
      </c>
      <c r="Y15" s="7">
        <v>0</v>
      </c>
      <c r="Z15"/>
      <c r="AA15" s="9">
        <v>4783</v>
      </c>
      <c r="AB15" s="7">
        <v>0</v>
      </c>
      <c r="AC15"/>
      <c r="AD15" s="9">
        <v>6103</v>
      </c>
      <c r="AE15" s="7">
        <v>0</v>
      </c>
      <c r="AF15"/>
      <c r="AG15" s="9">
        <v>6168</v>
      </c>
      <c r="AH15" s="7">
        <v>0</v>
      </c>
      <c r="AI15"/>
      <c r="AJ15" s="9">
        <v>6600</v>
      </c>
      <c r="AK15" s="7">
        <v>0</v>
      </c>
      <c r="AL15"/>
      <c r="AM15" s="9">
        <v>4888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58.005334780052998</v>
      </c>
      <c r="D16" s="7">
        <v>0</v>
      </c>
      <c r="E16"/>
      <c r="F16" s="8">
        <v>47.971893963589999</v>
      </c>
      <c r="G16" s="7">
        <v>0</v>
      </c>
      <c r="H16"/>
      <c r="I16" s="8">
        <v>58.250825082508001</v>
      </c>
      <c r="J16" s="7">
        <v>0</v>
      </c>
      <c r="K16"/>
      <c r="L16" s="8">
        <v>63.036303630363001</v>
      </c>
      <c r="M16" s="7">
        <v>0</v>
      </c>
      <c r="N16"/>
      <c r="O16" s="8">
        <v>42.431243124311997</v>
      </c>
      <c r="P16" s="7">
        <v>0</v>
      </c>
      <c r="Q16"/>
      <c r="R16" s="8">
        <v>61.726817843074997</v>
      </c>
      <c r="S16" s="7">
        <v>0</v>
      </c>
      <c r="T16"/>
      <c r="U16" s="8">
        <v>61.331133113310997</v>
      </c>
      <c r="V16" s="7">
        <v>0</v>
      </c>
      <c r="W16"/>
      <c r="X16" s="8">
        <v>51.368040029809002</v>
      </c>
      <c r="Y16" s="7">
        <v>0</v>
      </c>
      <c r="Z16"/>
      <c r="AA16" s="8">
        <v>51.314808900244998</v>
      </c>
      <c r="AB16" s="7">
        <v>0</v>
      </c>
      <c r="AC16"/>
      <c r="AD16" s="8">
        <v>67.546754675467994</v>
      </c>
      <c r="AE16" s="7">
        <v>0</v>
      </c>
      <c r="AF16"/>
      <c r="AG16" s="8">
        <v>66.059831789631005</v>
      </c>
      <c r="AH16" s="7">
        <v>0</v>
      </c>
      <c r="AI16"/>
      <c r="AJ16" s="8">
        <v>73.014301430142993</v>
      </c>
      <c r="AK16" s="7">
        <v>0</v>
      </c>
      <c r="AL16"/>
      <c r="AM16" s="8">
        <v>52.432662621101002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92.561308884525005</v>
      </c>
      <c r="D17" s="7">
        <v>0</v>
      </c>
      <c r="E17"/>
      <c r="F17" s="9">
        <v>84.002866442200002</v>
      </c>
      <c r="G17" s="7">
        <v>0</v>
      </c>
      <c r="H17"/>
      <c r="I17" s="9">
        <v>100.11396211041</v>
      </c>
      <c r="J17" s="7">
        <v>0</v>
      </c>
      <c r="K17"/>
      <c r="L17" s="9">
        <v>115.35095376216</v>
      </c>
      <c r="M17" s="7">
        <v>0</v>
      </c>
      <c r="N17"/>
      <c r="O17" s="9">
        <v>82.401309272918994</v>
      </c>
      <c r="P17" s="7">
        <v>0</v>
      </c>
      <c r="Q17"/>
      <c r="R17" s="9">
        <v>89.407362003124007</v>
      </c>
      <c r="S17" s="7">
        <v>0</v>
      </c>
      <c r="T17"/>
      <c r="U17" s="9">
        <v>93.561965149873998</v>
      </c>
      <c r="V17" s="7">
        <v>0</v>
      </c>
      <c r="W17"/>
      <c r="X17" s="9">
        <v>78.071410818713005</v>
      </c>
      <c r="Y17" s="7">
        <v>0</v>
      </c>
      <c r="Z17"/>
      <c r="AA17" s="9">
        <v>80.079029897553994</v>
      </c>
      <c r="AB17" s="7">
        <v>0</v>
      </c>
      <c r="AC17"/>
      <c r="AD17" s="9">
        <v>94.995248238570994</v>
      </c>
      <c r="AE17" s="7">
        <v>0</v>
      </c>
      <c r="AF17"/>
      <c r="AG17" s="9">
        <v>103.25802529182999</v>
      </c>
      <c r="AH17" s="7">
        <v>0</v>
      </c>
      <c r="AI17"/>
      <c r="AJ17" s="9">
        <v>94.957575757575995</v>
      </c>
      <c r="AK17" s="7">
        <v>0</v>
      </c>
      <c r="AL17"/>
      <c r="AM17" s="9">
        <v>82.559410801964006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52.626383927844998</v>
      </c>
      <c r="D18" s="7">
        <v>0</v>
      </c>
      <c r="E18"/>
      <c r="F18" s="6">
        <v>39.242684978174999</v>
      </c>
      <c r="G18" s="7">
        <v>0</v>
      </c>
      <c r="H18"/>
      <c r="I18" s="6">
        <v>57.258802451674001</v>
      </c>
      <c r="J18" s="7">
        <v>0</v>
      </c>
      <c r="K18"/>
      <c r="L18" s="6">
        <v>70.941702331523004</v>
      </c>
      <c r="M18" s="7">
        <v>0</v>
      </c>
      <c r="N18"/>
      <c r="O18" s="6">
        <v>33.608526952695001</v>
      </c>
      <c r="P18" s="7">
        <v>0</v>
      </c>
      <c r="Q18"/>
      <c r="R18" s="6">
        <v>54.197361066752002</v>
      </c>
      <c r="S18" s="7">
        <v>0</v>
      </c>
      <c r="T18"/>
      <c r="U18" s="6">
        <v>56.121690099010003</v>
      </c>
      <c r="V18" s="7">
        <v>0</v>
      </c>
      <c r="W18"/>
      <c r="X18" s="6">
        <v>39.370373150218001</v>
      </c>
      <c r="Y18" s="7">
        <v>0</v>
      </c>
      <c r="Z18"/>
      <c r="AA18" s="6">
        <v>40.457574789737002</v>
      </c>
      <c r="AB18" s="7">
        <v>0</v>
      </c>
      <c r="AC18"/>
      <c r="AD18" s="6">
        <v>63.064466446645</v>
      </c>
      <c r="AE18" s="7">
        <v>0</v>
      </c>
      <c r="AF18"/>
      <c r="AG18" s="6">
        <v>67.060097945278002</v>
      </c>
      <c r="AH18" s="7">
        <v>0</v>
      </c>
      <c r="AI18"/>
      <c r="AJ18" s="6">
        <v>68.231023102310004</v>
      </c>
      <c r="AK18" s="7">
        <v>0</v>
      </c>
      <c r="AL18"/>
      <c r="AM18" s="6">
        <v>42.749962738209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81.848736621908998</v>
      </c>
      <c r="D19" s="7">
        <v>0</v>
      </c>
      <c r="E19"/>
      <c r="F19" s="9">
        <v>58.404771638454001</v>
      </c>
      <c r="G19" s="7">
        <v>0</v>
      </c>
      <c r="H19"/>
      <c r="I19" s="9">
        <v>78.457456388495999</v>
      </c>
      <c r="J19" s="7">
        <v>0</v>
      </c>
      <c r="K19"/>
      <c r="L19" s="9">
        <v>105.63558820398001</v>
      </c>
      <c r="M19" s="7">
        <v>0</v>
      </c>
      <c r="N19"/>
      <c r="O19" s="9">
        <v>52.108963696369997</v>
      </c>
      <c r="P19" s="7">
        <v>0</v>
      </c>
      <c r="Q19"/>
      <c r="R19" s="9">
        <v>86.185311625679006</v>
      </c>
      <c r="S19" s="7">
        <v>0</v>
      </c>
      <c r="T19"/>
      <c r="U19" s="9">
        <v>92.337443333332999</v>
      </c>
      <c r="V19" s="7">
        <v>0</v>
      </c>
      <c r="W19"/>
      <c r="X19" s="9">
        <v>59.400220025551</v>
      </c>
      <c r="Y19" s="7">
        <v>0</v>
      </c>
      <c r="Z19"/>
      <c r="AA19" s="9">
        <v>63.228685840520001</v>
      </c>
      <c r="AB19" s="7">
        <v>0</v>
      </c>
      <c r="AC19"/>
      <c r="AD19" s="9">
        <v>105.27353645765</v>
      </c>
      <c r="AE19" s="7">
        <v>0</v>
      </c>
      <c r="AF19"/>
      <c r="AG19" s="9">
        <v>105.34220935803</v>
      </c>
      <c r="AH19" s="7">
        <v>0</v>
      </c>
      <c r="AI19"/>
      <c r="AJ19" s="9">
        <v>111.43225443343999</v>
      </c>
      <c r="AK19" s="7">
        <v>0</v>
      </c>
      <c r="AL19"/>
      <c r="AM19" s="9">
        <v>65.139153646332005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73082.331699999995</v>
      </c>
      <c r="D20" s="7">
        <v>0</v>
      </c>
      <c r="E20"/>
      <c r="F20" s="8">
        <v>5155</v>
      </c>
      <c r="G20" s="7">
        <v>0</v>
      </c>
      <c r="H20"/>
      <c r="I20" s="8">
        <v>5649</v>
      </c>
      <c r="J20" s="7">
        <v>0</v>
      </c>
      <c r="K20"/>
      <c r="L20" s="8">
        <v>6575</v>
      </c>
      <c r="M20" s="7">
        <v>0</v>
      </c>
      <c r="N20"/>
      <c r="O20" s="8">
        <v>4394</v>
      </c>
      <c r="P20" s="7">
        <v>0</v>
      </c>
      <c r="Q20"/>
      <c r="R20" s="8">
        <v>6713.6140999999998</v>
      </c>
      <c r="S20" s="7">
        <v>0</v>
      </c>
      <c r="T20"/>
      <c r="U20" s="8">
        <v>6841.8495000000003</v>
      </c>
      <c r="V20" s="7">
        <v>0</v>
      </c>
      <c r="W20"/>
      <c r="X20" s="8">
        <v>2703</v>
      </c>
      <c r="Y20" s="7">
        <v>0</v>
      </c>
      <c r="Z20"/>
      <c r="AA20" s="8">
        <v>6362.4</v>
      </c>
      <c r="AB20" s="7">
        <v>0</v>
      </c>
      <c r="AC20"/>
      <c r="AD20" s="8">
        <v>7368.0681000000004</v>
      </c>
      <c r="AE20" s="7">
        <v>0</v>
      </c>
      <c r="AF20"/>
      <c r="AG20" s="8">
        <v>7446</v>
      </c>
      <c r="AH20" s="7">
        <v>0</v>
      </c>
      <c r="AI20"/>
      <c r="AJ20" s="8">
        <v>7964.4</v>
      </c>
      <c r="AK20" s="7">
        <v>0</v>
      </c>
      <c r="AL20"/>
      <c r="AM20" s="8">
        <v>5910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1.1392235771851</v>
      </c>
      <c r="D21" s="7">
        <v>0</v>
      </c>
      <c r="E21"/>
      <c r="F21" s="9">
        <v>1.1440301819795999</v>
      </c>
      <c r="G21" s="7">
        <v>0</v>
      </c>
      <c r="H21"/>
      <c r="I21" s="9">
        <v>1.143059490085</v>
      </c>
      <c r="J21" s="7">
        <v>0</v>
      </c>
      <c r="K21"/>
      <c r="L21" s="9">
        <v>1.1104543151495001</v>
      </c>
      <c r="M21" s="7">
        <v>0</v>
      </c>
      <c r="N21"/>
      <c r="O21" s="9">
        <v>1.1392273787917999</v>
      </c>
      <c r="P21" s="7">
        <v>0</v>
      </c>
      <c r="Q21"/>
      <c r="R21" s="9">
        <v>1.1579189548119999</v>
      </c>
      <c r="S21" s="7">
        <v>0</v>
      </c>
      <c r="T21"/>
      <c r="U21" s="9">
        <v>1.2272375784753</v>
      </c>
      <c r="V21" s="7">
        <v>0</v>
      </c>
      <c r="W21"/>
      <c r="X21" s="9">
        <v>0.56020725388601</v>
      </c>
      <c r="Y21" s="7">
        <v>0</v>
      </c>
      <c r="Z21"/>
      <c r="AA21" s="9">
        <v>1.32</v>
      </c>
      <c r="AB21" s="7">
        <v>0</v>
      </c>
      <c r="AC21"/>
      <c r="AD21" s="9">
        <v>1.2000110912052</v>
      </c>
      <c r="AE21" s="7">
        <v>0</v>
      </c>
      <c r="AF21"/>
      <c r="AG21" s="9">
        <v>1.2</v>
      </c>
      <c r="AH21" s="7">
        <v>0</v>
      </c>
      <c r="AI21"/>
      <c r="AJ21" s="9">
        <v>1.2</v>
      </c>
      <c r="AK21" s="7">
        <v>0</v>
      </c>
      <c r="AL21"/>
      <c r="AM21" s="9">
        <v>1.2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51475.436999999998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6372.3845000000001</v>
      </c>
      <c r="S22" s="7">
        <v>0</v>
      </c>
      <c r="T22"/>
      <c r="U22" s="8">
        <v>6859.2736999999997</v>
      </c>
      <c r="V22" s="7">
        <v>0</v>
      </c>
      <c r="W22"/>
      <c r="X22" s="8">
        <v>3405.4686000000002</v>
      </c>
      <c r="Y22" s="7">
        <v>0</v>
      </c>
      <c r="Z22"/>
      <c r="AA22" s="8">
        <v>5333.0149000000001</v>
      </c>
      <c r="AB22" s="7">
        <v>0</v>
      </c>
      <c r="AC22"/>
      <c r="AD22" s="8">
        <v>7805.4808000000003</v>
      </c>
      <c r="AE22" s="7">
        <v>0</v>
      </c>
      <c r="AF22"/>
      <c r="AG22" s="8">
        <v>7996.3851999999997</v>
      </c>
      <c r="AH22" s="7">
        <v>0</v>
      </c>
      <c r="AI22"/>
      <c r="AJ22" s="8">
        <v>8419.0872999999992</v>
      </c>
      <c r="AK22" s="7">
        <v>0</v>
      </c>
      <c r="AL22"/>
      <c r="AM22" s="8">
        <v>5284.3419999999996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41.342500000000001</v>
      </c>
      <c r="D23" s="7">
        <v>0</v>
      </c>
      <c r="E23"/>
      <c r="F23" s="8">
        <v>48.28</v>
      </c>
      <c r="G23" s="7">
        <v>0</v>
      </c>
      <c r="H23"/>
      <c r="I23" s="8">
        <v>46.51</v>
      </c>
      <c r="J23" s="7">
        <v>0</v>
      </c>
      <c r="K23"/>
      <c r="L23" s="8">
        <v>43.5</v>
      </c>
      <c r="M23" s="7">
        <v>0</v>
      </c>
      <c r="N23"/>
      <c r="O23" s="8">
        <v>45.12</v>
      </c>
      <c r="P23" s="7">
        <v>0</v>
      </c>
      <c r="Q23"/>
      <c r="R23" s="8">
        <v>40.15</v>
      </c>
      <c r="S23" s="7">
        <v>0</v>
      </c>
      <c r="T23"/>
      <c r="U23" s="8">
        <v>40.15</v>
      </c>
      <c r="V23" s="7">
        <v>0</v>
      </c>
      <c r="W23"/>
      <c r="X23" s="8">
        <v>39.15</v>
      </c>
      <c r="Y23" s="7">
        <v>0</v>
      </c>
      <c r="Z23"/>
      <c r="AA23" s="8">
        <v>38.65</v>
      </c>
      <c r="AB23" s="7">
        <v>0</v>
      </c>
      <c r="AC23"/>
      <c r="AD23" s="8">
        <v>38.65</v>
      </c>
      <c r="AE23" s="7">
        <v>0</v>
      </c>
      <c r="AF23"/>
      <c r="AG23" s="8">
        <v>38.65</v>
      </c>
      <c r="AH23" s="7">
        <v>0</v>
      </c>
      <c r="AI23"/>
      <c r="AJ23" s="8">
        <v>38.65</v>
      </c>
      <c r="AK23" s="7">
        <v>0</v>
      </c>
      <c r="AL23"/>
      <c r="AM23" s="8">
        <v>38.65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9052061.0266999993</v>
      </c>
      <c r="D27" s="327">
        <v>1</v>
      </c>
      <c r="E27"/>
      <c r="F27" s="326">
        <v>548596.02</v>
      </c>
      <c r="G27" s="327">
        <v>1</v>
      </c>
      <c r="H27"/>
      <c r="I27" s="326">
        <v>665633.06000000006</v>
      </c>
      <c r="J27" s="327">
        <v>1</v>
      </c>
      <c r="K27"/>
      <c r="L27" s="326">
        <v>992235.08</v>
      </c>
      <c r="M27" s="327">
        <v>1</v>
      </c>
      <c r="N27"/>
      <c r="O27" s="326">
        <v>473670.48</v>
      </c>
      <c r="P27" s="327">
        <v>1</v>
      </c>
      <c r="Q27"/>
      <c r="R27" s="326">
        <v>809538.63210000005</v>
      </c>
      <c r="S27" s="327">
        <v>1</v>
      </c>
      <c r="T27"/>
      <c r="U27" s="326">
        <v>839347.35990000004</v>
      </c>
      <c r="V27" s="327">
        <v>1</v>
      </c>
      <c r="W27"/>
      <c r="X27" s="326">
        <v>557946.26670000004</v>
      </c>
      <c r="Y27" s="327">
        <v>1</v>
      </c>
      <c r="Z27"/>
      <c r="AA27" s="326">
        <v>593907.04610000004</v>
      </c>
      <c r="AB27" s="327">
        <v>1</v>
      </c>
      <c r="AC27"/>
      <c r="AD27" s="326">
        <v>956936.44640000002</v>
      </c>
      <c r="AE27" s="327">
        <v>1</v>
      </c>
      <c r="AF27"/>
      <c r="AG27" s="326">
        <v>989479.37250000006</v>
      </c>
      <c r="AH27" s="327">
        <v>1</v>
      </c>
      <c r="AI27"/>
      <c r="AJ27" s="326">
        <v>1012919.1928</v>
      </c>
      <c r="AK27" s="327">
        <v>1</v>
      </c>
      <c r="AL27"/>
      <c r="AM27" s="326">
        <v>611852.07019999996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5891527.3104999997</v>
      </c>
      <c r="D28" s="7">
        <v>0.65084926999999992</v>
      </c>
      <c r="E28"/>
      <c r="F28" s="8">
        <v>374232.77</v>
      </c>
      <c r="G28" s="7">
        <v>0.68216457000000008</v>
      </c>
      <c r="H28"/>
      <c r="I28" s="8">
        <v>491459.44</v>
      </c>
      <c r="J28" s="7">
        <v>0.73833388</v>
      </c>
      <c r="K28"/>
      <c r="L28" s="8">
        <v>676071.94</v>
      </c>
      <c r="M28" s="7">
        <v>0.68136267000000006</v>
      </c>
      <c r="N28"/>
      <c r="O28" s="8">
        <v>312795.37</v>
      </c>
      <c r="P28" s="7">
        <v>0.66036491999999991</v>
      </c>
      <c r="Q28"/>
      <c r="R28" s="8">
        <v>515075.8125</v>
      </c>
      <c r="S28" s="7">
        <v>0.63625847000000002</v>
      </c>
      <c r="T28"/>
      <c r="U28" s="8">
        <v>518146.163</v>
      </c>
      <c r="V28" s="7">
        <v>0.61732030000000004</v>
      </c>
      <c r="W28"/>
      <c r="X28" s="8">
        <v>373805.91499999998</v>
      </c>
      <c r="Y28" s="7">
        <v>0.66996758999999995</v>
      </c>
      <c r="Z28"/>
      <c r="AA28" s="8">
        <v>383018</v>
      </c>
      <c r="AB28" s="7">
        <v>0.64491237000000001</v>
      </c>
      <c r="AC28"/>
      <c r="AD28" s="8">
        <v>579756</v>
      </c>
      <c r="AE28" s="7">
        <v>0.60584587999999995</v>
      </c>
      <c r="AF28"/>
      <c r="AG28" s="8">
        <v>636895.5</v>
      </c>
      <c r="AH28" s="7">
        <v>0.64366727999999995</v>
      </c>
      <c r="AI28"/>
      <c r="AJ28" s="8">
        <v>626720</v>
      </c>
      <c r="AK28" s="7">
        <v>0.61872654999999999</v>
      </c>
      <c r="AL28"/>
      <c r="AM28" s="8">
        <v>403550.4</v>
      </c>
      <c r="AN28" s="7">
        <v>0.65955550000000007</v>
      </c>
    </row>
    <row r="29" spans="2:40" s="314" customFormat="1" ht="12.75" customHeight="1" x14ac:dyDescent="0.15">
      <c r="B29" s="5" t="s">
        <v>36</v>
      </c>
      <c r="C29" s="8">
        <v>2724373.0145</v>
      </c>
      <c r="D29" s="7">
        <v>0.30096715000000002</v>
      </c>
      <c r="E29"/>
      <c r="F29" s="8">
        <v>148534.5</v>
      </c>
      <c r="G29" s="7">
        <v>0.27075388</v>
      </c>
      <c r="H29"/>
      <c r="I29" s="8">
        <v>141248.60999999999</v>
      </c>
      <c r="J29" s="7">
        <v>0.21220190999999999</v>
      </c>
      <c r="K29"/>
      <c r="L29" s="8">
        <v>289990.75</v>
      </c>
      <c r="M29" s="7">
        <v>0.29226013000000001</v>
      </c>
      <c r="N29"/>
      <c r="O29" s="8">
        <v>123818.84</v>
      </c>
      <c r="P29" s="7">
        <v>0.26140290999999999</v>
      </c>
      <c r="Q29"/>
      <c r="R29" s="8">
        <v>249168.31770000001</v>
      </c>
      <c r="S29" s="7">
        <v>0.30779052000000001</v>
      </c>
      <c r="T29"/>
      <c r="U29" s="8">
        <v>275855.11540000001</v>
      </c>
      <c r="V29" s="7">
        <v>0.32865430000000001</v>
      </c>
      <c r="W29"/>
      <c r="X29" s="8">
        <v>154815.8517</v>
      </c>
      <c r="Y29" s="7">
        <v>0.27747448000000002</v>
      </c>
      <c r="Z29"/>
      <c r="AA29" s="8">
        <v>182151.03659999999</v>
      </c>
      <c r="AB29" s="7">
        <v>0.30669956999999998</v>
      </c>
      <c r="AC29"/>
      <c r="AD29" s="8">
        <v>332565.33789999998</v>
      </c>
      <c r="AE29" s="7">
        <v>0.34753127</v>
      </c>
      <c r="AF29"/>
      <c r="AG29" s="8">
        <v>309160.82250000001</v>
      </c>
      <c r="AH29" s="7">
        <v>0.31244797000000002</v>
      </c>
      <c r="AI29"/>
      <c r="AJ29" s="8">
        <v>343096.41249999998</v>
      </c>
      <c r="AK29" s="7">
        <v>0.33872042000000002</v>
      </c>
      <c r="AL29"/>
      <c r="AM29" s="8">
        <v>173967.42019999999</v>
      </c>
      <c r="AN29" s="7">
        <v>0.28432921999999999</v>
      </c>
    </row>
    <row r="30" spans="2:40" s="314" customFormat="1" ht="12.75" customHeight="1" x14ac:dyDescent="0.15">
      <c r="B30" s="5" t="s">
        <v>37</v>
      </c>
      <c r="C30" s="8">
        <v>293270.50170000002</v>
      </c>
      <c r="D30" s="7">
        <v>3.2398200000000002E-2</v>
      </c>
      <c r="E30"/>
      <c r="F30" s="8">
        <v>20281.689999999999</v>
      </c>
      <c r="G30" s="7">
        <v>3.6970169999999997E-2</v>
      </c>
      <c r="H30"/>
      <c r="I30" s="8">
        <v>21052.91</v>
      </c>
      <c r="J30" s="7">
        <v>3.1628400000000001E-2</v>
      </c>
      <c r="K30"/>
      <c r="L30" s="8">
        <v>15476.89</v>
      </c>
      <c r="M30" s="7">
        <v>1.5598010000000001E-2</v>
      </c>
      <c r="N30"/>
      <c r="O30" s="8">
        <v>24980.73</v>
      </c>
      <c r="P30" s="7">
        <v>5.2738630000000002E-2</v>
      </c>
      <c r="Q30"/>
      <c r="R30" s="8">
        <v>30294.501899999999</v>
      </c>
      <c r="S30" s="7">
        <v>3.7421929999999999E-2</v>
      </c>
      <c r="T30"/>
      <c r="U30" s="8">
        <v>28346.0815</v>
      </c>
      <c r="V30" s="7">
        <v>3.3771570000000001E-2</v>
      </c>
      <c r="W30"/>
      <c r="X30" s="8">
        <v>20624.5</v>
      </c>
      <c r="Y30" s="7">
        <v>3.6965030000000003E-2</v>
      </c>
      <c r="Z30"/>
      <c r="AA30" s="8">
        <v>20738.0095</v>
      </c>
      <c r="AB30" s="7">
        <v>3.4917940000000001E-2</v>
      </c>
      <c r="AC30"/>
      <c r="AD30" s="8">
        <v>29615.108499999998</v>
      </c>
      <c r="AE30" s="7">
        <v>3.0947829999999999E-2</v>
      </c>
      <c r="AF30"/>
      <c r="AG30" s="8">
        <v>28423.05</v>
      </c>
      <c r="AH30" s="7">
        <v>2.8725259999999999E-2</v>
      </c>
      <c r="AI30"/>
      <c r="AJ30" s="8">
        <v>30602.780299999999</v>
      </c>
      <c r="AK30" s="7">
        <v>3.021246E-2</v>
      </c>
      <c r="AL30"/>
      <c r="AM30" s="8">
        <v>22834.25</v>
      </c>
      <c r="AN30" s="7">
        <v>3.7319890000000001E-2</v>
      </c>
    </row>
    <row r="31" spans="2:40" s="314" customFormat="1" ht="12.75" customHeight="1" x14ac:dyDescent="0.15">
      <c r="B31" s="5" t="s">
        <v>38</v>
      </c>
      <c r="C31" s="8">
        <v>142890.20000000001</v>
      </c>
      <c r="D31" s="7">
        <v>1.5785380000000002E-2</v>
      </c>
      <c r="E31"/>
      <c r="F31" s="8">
        <v>5547.06</v>
      </c>
      <c r="G31" s="7">
        <v>1.011137E-2</v>
      </c>
      <c r="H31"/>
      <c r="I31" s="8">
        <v>11872.1</v>
      </c>
      <c r="J31" s="7">
        <v>1.7835799999999999E-2</v>
      </c>
      <c r="K31"/>
      <c r="L31" s="8">
        <v>10695.5</v>
      </c>
      <c r="M31" s="7">
        <v>1.0779199999999999E-2</v>
      </c>
      <c r="N31"/>
      <c r="O31" s="8">
        <v>12075.54</v>
      </c>
      <c r="P31" s="7">
        <v>2.549355E-2</v>
      </c>
      <c r="Q31"/>
      <c r="R31" s="8">
        <v>15000</v>
      </c>
      <c r="S31" s="7">
        <v>1.8529070000000002E-2</v>
      </c>
      <c r="T31"/>
      <c r="U31" s="8">
        <v>17000</v>
      </c>
      <c r="V31" s="7">
        <v>2.025383E-2</v>
      </c>
      <c r="W31"/>
      <c r="X31" s="8">
        <v>8700</v>
      </c>
      <c r="Y31" s="7">
        <v>1.55929E-2</v>
      </c>
      <c r="Z31"/>
      <c r="AA31" s="8">
        <v>8000</v>
      </c>
      <c r="AB31" s="7">
        <v>1.347012E-2</v>
      </c>
      <c r="AC31"/>
      <c r="AD31" s="8">
        <v>15000</v>
      </c>
      <c r="AE31" s="7">
        <v>1.5675020000000001E-2</v>
      </c>
      <c r="AF31"/>
      <c r="AG31" s="8">
        <v>15000</v>
      </c>
      <c r="AH31" s="7">
        <v>1.5159489999999999E-2</v>
      </c>
      <c r="AI31"/>
      <c r="AJ31" s="8">
        <v>12500</v>
      </c>
      <c r="AK31" s="7">
        <v>1.234057E-2</v>
      </c>
      <c r="AL31"/>
      <c r="AM31" s="8">
        <v>11500</v>
      </c>
      <c r="AN31" s="7">
        <v>1.8795389999999999E-2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5891527.3104999997</v>
      </c>
      <c r="D34" s="327">
        <v>1</v>
      </c>
      <c r="E34"/>
      <c r="F34" s="326">
        <v>374232.77</v>
      </c>
      <c r="G34" s="327">
        <v>1</v>
      </c>
      <c r="H34"/>
      <c r="I34" s="326">
        <v>491459.44</v>
      </c>
      <c r="J34" s="327">
        <v>1</v>
      </c>
      <c r="K34"/>
      <c r="L34" s="326">
        <v>676071.94</v>
      </c>
      <c r="M34" s="327">
        <v>1</v>
      </c>
      <c r="N34"/>
      <c r="O34" s="326">
        <v>312795.37</v>
      </c>
      <c r="P34" s="327">
        <v>1</v>
      </c>
      <c r="Q34"/>
      <c r="R34" s="326">
        <v>515075.8125</v>
      </c>
      <c r="S34" s="327">
        <v>1</v>
      </c>
      <c r="T34"/>
      <c r="U34" s="326">
        <v>518146.163</v>
      </c>
      <c r="V34" s="327">
        <v>1</v>
      </c>
      <c r="W34"/>
      <c r="X34" s="326">
        <v>373805.91499999998</v>
      </c>
      <c r="Y34" s="327">
        <v>1</v>
      </c>
      <c r="Z34"/>
      <c r="AA34" s="326">
        <v>383018</v>
      </c>
      <c r="AB34" s="327">
        <v>1</v>
      </c>
      <c r="AC34"/>
      <c r="AD34" s="326">
        <v>579756</v>
      </c>
      <c r="AE34" s="327">
        <v>1</v>
      </c>
      <c r="AF34"/>
      <c r="AG34" s="326">
        <v>636895.5</v>
      </c>
      <c r="AH34" s="327">
        <v>1</v>
      </c>
      <c r="AI34"/>
      <c r="AJ34" s="326">
        <v>626720</v>
      </c>
      <c r="AK34" s="327">
        <v>1</v>
      </c>
      <c r="AL34"/>
      <c r="AM34" s="326">
        <v>403550.4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1475416.1987000001</v>
      </c>
      <c r="D35" s="7">
        <v>0.25043017000000001</v>
      </c>
      <c r="E35"/>
      <c r="F35" s="8">
        <v>110467.76</v>
      </c>
      <c r="G35" s="7">
        <v>0.29518463</v>
      </c>
      <c r="H35"/>
      <c r="I35" s="8">
        <v>114775.14</v>
      </c>
      <c r="J35" s="7">
        <v>0.23353939000000001</v>
      </c>
      <c r="K35"/>
      <c r="L35" s="8">
        <v>144728.84</v>
      </c>
      <c r="M35" s="7">
        <v>0.21407314</v>
      </c>
      <c r="N35"/>
      <c r="O35" s="8">
        <v>83134.64</v>
      </c>
      <c r="P35" s="7">
        <v>0.26577963999999998</v>
      </c>
      <c r="Q35"/>
      <c r="R35" s="8">
        <v>130294.0736</v>
      </c>
      <c r="S35" s="7">
        <v>0.25296096000000001</v>
      </c>
      <c r="T35"/>
      <c r="U35" s="8">
        <v>124617.2279</v>
      </c>
      <c r="V35" s="7">
        <v>0.24050594</v>
      </c>
      <c r="W35"/>
      <c r="X35" s="8">
        <v>115845.2234</v>
      </c>
      <c r="Y35" s="7">
        <v>0.30990740999999999</v>
      </c>
      <c r="Z35"/>
      <c r="AA35" s="8">
        <v>112887.8343</v>
      </c>
      <c r="AB35" s="7">
        <v>0.29473244999999998</v>
      </c>
      <c r="AC35"/>
      <c r="AD35" s="8">
        <v>127558.2789</v>
      </c>
      <c r="AE35" s="7">
        <v>0.22002062999999999</v>
      </c>
      <c r="AF35"/>
      <c r="AG35" s="8">
        <v>132700.704</v>
      </c>
      <c r="AH35" s="7">
        <v>0.20835554000000001</v>
      </c>
      <c r="AI35"/>
      <c r="AJ35" s="8">
        <v>158925.1925</v>
      </c>
      <c r="AK35" s="7">
        <v>0.25358245000000001</v>
      </c>
      <c r="AL35"/>
      <c r="AM35" s="8">
        <v>119481.2841</v>
      </c>
      <c r="AN35" s="7">
        <v>0.29607525000000001</v>
      </c>
    </row>
    <row r="36" spans="2:40" s="314" customFormat="1" ht="12.75" customHeight="1" x14ac:dyDescent="0.15">
      <c r="B36" s="5" t="s">
        <v>40</v>
      </c>
      <c r="C36" s="8">
        <v>975566.60770000005</v>
      </c>
      <c r="D36" s="7">
        <v>0.16558807</v>
      </c>
      <c r="E36"/>
      <c r="F36" s="8">
        <v>55749.33</v>
      </c>
      <c r="G36" s="7">
        <v>0.14896966</v>
      </c>
      <c r="H36"/>
      <c r="I36" s="8">
        <v>76109.759999999995</v>
      </c>
      <c r="J36" s="7">
        <v>0.15486478000000001</v>
      </c>
      <c r="K36"/>
      <c r="L36" s="8">
        <v>160992.82999999999</v>
      </c>
      <c r="M36" s="7">
        <v>0.23812973000000001</v>
      </c>
      <c r="N36"/>
      <c r="O36" s="8">
        <v>8241.51</v>
      </c>
      <c r="P36" s="7">
        <v>2.6347929999999999E-2</v>
      </c>
      <c r="Q36"/>
      <c r="R36" s="8">
        <v>85256.944300000003</v>
      </c>
      <c r="S36" s="7">
        <v>0.16552310000000001</v>
      </c>
      <c r="T36"/>
      <c r="U36" s="8">
        <v>85691.012499999997</v>
      </c>
      <c r="V36" s="7">
        <v>0.16538</v>
      </c>
      <c r="W36"/>
      <c r="X36" s="8">
        <v>71377.299899999998</v>
      </c>
      <c r="Y36" s="7">
        <v>0.19094749</v>
      </c>
      <c r="Z36"/>
      <c r="AA36" s="8">
        <v>70607.483999999997</v>
      </c>
      <c r="AB36" s="7">
        <v>0.18434507999999999</v>
      </c>
      <c r="AC36"/>
      <c r="AD36" s="8">
        <v>93098.046000000002</v>
      </c>
      <c r="AE36" s="7">
        <v>0.16058143</v>
      </c>
      <c r="AF36"/>
      <c r="AG36" s="8">
        <v>98302.2448</v>
      </c>
      <c r="AH36" s="7">
        <v>0.15434596</v>
      </c>
      <c r="AI36"/>
      <c r="AJ36" s="8">
        <v>100412.0563</v>
      </c>
      <c r="AK36" s="7">
        <v>0.16021837</v>
      </c>
      <c r="AL36"/>
      <c r="AM36" s="8">
        <v>69728.089900000006</v>
      </c>
      <c r="AN36" s="7">
        <v>0.17278657</v>
      </c>
    </row>
    <row r="37" spans="2:40" s="314" customFormat="1" ht="12.75" customHeight="1" x14ac:dyDescent="0.15">
      <c r="B37" s="325" t="s">
        <v>41</v>
      </c>
      <c r="C37" s="326">
        <v>3440544.5041999999</v>
      </c>
      <c r="D37" s="327">
        <v>0.58398176000000002</v>
      </c>
      <c r="E37"/>
      <c r="F37" s="326">
        <v>208015.68</v>
      </c>
      <c r="G37" s="327">
        <v>0.55584570999999994</v>
      </c>
      <c r="H37"/>
      <c r="I37" s="326">
        <v>300574.53999999998</v>
      </c>
      <c r="J37" s="327">
        <v>0.61159582000000001</v>
      </c>
      <c r="K37"/>
      <c r="L37" s="326">
        <v>370350.27</v>
      </c>
      <c r="M37" s="327">
        <v>0.54779712999999997</v>
      </c>
      <c r="N37"/>
      <c r="O37" s="326">
        <v>221419.22</v>
      </c>
      <c r="P37" s="327">
        <v>0.70787243</v>
      </c>
      <c r="Q37"/>
      <c r="R37" s="326">
        <v>299524.79460000002</v>
      </c>
      <c r="S37" s="327">
        <v>0.58151594000000006</v>
      </c>
      <c r="T37"/>
      <c r="U37" s="326">
        <v>307837.92259999999</v>
      </c>
      <c r="V37" s="327">
        <v>0.59411406</v>
      </c>
      <c r="W37"/>
      <c r="X37" s="326">
        <v>186583.39180000001</v>
      </c>
      <c r="Y37" s="327">
        <v>0.49914510000000001</v>
      </c>
      <c r="Z37"/>
      <c r="AA37" s="326">
        <v>199522.68169999999</v>
      </c>
      <c r="AB37" s="327">
        <v>0.52092247000000003</v>
      </c>
      <c r="AC37"/>
      <c r="AD37" s="326">
        <v>359099.67509999999</v>
      </c>
      <c r="AE37" s="327">
        <v>0.61939794999999997</v>
      </c>
      <c r="AF37"/>
      <c r="AG37" s="326">
        <v>405892.55119999999</v>
      </c>
      <c r="AH37" s="327">
        <v>0.63729850999999993</v>
      </c>
      <c r="AI37"/>
      <c r="AJ37" s="326">
        <v>367382.7512</v>
      </c>
      <c r="AK37" s="327">
        <v>0.58619917999999993</v>
      </c>
      <c r="AL37"/>
      <c r="AM37" s="326">
        <v>214341.02600000001</v>
      </c>
      <c r="AN37" s="327">
        <v>0.53113818000000002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1684776.3997</v>
      </c>
      <c r="D40" s="7">
        <v>0.61840885999999995</v>
      </c>
      <c r="E40"/>
      <c r="F40" s="8">
        <v>87622.49</v>
      </c>
      <c r="G40" s="7">
        <v>0.58991338999999998</v>
      </c>
      <c r="H40"/>
      <c r="I40" s="8">
        <v>92001.82</v>
      </c>
      <c r="J40" s="7">
        <v>0.6513467300000001</v>
      </c>
      <c r="K40"/>
      <c r="L40" s="8">
        <v>164353.35999999999</v>
      </c>
      <c r="M40" s="7">
        <v>0.56675379999999997</v>
      </c>
      <c r="N40"/>
      <c r="O40" s="8">
        <v>73657.399999999994</v>
      </c>
      <c r="P40" s="7">
        <v>0.59488039000000004</v>
      </c>
      <c r="Q40"/>
      <c r="R40" s="8">
        <v>152648.28270000001</v>
      </c>
      <c r="S40" s="7">
        <v>0.61263118999999999</v>
      </c>
      <c r="T40"/>
      <c r="U40" s="8">
        <v>180975.26329999999</v>
      </c>
      <c r="V40" s="7">
        <v>0.65605186999999998</v>
      </c>
      <c r="W40"/>
      <c r="X40" s="8">
        <v>94116.073199999999</v>
      </c>
      <c r="Y40" s="7">
        <v>0.60792271999999992</v>
      </c>
      <c r="Z40"/>
      <c r="AA40" s="8">
        <v>102848.4218</v>
      </c>
      <c r="AB40" s="7">
        <v>0.56463264999999996</v>
      </c>
      <c r="AC40"/>
      <c r="AD40" s="8">
        <v>218489.97760000001</v>
      </c>
      <c r="AE40" s="7">
        <v>0.65698361000000005</v>
      </c>
      <c r="AF40"/>
      <c r="AG40" s="8">
        <v>191391.31909999999</v>
      </c>
      <c r="AH40" s="7">
        <v>0.61906717999999994</v>
      </c>
      <c r="AI40"/>
      <c r="AJ40" s="8">
        <v>219875.52739999999</v>
      </c>
      <c r="AK40" s="7">
        <v>0.64085639000000005</v>
      </c>
      <c r="AL40"/>
      <c r="AM40" s="8">
        <v>106796.46460000001</v>
      </c>
      <c r="AN40" s="7">
        <v>0.61388772999999996</v>
      </c>
    </row>
    <row r="41" spans="2:40" s="314" customFormat="1" ht="12.75" customHeight="1" x14ac:dyDescent="0.15">
      <c r="B41" s="5" t="s">
        <v>44</v>
      </c>
      <c r="C41" s="8">
        <v>592103.98970000003</v>
      </c>
      <c r="D41" s="7">
        <v>0.21733586999999999</v>
      </c>
      <c r="E41"/>
      <c r="F41" s="8">
        <v>33444.449999999997</v>
      </c>
      <c r="G41" s="7">
        <v>0.22516284</v>
      </c>
      <c r="H41"/>
      <c r="I41" s="8">
        <v>32398.59</v>
      </c>
      <c r="J41" s="7">
        <v>0.22937281000000001</v>
      </c>
      <c r="K41"/>
      <c r="L41" s="8">
        <v>77007.37</v>
      </c>
      <c r="M41" s="7">
        <v>0.26555113000000002</v>
      </c>
      <c r="N41"/>
      <c r="O41" s="8">
        <v>27076.79</v>
      </c>
      <c r="P41" s="7">
        <v>0.21868070000000001</v>
      </c>
      <c r="Q41"/>
      <c r="R41" s="8">
        <v>52536.845000000001</v>
      </c>
      <c r="S41" s="7">
        <v>0.21084881999999999</v>
      </c>
      <c r="T41"/>
      <c r="U41" s="8">
        <v>59560.531999999999</v>
      </c>
      <c r="V41" s="7">
        <v>0.21591236999999999</v>
      </c>
      <c r="W41"/>
      <c r="X41" s="8">
        <v>31808.9935</v>
      </c>
      <c r="Y41" s="7">
        <v>0.20546341000000001</v>
      </c>
      <c r="Z41"/>
      <c r="AA41" s="8">
        <v>41327.824800000002</v>
      </c>
      <c r="AB41" s="7">
        <v>0.22688767000000001</v>
      </c>
      <c r="AC41"/>
      <c r="AD41" s="8">
        <v>64352.6803</v>
      </c>
      <c r="AE41" s="7">
        <v>0.19350386999999999</v>
      </c>
      <c r="AF41"/>
      <c r="AG41" s="8">
        <v>67088.833400000003</v>
      </c>
      <c r="AH41" s="7">
        <v>0.21700301999999999</v>
      </c>
      <c r="AI41"/>
      <c r="AJ41" s="8">
        <v>71170.465100000001</v>
      </c>
      <c r="AK41" s="7">
        <v>0.20743576</v>
      </c>
      <c r="AL41"/>
      <c r="AM41" s="8">
        <v>34330.615599999997</v>
      </c>
      <c r="AN41" s="7">
        <v>0.19733934</v>
      </c>
    </row>
    <row r="42" spans="2:40" s="314" customFormat="1" ht="12.75" customHeight="1" x14ac:dyDescent="0.15">
      <c r="B42" s="5" t="s">
        <v>45</v>
      </c>
      <c r="C42" s="8">
        <v>447492.625</v>
      </c>
      <c r="D42" s="7">
        <v>0.16425527000000001</v>
      </c>
      <c r="E42"/>
      <c r="F42" s="8">
        <v>27467.56</v>
      </c>
      <c r="G42" s="7">
        <v>0.18492376999999999</v>
      </c>
      <c r="H42"/>
      <c r="I42" s="8">
        <v>16848.2</v>
      </c>
      <c r="J42" s="7">
        <v>0.11928047</v>
      </c>
      <c r="K42"/>
      <c r="L42" s="8">
        <v>48630.02</v>
      </c>
      <c r="M42" s="7">
        <v>0.16769507</v>
      </c>
      <c r="N42"/>
      <c r="O42" s="8">
        <v>23084.65</v>
      </c>
      <c r="P42" s="7">
        <v>0.18643891000000001</v>
      </c>
      <c r="Q42"/>
      <c r="R42" s="8">
        <v>43983.19</v>
      </c>
      <c r="S42" s="7">
        <v>0.17651998999999999</v>
      </c>
      <c r="T42"/>
      <c r="U42" s="8">
        <v>35319.32</v>
      </c>
      <c r="V42" s="7">
        <v>0.12803576</v>
      </c>
      <c r="W42"/>
      <c r="X42" s="8">
        <v>28890.785</v>
      </c>
      <c r="Y42" s="7">
        <v>0.18661386999999999</v>
      </c>
      <c r="Z42"/>
      <c r="AA42" s="8">
        <v>37974.79</v>
      </c>
      <c r="AB42" s="7">
        <v>0.20847968</v>
      </c>
      <c r="AC42"/>
      <c r="AD42" s="8">
        <v>49722.68</v>
      </c>
      <c r="AE42" s="7">
        <v>0.14951250999999999</v>
      </c>
      <c r="AF42"/>
      <c r="AG42" s="8">
        <v>50680.67</v>
      </c>
      <c r="AH42" s="7">
        <v>0.16392978999999999</v>
      </c>
      <c r="AI42"/>
      <c r="AJ42" s="8">
        <v>52050.42</v>
      </c>
      <c r="AK42" s="7">
        <v>0.15170785000000001</v>
      </c>
      <c r="AL42"/>
      <c r="AM42" s="8">
        <v>32840.339999999997</v>
      </c>
      <c r="AN42" s="7">
        <v>0.18877293000000001</v>
      </c>
    </row>
    <row r="43" spans="2:40" s="314" customFormat="1" ht="12.75" customHeight="1" x14ac:dyDescent="0.15">
      <c r="B43" s="325" t="s">
        <v>36</v>
      </c>
      <c r="C43" s="326">
        <v>2724373.0145</v>
      </c>
      <c r="D43" s="327">
        <v>1</v>
      </c>
      <c r="E43"/>
      <c r="F43" s="326">
        <v>148534.5</v>
      </c>
      <c r="G43" s="327">
        <v>1</v>
      </c>
      <c r="H43"/>
      <c r="I43" s="326">
        <v>141248.60999999999</v>
      </c>
      <c r="J43" s="327">
        <v>1</v>
      </c>
      <c r="K43"/>
      <c r="L43" s="326">
        <v>289990.75</v>
      </c>
      <c r="M43" s="327">
        <v>1</v>
      </c>
      <c r="N43"/>
      <c r="O43" s="326">
        <v>123818.84</v>
      </c>
      <c r="P43" s="327">
        <v>1</v>
      </c>
      <c r="Q43"/>
      <c r="R43" s="326">
        <v>249168.31770000001</v>
      </c>
      <c r="S43" s="327">
        <v>1</v>
      </c>
      <c r="T43"/>
      <c r="U43" s="326">
        <v>275855.11540000001</v>
      </c>
      <c r="V43" s="327">
        <v>1</v>
      </c>
      <c r="W43"/>
      <c r="X43" s="326">
        <v>154815.8517</v>
      </c>
      <c r="Y43" s="327">
        <v>1</v>
      </c>
      <c r="Z43"/>
      <c r="AA43" s="326">
        <v>182151.03659999999</v>
      </c>
      <c r="AB43" s="327">
        <v>1</v>
      </c>
      <c r="AC43"/>
      <c r="AD43" s="326">
        <v>332565.33789999998</v>
      </c>
      <c r="AE43" s="327">
        <v>1</v>
      </c>
      <c r="AF43"/>
      <c r="AG43" s="326">
        <v>309160.82250000001</v>
      </c>
      <c r="AH43" s="327">
        <v>1</v>
      </c>
      <c r="AI43"/>
      <c r="AJ43" s="326">
        <v>343096.41249999998</v>
      </c>
      <c r="AK43" s="327">
        <v>1</v>
      </c>
      <c r="AL43"/>
      <c r="AM43" s="326">
        <v>173967.42019999999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544850.88089999999</v>
      </c>
      <c r="D44" s="7">
        <v>0.32339655</v>
      </c>
      <c r="E44"/>
      <c r="F44" s="8">
        <v>35202.120000000003</v>
      </c>
      <c r="G44" s="7">
        <v>0.40174754000000001</v>
      </c>
      <c r="H44"/>
      <c r="I44" s="8">
        <v>40240.550000000003</v>
      </c>
      <c r="J44" s="7">
        <v>0.43738863</v>
      </c>
      <c r="K44"/>
      <c r="L44" s="8">
        <v>61642</v>
      </c>
      <c r="M44" s="7">
        <v>0.37505773999999997</v>
      </c>
      <c r="N44"/>
      <c r="O44" s="8">
        <v>28924.59</v>
      </c>
      <c r="P44" s="7">
        <v>0.39269089000000001</v>
      </c>
      <c r="Q44"/>
      <c r="R44" s="8">
        <v>46134.042600000001</v>
      </c>
      <c r="S44" s="7">
        <v>0.30222444999999998</v>
      </c>
      <c r="T44"/>
      <c r="U44" s="8">
        <v>53705.741699999999</v>
      </c>
      <c r="V44" s="7">
        <v>0.29675736000000003</v>
      </c>
      <c r="W44"/>
      <c r="X44" s="8">
        <v>27726.763599999998</v>
      </c>
      <c r="Y44" s="7">
        <v>0.29460178999999997</v>
      </c>
      <c r="Z44"/>
      <c r="AA44" s="8">
        <v>32242.632799999999</v>
      </c>
      <c r="AB44" s="7">
        <v>0.31349662</v>
      </c>
      <c r="AC44"/>
      <c r="AD44" s="8">
        <v>63976.560899999997</v>
      </c>
      <c r="AE44" s="7">
        <v>0.29281234</v>
      </c>
      <c r="AF44"/>
      <c r="AG44" s="8">
        <v>56919.115700000002</v>
      </c>
      <c r="AH44" s="7">
        <v>0.29739653999999999</v>
      </c>
      <c r="AI44"/>
      <c r="AJ44" s="8">
        <v>64899.358200000002</v>
      </c>
      <c r="AK44" s="7">
        <v>0.29516408</v>
      </c>
      <c r="AL44"/>
      <c r="AM44" s="8">
        <v>33237.405400000003</v>
      </c>
      <c r="AN44" s="7">
        <v>0.31122196000000002</v>
      </c>
    </row>
    <row r="45" spans="2:40" s="314" customFormat="1" ht="12.75" customHeight="1" x14ac:dyDescent="0.15">
      <c r="B45" s="5" t="s">
        <v>47</v>
      </c>
      <c r="C45" s="8">
        <v>93716.199500000002</v>
      </c>
      <c r="D45" s="7">
        <v>0.15827658999999999</v>
      </c>
      <c r="E45"/>
      <c r="F45" s="8">
        <v>7933.84</v>
      </c>
      <c r="G45" s="7">
        <v>0.23722441</v>
      </c>
      <c r="H45"/>
      <c r="I45" s="8">
        <v>6693.51</v>
      </c>
      <c r="J45" s="7">
        <v>0.20659880999999999</v>
      </c>
      <c r="K45"/>
      <c r="L45" s="8">
        <v>13859.93</v>
      </c>
      <c r="M45" s="7">
        <v>0.17998185999999999</v>
      </c>
      <c r="N45"/>
      <c r="O45" s="8">
        <v>4428.3999999999996</v>
      </c>
      <c r="P45" s="7">
        <v>0.16354967000000001</v>
      </c>
      <c r="Q45"/>
      <c r="R45" s="8">
        <v>7599.6801999999998</v>
      </c>
      <c r="S45" s="7">
        <v>0.14465428999999999</v>
      </c>
      <c r="T45"/>
      <c r="U45" s="8">
        <v>8518.8868999999995</v>
      </c>
      <c r="V45" s="7">
        <v>0.14302906000000001</v>
      </c>
      <c r="W45"/>
      <c r="X45" s="8">
        <v>4563.8185999999996</v>
      </c>
      <c r="Y45" s="7">
        <v>0.14347573</v>
      </c>
      <c r="Z45"/>
      <c r="AA45" s="8">
        <v>6147.7964000000002</v>
      </c>
      <c r="AB45" s="7">
        <v>0.14875683000000001</v>
      </c>
      <c r="AC45"/>
      <c r="AD45" s="8">
        <v>9201.3179</v>
      </c>
      <c r="AE45" s="7">
        <v>0.14298267000000001</v>
      </c>
      <c r="AF45"/>
      <c r="AG45" s="8">
        <v>9494.3104999999996</v>
      </c>
      <c r="AH45" s="7">
        <v>0.14151849</v>
      </c>
      <c r="AI45"/>
      <c r="AJ45" s="8">
        <v>10037.6986</v>
      </c>
      <c r="AK45" s="7">
        <v>0.14103742</v>
      </c>
      <c r="AL45"/>
      <c r="AM45" s="8">
        <v>5237.0104000000001</v>
      </c>
      <c r="AN45" s="7">
        <v>0.15254635999999999</v>
      </c>
    </row>
    <row r="46" spans="2:40" s="314" customFormat="1" ht="12.75" customHeight="1" x14ac:dyDescent="0.15">
      <c r="B46" s="5" t="s">
        <v>48</v>
      </c>
      <c r="C46" s="8">
        <v>29056.03</v>
      </c>
      <c r="D46" s="7">
        <v>6.4930749999999995E-2</v>
      </c>
      <c r="E46"/>
      <c r="F46" s="8">
        <v>-19.399999999999999</v>
      </c>
      <c r="G46" s="7">
        <v>-7.0628999999999993E-4</v>
      </c>
      <c r="H46"/>
      <c r="I46" s="8">
        <v>246.18</v>
      </c>
      <c r="J46" s="7">
        <v>1.461165E-2</v>
      </c>
      <c r="K46"/>
      <c r="L46" s="8">
        <v>963.7</v>
      </c>
      <c r="M46" s="7">
        <v>1.9816980000000001E-2</v>
      </c>
      <c r="N46"/>
      <c r="O46" s="8">
        <v>-134.44999999999999</v>
      </c>
      <c r="P46" s="7">
        <v>-5.8242199999999997E-3</v>
      </c>
      <c r="Q46"/>
      <c r="R46" s="8">
        <v>4000</v>
      </c>
      <c r="S46" s="7">
        <v>9.0943839999999998E-2</v>
      </c>
      <c r="T46"/>
      <c r="U46" s="8">
        <v>5500</v>
      </c>
      <c r="V46" s="7">
        <v>0.15572214000000001</v>
      </c>
      <c r="W46"/>
      <c r="X46" s="8">
        <v>2000</v>
      </c>
      <c r="Y46" s="7">
        <v>6.922623E-2</v>
      </c>
      <c r="Z46"/>
      <c r="AA46" s="8">
        <v>2000</v>
      </c>
      <c r="AB46" s="7">
        <v>5.2666519999999988E-2</v>
      </c>
      <c r="AC46"/>
      <c r="AD46" s="8">
        <v>5000</v>
      </c>
      <c r="AE46" s="7">
        <v>0.10055773</v>
      </c>
      <c r="AF46"/>
      <c r="AG46" s="8">
        <v>3500</v>
      </c>
      <c r="AH46" s="7">
        <v>6.9059860000000001E-2</v>
      </c>
      <c r="AI46"/>
      <c r="AJ46" s="8">
        <v>3000</v>
      </c>
      <c r="AK46" s="7">
        <v>5.7636420000000001E-2</v>
      </c>
      <c r="AL46"/>
      <c r="AM46" s="8">
        <v>3000</v>
      </c>
      <c r="AN46" s="7">
        <v>9.1351059999999998E-2</v>
      </c>
    </row>
    <row r="47" spans="2:40" s="314" customFormat="1" ht="12.75" customHeight="1" x14ac:dyDescent="0.15">
      <c r="B47" s="325" t="s">
        <v>49</v>
      </c>
      <c r="C47" s="326">
        <v>667623.11029999994</v>
      </c>
      <c r="D47" s="327">
        <v>0.24505568999999999</v>
      </c>
      <c r="E47"/>
      <c r="F47" s="326">
        <v>43116.56</v>
      </c>
      <c r="G47" s="327">
        <v>0.29027976999999999</v>
      </c>
      <c r="H47"/>
      <c r="I47" s="326">
        <v>47180.24</v>
      </c>
      <c r="J47" s="327">
        <v>0.33402269000000001</v>
      </c>
      <c r="K47"/>
      <c r="L47" s="326">
        <v>76465.63</v>
      </c>
      <c r="M47" s="327">
        <v>0.263683</v>
      </c>
      <c r="N47"/>
      <c r="O47" s="326">
        <v>33218.54</v>
      </c>
      <c r="P47" s="327">
        <v>0.26828341</v>
      </c>
      <c r="Q47"/>
      <c r="R47" s="326">
        <v>57733.722800000003</v>
      </c>
      <c r="S47" s="327">
        <v>0.23170571000000001</v>
      </c>
      <c r="T47"/>
      <c r="U47" s="326">
        <v>67724.628500000006</v>
      </c>
      <c r="V47" s="327">
        <v>0.24550796999999999</v>
      </c>
      <c r="W47"/>
      <c r="X47" s="326">
        <v>34290.5821</v>
      </c>
      <c r="Y47" s="327">
        <v>0.22149271000000001</v>
      </c>
      <c r="Z47"/>
      <c r="AA47" s="326">
        <v>40390.429199999999</v>
      </c>
      <c r="AB47" s="327">
        <v>0.22174141999999999</v>
      </c>
      <c r="AC47"/>
      <c r="AD47" s="326">
        <v>78177.878800000006</v>
      </c>
      <c r="AE47" s="327">
        <v>0.23507525000000001</v>
      </c>
      <c r="AF47"/>
      <c r="AG47" s="326">
        <v>69913.426200000002</v>
      </c>
      <c r="AH47" s="327">
        <v>0.22613934999999999</v>
      </c>
      <c r="AI47"/>
      <c r="AJ47" s="326">
        <v>77937.056800000006</v>
      </c>
      <c r="AK47" s="327">
        <v>0.22715789</v>
      </c>
      <c r="AL47"/>
      <c r="AM47" s="326">
        <v>41474.4159</v>
      </c>
      <c r="AN47" s="327">
        <v>0.23840335000000001</v>
      </c>
    </row>
    <row r="48" spans="2:40" s="314" customFormat="1" ht="12.75" customHeight="1" x14ac:dyDescent="0.15">
      <c r="B48" s="5" t="s">
        <v>22</v>
      </c>
      <c r="C48" s="8">
        <v>1404468.7784</v>
      </c>
      <c r="D48" s="7">
        <v>0.51551999999999998</v>
      </c>
      <c r="E48"/>
      <c r="F48" s="8">
        <v>89533.07</v>
      </c>
      <c r="G48" s="7">
        <v>0.60277625999999995</v>
      </c>
      <c r="H48"/>
      <c r="I48" s="8">
        <v>96769.31</v>
      </c>
      <c r="J48" s="7">
        <v>0.68509919999999991</v>
      </c>
      <c r="K48"/>
      <c r="L48" s="8">
        <v>137315.96</v>
      </c>
      <c r="M48" s="7">
        <v>0.47351841</v>
      </c>
      <c r="N48"/>
      <c r="O48" s="8">
        <v>102707.68</v>
      </c>
      <c r="P48" s="7">
        <v>0.82949961000000005</v>
      </c>
      <c r="Q48"/>
      <c r="R48" s="8">
        <v>112039.6308</v>
      </c>
      <c r="S48" s="7">
        <v>0.44965440000000001</v>
      </c>
      <c r="T48"/>
      <c r="U48" s="8">
        <v>121731.24830000001</v>
      </c>
      <c r="V48" s="7">
        <v>0.44128689999999998</v>
      </c>
      <c r="W48"/>
      <c r="X48" s="8">
        <v>102190.15670000001</v>
      </c>
      <c r="Y48" s="7">
        <v>0.66007554000000002</v>
      </c>
      <c r="Z48"/>
      <c r="AA48" s="8">
        <v>96838.285099999994</v>
      </c>
      <c r="AB48" s="7">
        <v>0.53163729999999998</v>
      </c>
      <c r="AC48"/>
      <c r="AD48" s="8">
        <v>123185.5998</v>
      </c>
      <c r="AE48" s="7">
        <v>0.37041022000000001</v>
      </c>
      <c r="AF48"/>
      <c r="AG48" s="8">
        <v>123115.9425</v>
      </c>
      <c r="AH48" s="7">
        <v>0.39822621000000002</v>
      </c>
      <c r="AI48"/>
      <c r="AJ48" s="8">
        <v>184596.68580000001</v>
      </c>
      <c r="AK48" s="7">
        <v>0.53803151999999999</v>
      </c>
      <c r="AL48"/>
      <c r="AM48" s="8">
        <v>114445.20940000001</v>
      </c>
      <c r="AN48" s="7">
        <v>0.65785426999999996</v>
      </c>
    </row>
    <row r="49" spans="2:40" s="314" customFormat="1" ht="12.75" customHeight="1" x14ac:dyDescent="0.15">
      <c r="B49" s="5" t="s">
        <v>40</v>
      </c>
      <c r="C49" s="8">
        <v>134983.2837</v>
      </c>
      <c r="D49" s="7">
        <v>4.9546549999999988E-2</v>
      </c>
      <c r="E49"/>
      <c r="F49" s="8">
        <v>4182.53</v>
      </c>
      <c r="G49" s="7">
        <v>2.8158639999999999E-2</v>
      </c>
      <c r="H49"/>
      <c r="I49" s="8">
        <v>2349.16</v>
      </c>
      <c r="J49" s="7">
        <v>1.6631380000000001E-2</v>
      </c>
      <c r="K49"/>
      <c r="L49" s="8">
        <v>9715.76</v>
      </c>
      <c r="M49" s="7">
        <v>3.3503690000000003E-2</v>
      </c>
      <c r="N49"/>
      <c r="O49" s="8">
        <v>24517.08</v>
      </c>
      <c r="P49" s="7">
        <v>0.19800767</v>
      </c>
      <c r="Q49"/>
      <c r="R49" s="8">
        <v>11234.78</v>
      </c>
      <c r="S49" s="7">
        <v>4.5089120000000003E-2</v>
      </c>
      <c r="T49"/>
      <c r="U49" s="8">
        <v>13613.9912</v>
      </c>
      <c r="V49" s="7">
        <v>4.935196E-2</v>
      </c>
      <c r="W49"/>
      <c r="X49" s="8">
        <v>8533.9418000000005</v>
      </c>
      <c r="Y49" s="7">
        <v>5.5123179999999987E-2</v>
      </c>
      <c r="Z49"/>
      <c r="AA49" s="8">
        <v>9882.1638999999996</v>
      </c>
      <c r="AB49" s="7">
        <v>5.4252580000000002E-2</v>
      </c>
      <c r="AC49"/>
      <c r="AD49" s="8">
        <v>13892.825000000001</v>
      </c>
      <c r="AE49" s="7">
        <v>4.1774720000000001E-2</v>
      </c>
      <c r="AF49"/>
      <c r="AG49" s="8">
        <v>12404.5002</v>
      </c>
      <c r="AH49" s="7">
        <v>4.012313E-2</v>
      </c>
      <c r="AI49"/>
      <c r="AJ49" s="8">
        <v>12882.162700000001</v>
      </c>
      <c r="AK49" s="7">
        <v>3.754677E-2</v>
      </c>
      <c r="AL49"/>
      <c r="AM49" s="8">
        <v>11774.3889</v>
      </c>
      <c r="AN49" s="7">
        <v>6.768157000000001E-2</v>
      </c>
    </row>
    <row r="50" spans="2:40" s="314" customFormat="1" ht="12.75" customHeight="1" x14ac:dyDescent="0.15">
      <c r="B50" s="325" t="s">
        <v>41</v>
      </c>
      <c r="C50" s="326">
        <v>517297.84220000001</v>
      </c>
      <c r="D50" s="327">
        <v>0.18987776000000001</v>
      </c>
      <c r="E50"/>
      <c r="F50" s="326">
        <v>11702.34</v>
      </c>
      <c r="G50" s="327">
        <v>7.8785330000000001E-2</v>
      </c>
      <c r="H50"/>
      <c r="I50" s="326">
        <v>-5050.1000000000004</v>
      </c>
      <c r="J50" s="327">
        <v>-3.5753269999999997E-2</v>
      </c>
      <c r="K50"/>
      <c r="L50" s="326">
        <v>66493.399999999994</v>
      </c>
      <c r="M50" s="327">
        <v>0.2292949</v>
      </c>
      <c r="N50"/>
      <c r="O50" s="326">
        <v>-36624.46</v>
      </c>
      <c r="P50" s="327">
        <v>-0.29579069000000002</v>
      </c>
      <c r="Q50"/>
      <c r="R50" s="326">
        <v>68160.184200000003</v>
      </c>
      <c r="S50" s="327">
        <v>0.27355077</v>
      </c>
      <c r="T50"/>
      <c r="U50" s="326">
        <v>72785.247300000003</v>
      </c>
      <c r="V50" s="327">
        <v>0.26385317000000003</v>
      </c>
      <c r="W50"/>
      <c r="X50" s="326">
        <v>9801.1710000000003</v>
      </c>
      <c r="Y50" s="327">
        <v>6.3308580000000003E-2</v>
      </c>
      <c r="Z50"/>
      <c r="AA50" s="326">
        <v>35040.158499999998</v>
      </c>
      <c r="AB50" s="327">
        <v>0.1923687</v>
      </c>
      <c r="AC50"/>
      <c r="AD50" s="326">
        <v>117309.0343</v>
      </c>
      <c r="AE50" s="327">
        <v>0.35273980999999999</v>
      </c>
      <c r="AF50"/>
      <c r="AG50" s="326">
        <v>103726.9537</v>
      </c>
      <c r="AH50" s="327">
        <v>0.33551131000000001</v>
      </c>
      <c r="AI50"/>
      <c r="AJ50" s="326">
        <v>67680.507199999993</v>
      </c>
      <c r="AK50" s="327">
        <v>0.19726381000000001</v>
      </c>
      <c r="AL50"/>
      <c r="AM50" s="326">
        <v>6273.4059999999999</v>
      </c>
      <c r="AN50" s="327">
        <v>3.6060809999999999E-2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293270.50170000002</v>
      </c>
      <c r="D53" s="7">
        <v>1</v>
      </c>
      <c r="E53"/>
      <c r="F53" s="8">
        <v>20281.689999999999</v>
      </c>
      <c r="G53" s="7">
        <v>1</v>
      </c>
      <c r="H53"/>
      <c r="I53" s="8">
        <v>21052.91</v>
      </c>
      <c r="J53" s="7">
        <v>1</v>
      </c>
      <c r="K53"/>
      <c r="L53" s="8">
        <v>15476.89</v>
      </c>
      <c r="M53" s="7">
        <v>1</v>
      </c>
      <c r="N53"/>
      <c r="O53" s="8">
        <v>24980.73</v>
      </c>
      <c r="P53" s="7">
        <v>1</v>
      </c>
      <c r="Q53"/>
      <c r="R53" s="8">
        <v>30294.501899999999</v>
      </c>
      <c r="S53" s="7">
        <v>1</v>
      </c>
      <c r="T53"/>
      <c r="U53" s="8">
        <v>28346.0815</v>
      </c>
      <c r="V53" s="7">
        <v>1</v>
      </c>
      <c r="W53"/>
      <c r="X53" s="8">
        <v>20624.5</v>
      </c>
      <c r="Y53" s="7">
        <v>1</v>
      </c>
      <c r="Z53"/>
      <c r="AA53" s="8">
        <v>20738.0095</v>
      </c>
      <c r="AB53" s="7">
        <v>1</v>
      </c>
      <c r="AC53"/>
      <c r="AD53" s="8">
        <v>29615.108499999998</v>
      </c>
      <c r="AE53" s="7">
        <v>1</v>
      </c>
      <c r="AF53"/>
      <c r="AG53" s="8">
        <v>28423.05</v>
      </c>
      <c r="AH53" s="7">
        <v>1</v>
      </c>
      <c r="AI53"/>
      <c r="AJ53" s="8">
        <v>30602.780299999999</v>
      </c>
      <c r="AK53" s="7">
        <v>1</v>
      </c>
      <c r="AL53"/>
      <c r="AM53" s="8">
        <v>22834.25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6084.65</v>
      </c>
      <c r="D54" s="7">
        <v>2.074757E-2</v>
      </c>
      <c r="E54"/>
      <c r="F54" s="8">
        <v>0</v>
      </c>
      <c r="G54" s="7">
        <v>0</v>
      </c>
      <c r="H54"/>
      <c r="I54" s="8">
        <v>168.24</v>
      </c>
      <c r="J54" s="7">
        <v>7.9912899999999999E-3</v>
      </c>
      <c r="K54"/>
      <c r="L54" s="8">
        <v>62.54</v>
      </c>
      <c r="M54" s="7">
        <v>4.0408600000000003E-3</v>
      </c>
      <c r="N54"/>
      <c r="O54" s="8">
        <v>297.47000000000003</v>
      </c>
      <c r="P54" s="7">
        <v>1.190798E-2</v>
      </c>
      <c r="Q54"/>
      <c r="R54" s="8">
        <v>740.80399999999997</v>
      </c>
      <c r="S54" s="7">
        <v>2.4453409999999998E-2</v>
      </c>
      <c r="T54"/>
      <c r="U54" s="8">
        <v>730.1</v>
      </c>
      <c r="V54" s="7">
        <v>2.5756649999999999E-2</v>
      </c>
      <c r="W54"/>
      <c r="X54" s="8">
        <v>619.1</v>
      </c>
      <c r="Y54" s="7">
        <v>3.0017700000000001E-2</v>
      </c>
      <c r="Z54"/>
      <c r="AA54" s="8">
        <v>568.86</v>
      </c>
      <c r="AB54" s="7">
        <v>2.743079E-2</v>
      </c>
      <c r="AC54"/>
      <c r="AD54" s="8">
        <v>757.22</v>
      </c>
      <c r="AE54" s="7">
        <v>2.5568710000000001E-2</v>
      </c>
      <c r="AF54"/>
      <c r="AG54" s="8">
        <v>760.34</v>
      </c>
      <c r="AH54" s="7">
        <v>2.6750820000000002E-2</v>
      </c>
      <c r="AI54"/>
      <c r="AJ54" s="8">
        <v>731.07600000000002</v>
      </c>
      <c r="AK54" s="7">
        <v>2.3889199999999999E-2</v>
      </c>
      <c r="AL54"/>
      <c r="AM54" s="8">
        <v>648.9</v>
      </c>
      <c r="AN54" s="7">
        <v>2.841784E-2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0</v>
      </c>
      <c r="D56" s="7">
        <v>0</v>
      </c>
      <c r="E56"/>
      <c r="F56" s="8">
        <v>0</v>
      </c>
      <c r="G56" s="7">
        <v>0</v>
      </c>
      <c r="H56"/>
      <c r="I56" s="8">
        <v>0</v>
      </c>
      <c r="J56" s="7">
        <v>0</v>
      </c>
      <c r="K56"/>
      <c r="L56" s="8">
        <v>0</v>
      </c>
      <c r="M56" s="7">
        <v>0</v>
      </c>
      <c r="N56"/>
      <c r="O56" s="8">
        <v>0</v>
      </c>
      <c r="P56" s="7">
        <v>0</v>
      </c>
      <c r="Q56"/>
      <c r="R56" s="8">
        <v>0</v>
      </c>
      <c r="S56" s="7">
        <v>0</v>
      </c>
      <c r="T56"/>
      <c r="U56" s="8">
        <v>0</v>
      </c>
      <c r="V56" s="7">
        <v>0</v>
      </c>
      <c r="W56"/>
      <c r="X56" s="8">
        <v>0</v>
      </c>
      <c r="Y56" s="7">
        <v>0</v>
      </c>
      <c r="Z56"/>
      <c r="AA56" s="8">
        <v>0</v>
      </c>
      <c r="AB56" s="7">
        <v>0</v>
      </c>
      <c r="AC56"/>
      <c r="AD56" s="8">
        <v>0</v>
      </c>
      <c r="AE56" s="7">
        <v>0</v>
      </c>
      <c r="AF56"/>
      <c r="AG56" s="8">
        <v>0</v>
      </c>
      <c r="AH56" s="7">
        <v>0</v>
      </c>
      <c r="AI56"/>
      <c r="AJ56" s="8">
        <v>0</v>
      </c>
      <c r="AK56" s="7">
        <v>0</v>
      </c>
      <c r="AL56"/>
      <c r="AM56" s="8">
        <v>0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287185.8517</v>
      </c>
      <c r="D57" s="327">
        <v>0.97925242999999995</v>
      </c>
      <c r="E57"/>
      <c r="F57" s="326">
        <v>20281.689999999999</v>
      </c>
      <c r="G57" s="327">
        <v>1</v>
      </c>
      <c r="H57"/>
      <c r="I57" s="326">
        <v>20884.669999999998</v>
      </c>
      <c r="J57" s="327">
        <v>0.99200871000000002</v>
      </c>
      <c r="K57"/>
      <c r="L57" s="326">
        <v>15414.35</v>
      </c>
      <c r="M57" s="327">
        <v>0.99595913999999997</v>
      </c>
      <c r="N57"/>
      <c r="O57" s="326">
        <v>24683.26</v>
      </c>
      <c r="P57" s="327">
        <v>0.98809201999999996</v>
      </c>
      <c r="Q57"/>
      <c r="R57" s="326">
        <v>29553.697899999999</v>
      </c>
      <c r="S57" s="327">
        <v>0.97554658999999999</v>
      </c>
      <c r="T57"/>
      <c r="U57" s="326">
        <v>27615.981500000002</v>
      </c>
      <c r="V57" s="327">
        <v>0.97424334999999995</v>
      </c>
      <c r="W57"/>
      <c r="X57" s="326">
        <v>20005.400000000001</v>
      </c>
      <c r="Y57" s="327">
        <v>0.96998230000000008</v>
      </c>
      <c r="Z57"/>
      <c r="AA57" s="326">
        <v>20169.1495</v>
      </c>
      <c r="AB57" s="327">
        <v>0.97256921000000007</v>
      </c>
      <c r="AC57"/>
      <c r="AD57" s="326">
        <v>28857.888500000001</v>
      </c>
      <c r="AE57" s="327">
        <v>0.97443128999999995</v>
      </c>
      <c r="AF57"/>
      <c r="AG57" s="326">
        <v>27662.71</v>
      </c>
      <c r="AH57" s="327">
        <v>0.97324917999999994</v>
      </c>
      <c r="AI57"/>
      <c r="AJ57" s="326">
        <v>29871.704300000001</v>
      </c>
      <c r="AK57" s="327">
        <v>0.97611080000000006</v>
      </c>
      <c r="AL57"/>
      <c r="AM57" s="326">
        <v>22185.35</v>
      </c>
      <c r="AN57" s="327">
        <v>0.97158215999999997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142890.20000000001</v>
      </c>
      <c r="D60" s="327">
        <v>0.48723005000000003</v>
      </c>
      <c r="E60"/>
      <c r="F60" s="326">
        <v>5547.06</v>
      </c>
      <c r="G60" s="327">
        <v>0.27350088</v>
      </c>
      <c r="H60"/>
      <c r="I60" s="326">
        <v>11872.1</v>
      </c>
      <c r="J60" s="327">
        <v>0.56391729000000002</v>
      </c>
      <c r="K60"/>
      <c r="L60" s="326">
        <v>10695.5</v>
      </c>
      <c r="M60" s="327">
        <v>0.69106261000000002</v>
      </c>
      <c r="N60"/>
      <c r="O60" s="326">
        <v>12075.54</v>
      </c>
      <c r="P60" s="327">
        <v>0.4833942</v>
      </c>
      <c r="Q60"/>
      <c r="R60" s="326">
        <v>15000</v>
      </c>
      <c r="S60" s="327">
        <v>0.49513934999999998</v>
      </c>
      <c r="T60"/>
      <c r="U60" s="326">
        <v>17000</v>
      </c>
      <c r="V60" s="327">
        <v>0.59973016000000001</v>
      </c>
      <c r="W60"/>
      <c r="X60" s="326">
        <v>8700</v>
      </c>
      <c r="Y60" s="327">
        <v>0.42182840999999999</v>
      </c>
      <c r="Z60"/>
      <c r="AA60" s="326">
        <v>8000</v>
      </c>
      <c r="AB60" s="327">
        <v>0.38576508999999998</v>
      </c>
      <c r="AC60"/>
      <c r="AD60" s="326">
        <v>15000</v>
      </c>
      <c r="AE60" s="327">
        <v>0.50649822999999994</v>
      </c>
      <c r="AF60"/>
      <c r="AG60" s="326">
        <v>15000</v>
      </c>
      <c r="AH60" s="327">
        <v>0.52774069000000001</v>
      </c>
      <c r="AI60"/>
      <c r="AJ60" s="326">
        <v>12500</v>
      </c>
      <c r="AK60" s="327">
        <v>0.40845962000000002</v>
      </c>
      <c r="AL60"/>
      <c r="AM60" s="326">
        <v>11500</v>
      </c>
      <c r="AN60" s="327">
        <v>0.50362941999999999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4387918.398</v>
      </c>
      <c r="D63" s="327">
        <v>0.48474246999999998</v>
      </c>
      <c r="E63"/>
      <c r="F63" s="326">
        <v>245546.77</v>
      </c>
      <c r="G63" s="327">
        <v>0.44759123000000001</v>
      </c>
      <c r="H63"/>
      <c r="I63" s="326">
        <v>328281.21000000002</v>
      </c>
      <c r="J63" s="327">
        <v>0.49318645999999999</v>
      </c>
      <c r="K63"/>
      <c r="L63" s="326">
        <v>462953.52</v>
      </c>
      <c r="M63" s="327">
        <v>0.46657644999999998</v>
      </c>
      <c r="N63"/>
      <c r="O63" s="326">
        <v>221553.56</v>
      </c>
      <c r="P63" s="327">
        <v>0.46773774000000001</v>
      </c>
      <c r="Q63"/>
      <c r="R63" s="326">
        <v>412238.67660000001</v>
      </c>
      <c r="S63" s="327">
        <v>0.50922668999999998</v>
      </c>
      <c r="T63"/>
      <c r="U63" s="326">
        <v>425239.15149999998</v>
      </c>
      <c r="V63" s="327">
        <v>0.50663071000000004</v>
      </c>
      <c r="W63"/>
      <c r="X63" s="326">
        <v>225089.96280000001</v>
      </c>
      <c r="Y63" s="327">
        <v>0.40342588000000001</v>
      </c>
      <c r="Z63"/>
      <c r="AA63" s="326">
        <v>262731.98969999998</v>
      </c>
      <c r="AB63" s="327">
        <v>0.44237896999999998</v>
      </c>
      <c r="AC63"/>
      <c r="AD63" s="326">
        <v>520266.59779999999</v>
      </c>
      <c r="AE63" s="327">
        <v>0.54367936000000006</v>
      </c>
      <c r="AF63"/>
      <c r="AG63" s="326">
        <v>552282.21490000002</v>
      </c>
      <c r="AH63" s="327">
        <v>0.55815435000000002</v>
      </c>
      <c r="AI63"/>
      <c r="AJ63" s="326">
        <v>477434.96269999997</v>
      </c>
      <c r="AK63" s="327">
        <v>0.47134556000000011</v>
      </c>
      <c r="AL63"/>
      <c r="AM63" s="326">
        <v>254299.78200000001</v>
      </c>
      <c r="AN63" s="327">
        <v>0.41562297999999998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250133.58540000001</v>
      </c>
      <c r="D66" s="7">
        <v>2.7632779999999999E-2</v>
      </c>
      <c r="E66"/>
      <c r="F66" s="8">
        <v>28444.38</v>
      </c>
      <c r="G66" s="7">
        <v>5.1849410000000012E-2</v>
      </c>
      <c r="H66"/>
      <c r="I66" s="8">
        <v>20845.38</v>
      </c>
      <c r="J66" s="7">
        <v>3.1316620000000003E-2</v>
      </c>
      <c r="K66"/>
      <c r="L66" s="8">
        <v>17177.400000000001</v>
      </c>
      <c r="M66" s="7">
        <v>1.7311819999999999E-2</v>
      </c>
      <c r="N66"/>
      <c r="O66" s="8">
        <v>16673.38</v>
      </c>
      <c r="P66" s="7">
        <v>3.5200380000000003E-2</v>
      </c>
      <c r="Q66"/>
      <c r="R66" s="8">
        <v>15807.449699999999</v>
      </c>
      <c r="S66" s="7">
        <v>1.9526490000000001E-2</v>
      </c>
      <c r="T66"/>
      <c r="U66" s="8">
        <v>15807.449699999999</v>
      </c>
      <c r="V66" s="7">
        <v>1.8833019999999999E-2</v>
      </c>
      <c r="W66"/>
      <c r="X66" s="8">
        <v>17563.648499999999</v>
      </c>
      <c r="Y66" s="7">
        <v>3.1479100000000003E-2</v>
      </c>
      <c r="Z66"/>
      <c r="AA66" s="8">
        <v>16674.023000000001</v>
      </c>
      <c r="AB66" s="7">
        <v>2.8075139999999998E-2</v>
      </c>
      <c r="AC66"/>
      <c r="AD66" s="8">
        <v>12519.8238</v>
      </c>
      <c r="AE66" s="7">
        <v>1.308323E-2</v>
      </c>
      <c r="AF66"/>
      <c r="AG66" s="8">
        <v>16110.0708</v>
      </c>
      <c r="AH66" s="7">
        <v>1.6281360000000002E-2</v>
      </c>
      <c r="AI66"/>
      <c r="AJ66" s="8">
        <v>20346.648499999999</v>
      </c>
      <c r="AK66" s="7">
        <v>2.008714E-2</v>
      </c>
      <c r="AL66"/>
      <c r="AM66" s="8">
        <v>52163.931400000001</v>
      </c>
      <c r="AN66" s="7">
        <v>8.5255789999999998E-2</v>
      </c>
    </row>
    <row r="67" spans="2:40" s="314" customFormat="1" ht="12.75" customHeight="1" x14ac:dyDescent="0.15">
      <c r="B67" s="5" t="s">
        <v>40</v>
      </c>
      <c r="C67" s="8">
        <v>196888.09280000001</v>
      </c>
      <c r="D67" s="7">
        <v>2.1750640000000002E-2</v>
      </c>
      <c r="E67"/>
      <c r="F67" s="8">
        <v>20741.18</v>
      </c>
      <c r="G67" s="7">
        <v>3.7807750000000001E-2</v>
      </c>
      <c r="H67"/>
      <c r="I67" s="8">
        <v>14680.18</v>
      </c>
      <c r="J67" s="7">
        <v>2.2054460000000001E-2</v>
      </c>
      <c r="K67"/>
      <c r="L67" s="8">
        <v>15897.42</v>
      </c>
      <c r="M67" s="7">
        <v>1.6021830000000001E-2</v>
      </c>
      <c r="N67"/>
      <c r="O67" s="8">
        <v>11454.4</v>
      </c>
      <c r="P67" s="7">
        <v>2.4182209999999999E-2</v>
      </c>
      <c r="Q67"/>
      <c r="R67" s="8">
        <v>17016.0422</v>
      </c>
      <c r="S67" s="7">
        <v>2.1019429999999999E-2</v>
      </c>
      <c r="T67"/>
      <c r="U67" s="8">
        <v>17534.714100000001</v>
      </c>
      <c r="V67" s="7">
        <v>2.0890889999999999E-2</v>
      </c>
      <c r="W67"/>
      <c r="X67" s="8">
        <v>12638.334999999999</v>
      </c>
      <c r="Y67" s="7">
        <v>2.265153E-2</v>
      </c>
      <c r="Z67"/>
      <c r="AA67" s="8">
        <v>13264.052600000001</v>
      </c>
      <c r="AB67" s="7">
        <v>2.2333550000000001E-2</v>
      </c>
      <c r="AC67"/>
      <c r="AD67" s="8">
        <v>18432.440399999999</v>
      </c>
      <c r="AE67" s="7">
        <v>1.926193E-2</v>
      </c>
      <c r="AF67"/>
      <c r="AG67" s="8">
        <v>18959.6358</v>
      </c>
      <c r="AH67" s="7">
        <v>1.916122E-2</v>
      </c>
      <c r="AI67"/>
      <c r="AJ67" s="8">
        <v>22693.236700000001</v>
      </c>
      <c r="AK67" s="7">
        <v>2.2403800000000001E-2</v>
      </c>
      <c r="AL67"/>
      <c r="AM67" s="8">
        <v>13576.456</v>
      </c>
      <c r="AN67" s="7">
        <v>2.218912E-2</v>
      </c>
    </row>
    <row r="68" spans="2:40" s="314" customFormat="1" ht="12.75" customHeight="1" x14ac:dyDescent="0.15">
      <c r="B68" s="325" t="s">
        <v>41</v>
      </c>
      <c r="C68" s="326">
        <v>-447021.67810000002</v>
      </c>
      <c r="D68" s="327">
        <v>-4.9383410000000003E-2</v>
      </c>
      <c r="E68"/>
      <c r="F68" s="326">
        <v>-49185.56</v>
      </c>
      <c r="G68" s="327">
        <v>-8.965716E-2</v>
      </c>
      <c r="H68"/>
      <c r="I68" s="326">
        <v>-35525.56</v>
      </c>
      <c r="J68" s="327">
        <v>-5.3371090000000003E-2</v>
      </c>
      <c r="K68"/>
      <c r="L68" s="326">
        <v>-33074.82</v>
      </c>
      <c r="M68" s="327">
        <v>-3.3333649999999999E-2</v>
      </c>
      <c r="N68"/>
      <c r="O68" s="326">
        <v>-28127.78</v>
      </c>
      <c r="P68" s="327">
        <v>-5.9382590000000013E-2</v>
      </c>
      <c r="Q68"/>
      <c r="R68" s="326">
        <v>-32823.491900000001</v>
      </c>
      <c r="S68" s="327">
        <v>-4.0545920000000013E-2</v>
      </c>
      <c r="T68"/>
      <c r="U68" s="326">
        <v>-33342.163699999997</v>
      </c>
      <c r="V68" s="327">
        <v>-3.9723920000000003E-2</v>
      </c>
      <c r="W68"/>
      <c r="X68" s="326">
        <v>-30201.983499999998</v>
      </c>
      <c r="Y68" s="327">
        <v>-5.4130629999999999E-2</v>
      </c>
      <c r="Z68"/>
      <c r="AA68" s="326">
        <v>-29938.0756</v>
      </c>
      <c r="AB68" s="327">
        <v>-5.0408689999999999E-2</v>
      </c>
      <c r="AC68"/>
      <c r="AD68" s="326">
        <v>-30952.264200000001</v>
      </c>
      <c r="AE68" s="327">
        <v>-3.2345159999999998E-2</v>
      </c>
      <c r="AF68"/>
      <c r="AG68" s="326">
        <v>-35069.706599999998</v>
      </c>
      <c r="AH68" s="327">
        <v>-3.5442580000000001E-2</v>
      </c>
      <c r="AI68"/>
      <c r="AJ68" s="326">
        <v>-43039.885199999997</v>
      </c>
      <c r="AK68" s="327">
        <v>-4.2490939999999998E-2</v>
      </c>
      <c r="AL68"/>
      <c r="AM68" s="326">
        <v>-65740.387400000007</v>
      </c>
      <c r="AN68" s="327">
        <v>-0.1074449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22584.6</v>
      </c>
      <c r="D71" s="7">
        <v>2.49497E-3</v>
      </c>
      <c r="E71"/>
      <c r="F71" s="8">
        <v>1201.8499999999999</v>
      </c>
      <c r="G71" s="7">
        <v>2.1907699999999999E-3</v>
      </c>
      <c r="H71"/>
      <c r="I71" s="8">
        <v>3632.28</v>
      </c>
      <c r="J71" s="7">
        <v>5.4568799999999999E-3</v>
      </c>
      <c r="K71"/>
      <c r="L71" s="8">
        <v>2956.34</v>
      </c>
      <c r="M71" s="7">
        <v>2.9794800000000001E-3</v>
      </c>
      <c r="N71"/>
      <c r="O71" s="8">
        <v>1202.1300000000001</v>
      </c>
      <c r="P71" s="7">
        <v>2.5379000000000001E-3</v>
      </c>
      <c r="Q71"/>
      <c r="R71" s="8">
        <v>1699</v>
      </c>
      <c r="S71" s="7">
        <v>2.09873E-3</v>
      </c>
      <c r="T71"/>
      <c r="U71" s="8">
        <v>1699</v>
      </c>
      <c r="V71" s="7">
        <v>2.0241899999999999E-3</v>
      </c>
      <c r="W71"/>
      <c r="X71" s="8">
        <v>1699</v>
      </c>
      <c r="Y71" s="7">
        <v>3.0450999999999998E-3</v>
      </c>
      <c r="Z71"/>
      <c r="AA71" s="8">
        <v>1699</v>
      </c>
      <c r="AB71" s="7">
        <v>2.8607200000000002E-3</v>
      </c>
      <c r="AC71"/>
      <c r="AD71" s="8">
        <v>1699</v>
      </c>
      <c r="AE71" s="7">
        <v>1.77546E-3</v>
      </c>
      <c r="AF71"/>
      <c r="AG71" s="8">
        <v>1699</v>
      </c>
      <c r="AH71" s="7">
        <v>1.7170600000000001E-3</v>
      </c>
      <c r="AI71"/>
      <c r="AJ71" s="8">
        <v>1699</v>
      </c>
      <c r="AK71" s="7">
        <v>1.6773300000000001E-3</v>
      </c>
      <c r="AL71"/>
      <c r="AM71" s="8">
        <v>1699</v>
      </c>
      <c r="AN71" s="7">
        <v>2.7768100000000002E-3</v>
      </c>
    </row>
    <row r="72" spans="2:40" s="314" customFormat="1" ht="12.75" customHeight="1" x14ac:dyDescent="0.15">
      <c r="B72" s="5" t="s">
        <v>56</v>
      </c>
      <c r="C72" s="8">
        <v>136974.90299999999</v>
      </c>
      <c r="D72" s="7">
        <v>1.51319E-2</v>
      </c>
      <c r="E72"/>
      <c r="F72" s="8">
        <v>10375.120000000001</v>
      </c>
      <c r="G72" s="7">
        <v>1.8912129999999999E-2</v>
      </c>
      <c r="H72"/>
      <c r="I72" s="8">
        <v>9676.93</v>
      </c>
      <c r="J72" s="7">
        <v>1.4537929999999999E-2</v>
      </c>
      <c r="K72"/>
      <c r="L72" s="8">
        <v>7379.13</v>
      </c>
      <c r="M72" s="7">
        <v>7.4368799999999999E-3</v>
      </c>
      <c r="N72"/>
      <c r="O72" s="8">
        <v>4955.24</v>
      </c>
      <c r="P72" s="7">
        <v>1.0461369999999999E-2</v>
      </c>
      <c r="Q72"/>
      <c r="R72" s="8">
        <v>13071</v>
      </c>
      <c r="S72" s="7">
        <v>1.6146230000000001E-2</v>
      </c>
      <c r="T72"/>
      <c r="U72" s="8">
        <v>13071</v>
      </c>
      <c r="V72" s="7">
        <v>1.5572809999999999E-2</v>
      </c>
      <c r="W72"/>
      <c r="X72" s="8">
        <v>13071</v>
      </c>
      <c r="Y72" s="7">
        <v>2.3426990000000002E-2</v>
      </c>
      <c r="Z72"/>
      <c r="AA72" s="8">
        <v>13071.003000000001</v>
      </c>
      <c r="AB72" s="7">
        <v>2.20085E-2</v>
      </c>
      <c r="AC72"/>
      <c r="AD72" s="8">
        <v>13071</v>
      </c>
      <c r="AE72" s="7">
        <v>1.365921E-2</v>
      </c>
      <c r="AF72"/>
      <c r="AG72" s="8">
        <v>13071</v>
      </c>
      <c r="AH72" s="7">
        <v>1.320998E-2</v>
      </c>
      <c r="AI72"/>
      <c r="AJ72" s="8">
        <v>13091</v>
      </c>
      <c r="AK72" s="7">
        <v>1.292403E-2</v>
      </c>
      <c r="AL72"/>
      <c r="AM72" s="8">
        <v>13071.48</v>
      </c>
      <c r="AN72" s="7">
        <v>2.1363790000000001E-2</v>
      </c>
    </row>
    <row r="73" spans="2:40" s="314" customFormat="1" ht="12.75" customHeight="1" x14ac:dyDescent="0.15">
      <c r="B73" s="5" t="s">
        <v>40</v>
      </c>
      <c r="C73" s="8">
        <v>5000</v>
      </c>
      <c r="D73" s="7">
        <v>5.5236E-4</v>
      </c>
      <c r="E73"/>
      <c r="F73" s="8">
        <v>0</v>
      </c>
      <c r="G73" s="7">
        <v>0</v>
      </c>
      <c r="H73"/>
      <c r="I73" s="8">
        <v>0</v>
      </c>
      <c r="J73" s="7">
        <v>0</v>
      </c>
      <c r="K73"/>
      <c r="L73" s="8">
        <v>0</v>
      </c>
      <c r="M73" s="7">
        <v>0</v>
      </c>
      <c r="N73"/>
      <c r="O73" s="8">
        <v>0</v>
      </c>
      <c r="P73" s="7">
        <v>0</v>
      </c>
      <c r="Q73"/>
      <c r="R73" s="8">
        <v>625</v>
      </c>
      <c r="S73" s="7">
        <v>7.7203999999999999E-4</v>
      </c>
      <c r="T73"/>
      <c r="U73" s="8">
        <v>625</v>
      </c>
      <c r="V73" s="7">
        <v>7.4463000000000003E-4</v>
      </c>
      <c r="W73"/>
      <c r="X73" s="8">
        <v>625</v>
      </c>
      <c r="Y73" s="7">
        <v>1.1201799999999999E-3</v>
      </c>
      <c r="Z73"/>
      <c r="AA73" s="8">
        <v>625</v>
      </c>
      <c r="AB73" s="7">
        <v>1.0523500000000001E-3</v>
      </c>
      <c r="AC73"/>
      <c r="AD73" s="8">
        <v>625</v>
      </c>
      <c r="AE73" s="7">
        <v>6.5312999999999992E-4</v>
      </c>
      <c r="AF73"/>
      <c r="AG73" s="8">
        <v>625</v>
      </c>
      <c r="AH73" s="7">
        <v>6.3164999999999998E-4</v>
      </c>
      <c r="AI73"/>
      <c r="AJ73" s="8">
        <v>625</v>
      </c>
      <c r="AK73" s="7">
        <v>6.1702999999999997E-4</v>
      </c>
      <c r="AL73"/>
      <c r="AM73" s="8">
        <v>625</v>
      </c>
      <c r="AN73" s="7">
        <v>1.0214899999999999E-3</v>
      </c>
    </row>
    <row r="74" spans="2:40" s="314" customFormat="1" ht="12.75" customHeight="1" x14ac:dyDescent="0.15">
      <c r="B74" s="325" t="s">
        <v>41</v>
      </c>
      <c r="C74" s="326">
        <v>-164559.503</v>
      </c>
      <c r="D74" s="327">
        <v>-1.8179230000000001E-2</v>
      </c>
      <c r="E74"/>
      <c r="F74" s="326">
        <v>-11576.97</v>
      </c>
      <c r="G74" s="327">
        <v>-2.1102909999999999E-2</v>
      </c>
      <c r="H74"/>
      <c r="I74" s="326">
        <v>-13309.21</v>
      </c>
      <c r="J74" s="327">
        <v>-1.999482E-2</v>
      </c>
      <c r="K74"/>
      <c r="L74" s="326">
        <v>-10335.469999999999</v>
      </c>
      <c r="M74" s="327">
        <v>-1.041635E-2</v>
      </c>
      <c r="N74"/>
      <c r="O74" s="326">
        <v>-6157.37</v>
      </c>
      <c r="P74" s="327">
        <v>-1.299927E-2</v>
      </c>
      <c r="Q74"/>
      <c r="R74" s="326">
        <v>-15395</v>
      </c>
      <c r="S74" s="327">
        <v>-1.9016999999999999E-2</v>
      </c>
      <c r="T74"/>
      <c r="U74" s="326">
        <v>-15395</v>
      </c>
      <c r="V74" s="327">
        <v>-1.8341630000000001E-2</v>
      </c>
      <c r="W74"/>
      <c r="X74" s="326">
        <v>-15395</v>
      </c>
      <c r="Y74" s="327">
        <v>-2.759226E-2</v>
      </c>
      <c r="Z74"/>
      <c r="AA74" s="326">
        <v>-15395.003000000001</v>
      </c>
      <c r="AB74" s="327">
        <v>-2.5921570000000001E-2</v>
      </c>
      <c r="AC74"/>
      <c r="AD74" s="326">
        <v>-15395</v>
      </c>
      <c r="AE74" s="327">
        <v>-1.6087799999999999E-2</v>
      </c>
      <c r="AF74"/>
      <c r="AG74" s="326">
        <v>-15395</v>
      </c>
      <c r="AH74" s="327">
        <v>-1.555869E-2</v>
      </c>
      <c r="AI74"/>
      <c r="AJ74" s="326">
        <v>-15415</v>
      </c>
      <c r="AK74" s="327">
        <v>-1.521839E-2</v>
      </c>
      <c r="AL74"/>
      <c r="AM74" s="326">
        <v>-15395.48</v>
      </c>
      <c r="AN74" s="327">
        <v>-2.51621E-2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135770.9559</v>
      </c>
      <c r="D77" s="7">
        <v>1.4998900000000001E-2</v>
      </c>
      <c r="E77"/>
      <c r="F77" s="8">
        <v>5564.87</v>
      </c>
      <c r="G77" s="7">
        <v>1.0143839999999999E-2</v>
      </c>
      <c r="H77"/>
      <c r="I77" s="8">
        <v>12648.57</v>
      </c>
      <c r="J77" s="7">
        <v>1.900232E-2</v>
      </c>
      <c r="K77"/>
      <c r="L77" s="8">
        <v>14877</v>
      </c>
      <c r="M77" s="7">
        <v>1.499342E-2</v>
      </c>
      <c r="N77"/>
      <c r="O77" s="8">
        <v>7101.62</v>
      </c>
      <c r="P77" s="7">
        <v>1.4992739999999999E-2</v>
      </c>
      <c r="Q77"/>
      <c r="R77" s="8">
        <v>12143.0795</v>
      </c>
      <c r="S77" s="7">
        <v>1.4999999999999999E-2</v>
      </c>
      <c r="T77"/>
      <c r="U77" s="8">
        <v>12590.2104</v>
      </c>
      <c r="V77" s="7">
        <v>1.4999999999999999E-2</v>
      </c>
      <c r="W77"/>
      <c r="X77" s="8">
        <v>8369.1939999999995</v>
      </c>
      <c r="Y77" s="7">
        <v>1.4999999999999999E-2</v>
      </c>
      <c r="Z77"/>
      <c r="AA77" s="8">
        <v>8908.6057000000001</v>
      </c>
      <c r="AB77" s="7">
        <v>1.4999999999999999E-2</v>
      </c>
      <c r="AC77"/>
      <c r="AD77" s="8">
        <v>14354.046700000001</v>
      </c>
      <c r="AE77" s="7">
        <v>1.4999999999999999E-2</v>
      </c>
      <c r="AF77"/>
      <c r="AG77" s="8">
        <v>14842.1906</v>
      </c>
      <c r="AH77" s="7">
        <v>1.4999999999999999E-2</v>
      </c>
      <c r="AI77"/>
      <c r="AJ77" s="8">
        <v>15193.787899999999</v>
      </c>
      <c r="AK77" s="7">
        <v>1.4999999999999999E-2</v>
      </c>
      <c r="AL77"/>
      <c r="AM77" s="8">
        <v>9177.7811000000002</v>
      </c>
      <c r="AN77" s="7">
        <v>1.4999999999999999E-2</v>
      </c>
    </row>
    <row r="78" spans="2:40" s="314" customFormat="1" ht="12.75" customHeight="1" x14ac:dyDescent="0.15">
      <c r="B78" s="5" t="s">
        <v>40</v>
      </c>
      <c r="C78" s="8">
        <v>371511.0307</v>
      </c>
      <c r="D78" s="7">
        <v>4.1041599999999998E-2</v>
      </c>
      <c r="E78"/>
      <c r="F78" s="8">
        <v>26204.34</v>
      </c>
      <c r="G78" s="7">
        <v>4.776619E-2</v>
      </c>
      <c r="H78"/>
      <c r="I78" s="8">
        <v>20310.89</v>
      </c>
      <c r="J78" s="7">
        <v>3.0513640000000002E-2</v>
      </c>
      <c r="K78"/>
      <c r="L78" s="8">
        <v>36087.96</v>
      </c>
      <c r="M78" s="7">
        <v>3.6370369999999999E-2</v>
      </c>
      <c r="N78"/>
      <c r="O78" s="8">
        <v>24837.31</v>
      </c>
      <c r="P78" s="7">
        <v>5.2435839999999997E-2</v>
      </c>
      <c r="Q78"/>
      <c r="R78" s="8">
        <v>33019.004800000002</v>
      </c>
      <c r="S78" s="7">
        <v>4.0787440000000001E-2</v>
      </c>
      <c r="T78"/>
      <c r="U78" s="8">
        <v>33992.894500000002</v>
      </c>
      <c r="V78" s="7">
        <v>4.0499199999999999E-2</v>
      </c>
      <c r="W78"/>
      <c r="X78" s="8">
        <v>25763.371899999998</v>
      </c>
      <c r="Y78" s="7">
        <v>4.6175360000000013E-2</v>
      </c>
      <c r="Z78"/>
      <c r="AA78" s="8">
        <v>26558.0857</v>
      </c>
      <c r="AB78" s="7">
        <v>4.4717580000000007E-2</v>
      </c>
      <c r="AC78"/>
      <c r="AD78" s="8">
        <v>38334.476699999999</v>
      </c>
      <c r="AE78" s="7">
        <v>4.0059579999999997E-2</v>
      </c>
      <c r="AF78"/>
      <c r="AG78" s="8">
        <v>39238.608099999998</v>
      </c>
      <c r="AH78" s="7">
        <v>3.965581E-2</v>
      </c>
      <c r="AI78"/>
      <c r="AJ78" s="8">
        <v>39348.317900000002</v>
      </c>
      <c r="AK78" s="7">
        <v>3.8846449999999998E-2</v>
      </c>
      <c r="AL78"/>
      <c r="AM78" s="8">
        <v>27815.771100000002</v>
      </c>
      <c r="AN78" s="7">
        <v>4.5461599999999998E-2</v>
      </c>
    </row>
    <row r="79" spans="2:40" s="314" customFormat="1" ht="12.75" customHeight="1" x14ac:dyDescent="0.15">
      <c r="B79" s="325" t="s">
        <v>41</v>
      </c>
      <c r="C79" s="326">
        <v>-507281.9865</v>
      </c>
      <c r="D79" s="327">
        <v>-5.60405E-2</v>
      </c>
      <c r="E79"/>
      <c r="F79" s="326">
        <v>-31769.21</v>
      </c>
      <c r="G79" s="327">
        <v>-5.7910030000000001E-2</v>
      </c>
      <c r="H79"/>
      <c r="I79" s="326">
        <v>-32959.46</v>
      </c>
      <c r="J79" s="327">
        <v>-4.9515959999999998E-2</v>
      </c>
      <c r="K79"/>
      <c r="L79" s="326">
        <v>-50964.959999999999</v>
      </c>
      <c r="M79" s="327">
        <v>-5.1363800000000001E-2</v>
      </c>
      <c r="N79"/>
      <c r="O79" s="326">
        <v>-31938.93</v>
      </c>
      <c r="P79" s="327">
        <v>-6.7428580000000002E-2</v>
      </c>
      <c r="Q79"/>
      <c r="R79" s="326">
        <v>-45162.084300000002</v>
      </c>
      <c r="S79" s="327">
        <v>-5.5787440000000001E-2</v>
      </c>
      <c r="T79"/>
      <c r="U79" s="326">
        <v>-46583.104899999998</v>
      </c>
      <c r="V79" s="327">
        <v>-5.5499199999999999E-2</v>
      </c>
      <c r="W79"/>
      <c r="X79" s="326">
        <v>-34132.565900000001</v>
      </c>
      <c r="Y79" s="327">
        <v>-6.1175360000000012E-2</v>
      </c>
      <c r="Z79"/>
      <c r="AA79" s="326">
        <v>-35466.691400000003</v>
      </c>
      <c r="AB79" s="327">
        <v>-5.9717580000000013E-2</v>
      </c>
      <c r="AC79"/>
      <c r="AD79" s="326">
        <v>-52688.523399999998</v>
      </c>
      <c r="AE79" s="327">
        <v>-5.5059579999999997E-2</v>
      </c>
      <c r="AF79"/>
      <c r="AG79" s="326">
        <v>-54080.798699999999</v>
      </c>
      <c r="AH79" s="327">
        <v>-5.4655809999999999E-2</v>
      </c>
      <c r="AI79"/>
      <c r="AJ79" s="326">
        <v>-54542.105799999998</v>
      </c>
      <c r="AK79" s="327">
        <v>-5.3846449999999997E-2</v>
      </c>
      <c r="AL79"/>
      <c r="AM79" s="326">
        <v>-36993.552100000001</v>
      </c>
      <c r="AN79" s="327">
        <v>-6.0461599999999997E-2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173359.70759999999</v>
      </c>
      <c r="D82" s="7">
        <v>1.9151410000000001E-2</v>
      </c>
      <c r="E82"/>
      <c r="F82" s="8">
        <v>13470</v>
      </c>
      <c r="G82" s="7">
        <v>2.455359E-2</v>
      </c>
      <c r="H82"/>
      <c r="I82" s="8">
        <v>13352.79</v>
      </c>
      <c r="J82" s="7">
        <v>2.0060290000000001E-2</v>
      </c>
      <c r="K82"/>
      <c r="L82" s="8">
        <v>15168.72</v>
      </c>
      <c r="M82" s="7">
        <v>1.5287429999999999E-2</v>
      </c>
      <c r="N82"/>
      <c r="O82" s="8">
        <v>11945.33</v>
      </c>
      <c r="P82" s="7">
        <v>2.5218649999999999E-2</v>
      </c>
      <c r="Q82"/>
      <c r="R82" s="8">
        <v>12894.7112</v>
      </c>
      <c r="S82" s="7">
        <v>1.592847E-2</v>
      </c>
      <c r="T82"/>
      <c r="U82" s="8">
        <v>13974.233099999999</v>
      </c>
      <c r="V82" s="7">
        <v>1.6648929999999999E-2</v>
      </c>
      <c r="W82"/>
      <c r="X82" s="8">
        <v>15163.2371</v>
      </c>
      <c r="Y82" s="7">
        <v>2.717688E-2</v>
      </c>
      <c r="Z82"/>
      <c r="AA82" s="8">
        <v>14075.5877</v>
      </c>
      <c r="AB82" s="7">
        <v>2.3699979999999999E-2</v>
      </c>
      <c r="AC82"/>
      <c r="AD82" s="8">
        <v>12855.508</v>
      </c>
      <c r="AE82" s="7">
        <v>1.343402E-2</v>
      </c>
      <c r="AF82"/>
      <c r="AG82" s="8">
        <v>14095.5877</v>
      </c>
      <c r="AH82" s="7">
        <v>1.424546E-2</v>
      </c>
      <c r="AI82"/>
      <c r="AJ82" s="8">
        <v>20780.7906</v>
      </c>
      <c r="AK82" s="7">
        <v>2.0515740000000001E-2</v>
      </c>
      <c r="AL82"/>
      <c r="AM82" s="8">
        <v>15583.2122</v>
      </c>
      <c r="AN82" s="7">
        <v>2.5468919999999999E-2</v>
      </c>
    </row>
    <row r="83" spans="2:40" s="314" customFormat="1" ht="12.75" customHeight="1" x14ac:dyDescent="0.15">
      <c r="B83" s="5" t="s">
        <v>40</v>
      </c>
      <c r="C83" s="8">
        <v>335482.88</v>
      </c>
      <c r="D83" s="7">
        <v>3.7061490000000002E-2</v>
      </c>
      <c r="E83"/>
      <c r="F83" s="8">
        <v>24884.74</v>
      </c>
      <c r="G83" s="7">
        <v>4.5360769999999988E-2</v>
      </c>
      <c r="H83"/>
      <c r="I83" s="8">
        <v>45266.53</v>
      </c>
      <c r="J83" s="7">
        <v>6.800523E-2</v>
      </c>
      <c r="K83"/>
      <c r="L83" s="8">
        <v>33148.660000000003</v>
      </c>
      <c r="M83" s="7">
        <v>3.3408069999999998E-2</v>
      </c>
      <c r="N83"/>
      <c r="O83" s="8">
        <v>31790.95</v>
      </c>
      <c r="P83" s="7">
        <v>6.7116170000000003E-2</v>
      </c>
      <c r="Q83"/>
      <c r="R83" s="8">
        <v>24152</v>
      </c>
      <c r="S83" s="7">
        <v>2.9834280000000001E-2</v>
      </c>
      <c r="T83"/>
      <c r="U83" s="8">
        <v>27152</v>
      </c>
      <c r="V83" s="7">
        <v>3.234894E-2</v>
      </c>
      <c r="W83"/>
      <c r="X83" s="8">
        <v>21352</v>
      </c>
      <c r="Y83" s="7">
        <v>3.8268919999999998E-2</v>
      </c>
      <c r="Z83"/>
      <c r="AA83" s="8">
        <v>22152</v>
      </c>
      <c r="AB83" s="7">
        <v>3.7298770000000002E-2</v>
      </c>
      <c r="AC83"/>
      <c r="AD83" s="8">
        <v>29152</v>
      </c>
      <c r="AE83" s="7">
        <v>3.0463879999999999E-2</v>
      </c>
      <c r="AF83"/>
      <c r="AG83" s="8">
        <v>24152</v>
      </c>
      <c r="AH83" s="7">
        <v>2.4408800000000001E-2</v>
      </c>
      <c r="AI83"/>
      <c r="AJ83" s="8">
        <v>22640</v>
      </c>
      <c r="AK83" s="7">
        <v>2.2351240000000001E-2</v>
      </c>
      <c r="AL83"/>
      <c r="AM83" s="8">
        <v>29640</v>
      </c>
      <c r="AN83" s="7">
        <v>4.8443079999999999E-2</v>
      </c>
    </row>
    <row r="84" spans="2:40" s="314" customFormat="1" ht="12.75" customHeight="1" x14ac:dyDescent="0.15">
      <c r="B84" s="325" t="s">
        <v>41</v>
      </c>
      <c r="C84" s="326">
        <v>-508842.58760000003</v>
      </c>
      <c r="D84" s="327">
        <v>-5.6212900000000003E-2</v>
      </c>
      <c r="E84"/>
      <c r="F84" s="326">
        <v>-38354.74</v>
      </c>
      <c r="G84" s="327">
        <v>-6.9914360000000009E-2</v>
      </c>
      <c r="H84"/>
      <c r="I84" s="326">
        <v>-58619.32</v>
      </c>
      <c r="J84" s="327">
        <v>-8.8065519999999994E-2</v>
      </c>
      <c r="K84"/>
      <c r="L84" s="326">
        <v>-48317.38</v>
      </c>
      <c r="M84" s="327">
        <v>-4.8695500000000003E-2</v>
      </c>
      <c r="N84"/>
      <c r="O84" s="326">
        <v>-43736.28</v>
      </c>
      <c r="P84" s="327">
        <v>-9.2334819999999998E-2</v>
      </c>
      <c r="Q84"/>
      <c r="R84" s="326">
        <v>-37046.711199999998</v>
      </c>
      <c r="S84" s="327">
        <v>-4.5762749999999998E-2</v>
      </c>
      <c r="T84"/>
      <c r="U84" s="326">
        <v>-41126.233099999998</v>
      </c>
      <c r="V84" s="327">
        <v>-4.8997869999999999E-2</v>
      </c>
      <c r="W84"/>
      <c r="X84" s="326">
        <v>-36515.237099999998</v>
      </c>
      <c r="Y84" s="327">
        <v>-6.5445799999999998E-2</v>
      </c>
      <c r="Z84"/>
      <c r="AA84" s="326">
        <v>-36227.587699999996</v>
      </c>
      <c r="AB84" s="327">
        <v>-6.0998749999999997E-2</v>
      </c>
      <c r="AC84"/>
      <c r="AD84" s="326">
        <v>-42007.508000000002</v>
      </c>
      <c r="AE84" s="327">
        <v>-4.3897909999999998E-2</v>
      </c>
      <c r="AF84"/>
      <c r="AG84" s="326">
        <v>-38247.587699999996</v>
      </c>
      <c r="AH84" s="327">
        <v>-3.8654250000000001E-2</v>
      </c>
      <c r="AI84"/>
      <c r="AJ84" s="326">
        <v>-43420.7906</v>
      </c>
      <c r="AK84" s="327">
        <v>-4.2866980000000013E-2</v>
      </c>
      <c r="AL84"/>
      <c r="AM84" s="326">
        <v>-45223.212200000002</v>
      </c>
      <c r="AN84" s="327">
        <v>-7.3912000000000005E-2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-323182.52279999998</v>
      </c>
      <c r="D87" s="327">
        <v>-3.5702650000000002E-2</v>
      </c>
      <c r="E87"/>
      <c r="F87" s="326">
        <v>-35567.15</v>
      </c>
      <c r="G87" s="327">
        <v>-6.4833040000000008E-2</v>
      </c>
      <c r="H87"/>
      <c r="I87" s="326">
        <v>-11030.68</v>
      </c>
      <c r="J87" s="327">
        <v>-1.657171E-2</v>
      </c>
      <c r="K87"/>
      <c r="L87" s="326">
        <v>-28386.959999999999</v>
      </c>
      <c r="M87" s="327">
        <v>-2.860911E-2</v>
      </c>
      <c r="N87"/>
      <c r="O87" s="326">
        <v>-36674.699999999997</v>
      </c>
      <c r="P87" s="327">
        <v>-7.7426610000000007E-2</v>
      </c>
      <c r="Q87"/>
      <c r="R87" s="326">
        <v>-28519.719000000001</v>
      </c>
      <c r="S87" s="327">
        <v>-3.52296E-2</v>
      </c>
      <c r="T87"/>
      <c r="U87" s="326">
        <v>-27934.377499999999</v>
      </c>
      <c r="V87" s="327">
        <v>-3.3281070000000003E-2</v>
      </c>
      <c r="W87"/>
      <c r="X87" s="326">
        <v>-29033.602500000001</v>
      </c>
      <c r="Y87" s="327">
        <v>-5.2036560000000003E-2</v>
      </c>
      <c r="Z87"/>
      <c r="AA87" s="326">
        <v>-24042.034</v>
      </c>
      <c r="AB87" s="327">
        <v>-4.0481139999999999E-2</v>
      </c>
      <c r="AC87"/>
      <c r="AD87" s="326">
        <v>-28197.518</v>
      </c>
      <c r="AE87" s="327">
        <v>-2.9466450000000002E-2</v>
      </c>
      <c r="AF87"/>
      <c r="AG87" s="326">
        <v>-24374.5085</v>
      </c>
      <c r="AH87" s="327">
        <v>-2.463367E-2</v>
      </c>
      <c r="AI87"/>
      <c r="AJ87" s="326">
        <v>-28749.585800000001</v>
      </c>
      <c r="AK87" s="327">
        <v>-2.8382899999999999E-2</v>
      </c>
      <c r="AL87"/>
      <c r="AM87" s="326">
        <v>-20671.6875</v>
      </c>
      <c r="AN87" s="327">
        <v>-3.3785429999999998E-2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2437030.1198999998</v>
      </c>
      <c r="D89" s="327">
        <v>0.26922378000000002</v>
      </c>
      <c r="E89"/>
      <c r="F89" s="326">
        <v>79093.14</v>
      </c>
      <c r="G89" s="327">
        <v>0.14417373999999999</v>
      </c>
      <c r="H89"/>
      <c r="I89" s="326">
        <v>176836.98</v>
      </c>
      <c r="J89" s="327">
        <v>0.26566736000000002</v>
      </c>
      <c r="K89"/>
      <c r="L89" s="326">
        <v>291873.93</v>
      </c>
      <c r="M89" s="327">
        <v>0.29415804000000001</v>
      </c>
      <c r="N89"/>
      <c r="O89" s="326">
        <v>74918.5</v>
      </c>
      <c r="P89" s="327">
        <v>0.15816585999999999</v>
      </c>
      <c r="Q89"/>
      <c r="R89" s="326">
        <v>253291.67019999999</v>
      </c>
      <c r="S89" s="327">
        <v>0.31288398000000001</v>
      </c>
      <c r="T89"/>
      <c r="U89" s="326">
        <v>260858.27220000001</v>
      </c>
      <c r="V89" s="327">
        <v>0.31078703000000002</v>
      </c>
      <c r="W89"/>
      <c r="X89" s="326">
        <v>79811.573799999998</v>
      </c>
      <c r="Y89" s="327">
        <v>0.14304527</v>
      </c>
      <c r="Z89"/>
      <c r="AA89" s="326">
        <v>121662.598</v>
      </c>
      <c r="AB89" s="327">
        <v>0.20485125000000001</v>
      </c>
      <c r="AC89"/>
      <c r="AD89" s="326">
        <v>351025.78419999999</v>
      </c>
      <c r="AE89" s="327">
        <v>0.36682246000000002</v>
      </c>
      <c r="AF89"/>
      <c r="AG89" s="326">
        <v>385114.61330000003</v>
      </c>
      <c r="AH89" s="327">
        <v>0.38920934000000001</v>
      </c>
      <c r="AI89"/>
      <c r="AJ89" s="326">
        <v>292267.59539999999</v>
      </c>
      <c r="AK89" s="327">
        <v>0.28853989000000002</v>
      </c>
      <c r="AL89"/>
      <c r="AM89" s="326">
        <v>70275.462799999994</v>
      </c>
      <c r="AN89" s="327">
        <v>0.11485695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0</v>
      </c>
      <c r="D97" s="327">
        <v>0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0</v>
      </c>
      <c r="D99" s="7">
        <v>0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0</v>
      </c>
      <c r="D101" s="327">
        <v>0</v>
      </c>
      <c r="E101"/>
      <c r="F101" s="326">
        <v>0</v>
      </c>
      <c r="G101" s="327">
        <v>0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2437030.1198999998</v>
      </c>
      <c r="D103" s="327">
        <v>0.26922378000000002</v>
      </c>
      <c r="E103"/>
      <c r="F103" s="326">
        <v>79093.14</v>
      </c>
      <c r="G103" s="327">
        <v>0.14417373999999999</v>
      </c>
      <c r="H103"/>
      <c r="I103" s="326">
        <v>176836.98</v>
      </c>
      <c r="J103" s="327">
        <v>0.26566736000000002</v>
      </c>
      <c r="K103"/>
      <c r="L103" s="326">
        <v>291873.93</v>
      </c>
      <c r="M103" s="327">
        <v>0.29415804000000001</v>
      </c>
      <c r="N103"/>
      <c r="O103" s="326">
        <v>74918.5</v>
      </c>
      <c r="P103" s="327">
        <v>0.15816585999999999</v>
      </c>
      <c r="Q103"/>
      <c r="R103" s="326">
        <v>253291.67019999999</v>
      </c>
      <c r="S103" s="327">
        <v>0.31288398000000001</v>
      </c>
      <c r="T103"/>
      <c r="U103" s="326">
        <v>260858.27220000001</v>
      </c>
      <c r="V103" s="327">
        <v>0.31078703000000002</v>
      </c>
      <c r="W103"/>
      <c r="X103" s="326">
        <v>79811.573799999998</v>
      </c>
      <c r="Y103" s="327">
        <v>0.14304527</v>
      </c>
      <c r="Z103"/>
      <c r="AA103" s="326">
        <v>121662.598</v>
      </c>
      <c r="AB103" s="327">
        <v>0.20485125000000001</v>
      </c>
      <c r="AC103"/>
      <c r="AD103" s="326">
        <v>351025.78419999999</v>
      </c>
      <c r="AE103" s="327">
        <v>0.36682246000000002</v>
      </c>
      <c r="AF103"/>
      <c r="AG103" s="326">
        <v>385114.61330000003</v>
      </c>
      <c r="AH103" s="327">
        <v>0.38920934000000001</v>
      </c>
      <c r="AI103"/>
      <c r="AJ103" s="326">
        <v>292267.59539999999</v>
      </c>
      <c r="AK103" s="327">
        <v>0.28853989000000002</v>
      </c>
      <c r="AL103"/>
      <c r="AM103" s="326">
        <v>70275.462799999994</v>
      </c>
      <c r="AN103" s="327">
        <v>0.11485695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174458.89</v>
      </c>
      <c r="D105" s="327">
        <v>1.9272839999999999E-2</v>
      </c>
      <c r="E105"/>
      <c r="F105" s="326">
        <v>10523.03</v>
      </c>
      <c r="G105" s="327">
        <v>1.9181750000000001E-2</v>
      </c>
      <c r="H105"/>
      <c r="I105" s="326">
        <v>9403.0300000000007</v>
      </c>
      <c r="J105" s="327">
        <v>1.412645E-2</v>
      </c>
      <c r="K105"/>
      <c r="L105" s="326">
        <v>9523.0300000000007</v>
      </c>
      <c r="M105" s="327">
        <v>9.5975499999999998E-3</v>
      </c>
      <c r="N105"/>
      <c r="O105" s="326">
        <v>40544.120000000003</v>
      </c>
      <c r="P105" s="327">
        <v>8.5595619999999997E-2</v>
      </c>
      <c r="Q105"/>
      <c r="R105" s="326">
        <v>13058.21</v>
      </c>
      <c r="S105" s="327">
        <v>1.6130430000000001E-2</v>
      </c>
      <c r="T105"/>
      <c r="U105" s="326">
        <v>13058.21</v>
      </c>
      <c r="V105" s="327">
        <v>1.555758E-2</v>
      </c>
      <c r="W105"/>
      <c r="X105" s="326">
        <v>13058.21</v>
      </c>
      <c r="Y105" s="327">
        <v>2.3404060000000001E-2</v>
      </c>
      <c r="Z105"/>
      <c r="AA105" s="326">
        <v>13058.21</v>
      </c>
      <c r="AB105" s="327">
        <v>2.198696E-2</v>
      </c>
      <c r="AC105"/>
      <c r="AD105" s="326">
        <v>13058.21</v>
      </c>
      <c r="AE105" s="327">
        <v>1.3645849999999999E-2</v>
      </c>
      <c r="AF105"/>
      <c r="AG105" s="326">
        <v>13058.21</v>
      </c>
      <c r="AH105" s="327">
        <v>1.319705E-2</v>
      </c>
      <c r="AI105"/>
      <c r="AJ105" s="326">
        <v>13058.21</v>
      </c>
      <c r="AK105" s="327">
        <v>1.2891659999999999E-2</v>
      </c>
      <c r="AL105"/>
      <c r="AM105" s="326">
        <v>13058.21</v>
      </c>
      <c r="AN105" s="327">
        <v>2.1342099999999999E-2</v>
      </c>
    </row>
    <row r="106" spans="2:40" s="314" customFormat="1" ht="12.75" customHeight="1" x14ac:dyDescent="0.15">
      <c r="B106" s="5" t="s">
        <v>71</v>
      </c>
      <c r="C106" s="8">
        <v>88220.37</v>
      </c>
      <c r="D106" s="7">
        <v>9.7458900000000001E-3</v>
      </c>
      <c r="E106"/>
      <c r="F106" s="8">
        <v>4699.82</v>
      </c>
      <c r="G106" s="7">
        <v>8.567E-3</v>
      </c>
      <c r="H106"/>
      <c r="I106" s="8">
        <v>4699.82</v>
      </c>
      <c r="J106" s="7">
        <v>7.0606800000000006E-3</v>
      </c>
      <c r="K106"/>
      <c r="L106" s="8">
        <v>4699.82</v>
      </c>
      <c r="M106" s="7">
        <v>4.7366000000000014E-3</v>
      </c>
      <c r="N106"/>
      <c r="O106" s="8">
        <v>35720.910000000003</v>
      </c>
      <c r="P106" s="7">
        <v>7.5412999999999994E-2</v>
      </c>
      <c r="Q106"/>
      <c r="R106" s="8">
        <v>4800</v>
      </c>
      <c r="S106" s="7">
        <v>5.9292999999999993E-3</v>
      </c>
      <c r="T106"/>
      <c r="U106" s="8">
        <v>4800</v>
      </c>
      <c r="V106" s="7">
        <v>5.71873E-3</v>
      </c>
      <c r="W106"/>
      <c r="X106" s="8">
        <v>4800</v>
      </c>
      <c r="Y106" s="7">
        <v>8.6029799999999997E-3</v>
      </c>
      <c r="Z106"/>
      <c r="AA106" s="8">
        <v>4800</v>
      </c>
      <c r="AB106" s="7">
        <v>8.0820700000000002E-3</v>
      </c>
      <c r="AC106"/>
      <c r="AD106" s="8">
        <v>4800</v>
      </c>
      <c r="AE106" s="7">
        <v>5.0160099999999996E-3</v>
      </c>
      <c r="AF106"/>
      <c r="AG106" s="8">
        <v>4800</v>
      </c>
      <c r="AH106" s="7">
        <v>4.85104E-3</v>
      </c>
      <c r="AI106"/>
      <c r="AJ106" s="8">
        <v>4800</v>
      </c>
      <c r="AK106" s="7">
        <v>4.7387800000000006E-3</v>
      </c>
      <c r="AL106"/>
      <c r="AM106" s="8">
        <v>4800</v>
      </c>
      <c r="AN106" s="7">
        <v>7.8450299999999994E-3</v>
      </c>
    </row>
    <row r="107" spans="2:40" s="314" customFormat="1" ht="12.75" customHeight="1" x14ac:dyDescent="0.15">
      <c r="B107" s="5" t="s">
        <v>72</v>
      </c>
      <c r="C107" s="8">
        <v>12000</v>
      </c>
      <c r="D107" s="7">
        <v>1.32566E-3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1500</v>
      </c>
      <c r="S107" s="7">
        <v>1.8529099999999999E-3</v>
      </c>
      <c r="T107"/>
      <c r="U107" s="8">
        <v>1500</v>
      </c>
      <c r="V107" s="7">
        <v>1.7871E-3</v>
      </c>
      <c r="W107"/>
      <c r="X107" s="8">
        <v>1500</v>
      </c>
      <c r="Y107" s="7">
        <v>2.6884299999999999E-3</v>
      </c>
      <c r="Z107"/>
      <c r="AA107" s="8">
        <v>1500</v>
      </c>
      <c r="AB107" s="7">
        <v>2.5256499999999999E-3</v>
      </c>
      <c r="AC107"/>
      <c r="AD107" s="8">
        <v>1500</v>
      </c>
      <c r="AE107" s="7">
        <v>1.5675000000000001E-3</v>
      </c>
      <c r="AF107"/>
      <c r="AG107" s="8">
        <v>1500</v>
      </c>
      <c r="AH107" s="7">
        <v>1.5159500000000001E-3</v>
      </c>
      <c r="AI107"/>
      <c r="AJ107" s="8">
        <v>1500</v>
      </c>
      <c r="AK107" s="7">
        <v>1.48087E-3</v>
      </c>
      <c r="AL107"/>
      <c r="AM107" s="8">
        <v>1500</v>
      </c>
      <c r="AN107" s="7">
        <v>2.4515700000000001E-3</v>
      </c>
    </row>
    <row r="108" spans="2:40" s="314" customFormat="1" ht="12.75" customHeight="1" x14ac:dyDescent="0.15">
      <c r="B108" s="5" t="s">
        <v>73</v>
      </c>
      <c r="C108" s="8">
        <v>9000</v>
      </c>
      <c r="D108" s="7">
        <v>9.9424999999999991E-4</v>
      </c>
      <c r="E108"/>
      <c r="F108" s="8">
        <v>1000</v>
      </c>
      <c r="G108" s="7">
        <v>1.8228299999999999E-3</v>
      </c>
      <c r="H108"/>
      <c r="I108" s="8">
        <v>0</v>
      </c>
      <c r="J108" s="7">
        <v>0</v>
      </c>
      <c r="K108"/>
      <c r="L108" s="8">
        <v>0</v>
      </c>
      <c r="M108" s="7">
        <v>0</v>
      </c>
      <c r="N108"/>
      <c r="O108" s="8">
        <v>0</v>
      </c>
      <c r="P108" s="7">
        <v>0</v>
      </c>
      <c r="Q108"/>
      <c r="R108" s="8">
        <v>1000</v>
      </c>
      <c r="S108" s="7">
        <v>1.2352699999999999E-3</v>
      </c>
      <c r="T108"/>
      <c r="U108" s="8">
        <v>1000</v>
      </c>
      <c r="V108" s="7">
        <v>1.1914E-3</v>
      </c>
      <c r="W108"/>
      <c r="X108" s="8">
        <v>1000</v>
      </c>
      <c r="Y108" s="7">
        <v>1.79229E-3</v>
      </c>
      <c r="Z108"/>
      <c r="AA108" s="8">
        <v>1000</v>
      </c>
      <c r="AB108" s="7">
        <v>1.68377E-3</v>
      </c>
      <c r="AC108"/>
      <c r="AD108" s="8">
        <v>1000</v>
      </c>
      <c r="AE108" s="7">
        <v>1.0449999999999999E-3</v>
      </c>
      <c r="AF108"/>
      <c r="AG108" s="8">
        <v>1000</v>
      </c>
      <c r="AH108" s="7">
        <v>1.01063E-3</v>
      </c>
      <c r="AI108"/>
      <c r="AJ108" s="8">
        <v>1000</v>
      </c>
      <c r="AK108" s="7">
        <v>9.8724999999999985E-4</v>
      </c>
      <c r="AL108"/>
      <c r="AM108" s="8">
        <v>1000</v>
      </c>
      <c r="AN108" s="7">
        <v>1.6343799999999999E-3</v>
      </c>
    </row>
    <row r="109" spans="2:40" s="314" customFormat="1" ht="12.75" customHeight="1" x14ac:dyDescent="0.15">
      <c r="B109" s="5" t="s">
        <v>74</v>
      </c>
      <c r="C109" s="8">
        <v>7200</v>
      </c>
      <c r="D109" s="7">
        <v>7.9540000000000003E-4</v>
      </c>
      <c r="E109"/>
      <c r="F109" s="8">
        <v>120</v>
      </c>
      <c r="G109" s="7">
        <v>2.1874000000000001E-4</v>
      </c>
      <c r="H109"/>
      <c r="I109" s="8">
        <v>0</v>
      </c>
      <c r="J109" s="7">
        <v>0</v>
      </c>
      <c r="K109"/>
      <c r="L109" s="8">
        <v>120</v>
      </c>
      <c r="M109" s="7">
        <v>1.2094E-4</v>
      </c>
      <c r="N109"/>
      <c r="O109" s="8">
        <v>120</v>
      </c>
      <c r="P109" s="7">
        <v>2.5334000000000001E-4</v>
      </c>
      <c r="Q109"/>
      <c r="R109" s="8">
        <v>855</v>
      </c>
      <c r="S109" s="7">
        <v>1.05616E-3</v>
      </c>
      <c r="T109"/>
      <c r="U109" s="8">
        <v>855</v>
      </c>
      <c r="V109" s="7">
        <v>1.0186500000000001E-3</v>
      </c>
      <c r="W109"/>
      <c r="X109" s="8">
        <v>855</v>
      </c>
      <c r="Y109" s="7">
        <v>1.5324099999999999E-3</v>
      </c>
      <c r="Z109"/>
      <c r="AA109" s="8">
        <v>855</v>
      </c>
      <c r="AB109" s="7">
        <v>1.43962E-3</v>
      </c>
      <c r="AC109"/>
      <c r="AD109" s="8">
        <v>855</v>
      </c>
      <c r="AE109" s="7">
        <v>8.9347999999999999E-4</v>
      </c>
      <c r="AF109"/>
      <c r="AG109" s="8">
        <v>855</v>
      </c>
      <c r="AH109" s="7">
        <v>8.6408999999999998E-4</v>
      </c>
      <c r="AI109"/>
      <c r="AJ109" s="8">
        <v>855</v>
      </c>
      <c r="AK109" s="7">
        <v>8.4409000000000003E-4</v>
      </c>
      <c r="AL109"/>
      <c r="AM109" s="8">
        <v>855</v>
      </c>
      <c r="AN109" s="7">
        <v>1.3974E-3</v>
      </c>
    </row>
    <row r="110" spans="2:40" s="314" customFormat="1" ht="12.75" customHeight="1" x14ac:dyDescent="0.15">
      <c r="B110" s="5" t="s">
        <v>75</v>
      </c>
      <c r="C110" s="8">
        <v>56438.52</v>
      </c>
      <c r="D110" s="7">
        <v>6.2348800000000008E-3</v>
      </c>
      <c r="E110"/>
      <c r="F110" s="8">
        <v>4703.21</v>
      </c>
      <c r="G110" s="7">
        <v>8.5731799999999997E-3</v>
      </c>
      <c r="H110"/>
      <c r="I110" s="8">
        <v>4703.21</v>
      </c>
      <c r="J110" s="7">
        <v>7.0657699999999999E-3</v>
      </c>
      <c r="K110"/>
      <c r="L110" s="8">
        <v>4703.21</v>
      </c>
      <c r="M110" s="7">
        <v>4.7400200000000002E-3</v>
      </c>
      <c r="N110"/>
      <c r="O110" s="8">
        <v>4703.21</v>
      </c>
      <c r="P110" s="7">
        <v>9.9292900000000003E-3</v>
      </c>
      <c r="Q110"/>
      <c r="R110" s="8">
        <v>4703.21</v>
      </c>
      <c r="S110" s="7">
        <v>5.8097399999999999E-3</v>
      </c>
      <c r="T110"/>
      <c r="U110" s="8">
        <v>4703.21</v>
      </c>
      <c r="V110" s="7">
        <v>5.6034099999999996E-3</v>
      </c>
      <c r="W110"/>
      <c r="X110" s="8">
        <v>4703.21</v>
      </c>
      <c r="Y110" s="7">
        <v>8.4294999999999995E-3</v>
      </c>
      <c r="Z110"/>
      <c r="AA110" s="8">
        <v>4703.21</v>
      </c>
      <c r="AB110" s="7">
        <v>7.9191000000000001E-3</v>
      </c>
      <c r="AC110"/>
      <c r="AD110" s="8">
        <v>4703.21</v>
      </c>
      <c r="AE110" s="7">
        <v>4.9148600000000001E-3</v>
      </c>
      <c r="AF110"/>
      <c r="AG110" s="8">
        <v>4703.21</v>
      </c>
      <c r="AH110" s="7">
        <v>4.7532199999999998E-3</v>
      </c>
      <c r="AI110"/>
      <c r="AJ110" s="8">
        <v>4703.21</v>
      </c>
      <c r="AK110" s="7">
        <v>4.64322E-3</v>
      </c>
      <c r="AL110"/>
      <c r="AM110" s="8">
        <v>4703.21</v>
      </c>
      <c r="AN110" s="7">
        <v>7.6868400000000003E-3</v>
      </c>
    </row>
    <row r="111" spans="2:40" s="314" customFormat="1" ht="12.75" customHeight="1" x14ac:dyDescent="0.15">
      <c r="B111" s="5" t="s">
        <v>76</v>
      </c>
      <c r="C111" s="8">
        <v>1600</v>
      </c>
      <c r="D111" s="7">
        <v>1.7676000000000001E-4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200</v>
      </c>
      <c r="S111" s="7">
        <v>2.4705000000000001E-4</v>
      </c>
      <c r="T111"/>
      <c r="U111" s="8">
        <v>200</v>
      </c>
      <c r="V111" s="7">
        <v>2.3828E-4</v>
      </c>
      <c r="W111"/>
      <c r="X111" s="8">
        <v>200</v>
      </c>
      <c r="Y111" s="7">
        <v>3.5846000000000001E-4</v>
      </c>
      <c r="Z111"/>
      <c r="AA111" s="8">
        <v>200</v>
      </c>
      <c r="AB111" s="7">
        <v>3.3675000000000003E-4</v>
      </c>
      <c r="AC111"/>
      <c r="AD111" s="8">
        <v>200</v>
      </c>
      <c r="AE111" s="7">
        <v>2.0900000000000001E-4</v>
      </c>
      <c r="AF111"/>
      <c r="AG111" s="8">
        <v>200</v>
      </c>
      <c r="AH111" s="7">
        <v>2.0212999999999999E-4</v>
      </c>
      <c r="AI111"/>
      <c r="AJ111" s="8">
        <v>200</v>
      </c>
      <c r="AK111" s="7">
        <v>1.9745E-4</v>
      </c>
      <c r="AL111"/>
      <c r="AM111" s="8">
        <v>200</v>
      </c>
      <c r="AN111" s="7">
        <v>3.2687999999999999E-4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2262571.2299000002</v>
      </c>
      <c r="D121" s="327">
        <v>0.24995095000000001</v>
      </c>
      <c r="E121"/>
      <c r="F121" s="326">
        <v>68570.11</v>
      </c>
      <c r="G121" s="327">
        <v>0.12499199</v>
      </c>
      <c r="H121"/>
      <c r="I121" s="326">
        <v>167433.95000000001</v>
      </c>
      <c r="J121" s="327">
        <v>0.25154092</v>
      </c>
      <c r="K121"/>
      <c r="L121" s="326">
        <v>282350.90000000002</v>
      </c>
      <c r="M121" s="327">
        <v>0.28456049</v>
      </c>
      <c r="N121"/>
      <c r="O121" s="326">
        <v>34374.379999999997</v>
      </c>
      <c r="P121" s="327">
        <v>7.2570240000000008E-2</v>
      </c>
      <c r="Q121"/>
      <c r="R121" s="326">
        <v>240233.4602</v>
      </c>
      <c r="S121" s="327">
        <v>0.29675354999999998</v>
      </c>
      <c r="T121"/>
      <c r="U121" s="326">
        <v>247800.06219999999</v>
      </c>
      <c r="V121" s="327">
        <v>0.29522945</v>
      </c>
      <c r="W121"/>
      <c r="X121" s="326">
        <v>66753.363800000006</v>
      </c>
      <c r="Y121" s="327">
        <v>0.11964121</v>
      </c>
      <c r="Z121"/>
      <c r="AA121" s="326">
        <v>108604.38800000001</v>
      </c>
      <c r="AB121" s="327">
        <v>0.18286429000000001</v>
      </c>
      <c r="AC121"/>
      <c r="AD121" s="326">
        <v>337967.57419999997</v>
      </c>
      <c r="AE121" s="327">
        <v>0.35317661</v>
      </c>
      <c r="AF121"/>
      <c r="AG121" s="326">
        <v>372056.40330000001</v>
      </c>
      <c r="AH121" s="327">
        <v>0.37601229000000003</v>
      </c>
      <c r="AI121"/>
      <c r="AJ121" s="326">
        <v>279209.38540000003</v>
      </c>
      <c r="AK121" s="327">
        <v>0.27564822999999999</v>
      </c>
      <c r="AL121"/>
      <c r="AM121" s="326">
        <v>57217.252800000002</v>
      </c>
      <c r="AN121" s="327">
        <v>9.3514849999999997E-2</v>
      </c>
    </row>
    <row r="122" spans="2:40" s="314" customFormat="1" ht="12.75" customHeight="1" x14ac:dyDescent="0.15">
      <c r="B122" s="5" t="s">
        <v>85</v>
      </c>
      <c r="C122" s="8">
        <v>226267.1398</v>
      </c>
      <c r="D122" s="7">
        <v>2.49962E-2</v>
      </c>
      <c r="E122"/>
      <c r="F122" s="8">
        <v>13709.35</v>
      </c>
      <c r="G122" s="7">
        <v>2.4989879999999999E-2</v>
      </c>
      <c r="H122"/>
      <c r="I122" s="8">
        <v>16628.599999999999</v>
      </c>
      <c r="J122" s="7">
        <v>2.4981630000000001E-2</v>
      </c>
      <c r="K122"/>
      <c r="L122" s="8">
        <v>0</v>
      </c>
      <c r="M122" s="7">
        <v>0</v>
      </c>
      <c r="N122"/>
      <c r="O122" s="8">
        <v>36631.03</v>
      </c>
      <c r="P122" s="7">
        <v>7.7334420000000001E-2</v>
      </c>
      <c r="Q122"/>
      <c r="R122" s="8">
        <v>20238.465800000002</v>
      </c>
      <c r="S122" s="7">
        <v>2.5000000000000001E-2</v>
      </c>
      <c r="T122"/>
      <c r="U122" s="8">
        <v>20983.684000000001</v>
      </c>
      <c r="V122" s="7">
        <v>2.5000000000000001E-2</v>
      </c>
      <c r="W122"/>
      <c r="X122" s="8">
        <v>13948.6567</v>
      </c>
      <c r="Y122" s="7">
        <v>2.5000000000000001E-2</v>
      </c>
      <c r="Z122"/>
      <c r="AA122" s="8">
        <v>14847.6762</v>
      </c>
      <c r="AB122" s="7">
        <v>2.5000000000000001E-2</v>
      </c>
      <c r="AC122"/>
      <c r="AD122" s="8">
        <v>23923.411199999999</v>
      </c>
      <c r="AE122" s="7">
        <v>2.5000000000000001E-2</v>
      </c>
      <c r="AF122"/>
      <c r="AG122" s="8">
        <v>24736.9843</v>
      </c>
      <c r="AH122" s="7">
        <v>2.5000000000000001E-2</v>
      </c>
      <c r="AI122"/>
      <c r="AJ122" s="8">
        <v>25322.979800000001</v>
      </c>
      <c r="AK122" s="7">
        <v>2.5000000000000001E-2</v>
      </c>
      <c r="AL122"/>
      <c r="AM122" s="8">
        <v>15296.301799999999</v>
      </c>
      <c r="AN122" s="7">
        <v>2.5000000000000001E-2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2036304.0900999999</v>
      </c>
      <c r="D124" s="327">
        <v>0.22495475000000001</v>
      </c>
      <c r="E124"/>
      <c r="F124" s="326">
        <v>54860.76</v>
      </c>
      <c r="G124" s="327">
        <v>0.10000211000000001</v>
      </c>
      <c r="H124"/>
      <c r="I124" s="326">
        <v>150805.35</v>
      </c>
      <c r="J124" s="327">
        <v>0.22655928</v>
      </c>
      <c r="K124"/>
      <c r="L124" s="326">
        <v>282350.90000000002</v>
      </c>
      <c r="M124" s="327">
        <v>0.28456049</v>
      </c>
      <c r="N124"/>
      <c r="O124" s="326">
        <v>-2256.65</v>
      </c>
      <c r="P124" s="327">
        <v>-4.7641799999999998E-3</v>
      </c>
      <c r="Q124"/>
      <c r="R124" s="326">
        <v>219994.9944</v>
      </c>
      <c r="S124" s="327">
        <v>0.27175355000000001</v>
      </c>
      <c r="T124"/>
      <c r="U124" s="326">
        <v>226816.37820000001</v>
      </c>
      <c r="V124" s="327">
        <v>0.27022944999999998</v>
      </c>
      <c r="W124"/>
      <c r="X124" s="326">
        <v>52804.7071</v>
      </c>
      <c r="Y124" s="327">
        <v>9.4641210000000003E-2</v>
      </c>
      <c r="Z124"/>
      <c r="AA124" s="326">
        <v>93756.711800000005</v>
      </c>
      <c r="AB124" s="327">
        <v>0.15786428999999999</v>
      </c>
      <c r="AC124"/>
      <c r="AD124" s="326">
        <v>314044.163</v>
      </c>
      <c r="AE124" s="327">
        <v>0.32817660999999998</v>
      </c>
      <c r="AF124"/>
      <c r="AG124" s="326">
        <v>347319.41899999999</v>
      </c>
      <c r="AH124" s="327">
        <v>0.35101228999999989</v>
      </c>
      <c r="AI124"/>
      <c r="AJ124" s="326">
        <v>253886.4056</v>
      </c>
      <c r="AK124" s="327">
        <v>0.25064823000000003</v>
      </c>
      <c r="AL124"/>
      <c r="AM124" s="326">
        <v>41920.951000000001</v>
      </c>
      <c r="AN124" s="327">
        <v>6.8514850000000002E-2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2036304.0900999999</v>
      </c>
      <c r="D127" s="327">
        <v>0.22495475000000001</v>
      </c>
      <c r="E127"/>
      <c r="F127" s="326">
        <v>54860.76</v>
      </c>
      <c r="G127" s="327">
        <v>0.10000211000000001</v>
      </c>
      <c r="H127"/>
      <c r="I127" s="326">
        <v>150805.35</v>
      </c>
      <c r="J127" s="327">
        <v>0.22655928</v>
      </c>
      <c r="K127"/>
      <c r="L127" s="326">
        <v>282350.90000000002</v>
      </c>
      <c r="M127" s="327">
        <v>0.28456049</v>
      </c>
      <c r="N127"/>
      <c r="O127" s="326">
        <v>-2256.65</v>
      </c>
      <c r="P127" s="327">
        <v>-4.7641799999999998E-3</v>
      </c>
      <c r="Q127"/>
      <c r="R127" s="326">
        <v>219994.9944</v>
      </c>
      <c r="S127" s="327">
        <v>0.27175355000000001</v>
      </c>
      <c r="T127"/>
      <c r="U127" s="326">
        <v>226816.37820000001</v>
      </c>
      <c r="V127" s="327">
        <v>0.27022944999999998</v>
      </c>
      <c r="W127"/>
      <c r="X127" s="326">
        <v>52804.7071</v>
      </c>
      <c r="Y127" s="327">
        <v>9.4641210000000003E-2</v>
      </c>
      <c r="Z127"/>
      <c r="AA127" s="326">
        <v>93756.711800000005</v>
      </c>
      <c r="AB127" s="327">
        <v>0.15786428999999999</v>
      </c>
      <c r="AC127"/>
      <c r="AD127" s="326">
        <v>314044.163</v>
      </c>
      <c r="AE127" s="327">
        <v>0.32817660999999998</v>
      </c>
      <c r="AF127"/>
      <c r="AG127" s="326">
        <v>347319.41899999999</v>
      </c>
      <c r="AH127" s="327">
        <v>0.35101228999999989</v>
      </c>
      <c r="AI127"/>
      <c r="AJ127" s="326">
        <v>253886.4056</v>
      </c>
      <c r="AK127" s="327">
        <v>0.25064823000000003</v>
      </c>
      <c r="AL127"/>
      <c r="AM127" s="326">
        <v>41920.951000000001</v>
      </c>
      <c r="AN127" s="327">
        <v>6.8514850000000002E-2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193148.88759999999</v>
      </c>
      <c r="D129" s="327">
        <v>2.1337559999999998E-2</v>
      </c>
      <c r="E129"/>
      <c r="F129" s="326">
        <v>16451.22</v>
      </c>
      <c r="G129" s="327">
        <v>2.9987860000000002E-2</v>
      </c>
      <c r="H129"/>
      <c r="I129" s="326">
        <v>19954.32</v>
      </c>
      <c r="J129" s="327">
        <v>2.9977960000000001E-2</v>
      </c>
      <c r="K129"/>
      <c r="L129" s="326">
        <v>19835.990000000002</v>
      </c>
      <c r="M129" s="327">
        <v>1.9991220000000001E-2</v>
      </c>
      <c r="N129"/>
      <c r="O129" s="326">
        <v>9468.83</v>
      </c>
      <c r="P129" s="327">
        <v>1.9990330000000001E-2</v>
      </c>
      <c r="Q129"/>
      <c r="R129" s="326">
        <v>16190.7726</v>
      </c>
      <c r="S129" s="327">
        <v>0.02</v>
      </c>
      <c r="T129"/>
      <c r="U129" s="326">
        <v>16786.947199999999</v>
      </c>
      <c r="V129" s="327">
        <v>0.02</v>
      </c>
      <c r="W129"/>
      <c r="X129" s="326">
        <v>11158.925300000001</v>
      </c>
      <c r="Y129" s="327">
        <v>0.02</v>
      </c>
      <c r="Z129"/>
      <c r="AA129" s="326">
        <v>11878.1409</v>
      </c>
      <c r="AB129" s="327">
        <v>0.02</v>
      </c>
      <c r="AC129"/>
      <c r="AD129" s="326">
        <v>19138.728899999998</v>
      </c>
      <c r="AE129" s="327">
        <v>0.02</v>
      </c>
      <c r="AF129"/>
      <c r="AG129" s="326">
        <v>19789.5874</v>
      </c>
      <c r="AH129" s="327">
        <v>0.02</v>
      </c>
      <c r="AI129"/>
      <c r="AJ129" s="326">
        <v>20258.383900000001</v>
      </c>
      <c r="AK129" s="327">
        <v>0.02</v>
      </c>
      <c r="AL129"/>
      <c r="AM129" s="326">
        <v>12237.0414</v>
      </c>
      <c r="AN129" s="327">
        <v>0.02</v>
      </c>
    </row>
    <row r="130" spans="2:40" s="314" customFormat="1" ht="12.75" customHeight="1" x14ac:dyDescent="0.15">
      <c r="B130" s="5" t="s">
        <v>90</v>
      </c>
      <c r="C130" s="8">
        <v>193148.88759999999</v>
      </c>
      <c r="D130" s="7">
        <v>2.1337559999999998E-2</v>
      </c>
      <c r="E130"/>
      <c r="F130" s="8">
        <v>16451.22</v>
      </c>
      <c r="G130" s="7">
        <v>2.9987860000000002E-2</v>
      </c>
      <c r="H130"/>
      <c r="I130" s="8">
        <v>19954.32</v>
      </c>
      <c r="J130" s="7">
        <v>2.9977960000000001E-2</v>
      </c>
      <c r="K130"/>
      <c r="L130" s="8">
        <v>19835.990000000002</v>
      </c>
      <c r="M130" s="7">
        <v>1.9991220000000001E-2</v>
      </c>
      <c r="N130"/>
      <c r="O130" s="8">
        <v>9468.83</v>
      </c>
      <c r="P130" s="7">
        <v>1.9990330000000001E-2</v>
      </c>
      <c r="Q130"/>
      <c r="R130" s="8">
        <v>16190.7726</v>
      </c>
      <c r="S130" s="7">
        <v>0.02</v>
      </c>
      <c r="T130"/>
      <c r="U130" s="8">
        <v>16786.947199999999</v>
      </c>
      <c r="V130" s="7">
        <v>0.02</v>
      </c>
      <c r="W130"/>
      <c r="X130" s="8">
        <v>11158.925300000001</v>
      </c>
      <c r="Y130" s="7">
        <v>0.02</v>
      </c>
      <c r="Z130"/>
      <c r="AA130" s="8">
        <v>11878.1409</v>
      </c>
      <c r="AB130" s="7">
        <v>0.02</v>
      </c>
      <c r="AC130"/>
      <c r="AD130" s="8">
        <v>19138.728899999998</v>
      </c>
      <c r="AE130" s="7">
        <v>0.02</v>
      </c>
      <c r="AF130"/>
      <c r="AG130" s="8">
        <v>19789.5874</v>
      </c>
      <c r="AH130" s="7">
        <v>0.02</v>
      </c>
      <c r="AI130"/>
      <c r="AJ130" s="8">
        <v>20258.383900000001</v>
      </c>
      <c r="AK130" s="7">
        <v>0.02</v>
      </c>
      <c r="AL130"/>
      <c r="AM130" s="8">
        <v>12237.0414</v>
      </c>
      <c r="AN130" s="7">
        <v>0.02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1843155.2024999999</v>
      </c>
      <c r="D134" s="327">
        <v>0.20361719</v>
      </c>
      <c r="E134"/>
      <c r="F134" s="326">
        <v>38409.54</v>
      </c>
      <c r="G134" s="327">
        <v>7.001425E-2</v>
      </c>
      <c r="H134"/>
      <c r="I134" s="326">
        <v>130851.03</v>
      </c>
      <c r="J134" s="327">
        <v>0.19658133</v>
      </c>
      <c r="K134"/>
      <c r="L134" s="326">
        <v>262514.90999999997</v>
      </c>
      <c r="M134" s="327">
        <v>0.26456927000000002</v>
      </c>
      <c r="N134"/>
      <c r="O134" s="326">
        <v>-11725.48</v>
      </c>
      <c r="P134" s="327">
        <v>-2.475451E-2</v>
      </c>
      <c r="Q134"/>
      <c r="R134" s="326">
        <v>203804.2218</v>
      </c>
      <c r="S134" s="327">
        <v>0.25175354999999999</v>
      </c>
      <c r="T134"/>
      <c r="U134" s="326">
        <v>210029.43100000001</v>
      </c>
      <c r="V134" s="327">
        <v>0.25022945000000002</v>
      </c>
      <c r="W134"/>
      <c r="X134" s="326">
        <v>41645.781799999997</v>
      </c>
      <c r="Y134" s="327">
        <v>7.464121E-2</v>
      </c>
      <c r="Z134"/>
      <c r="AA134" s="326">
        <v>81878.570900000006</v>
      </c>
      <c r="AB134" s="327">
        <v>0.13786429</v>
      </c>
      <c r="AC134"/>
      <c r="AD134" s="326">
        <v>294905.43410000001</v>
      </c>
      <c r="AE134" s="327">
        <v>0.30817661000000002</v>
      </c>
      <c r="AF134"/>
      <c r="AG134" s="326">
        <v>327529.83159999998</v>
      </c>
      <c r="AH134" s="327">
        <v>0.33101228999999999</v>
      </c>
      <c r="AI134"/>
      <c r="AJ134" s="326">
        <v>233628.02170000001</v>
      </c>
      <c r="AK134" s="327">
        <v>0.23064823000000001</v>
      </c>
      <c r="AL134"/>
      <c r="AM134" s="326">
        <v>29683.909599999999</v>
      </c>
      <c r="AN134" s="327">
        <v>4.8514850000000012E-2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3058785.28</v>
      </c>
      <c r="D136" s="327">
        <v>0.33791037000000002</v>
      </c>
      <c r="E136"/>
      <c r="F136" s="326">
        <v>251565.44</v>
      </c>
      <c r="G136" s="327">
        <v>0.45856227999999999</v>
      </c>
      <c r="H136"/>
      <c r="I136" s="326">
        <v>251565.44</v>
      </c>
      <c r="J136" s="327">
        <v>0.37793410999999999</v>
      </c>
      <c r="K136"/>
      <c r="L136" s="326">
        <v>251565.44</v>
      </c>
      <c r="M136" s="327">
        <v>0.25353410999999998</v>
      </c>
      <c r="N136"/>
      <c r="O136" s="326">
        <v>251565.44</v>
      </c>
      <c r="P136" s="327">
        <v>0.53109799000000002</v>
      </c>
      <c r="Q136"/>
      <c r="R136" s="326">
        <v>256565.44</v>
      </c>
      <c r="S136" s="327">
        <v>0.31692798</v>
      </c>
      <c r="T136"/>
      <c r="U136" s="326">
        <v>256565.44</v>
      </c>
      <c r="V136" s="327">
        <v>0.30567253999999999</v>
      </c>
      <c r="W136"/>
      <c r="X136" s="326">
        <v>256565.44</v>
      </c>
      <c r="Y136" s="327">
        <v>0.45983898000000001</v>
      </c>
      <c r="Z136"/>
      <c r="AA136" s="326">
        <v>256565.44</v>
      </c>
      <c r="AB136" s="327">
        <v>0.43199595000000002</v>
      </c>
      <c r="AC136"/>
      <c r="AD136" s="326">
        <v>256565.44</v>
      </c>
      <c r="AE136" s="327">
        <v>0.26811126000000002</v>
      </c>
      <c r="AF136"/>
      <c r="AG136" s="326">
        <v>256565.44</v>
      </c>
      <c r="AH136" s="327">
        <v>0.25929337000000002</v>
      </c>
      <c r="AI136"/>
      <c r="AJ136" s="326">
        <v>256565.44</v>
      </c>
      <c r="AK136" s="327">
        <v>0.25329309999999999</v>
      </c>
      <c r="AL136"/>
      <c r="AM136" s="326">
        <v>256565.44</v>
      </c>
      <c r="AN136" s="327">
        <v>0.41932593000000001</v>
      </c>
    </row>
    <row r="137" spans="2:40" s="314" customFormat="1" ht="12.75" customHeight="1" x14ac:dyDescent="0.15">
      <c r="B137" s="5" t="s">
        <v>95</v>
      </c>
      <c r="C137" s="8">
        <v>3058785.28</v>
      </c>
      <c r="D137" s="7">
        <v>0.33791037000000002</v>
      </c>
      <c r="E137"/>
      <c r="F137" s="8">
        <v>251565.44</v>
      </c>
      <c r="G137" s="7">
        <v>0.45856227999999999</v>
      </c>
      <c r="H137"/>
      <c r="I137" s="8">
        <v>251565.44</v>
      </c>
      <c r="J137" s="7">
        <v>0.37793410999999999</v>
      </c>
      <c r="K137"/>
      <c r="L137" s="8">
        <v>251565.44</v>
      </c>
      <c r="M137" s="7">
        <v>0.25353410999999998</v>
      </c>
      <c r="N137"/>
      <c r="O137" s="8">
        <v>251565.44</v>
      </c>
      <c r="P137" s="7">
        <v>0.53109799000000002</v>
      </c>
      <c r="Q137"/>
      <c r="R137" s="8">
        <v>256565.44</v>
      </c>
      <c r="S137" s="7">
        <v>0.31692798</v>
      </c>
      <c r="T137"/>
      <c r="U137" s="8">
        <v>256565.44</v>
      </c>
      <c r="V137" s="7">
        <v>0.30567253999999999</v>
      </c>
      <c r="W137"/>
      <c r="X137" s="8">
        <v>256565.44</v>
      </c>
      <c r="Y137" s="7">
        <v>0.45983898000000001</v>
      </c>
      <c r="Z137"/>
      <c r="AA137" s="8">
        <v>256565.44</v>
      </c>
      <c r="AB137" s="7">
        <v>0.43199595000000002</v>
      </c>
      <c r="AC137"/>
      <c r="AD137" s="8">
        <v>256565.44</v>
      </c>
      <c r="AE137" s="7">
        <v>0.26811126000000002</v>
      </c>
      <c r="AF137"/>
      <c r="AG137" s="8">
        <v>256565.44</v>
      </c>
      <c r="AH137" s="7">
        <v>0.25929337000000002</v>
      </c>
      <c r="AI137"/>
      <c r="AJ137" s="8">
        <v>256565.44</v>
      </c>
      <c r="AK137" s="7">
        <v>0.25329309999999999</v>
      </c>
      <c r="AL137"/>
      <c r="AM137" s="8">
        <v>256565.44</v>
      </c>
      <c r="AN137" s="7">
        <v>0.41932593000000001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-1215630.0774999999</v>
      </c>
      <c r="D141" s="327">
        <v>-0.13429318000000001</v>
      </c>
      <c r="E141"/>
      <c r="F141" s="326">
        <v>-213155.9</v>
      </c>
      <c r="G141" s="327">
        <v>-0.38854801999999999</v>
      </c>
      <c r="H141"/>
      <c r="I141" s="326">
        <v>-120714.41</v>
      </c>
      <c r="J141" s="327">
        <v>-0.18135279000000001</v>
      </c>
      <c r="K141"/>
      <c r="L141" s="326">
        <v>10949.47</v>
      </c>
      <c r="M141" s="327">
        <v>1.103516E-2</v>
      </c>
      <c r="N141"/>
      <c r="O141" s="326">
        <v>-263290.92</v>
      </c>
      <c r="P141" s="327">
        <v>-0.55585249999999997</v>
      </c>
      <c r="Q141"/>
      <c r="R141" s="326">
        <v>-52761.218200000003</v>
      </c>
      <c r="S141" s="327">
        <v>-6.5174430000000005E-2</v>
      </c>
      <c r="T141"/>
      <c r="U141" s="326">
        <v>-46536.008999999998</v>
      </c>
      <c r="V141" s="327">
        <v>-5.544309E-2</v>
      </c>
      <c r="W141"/>
      <c r="X141" s="326">
        <v>-214919.65820000001</v>
      </c>
      <c r="Y141" s="327">
        <v>-0.38519776999999999</v>
      </c>
      <c r="Z141"/>
      <c r="AA141" s="326">
        <v>-174686.86910000001</v>
      </c>
      <c r="AB141" s="327">
        <v>-0.29413167000000001</v>
      </c>
      <c r="AC141"/>
      <c r="AD141" s="326">
        <v>38339.994100000004</v>
      </c>
      <c r="AE141" s="327">
        <v>4.0065350000000013E-2</v>
      </c>
      <c r="AF141"/>
      <c r="AG141" s="326">
        <v>70964.391600000003</v>
      </c>
      <c r="AH141" s="327">
        <v>7.1718919999999992E-2</v>
      </c>
      <c r="AI141"/>
      <c r="AJ141" s="326">
        <v>-22937.418300000001</v>
      </c>
      <c r="AK141" s="327">
        <v>-2.2644859999999999E-2</v>
      </c>
      <c r="AL141"/>
      <c r="AM141" s="326">
        <v>-226881.53039999999</v>
      </c>
      <c r="AN141" s="327">
        <v>-0.37081109000000001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-1215630.0774999999</v>
      </c>
      <c r="D144" s="327">
        <v>-0.13429318000000001</v>
      </c>
      <c r="E144"/>
      <c r="F144" s="326">
        <v>-213155.9</v>
      </c>
      <c r="G144" s="327">
        <v>-0.38854801999999999</v>
      </c>
      <c r="H144"/>
      <c r="I144" s="326">
        <v>-120714.41</v>
      </c>
      <c r="J144" s="327">
        <v>-0.18135279000000001</v>
      </c>
      <c r="K144"/>
      <c r="L144" s="326">
        <v>10949.47</v>
      </c>
      <c r="M144" s="327">
        <v>1.103516E-2</v>
      </c>
      <c r="N144"/>
      <c r="O144" s="326">
        <v>-263290.92</v>
      </c>
      <c r="P144" s="327">
        <v>-0.55585249999999997</v>
      </c>
      <c r="Q144"/>
      <c r="R144" s="326">
        <v>-52761.218200000003</v>
      </c>
      <c r="S144" s="327">
        <v>-6.5174430000000005E-2</v>
      </c>
      <c r="T144"/>
      <c r="U144" s="326">
        <v>-46536.008999999998</v>
      </c>
      <c r="V144" s="327">
        <v>-5.544309E-2</v>
      </c>
      <c r="W144"/>
      <c r="X144" s="326">
        <v>-214919.65820000001</v>
      </c>
      <c r="Y144" s="327">
        <v>-0.38519776999999999</v>
      </c>
      <c r="Z144"/>
      <c r="AA144" s="326">
        <v>-174686.86910000001</v>
      </c>
      <c r="AB144" s="327">
        <v>-0.29413167000000001</v>
      </c>
      <c r="AC144"/>
      <c r="AD144" s="326">
        <v>38339.994100000004</v>
      </c>
      <c r="AE144" s="327">
        <v>4.0065350000000013E-2</v>
      </c>
      <c r="AF144"/>
      <c r="AG144" s="326">
        <v>70964.391600000003</v>
      </c>
      <c r="AH144" s="327">
        <v>7.1718919999999992E-2</v>
      </c>
      <c r="AI144"/>
      <c r="AJ144" s="326">
        <v>-22937.418300000001</v>
      </c>
      <c r="AK144" s="327">
        <v>-2.2644859999999999E-2</v>
      </c>
      <c r="AL144"/>
      <c r="AM144" s="326">
        <v>-226881.53039999999</v>
      </c>
      <c r="AN144" s="327">
        <v>-0.37081109000000001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-1215630.0774999999</v>
      </c>
      <c r="D147" s="327">
        <v>-0.13429318000000001</v>
      </c>
      <c r="E147"/>
      <c r="F147" s="326">
        <v>-213155.9</v>
      </c>
      <c r="G147" s="327">
        <v>-0.38854801999999999</v>
      </c>
      <c r="H147"/>
      <c r="I147" s="326">
        <v>-120714.41</v>
      </c>
      <c r="J147" s="327">
        <v>-0.18135279000000001</v>
      </c>
      <c r="K147"/>
      <c r="L147" s="326">
        <v>10949.47</v>
      </c>
      <c r="M147" s="327">
        <v>1.103516E-2</v>
      </c>
      <c r="N147"/>
      <c r="O147" s="326">
        <v>-263290.92</v>
      </c>
      <c r="P147" s="327">
        <v>-0.55585249999999997</v>
      </c>
      <c r="Q147"/>
      <c r="R147" s="326">
        <v>-52761.218200000003</v>
      </c>
      <c r="S147" s="327">
        <v>-6.5174430000000005E-2</v>
      </c>
      <c r="T147"/>
      <c r="U147" s="326">
        <v>-46536.008999999998</v>
      </c>
      <c r="V147" s="327">
        <v>-5.544309E-2</v>
      </c>
      <c r="W147"/>
      <c r="X147" s="326">
        <v>-214919.65820000001</v>
      </c>
      <c r="Y147" s="327">
        <v>-0.38519776999999999</v>
      </c>
      <c r="Z147"/>
      <c r="AA147" s="326">
        <v>-174686.86910000001</v>
      </c>
      <c r="AB147" s="327">
        <v>-0.29413167000000001</v>
      </c>
      <c r="AC147"/>
      <c r="AD147" s="326">
        <v>38339.994100000004</v>
      </c>
      <c r="AE147" s="327">
        <v>4.0065350000000013E-2</v>
      </c>
      <c r="AF147"/>
      <c r="AG147" s="326">
        <v>70964.391600000003</v>
      </c>
      <c r="AH147" s="327">
        <v>7.1718919999999992E-2</v>
      </c>
      <c r="AI147"/>
      <c r="AJ147" s="326">
        <v>-22937.418300000001</v>
      </c>
      <c r="AK147" s="327">
        <v>-2.2644859999999999E-2</v>
      </c>
      <c r="AL147"/>
      <c r="AM147" s="326">
        <v>-226881.53039999999</v>
      </c>
      <c r="AN147" s="327">
        <v>-0.37081109000000001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-1215630.0774999999</v>
      </c>
      <c r="D150" s="327">
        <v>-0.13429318000000001</v>
      </c>
      <c r="E150"/>
      <c r="F150" s="326">
        <v>-213155.9</v>
      </c>
      <c r="G150" s="327">
        <v>-0.38854801999999999</v>
      </c>
      <c r="H150"/>
      <c r="I150" s="326">
        <v>-120714.41</v>
      </c>
      <c r="J150" s="327">
        <v>-0.18135279000000001</v>
      </c>
      <c r="K150"/>
      <c r="L150" s="326">
        <v>10949.47</v>
      </c>
      <c r="M150" s="327">
        <v>1.103516E-2</v>
      </c>
      <c r="N150"/>
      <c r="O150" s="326">
        <v>-263290.92</v>
      </c>
      <c r="P150" s="327">
        <v>-0.55585249999999997</v>
      </c>
      <c r="Q150"/>
      <c r="R150" s="326">
        <v>-52761.218200000003</v>
      </c>
      <c r="S150" s="327">
        <v>-6.5174430000000005E-2</v>
      </c>
      <c r="T150"/>
      <c r="U150" s="326">
        <v>-46536.008999999998</v>
      </c>
      <c r="V150" s="327">
        <v>-5.544309E-2</v>
      </c>
      <c r="W150"/>
      <c r="X150" s="326">
        <v>-214919.65820000001</v>
      </c>
      <c r="Y150" s="327">
        <v>-0.38519776999999999</v>
      </c>
      <c r="Z150"/>
      <c r="AA150" s="326">
        <v>-174686.86910000001</v>
      </c>
      <c r="AB150" s="327">
        <v>-0.29413167000000001</v>
      </c>
      <c r="AC150"/>
      <c r="AD150" s="326">
        <v>38339.994100000004</v>
      </c>
      <c r="AE150" s="327">
        <v>4.0065350000000013E-2</v>
      </c>
      <c r="AF150"/>
      <c r="AG150" s="326">
        <v>70964.391600000003</v>
      </c>
      <c r="AH150" s="327">
        <v>7.1718919999999992E-2</v>
      </c>
      <c r="AI150"/>
      <c r="AJ150" s="326">
        <v>-22937.418300000001</v>
      </c>
      <c r="AK150" s="327">
        <v>-2.2644859999999999E-2</v>
      </c>
      <c r="AL150"/>
      <c r="AM150" s="326">
        <v>-226881.53039999999</v>
      </c>
      <c r="AN150" s="327">
        <v>-0.37081109000000001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-1205030.0774999999</v>
      </c>
      <c r="D153" s="7">
        <v>-0.13312218000000001</v>
      </c>
      <c r="E153"/>
      <c r="F153" s="8">
        <v>-212155.9</v>
      </c>
      <c r="G153" s="7">
        <v>-0.38672519</v>
      </c>
      <c r="H153"/>
      <c r="I153" s="8">
        <v>-120714.41</v>
      </c>
      <c r="J153" s="7">
        <v>-0.18135279000000001</v>
      </c>
      <c r="K153"/>
      <c r="L153" s="8">
        <v>10949.47</v>
      </c>
      <c r="M153" s="7">
        <v>1.103516E-2</v>
      </c>
      <c r="N153"/>
      <c r="O153" s="8">
        <v>-263290.92</v>
      </c>
      <c r="P153" s="7">
        <v>-0.55585249999999997</v>
      </c>
      <c r="Q153"/>
      <c r="R153" s="8">
        <v>-51561.218200000003</v>
      </c>
      <c r="S153" s="7">
        <v>-6.3692100000000001E-2</v>
      </c>
      <c r="T153"/>
      <c r="U153" s="8">
        <v>-45336.008999999998</v>
      </c>
      <c r="V153" s="7">
        <v>-5.4013409999999998E-2</v>
      </c>
      <c r="W153"/>
      <c r="X153" s="8">
        <v>-213719.65820000001</v>
      </c>
      <c r="Y153" s="7">
        <v>-0.38304703000000001</v>
      </c>
      <c r="Z153"/>
      <c r="AA153" s="8">
        <v>-173486.86910000001</v>
      </c>
      <c r="AB153" s="7">
        <v>-0.29211114999999999</v>
      </c>
      <c r="AC153"/>
      <c r="AD153" s="8">
        <v>39539.994100000004</v>
      </c>
      <c r="AE153" s="7">
        <v>4.1319349999999998E-2</v>
      </c>
      <c r="AF153"/>
      <c r="AG153" s="8">
        <v>72164.391600000003</v>
      </c>
      <c r="AH153" s="7">
        <v>7.2931679999999999E-2</v>
      </c>
      <c r="AI153"/>
      <c r="AJ153" s="8">
        <v>-21737.418300000001</v>
      </c>
      <c r="AK153" s="7">
        <v>-2.1460170000000001E-2</v>
      </c>
      <c r="AL153"/>
      <c r="AM153" s="8">
        <v>-225681.53039999999</v>
      </c>
      <c r="AN153" s="7">
        <v>-0.36884982999999999</v>
      </c>
    </row>
    <row r="154" spans="2:40" s="314" customFormat="1" ht="12.75" customHeight="1" x14ac:dyDescent="0.15">
      <c r="B154" s="5" t="s">
        <v>107</v>
      </c>
      <c r="C154" s="6">
        <v>-1214030.0774999999</v>
      </c>
      <c r="D154" s="7">
        <v>-0.13411643000000001</v>
      </c>
      <c r="E154"/>
      <c r="F154" s="8">
        <v>-213155.9</v>
      </c>
      <c r="G154" s="7">
        <v>-0.38854801999999999</v>
      </c>
      <c r="H154"/>
      <c r="I154" s="8">
        <v>-120714.41</v>
      </c>
      <c r="J154" s="7">
        <v>-0.18135279000000001</v>
      </c>
      <c r="K154"/>
      <c r="L154" s="8">
        <v>10949.47</v>
      </c>
      <c r="M154" s="7">
        <v>1.103516E-2</v>
      </c>
      <c r="N154"/>
      <c r="O154" s="8">
        <v>-263290.92</v>
      </c>
      <c r="P154" s="7">
        <v>-0.55585249999999997</v>
      </c>
      <c r="Q154"/>
      <c r="R154" s="8">
        <v>-52561.218200000003</v>
      </c>
      <c r="S154" s="7">
        <v>-6.4927369999999998E-2</v>
      </c>
      <c r="T154"/>
      <c r="U154" s="8">
        <v>-46336.008999999998</v>
      </c>
      <c r="V154" s="7">
        <v>-5.520481E-2</v>
      </c>
      <c r="W154"/>
      <c r="X154" s="8">
        <v>-214719.65820000001</v>
      </c>
      <c r="Y154" s="7">
        <v>-0.38483930999999999</v>
      </c>
      <c r="Z154"/>
      <c r="AA154" s="8">
        <v>-174486.86910000001</v>
      </c>
      <c r="AB154" s="7">
        <v>-0.29379491000000002</v>
      </c>
      <c r="AC154"/>
      <c r="AD154" s="8">
        <v>38539.994100000004</v>
      </c>
      <c r="AE154" s="7">
        <v>4.0274349999999987E-2</v>
      </c>
      <c r="AF154"/>
      <c r="AG154" s="8">
        <v>71164.391600000003</v>
      </c>
      <c r="AH154" s="7">
        <v>7.192105E-2</v>
      </c>
      <c r="AI154"/>
      <c r="AJ154" s="8">
        <v>-22737.418300000001</v>
      </c>
      <c r="AK154" s="7">
        <v>-2.2447419999999999E-2</v>
      </c>
      <c r="AL154"/>
      <c r="AM154" s="8">
        <v>-226681.53039999999</v>
      </c>
      <c r="AN154" s="7">
        <v>-0.37048420999999998</v>
      </c>
    </row>
    <row r="155" spans="2:40" s="314" customFormat="1" ht="12.75" customHeight="1" x14ac:dyDescent="0.15">
      <c r="B155" s="325" t="s">
        <v>108</v>
      </c>
      <c r="C155" s="330">
        <v>310443.33169999998</v>
      </c>
      <c r="D155" s="327">
        <v>3.4295319999999997E-2</v>
      </c>
      <c r="E155"/>
      <c r="F155" s="326">
        <v>27418.7</v>
      </c>
      <c r="G155" s="327">
        <v>4.9979760000000012E-2</v>
      </c>
      <c r="H155"/>
      <c r="I155" s="326">
        <v>36719.97</v>
      </c>
      <c r="J155" s="327">
        <v>5.5165480000000003E-2</v>
      </c>
      <c r="K155"/>
      <c r="L155" s="326">
        <v>36209.22</v>
      </c>
      <c r="M155" s="327">
        <v>3.6492579999999997E-2</v>
      </c>
      <c r="N155"/>
      <c r="O155" s="326">
        <v>18937.650000000001</v>
      </c>
      <c r="P155" s="327">
        <v>3.9980639999999998E-2</v>
      </c>
      <c r="Q155"/>
      <c r="R155" s="326">
        <v>24286.159</v>
      </c>
      <c r="S155" s="327">
        <v>0.03</v>
      </c>
      <c r="T155"/>
      <c r="U155" s="326">
        <v>25180.4208</v>
      </c>
      <c r="V155" s="327">
        <v>0.03</v>
      </c>
      <c r="W155"/>
      <c r="X155" s="326">
        <v>16738.387999999999</v>
      </c>
      <c r="Y155" s="327">
        <v>0.03</v>
      </c>
      <c r="Z155"/>
      <c r="AA155" s="326">
        <v>17817.2114</v>
      </c>
      <c r="AB155" s="327">
        <v>0.03</v>
      </c>
      <c r="AC155"/>
      <c r="AD155" s="326">
        <v>28708.093400000002</v>
      </c>
      <c r="AE155" s="327">
        <v>0.03</v>
      </c>
      <c r="AF155"/>
      <c r="AG155" s="326">
        <v>29684.3812</v>
      </c>
      <c r="AH155" s="327">
        <v>0.03</v>
      </c>
      <c r="AI155"/>
      <c r="AJ155" s="326">
        <v>30387.575799999999</v>
      </c>
      <c r="AK155" s="327">
        <v>0.03</v>
      </c>
      <c r="AL155"/>
      <c r="AM155" s="326">
        <v>18355.562099999999</v>
      </c>
      <c r="AN155" s="327">
        <v>0.03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90506.853900000002</v>
      </c>
      <c r="D158" s="7">
        <v>9.9984799999999988E-3</v>
      </c>
      <c r="E158"/>
      <c r="F158" s="8">
        <v>5483.74</v>
      </c>
      <c r="G158" s="7">
        <v>9.99595E-3</v>
      </c>
      <c r="H158"/>
      <c r="I158" s="8">
        <v>6651.44</v>
      </c>
      <c r="J158" s="7">
        <v>9.9926499999999988E-3</v>
      </c>
      <c r="K158"/>
      <c r="L158" s="8">
        <v>9918</v>
      </c>
      <c r="M158" s="7">
        <v>9.9956200000000002E-3</v>
      </c>
      <c r="N158"/>
      <c r="O158" s="8">
        <v>4734.41</v>
      </c>
      <c r="P158" s="7">
        <v>9.9951599999999995E-3</v>
      </c>
      <c r="Q158"/>
      <c r="R158" s="8">
        <v>8095.3863000000001</v>
      </c>
      <c r="S158" s="7">
        <v>0.01</v>
      </c>
      <c r="T158"/>
      <c r="U158" s="8">
        <v>8393.4735999999994</v>
      </c>
      <c r="V158" s="7">
        <v>0.01</v>
      </c>
      <c r="W158"/>
      <c r="X158" s="8">
        <v>5579.4627</v>
      </c>
      <c r="Y158" s="7">
        <v>0.01</v>
      </c>
      <c r="Z158"/>
      <c r="AA158" s="8">
        <v>5939.0704999999998</v>
      </c>
      <c r="AB158" s="7">
        <v>0.01</v>
      </c>
      <c r="AC158"/>
      <c r="AD158" s="8">
        <v>9569.3644999999997</v>
      </c>
      <c r="AE158" s="7">
        <v>0.01</v>
      </c>
      <c r="AF158"/>
      <c r="AG158" s="8">
        <v>9894.7937000000002</v>
      </c>
      <c r="AH158" s="7">
        <v>0.01</v>
      </c>
      <c r="AI158"/>
      <c r="AJ158" s="8">
        <v>10129.1919</v>
      </c>
      <c r="AK158" s="7">
        <v>0.01</v>
      </c>
      <c r="AL158"/>
      <c r="AM158" s="8">
        <v>6118.5207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137098.93979999999</v>
      </c>
      <c r="D159" s="7">
        <v>1.51456E-2</v>
      </c>
      <c r="E159"/>
      <c r="F159" s="8">
        <v>-15588.66</v>
      </c>
      <c r="G159" s="7">
        <v>-2.8415550000000001E-2</v>
      </c>
      <c r="H159"/>
      <c r="I159" s="8">
        <v>-494.94</v>
      </c>
      <c r="J159" s="7">
        <v>-7.435600000000001E-4</v>
      </c>
      <c r="K159"/>
      <c r="L159" s="8">
        <v>-711.06</v>
      </c>
      <c r="M159" s="7">
        <v>-7.1662000000000006E-4</v>
      </c>
      <c r="N159"/>
      <c r="O159" s="8">
        <v>-5404.56</v>
      </c>
      <c r="P159" s="7">
        <v>-1.140996E-2</v>
      </c>
      <c r="Q159"/>
      <c r="R159" s="8">
        <v>20238.465800000002</v>
      </c>
      <c r="S159" s="7">
        <v>2.5000000000000001E-2</v>
      </c>
      <c r="T159"/>
      <c r="U159" s="8">
        <v>20983.684000000001</v>
      </c>
      <c r="V159" s="7">
        <v>2.5000000000000001E-2</v>
      </c>
      <c r="W159"/>
      <c r="X159" s="8">
        <v>13948.6567</v>
      </c>
      <c r="Y159" s="7">
        <v>2.5000000000000001E-2</v>
      </c>
      <c r="Z159"/>
      <c r="AA159" s="8">
        <v>14847.6762</v>
      </c>
      <c r="AB159" s="7">
        <v>2.5000000000000001E-2</v>
      </c>
      <c r="AC159"/>
      <c r="AD159" s="8">
        <v>23923.411199999999</v>
      </c>
      <c r="AE159" s="7">
        <v>2.5000000000000001E-2</v>
      </c>
      <c r="AF159"/>
      <c r="AG159" s="8">
        <v>24736.9843</v>
      </c>
      <c r="AH159" s="7">
        <v>2.5000000000000001E-2</v>
      </c>
      <c r="AI159"/>
      <c r="AJ159" s="8">
        <v>25322.979800000001</v>
      </c>
      <c r="AK159" s="7">
        <v>2.5000000000000001E-2</v>
      </c>
      <c r="AL159"/>
      <c r="AM159" s="8">
        <v>15296.301799999999</v>
      </c>
      <c r="AN159" s="7">
        <v>2.5000000000000001E-2</v>
      </c>
    </row>
    <row r="160" spans="2:40" s="314" customFormat="1" ht="12.75" customHeight="1" x14ac:dyDescent="0.15">
      <c r="B160" s="5" t="s">
        <v>113</v>
      </c>
      <c r="C160" s="6">
        <v>193148.88759999999</v>
      </c>
      <c r="D160" s="7">
        <v>2.1337559999999998E-2</v>
      </c>
      <c r="E160"/>
      <c r="F160" s="8">
        <v>16451.22</v>
      </c>
      <c r="G160" s="7">
        <v>2.9987860000000002E-2</v>
      </c>
      <c r="H160"/>
      <c r="I160" s="8">
        <v>19954.32</v>
      </c>
      <c r="J160" s="7">
        <v>2.9977960000000001E-2</v>
      </c>
      <c r="K160"/>
      <c r="L160" s="8">
        <v>19835.990000000002</v>
      </c>
      <c r="M160" s="7">
        <v>1.9991220000000001E-2</v>
      </c>
      <c r="N160"/>
      <c r="O160" s="8">
        <v>9468.83</v>
      </c>
      <c r="P160" s="7">
        <v>1.9990330000000001E-2</v>
      </c>
      <c r="Q160"/>
      <c r="R160" s="8">
        <v>16190.7726</v>
      </c>
      <c r="S160" s="7">
        <v>0.02</v>
      </c>
      <c r="T160"/>
      <c r="U160" s="8">
        <v>16786.947199999999</v>
      </c>
      <c r="V160" s="7">
        <v>0.02</v>
      </c>
      <c r="W160"/>
      <c r="X160" s="8">
        <v>11158.925300000001</v>
      </c>
      <c r="Y160" s="7">
        <v>0.02</v>
      </c>
      <c r="Z160"/>
      <c r="AA160" s="8">
        <v>11878.1409</v>
      </c>
      <c r="AB160" s="7">
        <v>0.02</v>
      </c>
      <c r="AC160"/>
      <c r="AD160" s="8">
        <v>19138.728899999998</v>
      </c>
      <c r="AE160" s="7">
        <v>0.02</v>
      </c>
      <c r="AF160"/>
      <c r="AG160" s="8">
        <v>19789.5874</v>
      </c>
      <c r="AH160" s="7">
        <v>0.02</v>
      </c>
      <c r="AI160"/>
      <c r="AJ160" s="8">
        <v>20258.383900000001</v>
      </c>
      <c r="AK160" s="7">
        <v>0.02</v>
      </c>
      <c r="AL160"/>
      <c r="AM160" s="8">
        <v>12237.0414</v>
      </c>
      <c r="AN160" s="7">
        <v>0.02</v>
      </c>
    </row>
    <row r="161" spans="2:40" s="314" customFormat="1" ht="12.75" customHeight="1" x14ac:dyDescent="0.15">
      <c r="B161" s="5" t="s">
        <v>114</v>
      </c>
      <c r="C161" s="6">
        <v>26787.59</v>
      </c>
      <c r="D161" s="7">
        <v>2.9592799999999999E-3</v>
      </c>
      <c r="E161"/>
      <c r="F161" s="8">
        <v>5483.74</v>
      </c>
      <c r="G161" s="7">
        <v>9.99595E-3</v>
      </c>
      <c r="H161"/>
      <c r="I161" s="8">
        <v>10114.209999999999</v>
      </c>
      <c r="J161" s="7">
        <v>1.5194869999999999E-2</v>
      </c>
      <c r="K161"/>
      <c r="L161" s="8">
        <v>6455.23</v>
      </c>
      <c r="M161" s="7">
        <v>6.5057500000000002E-3</v>
      </c>
      <c r="N161"/>
      <c r="O161" s="8">
        <v>4734.41</v>
      </c>
      <c r="P161" s="7">
        <v>9.9951599999999995E-3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398974.12939999998</v>
      </c>
      <c r="D162" s="327">
        <v>4.4075499999999997E-2</v>
      </c>
      <c r="E162"/>
      <c r="F162" s="326">
        <v>30258.66</v>
      </c>
      <c r="G162" s="327">
        <v>5.5156539999999997E-2</v>
      </c>
      <c r="H162"/>
      <c r="I162" s="326">
        <v>18323.68</v>
      </c>
      <c r="J162" s="327">
        <v>2.7528199999999999E-2</v>
      </c>
      <c r="K162"/>
      <c r="L162" s="326">
        <v>51129.79</v>
      </c>
      <c r="M162" s="327">
        <v>5.152992E-2</v>
      </c>
      <c r="N162"/>
      <c r="O162" s="326">
        <v>-2161.42</v>
      </c>
      <c r="P162" s="327">
        <v>-4.5631300000000003E-3</v>
      </c>
      <c r="Q162"/>
      <c r="R162" s="326">
        <v>38354.811900000001</v>
      </c>
      <c r="S162" s="327">
        <v>4.7378609999999988E-2</v>
      </c>
      <c r="T162"/>
      <c r="U162" s="326">
        <v>38638.0766</v>
      </c>
      <c r="V162" s="327">
        <v>4.6033480000000002E-2</v>
      </c>
      <c r="W162"/>
      <c r="X162" s="326">
        <v>28670.656200000001</v>
      </c>
      <c r="Y162" s="327">
        <v>5.1386050000000003E-2</v>
      </c>
      <c r="Z162"/>
      <c r="AA162" s="326">
        <v>29428.1852</v>
      </c>
      <c r="AB162" s="327">
        <v>4.9550150000000001E-2</v>
      </c>
      <c r="AC162"/>
      <c r="AD162" s="326">
        <v>42960.112200000003</v>
      </c>
      <c r="AE162" s="327">
        <v>4.4893379999999997E-2</v>
      </c>
      <c r="AF162"/>
      <c r="AG162" s="326">
        <v>46538.696900000003</v>
      </c>
      <c r="AH162" s="327">
        <v>4.7033520000000002E-2</v>
      </c>
      <c r="AI162"/>
      <c r="AJ162" s="326">
        <v>46057.866000000002</v>
      </c>
      <c r="AK162" s="327">
        <v>4.5470419999999998E-2</v>
      </c>
      <c r="AL162"/>
      <c r="AM162" s="326">
        <v>30775.0144</v>
      </c>
      <c r="AN162" s="327">
        <v>5.0298130000000003E-2</v>
      </c>
    </row>
    <row r="163" spans="2:40" s="314" customFormat="1" ht="12.75" customHeight="1" x14ac:dyDescent="0.15">
      <c r="B163" s="5" t="s">
        <v>116</v>
      </c>
      <c r="C163" s="6">
        <v>171840.41260000001</v>
      </c>
      <c r="D163" s="7">
        <v>1.8983570000000002E-2</v>
      </c>
      <c r="E163"/>
      <c r="F163" s="8">
        <v>13098.16</v>
      </c>
      <c r="G163" s="7">
        <v>2.3875779999999999E-2</v>
      </c>
      <c r="H163"/>
      <c r="I163" s="8">
        <v>13606.61</v>
      </c>
      <c r="J163" s="7">
        <v>2.0441609999999999E-2</v>
      </c>
      <c r="K163"/>
      <c r="L163" s="8">
        <v>23662.52</v>
      </c>
      <c r="M163" s="7">
        <v>2.3847699999999999E-2</v>
      </c>
      <c r="N163"/>
      <c r="O163" s="8">
        <v>-19820.75</v>
      </c>
      <c r="P163" s="7">
        <v>-4.1845019999999997E-2</v>
      </c>
      <c r="Q163"/>
      <c r="R163" s="8">
        <v>18027.653399999999</v>
      </c>
      <c r="S163" s="7">
        <v>2.2269049999999999E-2</v>
      </c>
      <c r="T163"/>
      <c r="U163" s="8">
        <v>18135.115699999998</v>
      </c>
      <c r="V163" s="7">
        <v>2.1606210000000001E-2</v>
      </c>
      <c r="W163"/>
      <c r="X163" s="8">
        <v>13083.207</v>
      </c>
      <c r="Y163" s="7">
        <v>2.344887E-2</v>
      </c>
      <c r="Z163"/>
      <c r="AA163" s="8">
        <v>13405.63</v>
      </c>
      <c r="AB163" s="7">
        <v>2.257193E-2</v>
      </c>
      <c r="AC163"/>
      <c r="AD163" s="8">
        <v>20291.46</v>
      </c>
      <c r="AE163" s="7">
        <v>2.1204609999999999E-2</v>
      </c>
      <c r="AF163"/>
      <c r="AG163" s="8">
        <v>22291.342499999999</v>
      </c>
      <c r="AH163" s="7">
        <v>2.2528349999999999E-2</v>
      </c>
      <c r="AI163"/>
      <c r="AJ163" s="8">
        <v>21935.200000000001</v>
      </c>
      <c r="AK163" s="7">
        <v>2.165543E-2</v>
      </c>
      <c r="AL163"/>
      <c r="AM163" s="8">
        <v>14124.263999999999</v>
      </c>
      <c r="AN163" s="7">
        <v>2.3084440000000001E-2</v>
      </c>
    </row>
    <row r="164" spans="2:40" s="314" customFormat="1" ht="12.75" customHeight="1" x14ac:dyDescent="0.15">
      <c r="B164" s="5" t="s">
        <v>117</v>
      </c>
      <c r="C164" s="6">
        <v>145279.59479999999</v>
      </c>
      <c r="D164" s="7">
        <v>1.6049339999999999E-2</v>
      </c>
      <c r="E164"/>
      <c r="F164" s="8">
        <v>9077.5499999999993</v>
      </c>
      <c r="G164" s="7">
        <v>1.654688E-2</v>
      </c>
      <c r="H164"/>
      <c r="I164" s="8">
        <v>2340.54</v>
      </c>
      <c r="J164" s="7">
        <v>3.5162599999999998E-3</v>
      </c>
      <c r="K164"/>
      <c r="L164" s="8">
        <v>21006.1</v>
      </c>
      <c r="M164" s="7">
        <v>2.117049E-2</v>
      </c>
      <c r="N164"/>
      <c r="O164" s="8">
        <v>13006.21</v>
      </c>
      <c r="P164" s="7">
        <v>2.7458349999999999E-2</v>
      </c>
      <c r="Q164"/>
      <c r="R164" s="8">
        <v>12726.8953</v>
      </c>
      <c r="S164" s="7">
        <v>1.572117E-2</v>
      </c>
      <c r="T164"/>
      <c r="U164" s="8">
        <v>12753.6541</v>
      </c>
      <c r="V164" s="7">
        <v>1.519473E-2</v>
      </c>
      <c r="W164"/>
      <c r="X164" s="8">
        <v>9245.1478999999999</v>
      </c>
      <c r="Y164" s="7">
        <v>1.6569960000000002E-2</v>
      </c>
      <c r="Z164"/>
      <c r="AA164" s="8">
        <v>9500.4500000000007</v>
      </c>
      <c r="AB164" s="7">
        <v>1.5996529999999998E-2</v>
      </c>
      <c r="AC164"/>
      <c r="AD164" s="8">
        <v>14331.4</v>
      </c>
      <c r="AE164" s="7">
        <v>1.497633E-2</v>
      </c>
      <c r="AF164"/>
      <c r="AG164" s="8">
        <v>15747.387500000001</v>
      </c>
      <c r="AH164" s="7">
        <v>1.591482E-2</v>
      </c>
      <c r="AI164"/>
      <c r="AJ164" s="8">
        <v>15505.5</v>
      </c>
      <c r="AK164" s="7">
        <v>1.530774E-2</v>
      </c>
      <c r="AL164"/>
      <c r="AM164" s="8">
        <v>10038.76</v>
      </c>
      <c r="AN164" s="7">
        <v>1.6407169999999999E-2</v>
      </c>
    </row>
    <row r="165" spans="2:40" s="314" customFormat="1" ht="12.75" customHeight="1" x14ac:dyDescent="0.15">
      <c r="B165" s="5" t="s">
        <v>118</v>
      </c>
      <c r="C165" s="6">
        <v>38608.93</v>
      </c>
      <c r="D165" s="7">
        <v>4.2652100000000002E-3</v>
      </c>
      <c r="E165"/>
      <c r="F165" s="8">
        <v>5341.08</v>
      </c>
      <c r="G165" s="7">
        <v>9.7359100000000004E-3</v>
      </c>
      <c r="H165"/>
      <c r="I165" s="8">
        <v>-99.54</v>
      </c>
      <c r="J165" s="7">
        <v>-1.4954000000000001E-4</v>
      </c>
      <c r="K165"/>
      <c r="L165" s="8">
        <v>1500</v>
      </c>
      <c r="M165" s="7">
        <v>1.5117399999999999E-3</v>
      </c>
      <c r="N165"/>
      <c r="O165" s="8">
        <v>3446.67</v>
      </c>
      <c r="P165" s="7">
        <v>7.2765100000000008E-3</v>
      </c>
      <c r="Q165"/>
      <c r="R165" s="8">
        <v>3552.57</v>
      </c>
      <c r="S165" s="7">
        <v>4.3883899999999998E-3</v>
      </c>
      <c r="T165"/>
      <c r="U165" s="8">
        <v>3552.57</v>
      </c>
      <c r="V165" s="7">
        <v>4.2325399999999999E-3</v>
      </c>
      <c r="W165"/>
      <c r="X165" s="8">
        <v>3552.57</v>
      </c>
      <c r="Y165" s="7">
        <v>6.3672300000000006E-3</v>
      </c>
      <c r="Z165"/>
      <c r="AA165" s="8">
        <v>3552.57</v>
      </c>
      <c r="AB165" s="7">
        <v>5.9816899999999996E-3</v>
      </c>
      <c r="AC165"/>
      <c r="AD165" s="8">
        <v>3552.57</v>
      </c>
      <c r="AE165" s="7">
        <v>3.71244E-3</v>
      </c>
      <c r="AF165"/>
      <c r="AG165" s="8">
        <v>3552.57</v>
      </c>
      <c r="AH165" s="7">
        <v>3.59034E-3</v>
      </c>
      <c r="AI165"/>
      <c r="AJ165" s="8">
        <v>3552.57</v>
      </c>
      <c r="AK165" s="7">
        <v>3.5072599999999999E-3</v>
      </c>
      <c r="AL165"/>
      <c r="AM165" s="8">
        <v>3552.73</v>
      </c>
      <c r="AN165" s="7">
        <v>5.806519999999999E-3</v>
      </c>
    </row>
    <row r="166" spans="2:40" s="314" customFormat="1" ht="12.75" customHeight="1" x14ac:dyDescent="0.15">
      <c r="B166" s="5" t="s">
        <v>119</v>
      </c>
      <c r="C166" s="6">
        <v>43245.192000000003</v>
      </c>
      <c r="D166" s="7">
        <v>4.7773900000000003E-3</v>
      </c>
      <c r="E166"/>
      <c r="F166" s="8">
        <v>2741.87</v>
      </c>
      <c r="G166" s="7">
        <v>4.99798E-3</v>
      </c>
      <c r="H166"/>
      <c r="I166" s="8">
        <v>2476.0700000000002</v>
      </c>
      <c r="J166" s="7">
        <v>3.7198700000000001E-3</v>
      </c>
      <c r="K166"/>
      <c r="L166" s="8">
        <v>4961.17</v>
      </c>
      <c r="M166" s="7">
        <v>4.9999900000000002E-3</v>
      </c>
      <c r="N166"/>
      <c r="O166" s="8">
        <v>1206.45</v>
      </c>
      <c r="P166" s="7">
        <v>2.5470200000000001E-3</v>
      </c>
      <c r="Q166"/>
      <c r="R166" s="8">
        <v>4047.6932000000002</v>
      </c>
      <c r="S166" s="7">
        <v>5.0000000000000001E-3</v>
      </c>
      <c r="T166"/>
      <c r="U166" s="8">
        <v>4196.7367999999997</v>
      </c>
      <c r="V166" s="7">
        <v>5.0000000000000001E-3</v>
      </c>
      <c r="W166"/>
      <c r="X166" s="8">
        <v>2789.7312999999999</v>
      </c>
      <c r="Y166" s="7">
        <v>5.0000000000000001E-3</v>
      </c>
      <c r="Z166"/>
      <c r="AA166" s="8">
        <v>2969.5351999999998</v>
      </c>
      <c r="AB166" s="7">
        <v>5.0000000000000001E-3</v>
      </c>
      <c r="AC166"/>
      <c r="AD166" s="8">
        <v>4784.6822000000002</v>
      </c>
      <c r="AE166" s="7">
        <v>5.0000000000000001E-3</v>
      </c>
      <c r="AF166"/>
      <c r="AG166" s="8">
        <v>4947.3968999999997</v>
      </c>
      <c r="AH166" s="7">
        <v>5.0000000000000001E-3</v>
      </c>
      <c r="AI166"/>
      <c r="AJ166" s="8">
        <v>5064.5959999999995</v>
      </c>
      <c r="AK166" s="7">
        <v>5.0000000000000001E-3</v>
      </c>
      <c r="AL166"/>
      <c r="AM166" s="8">
        <v>3059.2604000000001</v>
      </c>
      <c r="AN166" s="7">
        <v>5.0000000000000001E-3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598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1D1F-4498-46ED-B69D-49468E107732}">
  <sheetPr>
    <pageSetUpPr fitToPage="1"/>
  </sheetPr>
  <dimension ref="B2:AN168"/>
  <sheetViews>
    <sheetView workbookViewId="0">
      <pane xSplit="2" ySplit="10" topLeftCell="C11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143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6648533.7755000005</v>
      </c>
      <c r="D11" s="7">
        <v>1</v>
      </c>
      <c r="E11"/>
      <c r="F11" s="6">
        <v>358011.94</v>
      </c>
      <c r="G11" s="7">
        <v>1</v>
      </c>
      <c r="H11"/>
      <c r="I11" s="6">
        <v>437494.52</v>
      </c>
      <c r="J11" s="7">
        <v>1</v>
      </c>
      <c r="K11"/>
      <c r="L11" s="6">
        <v>568675.63</v>
      </c>
      <c r="M11" s="7">
        <v>1</v>
      </c>
      <c r="N11"/>
      <c r="O11" s="6">
        <v>429940.74</v>
      </c>
      <c r="P11" s="7">
        <v>1</v>
      </c>
      <c r="Q11"/>
      <c r="R11" s="6">
        <v>517166.32530000003</v>
      </c>
      <c r="S11" s="7">
        <v>1</v>
      </c>
      <c r="T11"/>
      <c r="U11" s="6">
        <v>591560.95739999996</v>
      </c>
      <c r="V11" s="7">
        <v>1</v>
      </c>
      <c r="W11"/>
      <c r="X11" s="6">
        <v>481126.04180000001</v>
      </c>
      <c r="Y11" s="7">
        <v>1</v>
      </c>
      <c r="Z11"/>
      <c r="AA11" s="6">
        <v>517702.90090000001</v>
      </c>
      <c r="AB11" s="7">
        <v>1</v>
      </c>
      <c r="AC11"/>
      <c r="AD11" s="6">
        <v>668208.88210000005</v>
      </c>
      <c r="AE11" s="7">
        <v>1</v>
      </c>
      <c r="AF11"/>
      <c r="AG11" s="6">
        <v>780498.2635</v>
      </c>
      <c r="AH11" s="7">
        <v>1</v>
      </c>
      <c r="AI11"/>
      <c r="AJ11" s="6">
        <v>706107.07039999997</v>
      </c>
      <c r="AK11" s="7">
        <v>1</v>
      </c>
      <c r="AL11"/>
      <c r="AM11" s="6">
        <v>592040.50410000002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2901316.2149999999</v>
      </c>
      <c r="D12" s="7">
        <v>0.43638437000000002</v>
      </c>
      <c r="E12"/>
      <c r="F12" s="6">
        <v>216346.37</v>
      </c>
      <c r="G12" s="7">
        <v>0.60429931000000003</v>
      </c>
      <c r="H12"/>
      <c r="I12" s="6">
        <v>216807.2</v>
      </c>
      <c r="J12" s="7">
        <v>0.49556551999999998</v>
      </c>
      <c r="K12"/>
      <c r="L12" s="6">
        <v>239681.68</v>
      </c>
      <c r="M12" s="7">
        <v>0.42147345000000003</v>
      </c>
      <c r="N12"/>
      <c r="O12" s="6">
        <v>238068.14</v>
      </c>
      <c r="P12" s="7">
        <v>0.55372315000000005</v>
      </c>
      <c r="Q12"/>
      <c r="R12" s="6">
        <v>250672.75640000001</v>
      </c>
      <c r="S12" s="7">
        <v>0.48470433000000002</v>
      </c>
      <c r="T12"/>
      <c r="U12" s="6">
        <v>256073.94380000001</v>
      </c>
      <c r="V12" s="7">
        <v>0.43287837000000001</v>
      </c>
      <c r="W12"/>
      <c r="X12" s="6">
        <v>227794.80230000001</v>
      </c>
      <c r="Y12" s="7">
        <v>0.47346179999999999</v>
      </c>
      <c r="Z12"/>
      <c r="AA12" s="6">
        <v>245972.91899999999</v>
      </c>
      <c r="AB12" s="7">
        <v>0.47512369999999998</v>
      </c>
      <c r="AC12"/>
      <c r="AD12" s="6">
        <v>256562.658</v>
      </c>
      <c r="AE12" s="7">
        <v>0.38395576999999997</v>
      </c>
      <c r="AF12"/>
      <c r="AG12" s="6">
        <v>249706.42389999999</v>
      </c>
      <c r="AH12" s="7">
        <v>0.31993207000000001</v>
      </c>
      <c r="AI12"/>
      <c r="AJ12" s="6">
        <v>258880.63440000001</v>
      </c>
      <c r="AK12" s="7">
        <v>0.36663085000000001</v>
      </c>
      <c r="AL12"/>
      <c r="AM12" s="6">
        <v>244748.68719999999</v>
      </c>
      <c r="AN12" s="7">
        <v>0.41339854999999998</v>
      </c>
    </row>
    <row r="13" spans="2:40" s="314" customFormat="1" ht="12.75" customHeight="1" x14ac:dyDescent="0.15">
      <c r="B13" s="5" t="s">
        <v>23</v>
      </c>
      <c r="C13" s="6">
        <v>1052051.6771</v>
      </c>
      <c r="D13" s="7">
        <v>0</v>
      </c>
      <c r="E13"/>
      <c r="F13" s="6">
        <v>-79523.41</v>
      </c>
      <c r="G13" s="7">
        <v>0</v>
      </c>
      <c r="H13"/>
      <c r="I13" s="6">
        <v>30565.99</v>
      </c>
      <c r="J13" s="7">
        <v>0</v>
      </c>
      <c r="K13"/>
      <c r="L13" s="6">
        <v>119388.33</v>
      </c>
      <c r="M13" s="7">
        <v>0</v>
      </c>
      <c r="N13"/>
      <c r="O13" s="6">
        <v>-74111.91</v>
      </c>
      <c r="P13" s="7">
        <v>0</v>
      </c>
      <c r="Q13"/>
      <c r="R13" s="6">
        <v>71248.778399999996</v>
      </c>
      <c r="S13" s="7">
        <v>0</v>
      </c>
      <c r="T13"/>
      <c r="U13" s="6">
        <v>120805.1906</v>
      </c>
      <c r="V13" s="7">
        <v>0</v>
      </c>
      <c r="W13"/>
      <c r="X13" s="6">
        <v>55364.2549</v>
      </c>
      <c r="Y13" s="7">
        <v>0</v>
      </c>
      <c r="Z13"/>
      <c r="AA13" s="6">
        <v>76320.442800000004</v>
      </c>
      <c r="AB13" s="7">
        <v>0</v>
      </c>
      <c r="AC13"/>
      <c r="AD13" s="6">
        <v>156363.18950000001</v>
      </c>
      <c r="AE13" s="7">
        <v>0</v>
      </c>
      <c r="AF13"/>
      <c r="AG13" s="6">
        <v>259755.4461</v>
      </c>
      <c r="AH13" s="7">
        <v>0</v>
      </c>
      <c r="AI13"/>
      <c r="AJ13" s="6">
        <v>204418.32879999999</v>
      </c>
      <c r="AK13" s="7">
        <v>0</v>
      </c>
      <c r="AL13"/>
      <c r="AM13" s="6">
        <v>111457.046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43070</v>
      </c>
      <c r="D14" s="7">
        <v>0</v>
      </c>
      <c r="E14"/>
      <c r="F14" s="8">
        <v>3658</v>
      </c>
      <c r="G14" s="7">
        <v>0</v>
      </c>
      <c r="H14"/>
      <c r="I14" s="8">
        <v>3304</v>
      </c>
      <c r="J14" s="7">
        <v>0</v>
      </c>
      <c r="K14"/>
      <c r="L14" s="8">
        <v>3658</v>
      </c>
      <c r="M14" s="7">
        <v>0</v>
      </c>
      <c r="N14"/>
      <c r="O14" s="8">
        <v>3540</v>
      </c>
      <c r="P14" s="7">
        <v>0</v>
      </c>
      <c r="Q14"/>
      <c r="R14" s="8">
        <v>3658</v>
      </c>
      <c r="S14" s="7">
        <v>0</v>
      </c>
      <c r="T14"/>
      <c r="U14" s="8">
        <v>3540</v>
      </c>
      <c r="V14" s="7">
        <v>0</v>
      </c>
      <c r="W14"/>
      <c r="X14" s="8">
        <v>3658</v>
      </c>
      <c r="Y14" s="7">
        <v>0</v>
      </c>
      <c r="Z14"/>
      <c r="AA14" s="8">
        <v>3658</v>
      </c>
      <c r="AB14" s="7">
        <v>0</v>
      </c>
      <c r="AC14"/>
      <c r="AD14" s="8">
        <v>3540</v>
      </c>
      <c r="AE14" s="7">
        <v>0</v>
      </c>
      <c r="AF14"/>
      <c r="AG14" s="8">
        <v>3658</v>
      </c>
      <c r="AH14" s="7">
        <v>0</v>
      </c>
      <c r="AI14"/>
      <c r="AJ14" s="8">
        <v>3540</v>
      </c>
      <c r="AK14" s="7">
        <v>0</v>
      </c>
      <c r="AL14"/>
      <c r="AM14" s="8">
        <v>3658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27759</v>
      </c>
      <c r="D15" s="7">
        <v>0</v>
      </c>
      <c r="E15"/>
      <c r="F15" s="9">
        <v>1554</v>
      </c>
      <c r="G15" s="7">
        <v>0</v>
      </c>
      <c r="H15"/>
      <c r="I15" s="9">
        <v>1750</v>
      </c>
      <c r="J15" s="7">
        <v>0</v>
      </c>
      <c r="K15"/>
      <c r="L15" s="9">
        <v>2367</v>
      </c>
      <c r="M15" s="7">
        <v>0</v>
      </c>
      <c r="N15"/>
      <c r="O15" s="9">
        <v>2242</v>
      </c>
      <c r="P15" s="7">
        <v>0</v>
      </c>
      <c r="Q15"/>
      <c r="R15" s="9">
        <v>2536</v>
      </c>
      <c r="S15" s="7">
        <v>0</v>
      </c>
      <c r="T15"/>
      <c r="U15" s="9">
        <v>2221</v>
      </c>
      <c r="V15" s="7">
        <v>0</v>
      </c>
      <c r="W15"/>
      <c r="X15" s="9">
        <v>2132</v>
      </c>
      <c r="Y15" s="7">
        <v>0</v>
      </c>
      <c r="Z15"/>
      <c r="AA15" s="9">
        <v>2408</v>
      </c>
      <c r="AB15" s="7">
        <v>0</v>
      </c>
      <c r="AC15"/>
      <c r="AD15" s="9">
        <v>2658</v>
      </c>
      <c r="AE15" s="7">
        <v>0</v>
      </c>
      <c r="AF15"/>
      <c r="AG15" s="9">
        <v>2738</v>
      </c>
      <c r="AH15" s="7">
        <v>0</v>
      </c>
      <c r="AI15"/>
      <c r="AJ15" s="9">
        <v>2745</v>
      </c>
      <c r="AK15" s="7">
        <v>0</v>
      </c>
      <c r="AL15"/>
      <c r="AM15" s="9">
        <v>2408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65.166008822847004</v>
      </c>
      <c r="D16" s="7">
        <v>0</v>
      </c>
      <c r="E16"/>
      <c r="F16" s="8">
        <v>43.411700382722998</v>
      </c>
      <c r="G16" s="7">
        <v>0</v>
      </c>
      <c r="H16"/>
      <c r="I16" s="8">
        <v>54.116222760291002</v>
      </c>
      <c r="J16" s="7">
        <v>0</v>
      </c>
      <c r="K16"/>
      <c r="L16" s="8">
        <v>65.855658829961996</v>
      </c>
      <c r="M16" s="7">
        <v>0</v>
      </c>
      <c r="N16"/>
      <c r="O16" s="8">
        <v>64.293785310733995</v>
      </c>
      <c r="P16" s="7">
        <v>0</v>
      </c>
      <c r="Q16"/>
      <c r="R16" s="8">
        <v>69.874248223072996</v>
      </c>
      <c r="S16" s="7">
        <v>0</v>
      </c>
      <c r="T16"/>
      <c r="U16" s="8">
        <v>63.305084745762997</v>
      </c>
      <c r="V16" s="7">
        <v>0</v>
      </c>
      <c r="W16"/>
      <c r="X16" s="8">
        <v>58.829961727719997</v>
      </c>
      <c r="Y16" s="7">
        <v>0</v>
      </c>
      <c r="Z16"/>
      <c r="AA16" s="8">
        <v>66.375068343357</v>
      </c>
      <c r="AB16" s="7">
        <v>0</v>
      </c>
      <c r="AC16"/>
      <c r="AD16" s="8">
        <v>75.649717514124006</v>
      </c>
      <c r="AE16" s="7">
        <v>0</v>
      </c>
      <c r="AF16"/>
      <c r="AG16" s="8">
        <v>75.396391470748995</v>
      </c>
      <c r="AH16" s="7">
        <v>0</v>
      </c>
      <c r="AI16"/>
      <c r="AJ16" s="8">
        <v>78.107344632768005</v>
      </c>
      <c r="AK16" s="7">
        <v>0</v>
      </c>
      <c r="AL16"/>
      <c r="AM16" s="8">
        <v>66.375068343357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162.33645319716001</v>
      </c>
      <c r="D17" s="7">
        <v>0</v>
      </c>
      <c r="E17"/>
      <c r="F17" s="9">
        <v>165.41910553411</v>
      </c>
      <c r="G17" s="7">
        <v>0</v>
      </c>
      <c r="H17"/>
      <c r="I17" s="9">
        <v>176.81943428571</v>
      </c>
      <c r="J17" s="7">
        <v>0</v>
      </c>
      <c r="K17"/>
      <c r="L17" s="9">
        <v>167.13547106041</v>
      </c>
      <c r="M17" s="7">
        <v>0</v>
      </c>
      <c r="N17"/>
      <c r="O17" s="9">
        <v>126.66239072257</v>
      </c>
      <c r="P17" s="7">
        <v>0</v>
      </c>
      <c r="Q17"/>
      <c r="R17" s="9">
        <v>149.98814041797999</v>
      </c>
      <c r="S17" s="7">
        <v>0</v>
      </c>
      <c r="T17"/>
      <c r="U17" s="9">
        <v>168.30685799189999</v>
      </c>
      <c r="V17" s="7">
        <v>0</v>
      </c>
      <c r="W17"/>
      <c r="X17" s="9">
        <v>149.00234521575999</v>
      </c>
      <c r="Y17" s="7">
        <v>0</v>
      </c>
      <c r="Z17"/>
      <c r="AA17" s="9">
        <v>145.12458471760999</v>
      </c>
      <c r="AB17" s="7">
        <v>0</v>
      </c>
      <c r="AC17"/>
      <c r="AD17" s="9">
        <v>163.33121444695001</v>
      </c>
      <c r="AE17" s="7">
        <v>0</v>
      </c>
      <c r="AF17"/>
      <c r="AG17" s="9">
        <v>205.11020474799</v>
      </c>
      <c r="AH17" s="7">
        <v>0</v>
      </c>
      <c r="AI17"/>
      <c r="AJ17" s="9">
        <v>170.97595628414999</v>
      </c>
      <c r="AK17" s="7">
        <v>0</v>
      </c>
      <c r="AL17"/>
      <c r="AM17" s="9">
        <v>155.25249169435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96.880309828186995</v>
      </c>
      <c r="D18" s="7">
        <v>0</v>
      </c>
      <c r="E18"/>
      <c r="F18" s="6">
        <v>62.582676325861001</v>
      </c>
      <c r="G18" s="7">
        <v>0</v>
      </c>
      <c r="H18"/>
      <c r="I18" s="6">
        <v>87.124334140436005</v>
      </c>
      <c r="J18" s="7">
        <v>0</v>
      </c>
      <c r="K18"/>
      <c r="L18" s="6">
        <v>99.388769819573994</v>
      </c>
      <c r="M18" s="7">
        <v>0</v>
      </c>
      <c r="N18"/>
      <c r="O18" s="6">
        <v>73.573172316384003</v>
      </c>
      <c r="P18" s="7">
        <v>0</v>
      </c>
      <c r="Q18"/>
      <c r="R18" s="6">
        <v>95.781827255330995</v>
      </c>
      <c r="S18" s="7">
        <v>0</v>
      </c>
      <c r="T18"/>
      <c r="U18" s="6">
        <v>97.618511751412001</v>
      </c>
      <c r="V18" s="7">
        <v>0</v>
      </c>
      <c r="W18"/>
      <c r="X18" s="6">
        <v>79.478676872608006</v>
      </c>
      <c r="Y18" s="7">
        <v>0</v>
      </c>
      <c r="Z18"/>
      <c r="AA18" s="6">
        <v>88.168398031711007</v>
      </c>
      <c r="AB18" s="7">
        <v>0</v>
      </c>
      <c r="AC18"/>
      <c r="AD18" s="6">
        <v>114.32044293785</v>
      </c>
      <c r="AE18" s="7">
        <v>0</v>
      </c>
      <c r="AF18"/>
      <c r="AG18" s="6">
        <v>145.47614559869001</v>
      </c>
      <c r="AH18" s="7">
        <v>0</v>
      </c>
      <c r="AI18"/>
      <c r="AJ18" s="6">
        <v>124.26242937853</v>
      </c>
      <c r="AK18" s="7">
        <v>0</v>
      </c>
      <c r="AL18"/>
      <c r="AM18" s="6">
        <v>94.562055768178993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154.36577143023001</v>
      </c>
      <c r="D19" s="7">
        <v>0</v>
      </c>
      <c r="E19"/>
      <c r="F19" s="9">
        <v>97.870951339529995</v>
      </c>
      <c r="G19" s="7">
        <v>0</v>
      </c>
      <c r="H19"/>
      <c r="I19" s="9">
        <v>132.41359564165001</v>
      </c>
      <c r="J19" s="7">
        <v>0</v>
      </c>
      <c r="K19"/>
      <c r="L19" s="9">
        <v>155.46080645161001</v>
      </c>
      <c r="M19" s="7">
        <v>0</v>
      </c>
      <c r="N19"/>
      <c r="O19" s="9">
        <v>121.45218644067999</v>
      </c>
      <c r="P19" s="7">
        <v>0</v>
      </c>
      <c r="Q19"/>
      <c r="R19" s="9">
        <v>141.37953124658</v>
      </c>
      <c r="S19" s="7">
        <v>0</v>
      </c>
      <c r="T19"/>
      <c r="U19" s="9">
        <v>167.10761508474999</v>
      </c>
      <c r="V19" s="7">
        <v>0</v>
      </c>
      <c r="W19"/>
      <c r="X19" s="9">
        <v>131.52707539638999</v>
      </c>
      <c r="Y19" s="7">
        <v>0</v>
      </c>
      <c r="Z19"/>
      <c r="AA19" s="9">
        <v>141.52621675779</v>
      </c>
      <c r="AB19" s="7">
        <v>0</v>
      </c>
      <c r="AC19"/>
      <c r="AD19" s="9">
        <v>188.75957121469</v>
      </c>
      <c r="AE19" s="7">
        <v>0</v>
      </c>
      <c r="AF19"/>
      <c r="AG19" s="9">
        <v>213.36748592127</v>
      </c>
      <c r="AH19" s="7">
        <v>0</v>
      </c>
      <c r="AI19"/>
      <c r="AJ19" s="9">
        <v>199.46527412429</v>
      </c>
      <c r="AK19" s="7">
        <v>0</v>
      </c>
      <c r="AL19"/>
      <c r="AM19" s="9">
        <v>161.84814218151999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41541.191599999998</v>
      </c>
      <c r="D20" s="7">
        <v>0</v>
      </c>
      <c r="E20"/>
      <c r="F20" s="8">
        <v>2356</v>
      </c>
      <c r="G20" s="7">
        <v>0</v>
      </c>
      <c r="H20"/>
      <c r="I20" s="8">
        <v>2483</v>
      </c>
      <c r="J20" s="7">
        <v>0</v>
      </c>
      <c r="K20"/>
      <c r="L20" s="8">
        <v>3194</v>
      </c>
      <c r="M20" s="7">
        <v>0</v>
      </c>
      <c r="N20"/>
      <c r="O20" s="8">
        <v>3794</v>
      </c>
      <c r="P20" s="7">
        <v>0</v>
      </c>
      <c r="Q20"/>
      <c r="R20" s="8">
        <v>3623.6518999999998</v>
      </c>
      <c r="S20" s="7">
        <v>0</v>
      </c>
      <c r="T20"/>
      <c r="U20" s="8">
        <v>3231.3000999999999</v>
      </c>
      <c r="V20" s="7">
        <v>0</v>
      </c>
      <c r="W20"/>
      <c r="X20" s="8">
        <v>3681.0796</v>
      </c>
      <c r="Y20" s="7">
        <v>0</v>
      </c>
      <c r="Z20"/>
      <c r="AA20" s="8">
        <v>4297.5600000000004</v>
      </c>
      <c r="AB20" s="7">
        <v>0</v>
      </c>
      <c r="AC20"/>
      <c r="AD20" s="8">
        <v>3749.2</v>
      </c>
      <c r="AE20" s="7">
        <v>0</v>
      </c>
      <c r="AF20"/>
      <c r="AG20" s="8">
        <v>3861.2</v>
      </c>
      <c r="AH20" s="7">
        <v>0</v>
      </c>
      <c r="AI20"/>
      <c r="AJ20" s="8">
        <v>3871</v>
      </c>
      <c r="AK20" s="7">
        <v>0</v>
      </c>
      <c r="AL20"/>
      <c r="AM20" s="8">
        <v>3399.2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1.4800723839384</v>
      </c>
      <c r="D21" s="7">
        <v>0</v>
      </c>
      <c r="E21"/>
      <c r="F21" s="9">
        <v>1.4836272040302001</v>
      </c>
      <c r="G21" s="7">
        <v>0</v>
      </c>
      <c r="H21"/>
      <c r="I21" s="9">
        <v>1.3887024608501</v>
      </c>
      <c r="J21" s="7">
        <v>0</v>
      </c>
      <c r="K21"/>
      <c r="L21" s="9">
        <v>1.3258613532586001</v>
      </c>
      <c r="M21" s="7">
        <v>0</v>
      </c>
      <c r="N21"/>
      <c r="O21" s="9">
        <v>1.6669595782074</v>
      </c>
      <c r="P21" s="7">
        <v>0</v>
      </c>
      <c r="Q21"/>
      <c r="R21" s="9">
        <v>1.4177041862285</v>
      </c>
      <c r="S21" s="7">
        <v>0</v>
      </c>
      <c r="T21"/>
      <c r="U21" s="9">
        <v>1.4419009817046</v>
      </c>
      <c r="V21" s="7">
        <v>0</v>
      </c>
      <c r="W21"/>
      <c r="X21" s="9">
        <v>1.7105388475836001</v>
      </c>
      <c r="Y21" s="7">
        <v>0</v>
      </c>
      <c r="Z21"/>
      <c r="AA21" s="9">
        <v>1.77</v>
      </c>
      <c r="AB21" s="7">
        <v>0</v>
      </c>
      <c r="AC21"/>
      <c r="AD21" s="9">
        <v>1.4</v>
      </c>
      <c r="AE21" s="7">
        <v>0</v>
      </c>
      <c r="AF21"/>
      <c r="AG21" s="9">
        <v>1.4</v>
      </c>
      <c r="AH21" s="7">
        <v>0</v>
      </c>
      <c r="AI21"/>
      <c r="AJ21" s="9">
        <v>1.4</v>
      </c>
      <c r="AK21" s="7">
        <v>0</v>
      </c>
      <c r="AL21"/>
      <c r="AM21" s="9">
        <v>1.4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34589.501799999998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3645.5023999999999</v>
      </c>
      <c r="S22" s="7">
        <v>0</v>
      </c>
      <c r="T22"/>
      <c r="U22" s="8">
        <v>4038.1621</v>
      </c>
      <c r="V22" s="7">
        <v>0</v>
      </c>
      <c r="W22"/>
      <c r="X22" s="8">
        <v>4388.9988999999996</v>
      </c>
      <c r="Y22" s="7">
        <v>0</v>
      </c>
      <c r="Z22"/>
      <c r="AA22" s="8">
        <v>4835.1944000000003</v>
      </c>
      <c r="AB22" s="7">
        <v>0</v>
      </c>
      <c r="AC22"/>
      <c r="AD22" s="8">
        <v>4428.4080000000004</v>
      </c>
      <c r="AE22" s="7">
        <v>0</v>
      </c>
      <c r="AF22"/>
      <c r="AG22" s="8">
        <v>4568.2879999999996</v>
      </c>
      <c r="AH22" s="7">
        <v>0</v>
      </c>
      <c r="AI22"/>
      <c r="AJ22" s="8">
        <v>4504.54</v>
      </c>
      <c r="AK22" s="7">
        <v>0</v>
      </c>
      <c r="AL22"/>
      <c r="AM22" s="8">
        <v>4180.4080000000004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32.167499999999997</v>
      </c>
      <c r="D23" s="7">
        <v>0</v>
      </c>
      <c r="E23"/>
      <c r="F23" s="8">
        <v>32.69</v>
      </c>
      <c r="G23" s="7">
        <v>0</v>
      </c>
      <c r="H23"/>
      <c r="I23" s="8">
        <v>30.69</v>
      </c>
      <c r="J23" s="7">
        <v>0</v>
      </c>
      <c r="K23"/>
      <c r="L23" s="8">
        <v>30.69</v>
      </c>
      <c r="M23" s="7">
        <v>0</v>
      </c>
      <c r="N23"/>
      <c r="O23" s="8">
        <v>31.34</v>
      </c>
      <c r="P23" s="7">
        <v>0</v>
      </c>
      <c r="Q23"/>
      <c r="R23" s="8">
        <v>29.95</v>
      </c>
      <c r="S23" s="7">
        <v>0</v>
      </c>
      <c r="T23"/>
      <c r="U23" s="8">
        <v>32.950000000000003</v>
      </c>
      <c r="V23" s="7">
        <v>0</v>
      </c>
      <c r="W23"/>
      <c r="X23" s="8">
        <v>32.950000000000003</v>
      </c>
      <c r="Y23" s="7">
        <v>0</v>
      </c>
      <c r="Z23"/>
      <c r="AA23" s="8">
        <v>32.950000000000003</v>
      </c>
      <c r="AB23" s="7">
        <v>0</v>
      </c>
      <c r="AC23"/>
      <c r="AD23" s="8">
        <v>32.950000000000003</v>
      </c>
      <c r="AE23" s="7">
        <v>0</v>
      </c>
      <c r="AF23"/>
      <c r="AG23" s="8">
        <v>32.950000000000003</v>
      </c>
      <c r="AH23" s="7">
        <v>0</v>
      </c>
      <c r="AI23"/>
      <c r="AJ23" s="8">
        <v>32.950000000000003</v>
      </c>
      <c r="AK23" s="7">
        <v>0</v>
      </c>
      <c r="AL23"/>
      <c r="AM23" s="8">
        <v>32.950000000000003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6648533.7755000005</v>
      </c>
      <c r="D27" s="327">
        <v>1</v>
      </c>
      <c r="E27"/>
      <c r="F27" s="326">
        <v>358011.94</v>
      </c>
      <c r="G27" s="327">
        <v>1</v>
      </c>
      <c r="H27"/>
      <c r="I27" s="326">
        <v>437494.52</v>
      </c>
      <c r="J27" s="327">
        <v>1</v>
      </c>
      <c r="K27"/>
      <c r="L27" s="326">
        <v>568675.63</v>
      </c>
      <c r="M27" s="327">
        <v>1</v>
      </c>
      <c r="N27"/>
      <c r="O27" s="326">
        <v>429940.74</v>
      </c>
      <c r="P27" s="327">
        <v>1</v>
      </c>
      <c r="Q27"/>
      <c r="R27" s="326">
        <v>517166.32530000003</v>
      </c>
      <c r="S27" s="327">
        <v>1</v>
      </c>
      <c r="T27"/>
      <c r="U27" s="326">
        <v>591560.95739999996</v>
      </c>
      <c r="V27" s="327">
        <v>1</v>
      </c>
      <c r="W27"/>
      <c r="X27" s="326">
        <v>481126.04180000001</v>
      </c>
      <c r="Y27" s="327">
        <v>1</v>
      </c>
      <c r="Z27"/>
      <c r="AA27" s="326">
        <v>517702.90090000001</v>
      </c>
      <c r="AB27" s="327">
        <v>1</v>
      </c>
      <c r="AC27"/>
      <c r="AD27" s="326">
        <v>668208.88210000005</v>
      </c>
      <c r="AE27" s="327">
        <v>1</v>
      </c>
      <c r="AF27"/>
      <c r="AG27" s="326">
        <v>780498.2635</v>
      </c>
      <c r="AH27" s="327">
        <v>1</v>
      </c>
      <c r="AI27"/>
      <c r="AJ27" s="326">
        <v>706107.07039999997</v>
      </c>
      <c r="AK27" s="327">
        <v>1</v>
      </c>
      <c r="AL27"/>
      <c r="AM27" s="326">
        <v>592040.50410000002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4506297.6042999998</v>
      </c>
      <c r="D28" s="7">
        <v>0.67778817999999996</v>
      </c>
      <c r="E28"/>
      <c r="F28" s="8">
        <v>257061.29</v>
      </c>
      <c r="G28" s="7">
        <v>0.71802434999999998</v>
      </c>
      <c r="H28"/>
      <c r="I28" s="8">
        <v>309434.01</v>
      </c>
      <c r="J28" s="7">
        <v>0.7072866000000001</v>
      </c>
      <c r="K28"/>
      <c r="L28" s="8">
        <v>395609.66</v>
      </c>
      <c r="M28" s="7">
        <v>0.69566839000000003</v>
      </c>
      <c r="N28"/>
      <c r="O28" s="8">
        <v>283977.08</v>
      </c>
      <c r="P28" s="7">
        <v>0.66050284000000004</v>
      </c>
      <c r="Q28"/>
      <c r="R28" s="8">
        <v>380369.9241</v>
      </c>
      <c r="S28" s="7">
        <v>0.73548857999999995</v>
      </c>
      <c r="T28"/>
      <c r="U28" s="8">
        <v>373809.53159999999</v>
      </c>
      <c r="V28" s="7">
        <v>0.63190365999999998</v>
      </c>
      <c r="W28"/>
      <c r="X28" s="8">
        <v>317673</v>
      </c>
      <c r="Y28" s="7">
        <v>0.66026981000000007</v>
      </c>
      <c r="Z28"/>
      <c r="AA28" s="8">
        <v>349460</v>
      </c>
      <c r="AB28" s="7">
        <v>0.67502035999999999</v>
      </c>
      <c r="AC28"/>
      <c r="AD28" s="8">
        <v>434134.36800000002</v>
      </c>
      <c r="AE28" s="7">
        <v>0.64969858999999996</v>
      </c>
      <c r="AF28"/>
      <c r="AG28" s="8">
        <v>561591.74060000002</v>
      </c>
      <c r="AH28" s="7">
        <v>0.71952978000000001</v>
      </c>
      <c r="AI28"/>
      <c r="AJ28" s="8">
        <v>469329</v>
      </c>
      <c r="AK28" s="7">
        <v>0.6646711500000001</v>
      </c>
      <c r="AL28"/>
      <c r="AM28" s="8">
        <v>373848</v>
      </c>
      <c r="AN28" s="7">
        <v>0.63145680000000004</v>
      </c>
    </row>
    <row r="29" spans="2:40" s="314" customFormat="1" ht="12.75" customHeight="1" x14ac:dyDescent="0.15">
      <c r="B29" s="5" t="s">
        <v>36</v>
      </c>
      <c r="C29" s="8">
        <v>1697667.1812</v>
      </c>
      <c r="D29" s="7">
        <v>0.25534459999999998</v>
      </c>
      <c r="E29"/>
      <c r="F29" s="8">
        <v>77765.19</v>
      </c>
      <c r="G29" s="7">
        <v>0.21721396000000001</v>
      </c>
      <c r="H29"/>
      <c r="I29" s="8">
        <v>91019.37</v>
      </c>
      <c r="J29" s="7">
        <v>0.20804687999999999</v>
      </c>
      <c r="K29"/>
      <c r="L29" s="8">
        <v>138026.26</v>
      </c>
      <c r="M29" s="7">
        <v>0.24271527000000001</v>
      </c>
      <c r="N29"/>
      <c r="O29" s="8">
        <v>112749.94</v>
      </c>
      <c r="P29" s="7">
        <v>0.26224530000000001</v>
      </c>
      <c r="Q29"/>
      <c r="R29" s="8">
        <v>100244.4412</v>
      </c>
      <c r="S29" s="7">
        <v>0.19383405000000001</v>
      </c>
      <c r="T29"/>
      <c r="U29" s="8">
        <v>181258.76579999999</v>
      </c>
      <c r="V29" s="7">
        <v>0.30640759000000001</v>
      </c>
      <c r="W29"/>
      <c r="X29" s="8">
        <v>130373.5218</v>
      </c>
      <c r="Y29" s="7">
        <v>0.27097581999999998</v>
      </c>
      <c r="Z29"/>
      <c r="AA29" s="8">
        <v>132331.62090000001</v>
      </c>
      <c r="AB29" s="7">
        <v>0.25561306</v>
      </c>
      <c r="AC29"/>
      <c r="AD29" s="8">
        <v>193098.2341</v>
      </c>
      <c r="AE29" s="7">
        <v>0.28897885000000001</v>
      </c>
      <c r="AF29"/>
      <c r="AG29" s="8">
        <v>177109.44289999999</v>
      </c>
      <c r="AH29" s="7">
        <v>0.22691843</v>
      </c>
      <c r="AI29"/>
      <c r="AJ29" s="8">
        <v>194909.1704</v>
      </c>
      <c r="AK29" s="7">
        <v>0.27603345000000001</v>
      </c>
      <c r="AL29"/>
      <c r="AM29" s="8">
        <v>168781.22409999999</v>
      </c>
      <c r="AN29" s="7">
        <v>0.28508391</v>
      </c>
    </row>
    <row r="30" spans="2:40" s="314" customFormat="1" ht="12.75" customHeight="1" x14ac:dyDescent="0.15">
      <c r="B30" s="5" t="s">
        <v>37</v>
      </c>
      <c r="C30" s="8">
        <v>375680.54</v>
      </c>
      <c r="D30" s="7">
        <v>5.6505769999999997E-2</v>
      </c>
      <c r="E30"/>
      <c r="F30" s="8">
        <v>22141.54</v>
      </c>
      <c r="G30" s="7">
        <v>6.1845809999999987E-2</v>
      </c>
      <c r="H30"/>
      <c r="I30" s="8">
        <v>23125.42</v>
      </c>
      <c r="J30" s="7">
        <v>5.2858759999999998E-2</v>
      </c>
      <c r="K30"/>
      <c r="L30" s="8">
        <v>28586.080000000002</v>
      </c>
      <c r="M30" s="7">
        <v>5.0267810000000003E-2</v>
      </c>
      <c r="N30"/>
      <c r="O30" s="8">
        <v>27738.54</v>
      </c>
      <c r="P30" s="7">
        <v>6.4517119999999997E-2</v>
      </c>
      <c r="Q30"/>
      <c r="R30" s="8">
        <v>31551.96</v>
      </c>
      <c r="S30" s="7">
        <v>6.1009309999999997E-2</v>
      </c>
      <c r="T30"/>
      <c r="U30" s="8">
        <v>30492.66</v>
      </c>
      <c r="V30" s="7">
        <v>5.1546099999999997E-2</v>
      </c>
      <c r="W30"/>
      <c r="X30" s="8">
        <v>29579.52</v>
      </c>
      <c r="Y30" s="7">
        <v>6.1479770000000003E-2</v>
      </c>
      <c r="Z30"/>
      <c r="AA30" s="8">
        <v>32411.279999999999</v>
      </c>
      <c r="AB30" s="7">
        <v>6.2605950000000007E-2</v>
      </c>
      <c r="AC30"/>
      <c r="AD30" s="8">
        <v>34976.28</v>
      </c>
      <c r="AE30" s="7">
        <v>5.234333E-2</v>
      </c>
      <c r="AF30"/>
      <c r="AG30" s="8">
        <v>35797.08</v>
      </c>
      <c r="AH30" s="7">
        <v>4.5864389999999998E-2</v>
      </c>
      <c r="AI30"/>
      <c r="AJ30" s="8">
        <v>35868.9</v>
      </c>
      <c r="AK30" s="7">
        <v>5.0798099999999999E-2</v>
      </c>
      <c r="AL30"/>
      <c r="AM30" s="8">
        <v>43411.28</v>
      </c>
      <c r="AN30" s="7">
        <v>7.3324849999999997E-2</v>
      </c>
    </row>
    <row r="31" spans="2:40" s="314" customFormat="1" ht="12.75" customHeight="1" x14ac:dyDescent="0.15">
      <c r="B31" s="5" t="s">
        <v>38</v>
      </c>
      <c r="C31" s="8">
        <v>68888.45</v>
      </c>
      <c r="D31" s="7">
        <v>1.0361449999999999E-2</v>
      </c>
      <c r="E31"/>
      <c r="F31" s="8">
        <v>1043.92</v>
      </c>
      <c r="G31" s="7">
        <v>2.91588E-3</v>
      </c>
      <c r="H31"/>
      <c r="I31" s="8">
        <v>13915.72</v>
      </c>
      <c r="J31" s="7">
        <v>3.1807759999999997E-2</v>
      </c>
      <c r="K31"/>
      <c r="L31" s="8">
        <v>6453.63</v>
      </c>
      <c r="M31" s="7">
        <v>1.1348530000000001E-2</v>
      </c>
      <c r="N31"/>
      <c r="O31" s="8">
        <v>5475.18</v>
      </c>
      <c r="P31" s="7">
        <v>1.273473E-2</v>
      </c>
      <c r="Q31"/>
      <c r="R31" s="8">
        <v>5000</v>
      </c>
      <c r="S31" s="7">
        <v>9.6680699999999991E-3</v>
      </c>
      <c r="T31"/>
      <c r="U31" s="8">
        <v>6000</v>
      </c>
      <c r="V31" s="7">
        <v>1.014266E-2</v>
      </c>
      <c r="W31"/>
      <c r="X31" s="8">
        <v>3500</v>
      </c>
      <c r="Y31" s="7">
        <v>7.2746E-3</v>
      </c>
      <c r="Z31"/>
      <c r="AA31" s="8">
        <v>3500</v>
      </c>
      <c r="AB31" s="7">
        <v>6.7606300000000001E-3</v>
      </c>
      <c r="AC31"/>
      <c r="AD31" s="8">
        <v>6000</v>
      </c>
      <c r="AE31" s="7">
        <v>8.9792299999999995E-3</v>
      </c>
      <c r="AF31"/>
      <c r="AG31" s="8">
        <v>6000</v>
      </c>
      <c r="AH31" s="7">
        <v>7.6873999999999996E-3</v>
      </c>
      <c r="AI31"/>
      <c r="AJ31" s="8">
        <v>6000</v>
      </c>
      <c r="AK31" s="7">
        <v>8.4972899999999994E-3</v>
      </c>
      <c r="AL31"/>
      <c r="AM31" s="8">
        <v>6000</v>
      </c>
      <c r="AN31" s="7">
        <v>1.013444E-2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4506297.6042999998</v>
      </c>
      <c r="D34" s="327">
        <v>1</v>
      </c>
      <c r="E34"/>
      <c r="F34" s="326">
        <v>257061.29</v>
      </c>
      <c r="G34" s="327">
        <v>1</v>
      </c>
      <c r="H34"/>
      <c r="I34" s="326">
        <v>309434.01</v>
      </c>
      <c r="J34" s="327">
        <v>1</v>
      </c>
      <c r="K34"/>
      <c r="L34" s="326">
        <v>395609.66</v>
      </c>
      <c r="M34" s="327">
        <v>1</v>
      </c>
      <c r="N34"/>
      <c r="O34" s="326">
        <v>283977.08</v>
      </c>
      <c r="P34" s="327">
        <v>1</v>
      </c>
      <c r="Q34"/>
      <c r="R34" s="326">
        <v>380369.9241</v>
      </c>
      <c r="S34" s="327">
        <v>1</v>
      </c>
      <c r="T34"/>
      <c r="U34" s="326">
        <v>373809.53159999999</v>
      </c>
      <c r="V34" s="327">
        <v>1</v>
      </c>
      <c r="W34"/>
      <c r="X34" s="326">
        <v>317673</v>
      </c>
      <c r="Y34" s="327">
        <v>1</v>
      </c>
      <c r="Z34"/>
      <c r="AA34" s="326">
        <v>349460</v>
      </c>
      <c r="AB34" s="327">
        <v>1</v>
      </c>
      <c r="AC34"/>
      <c r="AD34" s="326">
        <v>434134.36800000002</v>
      </c>
      <c r="AE34" s="327">
        <v>1</v>
      </c>
      <c r="AF34"/>
      <c r="AG34" s="326">
        <v>561591.74060000002</v>
      </c>
      <c r="AH34" s="327">
        <v>1</v>
      </c>
      <c r="AI34"/>
      <c r="AJ34" s="326">
        <v>469329</v>
      </c>
      <c r="AK34" s="327">
        <v>1</v>
      </c>
      <c r="AL34"/>
      <c r="AM34" s="326">
        <v>373848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1211076.9528999999</v>
      </c>
      <c r="D35" s="7">
        <v>0.26875209999999999</v>
      </c>
      <c r="E35"/>
      <c r="F35" s="8">
        <v>82246.75</v>
      </c>
      <c r="G35" s="7">
        <v>0.31994995999999998</v>
      </c>
      <c r="H35"/>
      <c r="I35" s="8">
        <v>81157.279999999999</v>
      </c>
      <c r="J35" s="7">
        <v>0.26227654</v>
      </c>
      <c r="K35"/>
      <c r="L35" s="8">
        <v>92406.15</v>
      </c>
      <c r="M35" s="7">
        <v>0.23357910000000001</v>
      </c>
      <c r="N35"/>
      <c r="O35" s="8">
        <v>96227.02</v>
      </c>
      <c r="P35" s="7">
        <v>0.33885488000000002</v>
      </c>
      <c r="Q35"/>
      <c r="R35" s="8">
        <v>108414.534</v>
      </c>
      <c r="S35" s="7">
        <v>0.28502393999999998</v>
      </c>
      <c r="T35"/>
      <c r="U35" s="8">
        <v>106458.1217</v>
      </c>
      <c r="V35" s="7">
        <v>0.28479241999999999</v>
      </c>
      <c r="W35"/>
      <c r="X35" s="8">
        <v>98203.470300000001</v>
      </c>
      <c r="Y35" s="7">
        <v>0.30913383</v>
      </c>
      <c r="Z35"/>
      <c r="AA35" s="8">
        <v>107901.2562</v>
      </c>
      <c r="AB35" s="7">
        <v>0.30876567999999999</v>
      </c>
      <c r="AC35"/>
      <c r="AD35" s="8">
        <v>109756.66800000001</v>
      </c>
      <c r="AE35" s="7">
        <v>0.25281727999999998</v>
      </c>
      <c r="AF35"/>
      <c r="AG35" s="8">
        <v>109057.40089999999</v>
      </c>
      <c r="AH35" s="7">
        <v>0.19419338</v>
      </c>
      <c r="AI35"/>
      <c r="AJ35" s="8">
        <v>113253.00659999999</v>
      </c>
      <c r="AK35" s="7">
        <v>0.24130835</v>
      </c>
      <c r="AL35"/>
      <c r="AM35" s="8">
        <v>105995.29519999999</v>
      </c>
      <c r="AN35" s="7">
        <v>0.28352511000000002</v>
      </c>
    </row>
    <row r="36" spans="2:40" s="314" customFormat="1" ht="12.75" customHeight="1" x14ac:dyDescent="0.15">
      <c r="B36" s="5" t="s">
        <v>40</v>
      </c>
      <c r="C36" s="8">
        <v>738240.65319999994</v>
      </c>
      <c r="D36" s="7">
        <v>0.16382421</v>
      </c>
      <c r="E36"/>
      <c r="F36" s="8">
        <v>61193.4</v>
      </c>
      <c r="G36" s="7">
        <v>0.23804984000000001</v>
      </c>
      <c r="H36"/>
      <c r="I36" s="8">
        <v>54864.39</v>
      </c>
      <c r="J36" s="7">
        <v>0.17730562</v>
      </c>
      <c r="K36"/>
      <c r="L36" s="8">
        <v>57082.02</v>
      </c>
      <c r="M36" s="7">
        <v>0.14428874</v>
      </c>
      <c r="N36"/>
      <c r="O36" s="8">
        <v>60133.56</v>
      </c>
      <c r="P36" s="7">
        <v>0.21175498000000001</v>
      </c>
      <c r="Q36"/>
      <c r="R36" s="8">
        <v>60465.963199999998</v>
      </c>
      <c r="S36" s="7">
        <v>0.1589662</v>
      </c>
      <c r="T36"/>
      <c r="U36" s="8">
        <v>56756.278299999998</v>
      </c>
      <c r="V36" s="7">
        <v>0.15183208000000001</v>
      </c>
      <c r="W36"/>
      <c r="X36" s="8">
        <v>56632.21</v>
      </c>
      <c r="Y36" s="7">
        <v>0.17827203</v>
      </c>
      <c r="Z36"/>
      <c r="AA36" s="8">
        <v>62425.62</v>
      </c>
      <c r="AB36" s="7">
        <v>0.17863451999999999</v>
      </c>
      <c r="AC36"/>
      <c r="AD36" s="8">
        <v>66241.83</v>
      </c>
      <c r="AE36" s="7">
        <v>0.15258369999999999</v>
      </c>
      <c r="AF36"/>
      <c r="AG36" s="8">
        <v>76565.669699999999</v>
      </c>
      <c r="AH36" s="7">
        <v>0.13633688999999999</v>
      </c>
      <c r="AI36"/>
      <c r="AJ36" s="8">
        <v>68298.203999999998</v>
      </c>
      <c r="AK36" s="7">
        <v>0.14552308999999999</v>
      </c>
      <c r="AL36"/>
      <c r="AM36" s="8">
        <v>57581.508000000002</v>
      </c>
      <c r="AN36" s="7">
        <v>0.15402384999999999</v>
      </c>
    </row>
    <row r="37" spans="2:40" s="314" customFormat="1" ht="12.75" customHeight="1" x14ac:dyDescent="0.15">
      <c r="B37" s="325" t="s">
        <v>41</v>
      </c>
      <c r="C37" s="326">
        <v>2556979.9981999998</v>
      </c>
      <c r="D37" s="327">
        <v>0.56742368999999993</v>
      </c>
      <c r="E37"/>
      <c r="F37" s="326">
        <v>113621.14</v>
      </c>
      <c r="G37" s="327">
        <v>0.44200019000000002</v>
      </c>
      <c r="H37"/>
      <c r="I37" s="326">
        <v>173412.34</v>
      </c>
      <c r="J37" s="327">
        <v>0.56041783999999994</v>
      </c>
      <c r="K37"/>
      <c r="L37" s="326">
        <v>246121.49</v>
      </c>
      <c r="M37" s="327">
        <v>0.62213214999999999</v>
      </c>
      <c r="N37"/>
      <c r="O37" s="326">
        <v>127616.5</v>
      </c>
      <c r="P37" s="327">
        <v>0.44939013999999999</v>
      </c>
      <c r="Q37"/>
      <c r="R37" s="326">
        <v>211489.42679999999</v>
      </c>
      <c r="S37" s="327">
        <v>0.55600985999999997</v>
      </c>
      <c r="T37"/>
      <c r="U37" s="326">
        <v>210595.13159999999</v>
      </c>
      <c r="V37" s="327">
        <v>0.56337550000000003</v>
      </c>
      <c r="W37"/>
      <c r="X37" s="326">
        <v>162837.31969999999</v>
      </c>
      <c r="Y37" s="327">
        <v>0.51259414000000003</v>
      </c>
      <c r="Z37"/>
      <c r="AA37" s="326">
        <v>179133.1238</v>
      </c>
      <c r="AB37" s="327">
        <v>0.51259979</v>
      </c>
      <c r="AC37"/>
      <c r="AD37" s="326">
        <v>258135.87</v>
      </c>
      <c r="AE37" s="327">
        <v>0.59459901999999998</v>
      </c>
      <c r="AF37"/>
      <c r="AG37" s="326">
        <v>375968.67009999999</v>
      </c>
      <c r="AH37" s="327">
        <v>0.66946972999999999</v>
      </c>
      <c r="AI37"/>
      <c r="AJ37" s="326">
        <v>287777.78940000001</v>
      </c>
      <c r="AK37" s="327">
        <v>0.61316855999999997</v>
      </c>
      <c r="AL37"/>
      <c r="AM37" s="326">
        <v>210271.19680000001</v>
      </c>
      <c r="AN37" s="327">
        <v>0.56245104000000001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1010706.5775</v>
      </c>
      <c r="D40" s="7">
        <v>0.59535024999999997</v>
      </c>
      <c r="E40"/>
      <c r="F40" s="8">
        <v>46969.66</v>
      </c>
      <c r="G40" s="7">
        <v>0.60399338000000002</v>
      </c>
      <c r="H40"/>
      <c r="I40" s="8">
        <v>50181.55</v>
      </c>
      <c r="J40" s="7">
        <v>0.55132824999999996</v>
      </c>
      <c r="K40"/>
      <c r="L40" s="8">
        <v>87538.84</v>
      </c>
      <c r="M40" s="7">
        <v>0.63421872999999995</v>
      </c>
      <c r="N40"/>
      <c r="O40" s="8">
        <v>66432.23</v>
      </c>
      <c r="P40" s="7">
        <v>0.58919969000000005</v>
      </c>
      <c r="Q40"/>
      <c r="R40" s="8">
        <v>61123.554600000003</v>
      </c>
      <c r="S40" s="7">
        <v>0.60974508000000005</v>
      </c>
      <c r="T40"/>
      <c r="U40" s="8">
        <v>108404.0926</v>
      </c>
      <c r="V40" s="7">
        <v>0.59806261999999999</v>
      </c>
      <c r="W40"/>
      <c r="X40" s="8">
        <v>81717.787500000006</v>
      </c>
      <c r="Y40" s="7">
        <v>0.62679741999999994</v>
      </c>
      <c r="Z40"/>
      <c r="AA40" s="8">
        <v>82539.217300000004</v>
      </c>
      <c r="AB40" s="7">
        <v>0.62373012000000005</v>
      </c>
      <c r="AC40"/>
      <c r="AD40" s="8">
        <v>112912.4221</v>
      </c>
      <c r="AE40" s="7">
        <v>0.58474082999999999</v>
      </c>
      <c r="AF40"/>
      <c r="AG40" s="8">
        <v>104666.5309</v>
      </c>
      <c r="AH40" s="7">
        <v>0.59097092000000007</v>
      </c>
      <c r="AI40"/>
      <c r="AJ40" s="8">
        <v>111637.5104</v>
      </c>
      <c r="AK40" s="7">
        <v>0.57276684</v>
      </c>
      <c r="AL40"/>
      <c r="AM40" s="8">
        <v>96583.182100000005</v>
      </c>
      <c r="AN40" s="7">
        <v>0.57223889999999999</v>
      </c>
    </row>
    <row r="41" spans="2:40" s="314" customFormat="1" ht="12.75" customHeight="1" x14ac:dyDescent="0.15">
      <c r="B41" s="5" t="s">
        <v>44</v>
      </c>
      <c r="C41" s="8">
        <v>505332.45370000001</v>
      </c>
      <c r="D41" s="7">
        <v>0.29766284999999998</v>
      </c>
      <c r="E41"/>
      <c r="F41" s="8">
        <v>26022.92</v>
      </c>
      <c r="G41" s="7">
        <v>0.33463456000000003</v>
      </c>
      <c r="H41"/>
      <c r="I41" s="8">
        <v>30308.49</v>
      </c>
      <c r="J41" s="7">
        <v>0.33298945000000002</v>
      </c>
      <c r="K41"/>
      <c r="L41" s="8">
        <v>33622.79</v>
      </c>
      <c r="M41" s="7">
        <v>0.24359705000000001</v>
      </c>
      <c r="N41"/>
      <c r="O41" s="8">
        <v>32130.95</v>
      </c>
      <c r="P41" s="7">
        <v>0.28497531999999998</v>
      </c>
      <c r="Q41"/>
      <c r="R41" s="8">
        <v>28549.816599999998</v>
      </c>
      <c r="S41" s="7">
        <v>0.28480199</v>
      </c>
      <c r="T41"/>
      <c r="U41" s="8">
        <v>48122.603199999998</v>
      </c>
      <c r="V41" s="7">
        <v>0.26549117999999999</v>
      </c>
      <c r="W41"/>
      <c r="X41" s="8">
        <v>37103.054300000003</v>
      </c>
      <c r="Y41" s="7">
        <v>0.28459041000000002</v>
      </c>
      <c r="Z41"/>
      <c r="AA41" s="8">
        <v>39777.063600000001</v>
      </c>
      <c r="AB41" s="7">
        <v>0.30058623000000001</v>
      </c>
      <c r="AC41"/>
      <c r="AD41" s="8">
        <v>56405.552000000003</v>
      </c>
      <c r="AE41" s="7">
        <v>0.29210807</v>
      </c>
      <c r="AF41"/>
      <c r="AG41" s="8">
        <v>54121.332000000002</v>
      </c>
      <c r="AH41" s="7">
        <v>0.30558129000000001</v>
      </c>
      <c r="AI41"/>
      <c r="AJ41" s="8">
        <v>60872.71</v>
      </c>
      <c r="AK41" s="7">
        <v>0.31231322</v>
      </c>
      <c r="AL41"/>
      <c r="AM41" s="8">
        <v>58295.171999999999</v>
      </c>
      <c r="AN41" s="7">
        <v>0.34538896000000002</v>
      </c>
    </row>
    <row r="42" spans="2:40" s="314" customFormat="1" ht="12.75" customHeight="1" x14ac:dyDescent="0.15">
      <c r="B42" s="5" t="s">
        <v>45</v>
      </c>
      <c r="C42" s="8">
        <v>181628.15</v>
      </c>
      <c r="D42" s="7">
        <v>0.1069869</v>
      </c>
      <c r="E42"/>
      <c r="F42" s="8">
        <v>4772.6099999999997</v>
      </c>
      <c r="G42" s="7">
        <v>6.1372059999999999E-2</v>
      </c>
      <c r="H42"/>
      <c r="I42" s="8">
        <v>10529.33</v>
      </c>
      <c r="J42" s="7">
        <v>0.1156823</v>
      </c>
      <c r="K42"/>
      <c r="L42" s="8">
        <v>16864.63</v>
      </c>
      <c r="M42" s="7">
        <v>0.12218421</v>
      </c>
      <c r="N42"/>
      <c r="O42" s="8">
        <v>14186.76</v>
      </c>
      <c r="P42" s="7">
        <v>0.12582499</v>
      </c>
      <c r="Q42"/>
      <c r="R42" s="8">
        <v>10571.07</v>
      </c>
      <c r="S42" s="7">
        <v>0.10545293</v>
      </c>
      <c r="T42"/>
      <c r="U42" s="8">
        <v>24732.07</v>
      </c>
      <c r="V42" s="7">
        <v>0.13644619999999999</v>
      </c>
      <c r="W42"/>
      <c r="X42" s="8">
        <v>11552.68</v>
      </c>
      <c r="Y42" s="7">
        <v>8.8612160000000009E-2</v>
      </c>
      <c r="Z42"/>
      <c r="AA42" s="8">
        <v>10015.34</v>
      </c>
      <c r="AB42" s="7">
        <v>7.5683650000000005E-2</v>
      </c>
      <c r="AC42"/>
      <c r="AD42" s="8">
        <v>23780.26</v>
      </c>
      <c r="AE42" s="7">
        <v>0.1231511</v>
      </c>
      <c r="AF42"/>
      <c r="AG42" s="8">
        <v>18321.580000000002</v>
      </c>
      <c r="AH42" s="7">
        <v>0.10344779</v>
      </c>
      <c r="AI42"/>
      <c r="AJ42" s="8">
        <v>22398.95</v>
      </c>
      <c r="AK42" s="7">
        <v>0.11491994</v>
      </c>
      <c r="AL42"/>
      <c r="AM42" s="8">
        <v>13902.87</v>
      </c>
      <c r="AN42" s="7">
        <v>8.2372139999999996E-2</v>
      </c>
    </row>
    <row r="43" spans="2:40" s="314" customFormat="1" ht="12.75" customHeight="1" x14ac:dyDescent="0.15">
      <c r="B43" s="325" t="s">
        <v>36</v>
      </c>
      <c r="C43" s="326">
        <v>1697667.1812</v>
      </c>
      <c r="D43" s="327">
        <v>1</v>
      </c>
      <c r="E43"/>
      <c r="F43" s="326">
        <v>77765.19</v>
      </c>
      <c r="G43" s="327">
        <v>1</v>
      </c>
      <c r="H43"/>
      <c r="I43" s="326">
        <v>91019.37</v>
      </c>
      <c r="J43" s="327">
        <v>1</v>
      </c>
      <c r="K43"/>
      <c r="L43" s="326">
        <v>138026.26</v>
      </c>
      <c r="M43" s="327">
        <v>1</v>
      </c>
      <c r="N43"/>
      <c r="O43" s="326">
        <v>112749.94</v>
      </c>
      <c r="P43" s="327">
        <v>1</v>
      </c>
      <c r="Q43"/>
      <c r="R43" s="326">
        <v>100244.4412</v>
      </c>
      <c r="S43" s="327">
        <v>1</v>
      </c>
      <c r="T43"/>
      <c r="U43" s="326">
        <v>181258.76579999999</v>
      </c>
      <c r="V43" s="327">
        <v>1</v>
      </c>
      <c r="W43"/>
      <c r="X43" s="326">
        <v>130373.5218</v>
      </c>
      <c r="Y43" s="327">
        <v>1</v>
      </c>
      <c r="Z43"/>
      <c r="AA43" s="326">
        <v>132331.62090000001</v>
      </c>
      <c r="AB43" s="327">
        <v>1</v>
      </c>
      <c r="AC43"/>
      <c r="AD43" s="326">
        <v>193098.2341</v>
      </c>
      <c r="AE43" s="327">
        <v>1</v>
      </c>
      <c r="AF43"/>
      <c r="AG43" s="326">
        <v>177109.44289999999</v>
      </c>
      <c r="AH43" s="327">
        <v>1</v>
      </c>
      <c r="AI43"/>
      <c r="AJ43" s="326">
        <v>194909.1704</v>
      </c>
      <c r="AK43" s="327">
        <v>1</v>
      </c>
      <c r="AL43"/>
      <c r="AM43" s="326">
        <v>168781.22409999999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323351.05440000002</v>
      </c>
      <c r="D44" s="7">
        <v>0.31992574000000001</v>
      </c>
      <c r="E44"/>
      <c r="F44" s="8">
        <v>18934.560000000001</v>
      </c>
      <c r="G44" s="7">
        <v>0.40312321000000001</v>
      </c>
      <c r="H44"/>
      <c r="I44" s="8">
        <v>19568.8</v>
      </c>
      <c r="J44" s="7">
        <v>0.38996006</v>
      </c>
      <c r="K44"/>
      <c r="L44" s="8">
        <v>29481.119999999999</v>
      </c>
      <c r="M44" s="7">
        <v>0.33677759000000002</v>
      </c>
      <c r="N44"/>
      <c r="O44" s="8">
        <v>24432.38</v>
      </c>
      <c r="P44" s="7">
        <v>0.36777901000000002</v>
      </c>
      <c r="Q44"/>
      <c r="R44" s="8">
        <v>18642.470700000002</v>
      </c>
      <c r="S44" s="7">
        <v>0.30499651</v>
      </c>
      <c r="T44"/>
      <c r="U44" s="8">
        <v>31945.474399999999</v>
      </c>
      <c r="V44" s="7">
        <v>0.29468882000000002</v>
      </c>
      <c r="W44"/>
      <c r="X44" s="8">
        <v>25854.150600000001</v>
      </c>
      <c r="Y44" s="7">
        <v>0.31638338999999999</v>
      </c>
      <c r="Z44"/>
      <c r="AA44" s="8">
        <v>26459.324400000001</v>
      </c>
      <c r="AB44" s="7">
        <v>0.32056669999999998</v>
      </c>
      <c r="AC44"/>
      <c r="AD44" s="8">
        <v>33554.9084</v>
      </c>
      <c r="AE44" s="7">
        <v>0.29717641</v>
      </c>
      <c r="AF44"/>
      <c r="AG44" s="8">
        <v>31279.982</v>
      </c>
      <c r="AH44" s="7">
        <v>0.29885371999999999</v>
      </c>
      <c r="AI44"/>
      <c r="AJ44" s="8">
        <v>33701.750399999997</v>
      </c>
      <c r="AK44" s="7">
        <v>0.30188554000000001</v>
      </c>
      <c r="AL44"/>
      <c r="AM44" s="8">
        <v>29496.1335</v>
      </c>
      <c r="AN44" s="7">
        <v>0.30539617000000002</v>
      </c>
    </row>
    <row r="45" spans="2:40" s="314" customFormat="1" ht="12.75" customHeight="1" x14ac:dyDescent="0.15">
      <c r="B45" s="5" t="s">
        <v>47</v>
      </c>
      <c r="C45" s="8">
        <v>99084.414999999994</v>
      </c>
      <c r="D45" s="7">
        <v>0.19607768</v>
      </c>
      <c r="E45"/>
      <c r="F45" s="8">
        <v>6672.59</v>
      </c>
      <c r="G45" s="7">
        <v>0.25641204000000001</v>
      </c>
      <c r="H45"/>
      <c r="I45" s="8">
        <v>4017.06</v>
      </c>
      <c r="J45" s="7">
        <v>0.13253909999999999</v>
      </c>
      <c r="K45"/>
      <c r="L45" s="8">
        <v>9500.1200000000008</v>
      </c>
      <c r="M45" s="7">
        <v>0.28255002000000001</v>
      </c>
      <c r="N45"/>
      <c r="O45" s="8">
        <v>11113.84</v>
      </c>
      <c r="P45" s="7">
        <v>0.34589204000000001</v>
      </c>
      <c r="Q45"/>
      <c r="R45" s="8">
        <v>5043.8087999999998</v>
      </c>
      <c r="S45" s="7">
        <v>0.17666693999999999</v>
      </c>
      <c r="T45"/>
      <c r="U45" s="8">
        <v>8438.6826000000001</v>
      </c>
      <c r="V45" s="7">
        <v>0.17535798</v>
      </c>
      <c r="W45"/>
      <c r="X45" s="8">
        <v>6574.2030000000004</v>
      </c>
      <c r="Y45" s="7">
        <v>0.17718765</v>
      </c>
      <c r="Z45"/>
      <c r="AA45" s="8">
        <v>7087.2161999999998</v>
      </c>
      <c r="AB45" s="7">
        <v>0.17817343999999999</v>
      </c>
      <c r="AC45"/>
      <c r="AD45" s="8">
        <v>9938.2093999999997</v>
      </c>
      <c r="AE45" s="7">
        <v>0.17619203999999999</v>
      </c>
      <c r="AF45"/>
      <c r="AG45" s="8">
        <v>9576.3546000000006</v>
      </c>
      <c r="AH45" s="7">
        <v>0.17694233000000001</v>
      </c>
      <c r="AI45"/>
      <c r="AJ45" s="8">
        <v>10754.773800000001</v>
      </c>
      <c r="AK45" s="7">
        <v>0.17667643999999999</v>
      </c>
      <c r="AL45"/>
      <c r="AM45" s="8">
        <v>10367.5566</v>
      </c>
      <c r="AN45" s="7">
        <v>0.17784589000000001</v>
      </c>
    </row>
    <row r="46" spans="2:40" s="314" customFormat="1" ht="12.75" customHeight="1" x14ac:dyDescent="0.15">
      <c r="B46" s="5" t="s">
        <v>48</v>
      </c>
      <c r="C46" s="8">
        <v>8268.57</v>
      </c>
      <c r="D46" s="7">
        <v>4.5524719999999998E-2</v>
      </c>
      <c r="E46"/>
      <c r="F46" s="8">
        <v>868.94</v>
      </c>
      <c r="G46" s="7">
        <v>0.18206808999999999</v>
      </c>
      <c r="H46"/>
      <c r="I46" s="8">
        <v>7334.71</v>
      </c>
      <c r="J46" s="7">
        <v>0.69659797999999995</v>
      </c>
      <c r="K46"/>
      <c r="L46" s="8">
        <v>678.29</v>
      </c>
      <c r="M46" s="7">
        <v>4.0219680000000001E-2</v>
      </c>
      <c r="N46"/>
      <c r="O46" s="8">
        <v>-613.37</v>
      </c>
      <c r="P46" s="7">
        <v>-4.3235379999999997E-2</v>
      </c>
      <c r="Q46"/>
      <c r="R46" s="8">
        <v>0</v>
      </c>
      <c r="S46" s="7">
        <v>0</v>
      </c>
      <c r="T46"/>
      <c r="U46" s="8">
        <v>0</v>
      </c>
      <c r="V46" s="7">
        <v>0</v>
      </c>
      <c r="W46"/>
      <c r="X46" s="8">
        <v>0</v>
      </c>
      <c r="Y46" s="7">
        <v>0</v>
      </c>
      <c r="Z46"/>
      <c r="AA46" s="8">
        <v>0</v>
      </c>
      <c r="AB46" s="7">
        <v>0</v>
      </c>
      <c r="AC46"/>
      <c r="AD46" s="8">
        <v>0</v>
      </c>
      <c r="AE46" s="7">
        <v>0</v>
      </c>
      <c r="AF46"/>
      <c r="AG46" s="8">
        <v>0</v>
      </c>
      <c r="AH46" s="7">
        <v>0</v>
      </c>
      <c r="AI46"/>
      <c r="AJ46" s="8">
        <v>0</v>
      </c>
      <c r="AK46" s="7">
        <v>0</v>
      </c>
      <c r="AL46"/>
      <c r="AM46" s="8">
        <v>0</v>
      </c>
      <c r="AN46" s="7">
        <v>0</v>
      </c>
    </row>
    <row r="47" spans="2:40" s="314" customFormat="1" ht="12.75" customHeight="1" x14ac:dyDescent="0.15">
      <c r="B47" s="325" t="s">
        <v>49</v>
      </c>
      <c r="C47" s="326">
        <v>430704.03909999999</v>
      </c>
      <c r="D47" s="327">
        <v>0.25370345999999999</v>
      </c>
      <c r="E47"/>
      <c r="F47" s="326">
        <v>26476.09</v>
      </c>
      <c r="G47" s="327">
        <v>0.34046197</v>
      </c>
      <c r="H47"/>
      <c r="I47" s="326">
        <v>30920.57</v>
      </c>
      <c r="J47" s="327">
        <v>0.33971416999999998</v>
      </c>
      <c r="K47"/>
      <c r="L47" s="326">
        <v>39659.53</v>
      </c>
      <c r="M47" s="327">
        <v>0.28733322</v>
      </c>
      <c r="N47"/>
      <c r="O47" s="326">
        <v>34932.85</v>
      </c>
      <c r="P47" s="327">
        <v>0.30982588999999999</v>
      </c>
      <c r="Q47"/>
      <c r="R47" s="326">
        <v>23686.279500000001</v>
      </c>
      <c r="S47" s="327">
        <v>0.23628521999999999</v>
      </c>
      <c r="T47"/>
      <c r="U47" s="326">
        <v>40384.156999999999</v>
      </c>
      <c r="V47" s="327">
        <v>0.22279837</v>
      </c>
      <c r="W47"/>
      <c r="X47" s="326">
        <v>32428.353599999999</v>
      </c>
      <c r="Y47" s="327">
        <v>0.24873419999999999</v>
      </c>
      <c r="Z47"/>
      <c r="AA47" s="326">
        <v>33546.5406</v>
      </c>
      <c r="AB47" s="327">
        <v>0.25350359</v>
      </c>
      <c r="AC47"/>
      <c r="AD47" s="326">
        <v>43493.117700000003</v>
      </c>
      <c r="AE47" s="327">
        <v>0.2252383</v>
      </c>
      <c r="AF47"/>
      <c r="AG47" s="326">
        <v>40856.336499999998</v>
      </c>
      <c r="AH47" s="327">
        <v>0.23068411999999999</v>
      </c>
      <c r="AI47"/>
      <c r="AJ47" s="326">
        <v>44456.5242</v>
      </c>
      <c r="AK47" s="327">
        <v>0.22808841999999999</v>
      </c>
      <c r="AL47"/>
      <c r="AM47" s="326">
        <v>39863.69</v>
      </c>
      <c r="AN47" s="327">
        <v>0.23618557000000001</v>
      </c>
    </row>
    <row r="48" spans="2:40" s="314" customFormat="1" ht="12.75" customHeight="1" x14ac:dyDescent="0.15">
      <c r="B48" s="5" t="s">
        <v>22</v>
      </c>
      <c r="C48" s="8">
        <v>1199249.2829</v>
      </c>
      <c r="D48" s="7">
        <v>0.70641012000000003</v>
      </c>
      <c r="E48"/>
      <c r="F48" s="8">
        <v>101935.91</v>
      </c>
      <c r="G48" s="7">
        <v>1.3108166999999999</v>
      </c>
      <c r="H48"/>
      <c r="I48" s="8">
        <v>97715.15</v>
      </c>
      <c r="J48" s="7">
        <v>1.0735643399999999</v>
      </c>
      <c r="K48"/>
      <c r="L48" s="8">
        <v>99779.520000000004</v>
      </c>
      <c r="M48" s="7">
        <v>0.72290244000000003</v>
      </c>
      <c r="N48"/>
      <c r="O48" s="8">
        <v>102990.27</v>
      </c>
      <c r="P48" s="7">
        <v>0.91343969000000003</v>
      </c>
      <c r="Q48"/>
      <c r="R48" s="8">
        <v>101934.55989999999</v>
      </c>
      <c r="S48" s="7">
        <v>1.0168599700000001</v>
      </c>
      <c r="T48"/>
      <c r="U48" s="8">
        <v>106630.2421</v>
      </c>
      <c r="V48" s="7">
        <v>0.58827633000000001</v>
      </c>
      <c r="W48"/>
      <c r="X48" s="8">
        <v>90741.940499999997</v>
      </c>
      <c r="Y48" s="7">
        <v>0.69601511000000005</v>
      </c>
      <c r="Z48"/>
      <c r="AA48" s="8">
        <v>96688.398300000001</v>
      </c>
      <c r="AB48" s="7">
        <v>0.73065225999999994</v>
      </c>
      <c r="AC48"/>
      <c r="AD48" s="8">
        <v>102862.383</v>
      </c>
      <c r="AE48" s="7">
        <v>0.53269458000000003</v>
      </c>
      <c r="AF48"/>
      <c r="AG48" s="8">
        <v>97108.820600000006</v>
      </c>
      <c r="AH48" s="7">
        <v>0.54829837999999997</v>
      </c>
      <c r="AI48"/>
      <c r="AJ48" s="8">
        <v>103293.87300000001</v>
      </c>
      <c r="AK48" s="7">
        <v>0.52995902000000006</v>
      </c>
      <c r="AL48"/>
      <c r="AM48" s="8">
        <v>97568.215500000006</v>
      </c>
      <c r="AN48" s="7">
        <v>0.57807505999999997</v>
      </c>
    </row>
    <row r="49" spans="2:40" s="314" customFormat="1" ht="12.75" customHeight="1" x14ac:dyDescent="0.15">
      <c r="B49" s="5" t="s">
        <v>40</v>
      </c>
      <c r="C49" s="8">
        <v>104297.91009999999</v>
      </c>
      <c r="D49" s="7">
        <v>6.1436019999999987E-2</v>
      </c>
      <c r="E49"/>
      <c r="F49" s="8">
        <v>11415.64</v>
      </c>
      <c r="G49" s="7">
        <v>0.14679627000000001</v>
      </c>
      <c r="H49"/>
      <c r="I49" s="8">
        <v>7469.5</v>
      </c>
      <c r="J49" s="7">
        <v>8.2064949999999998E-2</v>
      </c>
      <c r="K49"/>
      <c r="L49" s="8">
        <v>8081.21</v>
      </c>
      <c r="M49" s="7">
        <v>5.8548349999999999E-2</v>
      </c>
      <c r="N49"/>
      <c r="O49" s="8">
        <v>12974.5</v>
      </c>
      <c r="P49" s="7">
        <v>0.11507323</v>
      </c>
      <c r="Q49"/>
      <c r="R49" s="8">
        <v>7405</v>
      </c>
      <c r="S49" s="7">
        <v>7.386943E-2</v>
      </c>
      <c r="T49"/>
      <c r="U49" s="8">
        <v>13839.540499999999</v>
      </c>
      <c r="V49" s="7">
        <v>7.6352390000000006E-2</v>
      </c>
      <c r="W49"/>
      <c r="X49" s="8">
        <v>2980.8498</v>
      </c>
      <c r="Y49" s="7">
        <v>2.2863919999999999E-2</v>
      </c>
      <c r="Z49"/>
      <c r="AA49" s="8">
        <v>2797.7791999999999</v>
      </c>
      <c r="AB49" s="7">
        <v>2.114218E-2</v>
      </c>
      <c r="AC49"/>
      <c r="AD49" s="8">
        <v>13737.102000000001</v>
      </c>
      <c r="AE49" s="7">
        <v>7.1140480000000006E-2</v>
      </c>
      <c r="AF49"/>
      <c r="AG49" s="8">
        <v>7759.5720000000001</v>
      </c>
      <c r="AH49" s="7">
        <v>4.3812300000000012E-2</v>
      </c>
      <c r="AI49"/>
      <c r="AJ49" s="8">
        <v>7756.1350000000002</v>
      </c>
      <c r="AK49" s="7">
        <v>3.9793589999999997E-2</v>
      </c>
      <c r="AL49"/>
      <c r="AM49" s="8">
        <v>8081.0816000000004</v>
      </c>
      <c r="AN49" s="7">
        <v>4.7879030000000003E-2</v>
      </c>
    </row>
    <row r="50" spans="2:40" s="314" customFormat="1" ht="12.75" customHeight="1" x14ac:dyDescent="0.15">
      <c r="B50" s="325" t="s">
        <v>41</v>
      </c>
      <c r="C50" s="326">
        <v>-36584.051099999997</v>
      </c>
      <c r="D50" s="327">
        <v>-2.1549599999999999E-2</v>
      </c>
      <c r="E50"/>
      <c r="F50" s="326">
        <v>-62062.45</v>
      </c>
      <c r="G50" s="327">
        <v>-0.79807495000000006</v>
      </c>
      <c r="H50"/>
      <c r="I50" s="326">
        <v>-45085.85</v>
      </c>
      <c r="J50" s="327">
        <v>-0.49534346000000001</v>
      </c>
      <c r="K50"/>
      <c r="L50" s="326">
        <v>-9494</v>
      </c>
      <c r="M50" s="327">
        <v>-6.8784010000000007E-2</v>
      </c>
      <c r="N50"/>
      <c r="O50" s="326">
        <v>-38147.68</v>
      </c>
      <c r="P50" s="327">
        <v>-0.33833880999999999</v>
      </c>
      <c r="Q50"/>
      <c r="R50" s="326">
        <v>-32781.398200000003</v>
      </c>
      <c r="S50" s="327">
        <v>-0.32701461999999998</v>
      </c>
      <c r="T50"/>
      <c r="U50" s="326">
        <v>20404.8262</v>
      </c>
      <c r="V50" s="327">
        <v>0.11257291</v>
      </c>
      <c r="W50"/>
      <c r="X50" s="326">
        <v>4222.3779000000004</v>
      </c>
      <c r="Y50" s="327">
        <v>3.2386770000000002E-2</v>
      </c>
      <c r="Z50"/>
      <c r="AA50" s="326">
        <v>-701.09720000000004</v>
      </c>
      <c r="AB50" s="327">
        <v>-5.2980299999999996E-3</v>
      </c>
      <c r="AC50"/>
      <c r="AD50" s="326">
        <v>33005.631300000001</v>
      </c>
      <c r="AE50" s="327">
        <v>0.17092663</v>
      </c>
      <c r="AF50"/>
      <c r="AG50" s="326">
        <v>31384.7137</v>
      </c>
      <c r="AH50" s="327">
        <v>0.17720520000000001</v>
      </c>
      <c r="AI50"/>
      <c r="AJ50" s="326">
        <v>39402.638200000001</v>
      </c>
      <c r="AK50" s="327">
        <v>0.20215897999999999</v>
      </c>
      <c r="AL50"/>
      <c r="AM50" s="326">
        <v>23268.237000000001</v>
      </c>
      <c r="AN50" s="327">
        <v>0.13786034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375680.54</v>
      </c>
      <c r="D53" s="7">
        <v>1</v>
      </c>
      <c r="E53"/>
      <c r="F53" s="8">
        <v>22141.54</v>
      </c>
      <c r="G53" s="7">
        <v>1</v>
      </c>
      <c r="H53"/>
      <c r="I53" s="8">
        <v>23125.42</v>
      </c>
      <c r="J53" s="7">
        <v>1</v>
      </c>
      <c r="K53"/>
      <c r="L53" s="8">
        <v>28586.080000000002</v>
      </c>
      <c r="M53" s="7">
        <v>1</v>
      </c>
      <c r="N53"/>
      <c r="O53" s="8">
        <v>27738.54</v>
      </c>
      <c r="P53" s="7">
        <v>1</v>
      </c>
      <c r="Q53"/>
      <c r="R53" s="8">
        <v>31551.96</v>
      </c>
      <c r="S53" s="7">
        <v>1</v>
      </c>
      <c r="T53"/>
      <c r="U53" s="8">
        <v>30492.66</v>
      </c>
      <c r="V53" s="7">
        <v>1</v>
      </c>
      <c r="W53"/>
      <c r="X53" s="8">
        <v>29579.52</v>
      </c>
      <c r="Y53" s="7">
        <v>1</v>
      </c>
      <c r="Z53"/>
      <c r="AA53" s="8">
        <v>32411.279999999999</v>
      </c>
      <c r="AB53" s="7">
        <v>1</v>
      </c>
      <c r="AC53"/>
      <c r="AD53" s="8">
        <v>34976.28</v>
      </c>
      <c r="AE53" s="7">
        <v>1</v>
      </c>
      <c r="AF53"/>
      <c r="AG53" s="8">
        <v>35797.08</v>
      </c>
      <c r="AH53" s="7">
        <v>1</v>
      </c>
      <c r="AI53"/>
      <c r="AJ53" s="8">
        <v>35868.9</v>
      </c>
      <c r="AK53" s="7">
        <v>1</v>
      </c>
      <c r="AL53"/>
      <c r="AM53" s="8">
        <v>43411.28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5658.8472000000002</v>
      </c>
      <c r="D54" s="7">
        <v>1.506292E-2</v>
      </c>
      <c r="E54"/>
      <c r="F54" s="8">
        <v>239</v>
      </c>
      <c r="G54" s="7">
        <v>1.079419E-2</v>
      </c>
      <c r="H54"/>
      <c r="I54" s="8">
        <v>436</v>
      </c>
      <c r="J54" s="7">
        <v>1.8853709999999999E-2</v>
      </c>
      <c r="K54"/>
      <c r="L54" s="8">
        <v>233.49</v>
      </c>
      <c r="M54" s="7">
        <v>8.1679600000000002E-3</v>
      </c>
      <c r="N54"/>
      <c r="O54" s="8">
        <v>225</v>
      </c>
      <c r="P54" s="7">
        <v>8.1114600000000009E-3</v>
      </c>
      <c r="Q54"/>
      <c r="R54" s="8">
        <v>578.16719999999998</v>
      </c>
      <c r="S54" s="7">
        <v>1.832429E-2</v>
      </c>
      <c r="T54"/>
      <c r="U54" s="8">
        <v>506.91419999999999</v>
      </c>
      <c r="V54" s="7">
        <v>1.6624139999999999E-2</v>
      </c>
      <c r="W54"/>
      <c r="X54" s="8">
        <v>486.7824</v>
      </c>
      <c r="Y54" s="7">
        <v>1.6456740000000001E-2</v>
      </c>
      <c r="Z54"/>
      <c r="AA54" s="8">
        <v>549.21360000000004</v>
      </c>
      <c r="AB54" s="7">
        <v>1.6945140000000001E-2</v>
      </c>
      <c r="AC54"/>
      <c r="AD54" s="8">
        <v>605.7636</v>
      </c>
      <c r="AE54" s="7">
        <v>1.7319270000000001E-2</v>
      </c>
      <c r="AF54"/>
      <c r="AG54" s="8">
        <v>623.8596</v>
      </c>
      <c r="AH54" s="7">
        <v>1.7427669999999999E-2</v>
      </c>
      <c r="AI54"/>
      <c r="AJ54" s="8">
        <v>625.44299999999998</v>
      </c>
      <c r="AK54" s="7">
        <v>1.7436920000000002E-2</v>
      </c>
      <c r="AL54"/>
      <c r="AM54" s="8">
        <v>549.21360000000004</v>
      </c>
      <c r="AN54" s="7">
        <v>1.26514E-2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51419.3</v>
      </c>
      <c r="D56" s="7">
        <v>0.13686975000000001</v>
      </c>
      <c r="E56"/>
      <c r="F56" s="8">
        <v>4985.26</v>
      </c>
      <c r="G56" s="7">
        <v>0.22515416999999999</v>
      </c>
      <c r="H56"/>
      <c r="I56" s="8">
        <v>4435.1499999999996</v>
      </c>
      <c r="J56" s="7">
        <v>0.19178679000000001</v>
      </c>
      <c r="K56"/>
      <c r="L56" s="8">
        <v>3256.77</v>
      </c>
      <c r="M56" s="7">
        <v>0.11392853</v>
      </c>
      <c r="N56"/>
      <c r="O56" s="8">
        <v>3842.12</v>
      </c>
      <c r="P56" s="7">
        <v>0.13851198000000001</v>
      </c>
      <c r="Q56"/>
      <c r="R56" s="8">
        <v>4350</v>
      </c>
      <c r="S56" s="7">
        <v>0.13786782</v>
      </c>
      <c r="T56"/>
      <c r="U56" s="8">
        <v>4450</v>
      </c>
      <c r="V56" s="7">
        <v>0.14593676</v>
      </c>
      <c r="W56"/>
      <c r="X56" s="8">
        <v>4350</v>
      </c>
      <c r="Y56" s="7">
        <v>0.14706121</v>
      </c>
      <c r="Z56"/>
      <c r="AA56" s="8">
        <v>4350</v>
      </c>
      <c r="AB56" s="7">
        <v>0.13421253</v>
      </c>
      <c r="AC56"/>
      <c r="AD56" s="8">
        <v>4350</v>
      </c>
      <c r="AE56" s="7">
        <v>0.12436999999999999</v>
      </c>
      <c r="AF56"/>
      <c r="AG56" s="8">
        <v>4350</v>
      </c>
      <c r="AH56" s="7">
        <v>0.12151829</v>
      </c>
      <c r="AI56"/>
      <c r="AJ56" s="8">
        <v>4350</v>
      </c>
      <c r="AK56" s="7">
        <v>0.12127498</v>
      </c>
      <c r="AL56"/>
      <c r="AM56" s="8">
        <v>4350</v>
      </c>
      <c r="AN56" s="7">
        <v>0.10020437</v>
      </c>
    </row>
    <row r="57" spans="2:40" s="314" customFormat="1" ht="12.75" customHeight="1" x14ac:dyDescent="0.15">
      <c r="B57" s="325" t="s">
        <v>41</v>
      </c>
      <c r="C57" s="326">
        <v>318602.39279999997</v>
      </c>
      <c r="D57" s="327">
        <v>0.8480673299999999</v>
      </c>
      <c r="E57"/>
      <c r="F57" s="326">
        <v>16917.28</v>
      </c>
      <c r="G57" s="327">
        <v>0.76405164000000003</v>
      </c>
      <c r="H57"/>
      <c r="I57" s="326">
        <v>18254.27</v>
      </c>
      <c r="J57" s="327">
        <v>0.7893595000000001</v>
      </c>
      <c r="K57"/>
      <c r="L57" s="326">
        <v>25095.82</v>
      </c>
      <c r="M57" s="327">
        <v>0.87790351</v>
      </c>
      <c r="N57"/>
      <c r="O57" s="326">
        <v>23671.42</v>
      </c>
      <c r="P57" s="327">
        <v>0.85337656999999989</v>
      </c>
      <c r="Q57"/>
      <c r="R57" s="326">
        <v>26623.792799999999</v>
      </c>
      <c r="S57" s="327">
        <v>0.84380788999999989</v>
      </c>
      <c r="T57"/>
      <c r="U57" s="326">
        <v>25535.745800000001</v>
      </c>
      <c r="V57" s="327">
        <v>0.83743909999999999</v>
      </c>
      <c r="W57"/>
      <c r="X57" s="326">
        <v>24742.7376</v>
      </c>
      <c r="Y57" s="327">
        <v>0.83648205000000009</v>
      </c>
      <c r="Z57"/>
      <c r="AA57" s="326">
        <v>27512.0664</v>
      </c>
      <c r="AB57" s="327">
        <v>0.84884232999999998</v>
      </c>
      <c r="AC57"/>
      <c r="AD57" s="326">
        <v>30020.5164</v>
      </c>
      <c r="AE57" s="327">
        <v>0.85831073000000002</v>
      </c>
      <c r="AF57"/>
      <c r="AG57" s="326">
        <v>30823.220399999998</v>
      </c>
      <c r="AH57" s="327">
        <v>0.86105403999999997</v>
      </c>
      <c r="AI57"/>
      <c r="AJ57" s="326">
        <v>30893.456999999999</v>
      </c>
      <c r="AK57" s="327">
        <v>0.86128810999999994</v>
      </c>
      <c r="AL57"/>
      <c r="AM57" s="326">
        <v>38512.066400000003</v>
      </c>
      <c r="AN57" s="327">
        <v>0.88714422999999998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68888.45</v>
      </c>
      <c r="D60" s="327">
        <v>0.18336975999999999</v>
      </c>
      <c r="E60"/>
      <c r="F60" s="326">
        <v>1043.92</v>
      </c>
      <c r="G60" s="327">
        <v>4.7147579999999988E-2</v>
      </c>
      <c r="H60"/>
      <c r="I60" s="326">
        <v>13915.72</v>
      </c>
      <c r="J60" s="327">
        <v>0.60174993999999993</v>
      </c>
      <c r="K60"/>
      <c r="L60" s="326">
        <v>6453.63</v>
      </c>
      <c r="M60" s="327">
        <v>0.22576128000000001</v>
      </c>
      <c r="N60"/>
      <c r="O60" s="326">
        <v>5475.18</v>
      </c>
      <c r="P60" s="327">
        <v>0.19738530000000001</v>
      </c>
      <c r="Q60"/>
      <c r="R60" s="326">
        <v>5000</v>
      </c>
      <c r="S60" s="327">
        <v>0.15846875999999999</v>
      </c>
      <c r="T60"/>
      <c r="U60" s="326">
        <v>6000</v>
      </c>
      <c r="V60" s="327">
        <v>0.19676866000000001</v>
      </c>
      <c r="W60"/>
      <c r="X60" s="326">
        <v>3500</v>
      </c>
      <c r="Y60" s="327">
        <v>0.11832511</v>
      </c>
      <c r="Z60"/>
      <c r="AA60" s="326">
        <v>3500</v>
      </c>
      <c r="AB60" s="327">
        <v>0.1079871</v>
      </c>
      <c r="AC60"/>
      <c r="AD60" s="326">
        <v>6000</v>
      </c>
      <c r="AE60" s="327">
        <v>0.17154483000000001</v>
      </c>
      <c r="AF60"/>
      <c r="AG60" s="326">
        <v>6000</v>
      </c>
      <c r="AH60" s="327">
        <v>0.16761144</v>
      </c>
      <c r="AI60"/>
      <c r="AJ60" s="326">
        <v>6000</v>
      </c>
      <c r="AK60" s="327">
        <v>0.16727582999999999</v>
      </c>
      <c r="AL60"/>
      <c r="AM60" s="326">
        <v>6000</v>
      </c>
      <c r="AN60" s="327">
        <v>0.13821293000000001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2907886.7899000002</v>
      </c>
      <c r="D63" s="327">
        <v>0.43737263999999998</v>
      </c>
      <c r="E63"/>
      <c r="F63" s="326">
        <v>69519.89</v>
      </c>
      <c r="G63" s="327">
        <v>0.19418315999999999</v>
      </c>
      <c r="H63"/>
      <c r="I63" s="326">
        <v>160496.48000000001</v>
      </c>
      <c r="J63" s="327">
        <v>0.36685369000000001</v>
      </c>
      <c r="K63"/>
      <c r="L63" s="326">
        <v>268176.94</v>
      </c>
      <c r="M63" s="327">
        <v>0.47158156000000001</v>
      </c>
      <c r="N63"/>
      <c r="O63" s="326">
        <v>118615.42</v>
      </c>
      <c r="P63" s="327">
        <v>0.27588784</v>
      </c>
      <c r="Q63"/>
      <c r="R63" s="326">
        <v>210331.82139999999</v>
      </c>
      <c r="S63" s="327">
        <v>0.40670054</v>
      </c>
      <c r="T63"/>
      <c r="U63" s="326">
        <v>262535.70360000001</v>
      </c>
      <c r="V63" s="327">
        <v>0.44380161000000001</v>
      </c>
      <c r="W63"/>
      <c r="X63" s="326">
        <v>195302.43520000001</v>
      </c>
      <c r="Y63" s="327">
        <v>0.40592779999999989</v>
      </c>
      <c r="Z63"/>
      <c r="AA63" s="326">
        <v>209444.0931</v>
      </c>
      <c r="AB63" s="327">
        <v>0.40456426000000001</v>
      </c>
      <c r="AC63"/>
      <c r="AD63" s="326">
        <v>327162.01770000003</v>
      </c>
      <c r="AE63" s="327">
        <v>0.48961039999999989</v>
      </c>
      <c r="AF63"/>
      <c r="AG63" s="326">
        <v>444176.6042</v>
      </c>
      <c r="AH63" s="327">
        <v>0.56909365000000001</v>
      </c>
      <c r="AI63"/>
      <c r="AJ63" s="326">
        <v>364073.88449999999</v>
      </c>
      <c r="AK63" s="327">
        <v>0.51560718999999999</v>
      </c>
      <c r="AL63"/>
      <c r="AM63" s="326">
        <v>278051.50020000001</v>
      </c>
      <c r="AN63" s="327">
        <v>0.46964946000000002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233142.587</v>
      </c>
      <c r="D66" s="7">
        <v>3.5066769999999997E-2</v>
      </c>
      <c r="E66"/>
      <c r="F66" s="8">
        <v>16053.89</v>
      </c>
      <c r="G66" s="7">
        <v>4.4841770000000003E-2</v>
      </c>
      <c r="H66"/>
      <c r="I66" s="8">
        <v>20372.8</v>
      </c>
      <c r="J66" s="7">
        <v>4.6566979999999987E-2</v>
      </c>
      <c r="K66"/>
      <c r="L66" s="8">
        <v>24619.4</v>
      </c>
      <c r="M66" s="7">
        <v>4.3292520000000001E-2</v>
      </c>
      <c r="N66"/>
      <c r="O66" s="8">
        <v>19459.330000000002</v>
      </c>
      <c r="P66" s="7">
        <v>4.5260490000000007E-2</v>
      </c>
      <c r="Q66"/>
      <c r="R66" s="8">
        <v>19074.981299999999</v>
      </c>
      <c r="S66" s="7">
        <v>3.6883649999999997E-2</v>
      </c>
      <c r="T66"/>
      <c r="U66" s="8">
        <v>19108.927100000001</v>
      </c>
      <c r="V66" s="7">
        <v>3.2302549999999999E-2</v>
      </c>
      <c r="W66"/>
      <c r="X66" s="8">
        <v>19066.134900000001</v>
      </c>
      <c r="Y66" s="7">
        <v>3.9628150000000001E-2</v>
      </c>
      <c r="Z66"/>
      <c r="AA66" s="8">
        <v>19069.7768</v>
      </c>
      <c r="AB66" s="7">
        <v>3.6835369999999999E-2</v>
      </c>
      <c r="AC66"/>
      <c r="AD66" s="8">
        <v>19066.134900000001</v>
      </c>
      <c r="AE66" s="7">
        <v>2.8533200000000002E-2</v>
      </c>
      <c r="AF66"/>
      <c r="AG66" s="8">
        <v>19069.7768</v>
      </c>
      <c r="AH66" s="7">
        <v>2.4432820000000001E-2</v>
      </c>
      <c r="AI66"/>
      <c r="AJ66" s="8">
        <v>19066.134900000001</v>
      </c>
      <c r="AK66" s="7">
        <v>2.700176E-2</v>
      </c>
      <c r="AL66"/>
      <c r="AM66" s="8">
        <v>19115.300299999999</v>
      </c>
      <c r="AN66" s="7">
        <v>3.2287150000000001E-2</v>
      </c>
    </row>
    <row r="67" spans="2:40" s="314" customFormat="1" ht="12.75" customHeight="1" x14ac:dyDescent="0.15">
      <c r="B67" s="5" t="s">
        <v>40</v>
      </c>
      <c r="C67" s="8">
        <v>241714.42439999999</v>
      </c>
      <c r="D67" s="7">
        <v>3.6356050000000001E-2</v>
      </c>
      <c r="E67"/>
      <c r="F67" s="8">
        <v>11574.94</v>
      </c>
      <c r="G67" s="7">
        <v>3.2331159999999998E-2</v>
      </c>
      <c r="H67"/>
      <c r="I67" s="8">
        <v>7580.31</v>
      </c>
      <c r="J67" s="7">
        <v>1.7326640000000001E-2</v>
      </c>
      <c r="K67"/>
      <c r="L67" s="8">
        <v>12260.35</v>
      </c>
      <c r="M67" s="7">
        <v>2.1559479999999999E-2</v>
      </c>
      <c r="N67"/>
      <c r="O67" s="8">
        <v>77609.13</v>
      </c>
      <c r="P67" s="7">
        <v>0.18051122999999999</v>
      </c>
      <c r="Q67"/>
      <c r="R67" s="8">
        <v>15426.9228</v>
      </c>
      <c r="S67" s="7">
        <v>2.9829709999999999E-2</v>
      </c>
      <c r="T67"/>
      <c r="U67" s="8">
        <v>14057.448200000001</v>
      </c>
      <c r="V67" s="7">
        <v>2.3763309999999999E-2</v>
      </c>
      <c r="W67"/>
      <c r="X67" s="8">
        <v>17394.940999999999</v>
      </c>
      <c r="Y67" s="7">
        <v>3.6154639999999988E-2</v>
      </c>
      <c r="Z67"/>
      <c r="AA67" s="8">
        <v>14164.487999999999</v>
      </c>
      <c r="AB67" s="7">
        <v>2.7360260000000001E-2</v>
      </c>
      <c r="AC67"/>
      <c r="AD67" s="8">
        <v>16696.9676</v>
      </c>
      <c r="AE67" s="7">
        <v>2.498765E-2</v>
      </c>
      <c r="AF67"/>
      <c r="AG67" s="8">
        <v>19057.755300000001</v>
      </c>
      <c r="AH67" s="7">
        <v>2.4417419999999999E-2</v>
      </c>
      <c r="AI67"/>
      <c r="AJ67" s="8">
        <v>20732.571400000001</v>
      </c>
      <c r="AK67" s="7">
        <v>2.93618E-2</v>
      </c>
      <c r="AL67"/>
      <c r="AM67" s="8">
        <v>15158.6001</v>
      </c>
      <c r="AN67" s="7">
        <v>2.560399E-2</v>
      </c>
    </row>
    <row r="68" spans="2:40" s="314" customFormat="1" ht="12.75" customHeight="1" x14ac:dyDescent="0.15">
      <c r="B68" s="325" t="s">
        <v>41</v>
      </c>
      <c r="C68" s="326">
        <v>-474857.01160000003</v>
      </c>
      <c r="D68" s="327">
        <v>-7.1422819999999998E-2</v>
      </c>
      <c r="E68"/>
      <c r="F68" s="326">
        <v>-27628.83</v>
      </c>
      <c r="G68" s="327">
        <v>-7.7172930000000001E-2</v>
      </c>
      <c r="H68"/>
      <c r="I68" s="326">
        <v>-27953.11</v>
      </c>
      <c r="J68" s="327">
        <v>-6.3893619999999998E-2</v>
      </c>
      <c r="K68"/>
      <c r="L68" s="326">
        <v>-36879.75</v>
      </c>
      <c r="M68" s="327">
        <v>-6.4851999999999993E-2</v>
      </c>
      <c r="N68"/>
      <c r="O68" s="326">
        <v>-97068.46</v>
      </c>
      <c r="P68" s="327">
        <v>-0.22577172000000001</v>
      </c>
      <c r="Q68"/>
      <c r="R68" s="326">
        <v>-34501.9041</v>
      </c>
      <c r="S68" s="327">
        <v>-6.6713359999999999E-2</v>
      </c>
      <c r="T68"/>
      <c r="U68" s="326">
        <v>-33166.375200000002</v>
      </c>
      <c r="V68" s="327">
        <v>-5.6065860000000002E-2</v>
      </c>
      <c r="W68"/>
      <c r="X68" s="326">
        <v>-36461.076000000001</v>
      </c>
      <c r="Y68" s="327">
        <v>-7.5782790000000003E-2</v>
      </c>
      <c r="Z68"/>
      <c r="AA68" s="326">
        <v>-33234.264799999997</v>
      </c>
      <c r="AB68" s="327">
        <v>-6.4195630000000004E-2</v>
      </c>
      <c r="AC68"/>
      <c r="AD68" s="326">
        <v>-35763.102599999998</v>
      </c>
      <c r="AE68" s="327">
        <v>-5.3520839999999993E-2</v>
      </c>
      <c r="AF68"/>
      <c r="AG68" s="326">
        <v>-38127.532099999997</v>
      </c>
      <c r="AH68" s="327">
        <v>-4.8850249999999998E-2</v>
      </c>
      <c r="AI68"/>
      <c r="AJ68" s="326">
        <v>-39798.706400000003</v>
      </c>
      <c r="AK68" s="327">
        <v>-5.636356E-2</v>
      </c>
      <c r="AL68"/>
      <c r="AM68" s="326">
        <v>-34273.900399999999</v>
      </c>
      <c r="AN68" s="327">
        <v>-5.7891139999999987E-2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18009</v>
      </c>
      <c r="D71" s="7">
        <v>2.70872E-3</v>
      </c>
      <c r="E71"/>
      <c r="F71" s="8">
        <v>2100.1799999999998</v>
      </c>
      <c r="G71" s="7">
        <v>5.8662300000000001E-3</v>
      </c>
      <c r="H71"/>
      <c r="I71" s="8">
        <v>2138.5100000000002</v>
      </c>
      <c r="J71" s="7">
        <v>4.8880800000000004E-3</v>
      </c>
      <c r="K71"/>
      <c r="L71" s="8">
        <v>2248.9299999999998</v>
      </c>
      <c r="M71" s="7">
        <v>3.9546799999999986E-3</v>
      </c>
      <c r="N71"/>
      <c r="O71" s="8">
        <v>2073.38</v>
      </c>
      <c r="P71" s="7">
        <v>4.8224800000000014E-3</v>
      </c>
      <c r="Q71"/>
      <c r="R71" s="8">
        <v>1181</v>
      </c>
      <c r="S71" s="7">
        <v>2.2836000000000002E-3</v>
      </c>
      <c r="T71"/>
      <c r="U71" s="8">
        <v>1181</v>
      </c>
      <c r="V71" s="7">
        <v>1.9964100000000001E-3</v>
      </c>
      <c r="W71"/>
      <c r="X71" s="8">
        <v>1181</v>
      </c>
      <c r="Y71" s="7">
        <v>2.45466E-3</v>
      </c>
      <c r="Z71"/>
      <c r="AA71" s="8">
        <v>1181</v>
      </c>
      <c r="AB71" s="7">
        <v>2.28123E-3</v>
      </c>
      <c r="AC71"/>
      <c r="AD71" s="8">
        <v>1181</v>
      </c>
      <c r="AE71" s="7">
        <v>1.7674100000000001E-3</v>
      </c>
      <c r="AF71"/>
      <c r="AG71" s="8">
        <v>1181</v>
      </c>
      <c r="AH71" s="7">
        <v>1.5131400000000001E-3</v>
      </c>
      <c r="AI71"/>
      <c r="AJ71" s="8">
        <v>1181</v>
      </c>
      <c r="AK71" s="7">
        <v>1.6725500000000001E-3</v>
      </c>
      <c r="AL71"/>
      <c r="AM71" s="8">
        <v>1181</v>
      </c>
      <c r="AN71" s="7">
        <v>1.9948000000000001E-3</v>
      </c>
    </row>
    <row r="72" spans="2:40" s="314" customFormat="1" ht="12.75" customHeight="1" x14ac:dyDescent="0.15">
      <c r="B72" s="5" t="s">
        <v>56</v>
      </c>
      <c r="C72" s="8">
        <v>82569.61</v>
      </c>
      <c r="D72" s="7">
        <v>1.241922E-2</v>
      </c>
      <c r="E72"/>
      <c r="F72" s="8">
        <v>6222.51</v>
      </c>
      <c r="G72" s="7">
        <v>1.738073E-2</v>
      </c>
      <c r="H72"/>
      <c r="I72" s="8">
        <v>6603.99</v>
      </c>
      <c r="J72" s="7">
        <v>1.5095020000000001E-2</v>
      </c>
      <c r="K72"/>
      <c r="L72" s="8">
        <v>5781</v>
      </c>
      <c r="M72" s="7">
        <v>1.016572E-2</v>
      </c>
      <c r="N72"/>
      <c r="O72" s="8">
        <v>1369.41</v>
      </c>
      <c r="P72" s="7">
        <v>3.1851100000000001E-3</v>
      </c>
      <c r="Q72"/>
      <c r="R72" s="8">
        <v>6195.87</v>
      </c>
      <c r="S72" s="7">
        <v>1.198042E-2</v>
      </c>
      <c r="T72"/>
      <c r="U72" s="8">
        <v>6947.11</v>
      </c>
      <c r="V72" s="7">
        <v>1.1743689999999999E-2</v>
      </c>
      <c r="W72"/>
      <c r="X72" s="8">
        <v>12803.37</v>
      </c>
      <c r="Y72" s="7">
        <v>2.6611260000000001E-2</v>
      </c>
      <c r="Z72"/>
      <c r="AA72" s="8">
        <v>5393.37</v>
      </c>
      <c r="AB72" s="7">
        <v>1.0417890000000001E-2</v>
      </c>
      <c r="AC72"/>
      <c r="AD72" s="8">
        <v>5717.87</v>
      </c>
      <c r="AE72" s="7">
        <v>8.5570100000000003E-3</v>
      </c>
      <c r="AF72"/>
      <c r="AG72" s="8">
        <v>11748.37</v>
      </c>
      <c r="AH72" s="7">
        <v>1.5052400000000001E-2</v>
      </c>
      <c r="AI72"/>
      <c r="AJ72" s="8">
        <v>5393.37</v>
      </c>
      <c r="AK72" s="7">
        <v>7.6381799999999996E-3</v>
      </c>
      <c r="AL72"/>
      <c r="AM72" s="8">
        <v>8393.3700000000008</v>
      </c>
      <c r="AN72" s="7">
        <v>1.417702E-2</v>
      </c>
    </row>
    <row r="73" spans="2:40" s="314" customFormat="1" ht="12.75" customHeight="1" x14ac:dyDescent="0.15">
      <c r="B73" s="5" t="s">
        <v>40</v>
      </c>
      <c r="C73" s="8">
        <v>1427</v>
      </c>
      <c r="D73" s="7">
        <v>2.1463E-4</v>
      </c>
      <c r="E73"/>
      <c r="F73" s="8">
        <v>0</v>
      </c>
      <c r="G73" s="7">
        <v>0</v>
      </c>
      <c r="H73"/>
      <c r="I73" s="8">
        <v>-1253</v>
      </c>
      <c r="J73" s="7">
        <v>-2.86404E-3</v>
      </c>
      <c r="K73"/>
      <c r="L73" s="8">
        <v>0</v>
      </c>
      <c r="M73" s="7">
        <v>0</v>
      </c>
      <c r="N73"/>
      <c r="O73" s="8">
        <v>0</v>
      </c>
      <c r="P73" s="7">
        <v>0</v>
      </c>
      <c r="Q73"/>
      <c r="R73" s="8">
        <v>335</v>
      </c>
      <c r="S73" s="7">
        <v>6.4776000000000005E-4</v>
      </c>
      <c r="T73"/>
      <c r="U73" s="8">
        <v>335</v>
      </c>
      <c r="V73" s="7">
        <v>5.6630000000000005E-4</v>
      </c>
      <c r="W73"/>
      <c r="X73" s="8">
        <v>335</v>
      </c>
      <c r="Y73" s="7">
        <v>6.9627999999999997E-4</v>
      </c>
      <c r="Z73"/>
      <c r="AA73" s="8">
        <v>335</v>
      </c>
      <c r="AB73" s="7">
        <v>6.4709000000000001E-4</v>
      </c>
      <c r="AC73"/>
      <c r="AD73" s="8">
        <v>335</v>
      </c>
      <c r="AE73" s="7">
        <v>5.0133999999999997E-4</v>
      </c>
      <c r="AF73"/>
      <c r="AG73" s="8">
        <v>335</v>
      </c>
      <c r="AH73" s="7">
        <v>4.2921000000000002E-4</v>
      </c>
      <c r="AI73"/>
      <c r="AJ73" s="8">
        <v>335</v>
      </c>
      <c r="AK73" s="7">
        <v>4.7443000000000002E-4</v>
      </c>
      <c r="AL73"/>
      <c r="AM73" s="8">
        <v>335</v>
      </c>
      <c r="AN73" s="7">
        <v>5.6584000000000007E-4</v>
      </c>
    </row>
    <row r="74" spans="2:40" s="314" customFormat="1" ht="12.75" customHeight="1" x14ac:dyDescent="0.15">
      <c r="B74" s="325" t="s">
        <v>41</v>
      </c>
      <c r="C74" s="326">
        <v>-102005.61</v>
      </c>
      <c r="D74" s="327">
        <v>-1.534257E-2</v>
      </c>
      <c r="E74"/>
      <c r="F74" s="326">
        <v>-8322.69</v>
      </c>
      <c r="G74" s="327">
        <v>-2.3246960000000001E-2</v>
      </c>
      <c r="H74"/>
      <c r="I74" s="326">
        <v>-7489.5</v>
      </c>
      <c r="J74" s="327">
        <v>-1.711907E-2</v>
      </c>
      <c r="K74"/>
      <c r="L74" s="326">
        <v>-8029.93</v>
      </c>
      <c r="M74" s="327">
        <v>-1.41204E-2</v>
      </c>
      <c r="N74"/>
      <c r="O74" s="326">
        <v>-3442.79</v>
      </c>
      <c r="P74" s="327">
        <v>-8.0075900000000002E-3</v>
      </c>
      <c r="Q74"/>
      <c r="R74" s="326">
        <v>-7711.87</v>
      </c>
      <c r="S74" s="327">
        <v>-1.4911779999999999E-2</v>
      </c>
      <c r="T74"/>
      <c r="U74" s="326">
        <v>-8463.11</v>
      </c>
      <c r="V74" s="327">
        <v>-1.43064E-2</v>
      </c>
      <c r="W74"/>
      <c r="X74" s="326">
        <v>-14319.37</v>
      </c>
      <c r="Y74" s="327">
        <v>-2.9762199999999999E-2</v>
      </c>
      <c r="Z74"/>
      <c r="AA74" s="326">
        <v>-6909.37</v>
      </c>
      <c r="AB74" s="327">
        <v>-1.3346210000000001E-2</v>
      </c>
      <c r="AC74"/>
      <c r="AD74" s="326">
        <v>-7233.87</v>
      </c>
      <c r="AE74" s="327">
        <v>-1.082576E-2</v>
      </c>
      <c r="AF74"/>
      <c r="AG74" s="326">
        <v>-13264.37</v>
      </c>
      <c r="AH74" s="327">
        <v>-1.6994749999999999E-2</v>
      </c>
      <c r="AI74"/>
      <c r="AJ74" s="326">
        <v>-6909.37</v>
      </c>
      <c r="AK74" s="327">
        <v>-9.7851600000000011E-3</v>
      </c>
      <c r="AL74"/>
      <c r="AM74" s="326">
        <v>-9909.3700000000008</v>
      </c>
      <c r="AN74" s="327">
        <v>-1.6737660000000001E-2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115168.07769999999</v>
      </c>
      <c r="D77" s="7">
        <v>1.732233E-2</v>
      </c>
      <c r="E77"/>
      <c r="F77" s="8">
        <v>3570.84</v>
      </c>
      <c r="G77" s="7">
        <v>9.9740799999999998E-3</v>
      </c>
      <c r="H77"/>
      <c r="I77" s="8">
        <v>8631.86</v>
      </c>
      <c r="J77" s="7">
        <v>1.9730210000000001E-2</v>
      </c>
      <c r="K77"/>
      <c r="L77" s="8">
        <v>8475.61</v>
      </c>
      <c r="M77" s="7">
        <v>1.490412E-2</v>
      </c>
      <c r="N77"/>
      <c r="O77" s="8">
        <v>6390.55</v>
      </c>
      <c r="P77" s="7">
        <v>1.486379E-2</v>
      </c>
      <c r="Q77"/>
      <c r="R77" s="8">
        <v>10244.2739</v>
      </c>
      <c r="S77" s="7">
        <v>1.9808470000000002E-2</v>
      </c>
      <c r="T77"/>
      <c r="U77" s="8">
        <v>10636.3838</v>
      </c>
      <c r="V77" s="7">
        <v>1.7980199999999998E-2</v>
      </c>
      <c r="W77"/>
      <c r="X77" s="8">
        <v>9370.09</v>
      </c>
      <c r="Y77" s="7">
        <v>1.9475329999999999E-2</v>
      </c>
      <c r="Z77"/>
      <c r="AA77" s="8">
        <v>9543.1615000000002</v>
      </c>
      <c r="AB77" s="7">
        <v>1.8433660000000001E-2</v>
      </c>
      <c r="AC77"/>
      <c r="AD77" s="8">
        <v>11779.8433</v>
      </c>
      <c r="AE77" s="7">
        <v>1.7628979999999999E-2</v>
      </c>
      <c r="AF77"/>
      <c r="AG77" s="8">
        <v>13535.956</v>
      </c>
      <c r="AH77" s="7">
        <v>1.7342710000000001E-2</v>
      </c>
      <c r="AI77"/>
      <c r="AJ77" s="8">
        <v>12345.2898</v>
      </c>
      <c r="AK77" s="7">
        <v>1.748359E-2</v>
      </c>
      <c r="AL77"/>
      <c r="AM77" s="8">
        <v>10644.2194</v>
      </c>
      <c r="AN77" s="7">
        <v>1.7978870000000001E-2</v>
      </c>
    </row>
    <row r="78" spans="2:40" s="314" customFormat="1" ht="12.75" customHeight="1" x14ac:dyDescent="0.15">
      <c r="B78" s="5" t="s">
        <v>40</v>
      </c>
      <c r="C78" s="8">
        <v>301451.16340000002</v>
      </c>
      <c r="D78" s="7">
        <v>4.5340999999999992E-2</v>
      </c>
      <c r="E78"/>
      <c r="F78" s="8">
        <v>20810.86</v>
      </c>
      <c r="G78" s="7">
        <v>5.812896E-2</v>
      </c>
      <c r="H78"/>
      <c r="I78" s="8">
        <v>20635.810000000001</v>
      </c>
      <c r="J78" s="7">
        <v>4.7168159999999987E-2</v>
      </c>
      <c r="K78"/>
      <c r="L78" s="8">
        <v>19027.650000000001</v>
      </c>
      <c r="M78" s="7">
        <v>3.3459580000000003E-2</v>
      </c>
      <c r="N78"/>
      <c r="O78" s="8">
        <v>27268.79</v>
      </c>
      <c r="P78" s="7">
        <v>6.3424529999999993E-2</v>
      </c>
      <c r="Q78"/>
      <c r="R78" s="8">
        <v>26478.742999999999</v>
      </c>
      <c r="S78" s="7">
        <v>5.1199670000000003E-2</v>
      </c>
      <c r="T78"/>
      <c r="U78" s="8">
        <v>26674.652699999999</v>
      </c>
      <c r="V78" s="7">
        <v>4.5091979999999997E-2</v>
      </c>
      <c r="W78"/>
      <c r="X78" s="8">
        <v>22597.2156</v>
      </c>
      <c r="Y78" s="7">
        <v>4.6967349999999998E-2</v>
      </c>
      <c r="Z78"/>
      <c r="AA78" s="8">
        <v>22790.5435</v>
      </c>
      <c r="AB78" s="7">
        <v>4.4022440000000003E-2</v>
      </c>
      <c r="AC78"/>
      <c r="AD78" s="8">
        <v>28762.492399999999</v>
      </c>
      <c r="AE78" s="7">
        <v>4.3044159999999998E-2</v>
      </c>
      <c r="AF78"/>
      <c r="AG78" s="8">
        <v>32473.267500000002</v>
      </c>
      <c r="AH78" s="7">
        <v>4.1605819999999988E-2</v>
      </c>
      <c r="AI78"/>
      <c r="AJ78" s="8">
        <v>28940.831099999999</v>
      </c>
      <c r="AK78" s="7">
        <v>4.0986460000000002E-2</v>
      </c>
      <c r="AL78"/>
      <c r="AM78" s="8">
        <v>24990.3076</v>
      </c>
      <c r="AN78" s="7">
        <v>4.2210470000000007E-2</v>
      </c>
    </row>
    <row r="79" spans="2:40" s="314" customFormat="1" ht="12.75" customHeight="1" x14ac:dyDescent="0.15">
      <c r="B79" s="325" t="s">
        <v>41</v>
      </c>
      <c r="C79" s="326">
        <v>-416619.24109999998</v>
      </c>
      <c r="D79" s="327">
        <v>-6.2663330000000003E-2</v>
      </c>
      <c r="E79"/>
      <c r="F79" s="326">
        <v>-24381.7</v>
      </c>
      <c r="G79" s="327">
        <v>-6.8103040000000004E-2</v>
      </c>
      <c r="H79"/>
      <c r="I79" s="326">
        <v>-29267.67</v>
      </c>
      <c r="J79" s="327">
        <v>-6.6898369999999999E-2</v>
      </c>
      <c r="K79"/>
      <c r="L79" s="326">
        <v>-27503.26</v>
      </c>
      <c r="M79" s="327">
        <v>-4.8363700000000003E-2</v>
      </c>
      <c r="N79"/>
      <c r="O79" s="326">
        <v>-33659.339999999997</v>
      </c>
      <c r="P79" s="327">
        <v>-7.8288320000000008E-2</v>
      </c>
      <c r="Q79"/>
      <c r="R79" s="326">
        <v>-36723.016900000002</v>
      </c>
      <c r="S79" s="327">
        <v>-7.1008139999999997E-2</v>
      </c>
      <c r="T79"/>
      <c r="U79" s="326">
        <v>-37311.036500000002</v>
      </c>
      <c r="V79" s="327">
        <v>-6.3072179999999992E-2</v>
      </c>
      <c r="W79"/>
      <c r="X79" s="326">
        <v>-31967.3056</v>
      </c>
      <c r="Y79" s="327">
        <v>-6.6442680000000004E-2</v>
      </c>
      <c r="Z79"/>
      <c r="AA79" s="326">
        <v>-32333.705099999999</v>
      </c>
      <c r="AB79" s="327">
        <v>-6.2456100000000001E-2</v>
      </c>
      <c r="AC79"/>
      <c r="AD79" s="326">
        <v>-40542.335800000001</v>
      </c>
      <c r="AE79" s="327">
        <v>-6.0673150000000002E-2</v>
      </c>
      <c r="AF79"/>
      <c r="AG79" s="326">
        <v>-46009.2235</v>
      </c>
      <c r="AH79" s="327">
        <v>-5.8948530000000013E-2</v>
      </c>
      <c r="AI79"/>
      <c r="AJ79" s="326">
        <v>-41286.120799999997</v>
      </c>
      <c r="AK79" s="327">
        <v>-5.8470059999999997E-2</v>
      </c>
      <c r="AL79"/>
      <c r="AM79" s="326">
        <v>-35634.526899999997</v>
      </c>
      <c r="AN79" s="327">
        <v>-6.0189340000000001E-2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142679.3144</v>
      </c>
      <c r="D82" s="7">
        <v>2.146027E-2</v>
      </c>
      <c r="E82"/>
      <c r="F82" s="8">
        <v>12538.98</v>
      </c>
      <c r="G82" s="7">
        <v>3.502392E-2</v>
      </c>
      <c r="H82"/>
      <c r="I82" s="8">
        <v>8930.11</v>
      </c>
      <c r="J82" s="7">
        <v>2.041194E-2</v>
      </c>
      <c r="K82"/>
      <c r="L82" s="8">
        <v>14401</v>
      </c>
      <c r="M82" s="7">
        <v>2.5323749999999999E-2</v>
      </c>
      <c r="N82"/>
      <c r="O82" s="8">
        <v>13000.97</v>
      </c>
      <c r="P82" s="7">
        <v>3.0238979999999999E-2</v>
      </c>
      <c r="Q82"/>
      <c r="R82" s="8">
        <v>11004.407300000001</v>
      </c>
      <c r="S82" s="7">
        <v>2.127828E-2</v>
      </c>
      <c r="T82"/>
      <c r="U82" s="8">
        <v>13240.2691</v>
      </c>
      <c r="V82" s="7">
        <v>2.238192E-2</v>
      </c>
      <c r="W82"/>
      <c r="X82" s="8">
        <v>10413.1666</v>
      </c>
      <c r="Y82" s="7">
        <v>2.1643320000000001E-2</v>
      </c>
      <c r="Z82"/>
      <c r="AA82" s="8">
        <v>12770.3261</v>
      </c>
      <c r="AB82" s="7">
        <v>2.4667290000000001E-2</v>
      </c>
      <c r="AC82"/>
      <c r="AD82" s="8">
        <v>13097.6288</v>
      </c>
      <c r="AE82" s="7">
        <v>1.96011E-2</v>
      </c>
      <c r="AF82"/>
      <c r="AG82" s="8">
        <v>10934.4696</v>
      </c>
      <c r="AH82" s="7">
        <v>1.4009600000000001E-2</v>
      </c>
      <c r="AI82"/>
      <c r="AJ82" s="8">
        <v>10922.33</v>
      </c>
      <c r="AK82" s="7">
        <v>1.546838E-2</v>
      </c>
      <c r="AL82"/>
      <c r="AM82" s="8">
        <v>11425.6569</v>
      </c>
      <c r="AN82" s="7">
        <v>1.9298780000000001E-2</v>
      </c>
    </row>
    <row r="83" spans="2:40" s="314" customFormat="1" ht="12.75" customHeight="1" x14ac:dyDescent="0.15">
      <c r="B83" s="5" t="s">
        <v>40</v>
      </c>
      <c r="C83" s="8">
        <v>280017</v>
      </c>
      <c r="D83" s="7">
        <v>4.2117109999999999E-2</v>
      </c>
      <c r="E83"/>
      <c r="F83" s="8">
        <v>29306.17</v>
      </c>
      <c r="G83" s="7">
        <v>8.185808E-2</v>
      </c>
      <c r="H83"/>
      <c r="I83" s="8">
        <v>15952.19</v>
      </c>
      <c r="J83" s="7">
        <v>3.6462609999999999E-2</v>
      </c>
      <c r="K83"/>
      <c r="L83" s="8">
        <v>24625.98</v>
      </c>
      <c r="M83" s="7">
        <v>4.3304090000000003E-2</v>
      </c>
      <c r="N83"/>
      <c r="O83" s="8">
        <v>15599.66</v>
      </c>
      <c r="P83" s="7">
        <v>3.6283280000000001E-2</v>
      </c>
      <c r="Q83"/>
      <c r="R83" s="8">
        <v>20672</v>
      </c>
      <c r="S83" s="7">
        <v>3.9971670000000001E-2</v>
      </c>
      <c r="T83"/>
      <c r="U83" s="8">
        <v>18500</v>
      </c>
      <c r="V83" s="7">
        <v>3.1273189999999999E-2</v>
      </c>
      <c r="W83"/>
      <c r="X83" s="8">
        <v>17219</v>
      </c>
      <c r="Y83" s="7">
        <v>3.5788960000000002E-2</v>
      </c>
      <c r="Z83"/>
      <c r="AA83" s="8">
        <v>14622</v>
      </c>
      <c r="AB83" s="7">
        <v>2.8243999999999998E-2</v>
      </c>
      <c r="AC83"/>
      <c r="AD83" s="8">
        <v>39896</v>
      </c>
      <c r="AE83" s="7">
        <v>5.9705880000000003E-2</v>
      </c>
      <c r="AF83"/>
      <c r="AG83" s="8">
        <v>38650</v>
      </c>
      <c r="AH83" s="7">
        <v>4.9519650000000012E-2</v>
      </c>
      <c r="AI83"/>
      <c r="AJ83" s="8">
        <v>13572</v>
      </c>
      <c r="AK83" s="7">
        <v>1.9220879999999999E-2</v>
      </c>
      <c r="AL83"/>
      <c r="AM83" s="8">
        <v>31402</v>
      </c>
      <c r="AN83" s="7">
        <v>5.3040289999999997E-2</v>
      </c>
    </row>
    <row r="84" spans="2:40" s="314" customFormat="1" ht="12.75" customHeight="1" x14ac:dyDescent="0.15">
      <c r="B84" s="325" t="s">
        <v>41</v>
      </c>
      <c r="C84" s="326">
        <v>-422696.31439999997</v>
      </c>
      <c r="D84" s="327">
        <v>-6.3577370000000008E-2</v>
      </c>
      <c r="E84"/>
      <c r="F84" s="326">
        <v>-41845.15</v>
      </c>
      <c r="G84" s="327">
        <v>-0.116882</v>
      </c>
      <c r="H84"/>
      <c r="I84" s="326">
        <v>-24882.3</v>
      </c>
      <c r="J84" s="327">
        <v>-5.6874540000000001E-2</v>
      </c>
      <c r="K84"/>
      <c r="L84" s="326">
        <v>-39026.980000000003</v>
      </c>
      <c r="M84" s="327">
        <v>-6.8627840000000009E-2</v>
      </c>
      <c r="N84"/>
      <c r="O84" s="326">
        <v>-28600.63</v>
      </c>
      <c r="P84" s="327">
        <v>-6.652226E-2</v>
      </c>
      <c r="Q84"/>
      <c r="R84" s="326">
        <v>-31676.407299999999</v>
      </c>
      <c r="S84" s="327">
        <v>-6.1249940000000003E-2</v>
      </c>
      <c r="T84"/>
      <c r="U84" s="326">
        <v>-31740.269100000001</v>
      </c>
      <c r="V84" s="327">
        <v>-5.3655109999999999E-2</v>
      </c>
      <c r="W84"/>
      <c r="X84" s="326">
        <v>-27632.1666</v>
      </c>
      <c r="Y84" s="327">
        <v>-5.7432280000000002E-2</v>
      </c>
      <c r="Z84"/>
      <c r="AA84" s="326">
        <v>-27392.326099999998</v>
      </c>
      <c r="AB84" s="327">
        <v>-5.291129E-2</v>
      </c>
      <c r="AC84"/>
      <c r="AD84" s="326">
        <v>-52993.628799999999</v>
      </c>
      <c r="AE84" s="327">
        <v>-7.9306979999999999E-2</v>
      </c>
      <c r="AF84"/>
      <c r="AG84" s="326">
        <v>-49584.469599999997</v>
      </c>
      <c r="AH84" s="327">
        <v>-6.3529249999999995E-2</v>
      </c>
      <c r="AI84"/>
      <c r="AJ84" s="326">
        <v>-24494.33</v>
      </c>
      <c r="AK84" s="327">
        <v>-3.468926E-2</v>
      </c>
      <c r="AL84"/>
      <c r="AM84" s="326">
        <v>-42827.656900000002</v>
      </c>
      <c r="AN84" s="327">
        <v>-7.2339070000000005E-2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-439656.93609999999</v>
      </c>
      <c r="D87" s="327">
        <v>-6.6128409999999999E-2</v>
      </c>
      <c r="E87"/>
      <c r="F87" s="326">
        <v>-46864.93</v>
      </c>
      <c r="G87" s="327">
        <v>-0.13090325999999999</v>
      </c>
      <c r="H87"/>
      <c r="I87" s="326">
        <v>-40337.910000000003</v>
      </c>
      <c r="J87" s="327">
        <v>-9.220209E-2</v>
      </c>
      <c r="K87"/>
      <c r="L87" s="326">
        <v>-37348.69</v>
      </c>
      <c r="M87" s="327">
        <v>-6.5676609999999996E-2</v>
      </c>
      <c r="N87"/>
      <c r="O87" s="326">
        <v>-29956.11</v>
      </c>
      <c r="P87" s="327">
        <v>-6.9674970000000003E-2</v>
      </c>
      <c r="Q87"/>
      <c r="R87" s="326">
        <v>-28469.844700000001</v>
      </c>
      <c r="S87" s="327">
        <v>-5.5049689999999998E-2</v>
      </c>
      <c r="T87"/>
      <c r="U87" s="326">
        <v>-31049.722099999999</v>
      </c>
      <c r="V87" s="327">
        <v>-5.2487779999999998E-2</v>
      </c>
      <c r="W87"/>
      <c r="X87" s="326">
        <v>-29558.2621</v>
      </c>
      <c r="Y87" s="327">
        <v>-6.1435589999999998E-2</v>
      </c>
      <c r="Z87"/>
      <c r="AA87" s="326">
        <v>-33253.984299999996</v>
      </c>
      <c r="AB87" s="327">
        <v>-6.4233719999999994E-2</v>
      </c>
      <c r="AC87"/>
      <c r="AD87" s="326">
        <v>-34265.891199999998</v>
      </c>
      <c r="AE87" s="327">
        <v>-5.1280210000000007E-2</v>
      </c>
      <c r="AF87"/>
      <c r="AG87" s="326">
        <v>-37435.563000000002</v>
      </c>
      <c r="AH87" s="327">
        <v>-4.796367E-2</v>
      </c>
      <c r="AI87"/>
      <c r="AJ87" s="326">
        <v>-47167.028700000003</v>
      </c>
      <c r="AK87" s="327">
        <v>-6.6798689999999994E-2</v>
      </c>
      <c r="AL87"/>
      <c r="AM87" s="326">
        <v>-43949</v>
      </c>
      <c r="AN87" s="327">
        <v>-7.4233099999999996E-2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1052051.6771</v>
      </c>
      <c r="D89" s="327">
        <v>0.15823814999999999</v>
      </c>
      <c r="E89"/>
      <c r="F89" s="326">
        <v>-79523.41</v>
      </c>
      <c r="G89" s="327">
        <v>-0.22212502000000001</v>
      </c>
      <c r="H89"/>
      <c r="I89" s="326">
        <v>30565.99</v>
      </c>
      <c r="J89" s="327">
        <v>6.9865999999999998E-2</v>
      </c>
      <c r="K89"/>
      <c r="L89" s="326">
        <v>119388.33</v>
      </c>
      <c r="M89" s="327">
        <v>0.20994099999999999</v>
      </c>
      <c r="N89"/>
      <c r="O89" s="326">
        <v>-74111.91</v>
      </c>
      <c r="P89" s="327">
        <v>-0.17237704000000001</v>
      </c>
      <c r="Q89"/>
      <c r="R89" s="326">
        <v>71248.778399999996</v>
      </c>
      <c r="S89" s="327">
        <v>0.13776763</v>
      </c>
      <c r="T89"/>
      <c r="U89" s="326">
        <v>120805.1906</v>
      </c>
      <c r="V89" s="327">
        <v>0.20421427</v>
      </c>
      <c r="W89"/>
      <c r="X89" s="326">
        <v>55364.2549</v>
      </c>
      <c r="Y89" s="327">
        <v>0.11507225</v>
      </c>
      <c r="Z89"/>
      <c r="AA89" s="326">
        <v>76320.442800000004</v>
      </c>
      <c r="AB89" s="327">
        <v>0.14742131999999999</v>
      </c>
      <c r="AC89"/>
      <c r="AD89" s="326">
        <v>156363.18950000001</v>
      </c>
      <c r="AE89" s="327">
        <v>0.23400346</v>
      </c>
      <c r="AF89"/>
      <c r="AG89" s="326">
        <v>259755.4461</v>
      </c>
      <c r="AH89" s="327">
        <v>0.33280721000000002</v>
      </c>
      <c r="AI89"/>
      <c r="AJ89" s="326">
        <v>204418.32879999999</v>
      </c>
      <c r="AK89" s="327">
        <v>0.28950047000000001</v>
      </c>
      <c r="AL89"/>
      <c r="AM89" s="326">
        <v>111457.046</v>
      </c>
      <c r="AN89" s="327">
        <v>0.18825916000000001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0</v>
      </c>
      <c r="D97" s="327">
        <v>0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0</v>
      </c>
      <c r="D99" s="7">
        <v>0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0</v>
      </c>
      <c r="D101" s="327">
        <v>0</v>
      </c>
      <c r="E101"/>
      <c r="F101" s="326">
        <v>0</v>
      </c>
      <c r="G101" s="327">
        <v>0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1052051.6771</v>
      </c>
      <c r="D103" s="327">
        <v>0.15823814999999999</v>
      </c>
      <c r="E103"/>
      <c r="F103" s="326">
        <v>-79523.41</v>
      </c>
      <c r="G103" s="327">
        <v>-0.22212502000000001</v>
      </c>
      <c r="H103"/>
      <c r="I103" s="326">
        <v>30565.99</v>
      </c>
      <c r="J103" s="327">
        <v>6.9865999999999998E-2</v>
      </c>
      <c r="K103"/>
      <c r="L103" s="326">
        <v>119388.33</v>
      </c>
      <c r="M103" s="327">
        <v>0.20994099999999999</v>
      </c>
      <c r="N103"/>
      <c r="O103" s="326">
        <v>-74111.91</v>
      </c>
      <c r="P103" s="327">
        <v>-0.17237704000000001</v>
      </c>
      <c r="Q103"/>
      <c r="R103" s="326">
        <v>71248.778399999996</v>
      </c>
      <c r="S103" s="327">
        <v>0.13776763</v>
      </c>
      <c r="T103"/>
      <c r="U103" s="326">
        <v>120805.1906</v>
      </c>
      <c r="V103" s="327">
        <v>0.20421427</v>
      </c>
      <c r="W103"/>
      <c r="X103" s="326">
        <v>55364.2549</v>
      </c>
      <c r="Y103" s="327">
        <v>0.11507225</v>
      </c>
      <c r="Z103"/>
      <c r="AA103" s="326">
        <v>76320.442800000004</v>
      </c>
      <c r="AB103" s="327">
        <v>0.14742131999999999</v>
      </c>
      <c r="AC103"/>
      <c r="AD103" s="326">
        <v>156363.18950000001</v>
      </c>
      <c r="AE103" s="327">
        <v>0.23400346</v>
      </c>
      <c r="AF103"/>
      <c r="AG103" s="326">
        <v>259755.4461</v>
      </c>
      <c r="AH103" s="327">
        <v>0.33280721000000002</v>
      </c>
      <c r="AI103"/>
      <c r="AJ103" s="326">
        <v>204418.32879999999</v>
      </c>
      <c r="AK103" s="327">
        <v>0.28950047000000001</v>
      </c>
      <c r="AL103"/>
      <c r="AM103" s="326">
        <v>111457.046</v>
      </c>
      <c r="AN103" s="327">
        <v>0.18825916000000001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333297.61</v>
      </c>
      <c r="D105" s="327">
        <v>5.0130990000000007E-2</v>
      </c>
      <c r="E105"/>
      <c r="F105" s="326">
        <v>14599.93</v>
      </c>
      <c r="G105" s="327">
        <v>4.0780570000000002E-2</v>
      </c>
      <c r="H105"/>
      <c r="I105" s="326">
        <v>14599.93</v>
      </c>
      <c r="J105" s="327">
        <v>3.3371690000000002E-2</v>
      </c>
      <c r="K105"/>
      <c r="L105" s="326">
        <v>14599.93</v>
      </c>
      <c r="M105" s="327">
        <v>2.5673560000000002E-2</v>
      </c>
      <c r="N105"/>
      <c r="O105" s="326">
        <v>20042.54</v>
      </c>
      <c r="P105" s="327">
        <v>4.6616980000000002E-2</v>
      </c>
      <c r="Q105"/>
      <c r="R105" s="326">
        <v>33681.910000000003</v>
      </c>
      <c r="S105" s="327">
        <v>6.5127810000000008E-2</v>
      </c>
      <c r="T105"/>
      <c r="U105" s="326">
        <v>33681.910000000003</v>
      </c>
      <c r="V105" s="327">
        <v>5.6937340000000003E-2</v>
      </c>
      <c r="W105"/>
      <c r="X105" s="326">
        <v>33681.910000000003</v>
      </c>
      <c r="Y105" s="327">
        <v>7.000642E-2</v>
      </c>
      <c r="Z105"/>
      <c r="AA105" s="326">
        <v>33681.910000000003</v>
      </c>
      <c r="AB105" s="327">
        <v>6.5060309999999996E-2</v>
      </c>
      <c r="AC105"/>
      <c r="AD105" s="326">
        <v>33681.910000000003</v>
      </c>
      <c r="AE105" s="327">
        <v>5.0406259999999987E-2</v>
      </c>
      <c r="AF105"/>
      <c r="AG105" s="326">
        <v>33681.910000000003</v>
      </c>
      <c r="AH105" s="327">
        <v>4.3154369999999997E-2</v>
      </c>
      <c r="AI105"/>
      <c r="AJ105" s="326">
        <v>33681.910000000003</v>
      </c>
      <c r="AK105" s="327">
        <v>4.7700850000000003E-2</v>
      </c>
      <c r="AL105"/>
      <c r="AM105" s="326">
        <v>33681.910000000003</v>
      </c>
      <c r="AN105" s="327">
        <v>5.6891230000000001E-2</v>
      </c>
    </row>
    <row r="106" spans="2:40" s="314" customFormat="1" ht="12.75" customHeight="1" x14ac:dyDescent="0.15">
      <c r="B106" s="5" t="s">
        <v>71</v>
      </c>
      <c r="C106" s="8">
        <v>263697.61</v>
      </c>
      <c r="D106" s="7">
        <v>3.966252E-2</v>
      </c>
      <c r="E106"/>
      <c r="F106" s="8">
        <v>14599.93</v>
      </c>
      <c r="G106" s="7">
        <v>4.0780570000000002E-2</v>
      </c>
      <c r="H106"/>
      <c r="I106" s="8">
        <v>14599.93</v>
      </c>
      <c r="J106" s="7">
        <v>3.3371690000000002E-2</v>
      </c>
      <c r="K106"/>
      <c r="L106" s="8">
        <v>14599.93</v>
      </c>
      <c r="M106" s="7">
        <v>2.5673560000000002E-2</v>
      </c>
      <c r="N106"/>
      <c r="O106" s="8">
        <v>20042.54</v>
      </c>
      <c r="P106" s="7">
        <v>4.6616980000000002E-2</v>
      </c>
      <c r="Q106"/>
      <c r="R106" s="8">
        <v>24981.91</v>
      </c>
      <c r="S106" s="7">
        <v>4.8305369999999993E-2</v>
      </c>
      <c r="T106"/>
      <c r="U106" s="8">
        <v>24981.91</v>
      </c>
      <c r="V106" s="7">
        <v>4.2230490000000002E-2</v>
      </c>
      <c r="W106"/>
      <c r="X106" s="8">
        <v>24981.91</v>
      </c>
      <c r="Y106" s="7">
        <v>5.1923839999999999E-2</v>
      </c>
      <c r="Z106"/>
      <c r="AA106" s="8">
        <v>24981.91</v>
      </c>
      <c r="AB106" s="7">
        <v>4.8255299999999987E-2</v>
      </c>
      <c r="AC106"/>
      <c r="AD106" s="8">
        <v>24981.91</v>
      </c>
      <c r="AE106" s="7">
        <v>3.7386379999999997E-2</v>
      </c>
      <c r="AF106"/>
      <c r="AG106" s="8">
        <v>24981.91</v>
      </c>
      <c r="AH106" s="7">
        <v>3.2007639999999997E-2</v>
      </c>
      <c r="AI106"/>
      <c r="AJ106" s="8">
        <v>24981.91</v>
      </c>
      <c r="AK106" s="7">
        <v>3.537978E-2</v>
      </c>
      <c r="AL106"/>
      <c r="AM106" s="8">
        <v>24981.91</v>
      </c>
      <c r="AN106" s="7">
        <v>4.2196289999999997E-2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32000</v>
      </c>
      <c r="D108" s="7">
        <v>4.8130899999999999E-3</v>
      </c>
      <c r="E108"/>
      <c r="F108" s="8">
        <v>0</v>
      </c>
      <c r="G108" s="7">
        <v>0</v>
      </c>
      <c r="H108"/>
      <c r="I108" s="8">
        <v>0</v>
      </c>
      <c r="J108" s="7">
        <v>0</v>
      </c>
      <c r="K108"/>
      <c r="L108" s="8">
        <v>0</v>
      </c>
      <c r="M108" s="7">
        <v>0</v>
      </c>
      <c r="N108"/>
      <c r="O108" s="8">
        <v>0</v>
      </c>
      <c r="P108" s="7">
        <v>0</v>
      </c>
      <c r="Q108"/>
      <c r="R108" s="8">
        <v>4000</v>
      </c>
      <c r="S108" s="7">
        <v>7.7344599999999994E-3</v>
      </c>
      <c r="T108"/>
      <c r="U108" s="8">
        <v>4000</v>
      </c>
      <c r="V108" s="7">
        <v>6.7617700000000003E-3</v>
      </c>
      <c r="W108"/>
      <c r="X108" s="8">
        <v>4000</v>
      </c>
      <c r="Y108" s="7">
        <v>8.3138299999999995E-3</v>
      </c>
      <c r="Z108"/>
      <c r="AA108" s="8">
        <v>4000</v>
      </c>
      <c r="AB108" s="7">
        <v>7.7264400000000002E-3</v>
      </c>
      <c r="AC108"/>
      <c r="AD108" s="8">
        <v>4000</v>
      </c>
      <c r="AE108" s="7">
        <v>5.98615E-3</v>
      </c>
      <c r="AF108"/>
      <c r="AG108" s="8">
        <v>4000</v>
      </c>
      <c r="AH108" s="7">
        <v>5.1249299999999998E-3</v>
      </c>
      <c r="AI108"/>
      <c r="AJ108" s="8">
        <v>4000</v>
      </c>
      <c r="AK108" s="7">
        <v>5.6648600000000007E-3</v>
      </c>
      <c r="AL108"/>
      <c r="AM108" s="8">
        <v>4000</v>
      </c>
      <c r="AN108" s="7">
        <v>6.7562900000000007E-3</v>
      </c>
    </row>
    <row r="109" spans="2:40" s="314" customFormat="1" ht="12.75" customHeight="1" x14ac:dyDescent="0.15">
      <c r="B109" s="5" t="s">
        <v>74</v>
      </c>
      <c r="C109" s="8">
        <v>0</v>
      </c>
      <c r="D109" s="7">
        <v>0</v>
      </c>
      <c r="E109"/>
      <c r="F109" s="8">
        <v>0</v>
      </c>
      <c r="G109" s="7">
        <v>0</v>
      </c>
      <c r="H109"/>
      <c r="I109" s="8">
        <v>0</v>
      </c>
      <c r="J109" s="7">
        <v>0</v>
      </c>
      <c r="K109"/>
      <c r="L109" s="8">
        <v>0</v>
      </c>
      <c r="M109" s="7">
        <v>0</v>
      </c>
      <c r="N109"/>
      <c r="O109" s="8">
        <v>0</v>
      </c>
      <c r="P109" s="7">
        <v>0</v>
      </c>
      <c r="Q109"/>
      <c r="R109" s="8">
        <v>0</v>
      </c>
      <c r="S109" s="7">
        <v>0</v>
      </c>
      <c r="T109"/>
      <c r="U109" s="8">
        <v>0</v>
      </c>
      <c r="V109" s="7">
        <v>0</v>
      </c>
      <c r="W109"/>
      <c r="X109" s="8">
        <v>0</v>
      </c>
      <c r="Y109" s="7">
        <v>0</v>
      </c>
      <c r="Z109"/>
      <c r="AA109" s="8">
        <v>0</v>
      </c>
      <c r="AB109" s="7">
        <v>0</v>
      </c>
      <c r="AC109"/>
      <c r="AD109" s="8">
        <v>0</v>
      </c>
      <c r="AE109" s="7">
        <v>0</v>
      </c>
      <c r="AF109"/>
      <c r="AG109" s="8">
        <v>0</v>
      </c>
      <c r="AH109" s="7">
        <v>0</v>
      </c>
      <c r="AI109"/>
      <c r="AJ109" s="8">
        <v>0</v>
      </c>
      <c r="AK109" s="7">
        <v>0</v>
      </c>
      <c r="AL109"/>
      <c r="AM109" s="8">
        <v>0</v>
      </c>
      <c r="AN109" s="7">
        <v>0</v>
      </c>
    </row>
    <row r="110" spans="2:40" s="314" customFormat="1" ht="12.75" customHeight="1" x14ac:dyDescent="0.15">
      <c r="B110" s="5" t="s">
        <v>75</v>
      </c>
      <c r="C110" s="8">
        <v>37600</v>
      </c>
      <c r="D110" s="7">
        <v>5.6553799999999998E-3</v>
      </c>
      <c r="E110"/>
      <c r="F110" s="8">
        <v>0</v>
      </c>
      <c r="G110" s="7">
        <v>0</v>
      </c>
      <c r="H110"/>
      <c r="I110" s="8">
        <v>0</v>
      </c>
      <c r="J110" s="7">
        <v>0</v>
      </c>
      <c r="K110"/>
      <c r="L110" s="8">
        <v>0</v>
      </c>
      <c r="M110" s="7">
        <v>0</v>
      </c>
      <c r="N110"/>
      <c r="O110" s="8">
        <v>0</v>
      </c>
      <c r="P110" s="7">
        <v>0</v>
      </c>
      <c r="Q110"/>
      <c r="R110" s="8">
        <v>4700</v>
      </c>
      <c r="S110" s="7">
        <v>9.0879900000000007E-3</v>
      </c>
      <c r="T110"/>
      <c r="U110" s="8">
        <v>4700</v>
      </c>
      <c r="V110" s="7">
        <v>7.9450800000000002E-3</v>
      </c>
      <c r="W110"/>
      <c r="X110" s="8">
        <v>4700</v>
      </c>
      <c r="Y110" s="7">
        <v>9.7687499999999997E-3</v>
      </c>
      <c r="Z110"/>
      <c r="AA110" s="8">
        <v>4700</v>
      </c>
      <c r="AB110" s="7">
        <v>9.0785700000000011E-3</v>
      </c>
      <c r="AC110"/>
      <c r="AD110" s="8">
        <v>4700</v>
      </c>
      <c r="AE110" s="7">
        <v>7.0337300000000002E-3</v>
      </c>
      <c r="AF110"/>
      <c r="AG110" s="8">
        <v>4700</v>
      </c>
      <c r="AH110" s="7">
        <v>6.02179E-3</v>
      </c>
      <c r="AI110"/>
      <c r="AJ110" s="8">
        <v>4700</v>
      </c>
      <c r="AK110" s="7">
        <v>6.6562100000000001E-3</v>
      </c>
      <c r="AL110"/>
      <c r="AM110" s="8">
        <v>4700</v>
      </c>
      <c r="AN110" s="7">
        <v>7.9386500000000002E-3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718754.06709999999</v>
      </c>
      <c r="D121" s="327">
        <v>0.10810715</v>
      </c>
      <c r="E121"/>
      <c r="F121" s="326">
        <v>-94123.34</v>
      </c>
      <c r="G121" s="327">
        <v>-0.26290559000000002</v>
      </c>
      <c r="H121"/>
      <c r="I121" s="326">
        <v>15966.06</v>
      </c>
      <c r="J121" s="327">
        <v>3.6494310000000002E-2</v>
      </c>
      <c r="K121"/>
      <c r="L121" s="326">
        <v>104788.4</v>
      </c>
      <c r="M121" s="327">
        <v>0.18426744</v>
      </c>
      <c r="N121"/>
      <c r="O121" s="326">
        <v>-94154.45</v>
      </c>
      <c r="P121" s="327">
        <v>-0.21899402000000001</v>
      </c>
      <c r="Q121"/>
      <c r="R121" s="326">
        <v>37566.868399999999</v>
      </c>
      <c r="S121" s="327">
        <v>7.2639820000000008E-2</v>
      </c>
      <c r="T121"/>
      <c r="U121" s="326">
        <v>87123.280599999998</v>
      </c>
      <c r="V121" s="327">
        <v>0.14727693</v>
      </c>
      <c r="W121"/>
      <c r="X121" s="326">
        <v>21682.3449</v>
      </c>
      <c r="Y121" s="327">
        <v>4.5065830000000001E-2</v>
      </c>
      <c r="Z121"/>
      <c r="AA121" s="326">
        <v>42638.532800000001</v>
      </c>
      <c r="AB121" s="327">
        <v>8.2361009999999998E-2</v>
      </c>
      <c r="AC121"/>
      <c r="AD121" s="326">
        <v>122681.2795</v>
      </c>
      <c r="AE121" s="327">
        <v>0.18359719999999999</v>
      </c>
      <c r="AF121"/>
      <c r="AG121" s="326">
        <v>226073.5361</v>
      </c>
      <c r="AH121" s="327">
        <v>0.28965284000000002</v>
      </c>
      <c r="AI121"/>
      <c r="AJ121" s="326">
        <v>170736.41880000001</v>
      </c>
      <c r="AK121" s="327">
        <v>0.24179961999999999</v>
      </c>
      <c r="AL121"/>
      <c r="AM121" s="326">
        <v>77775.135999999999</v>
      </c>
      <c r="AN121" s="327">
        <v>0.13136792999999999</v>
      </c>
    </row>
    <row r="122" spans="2:40" s="314" customFormat="1" ht="12.75" customHeight="1" x14ac:dyDescent="0.15">
      <c r="B122" s="5" t="s">
        <v>85</v>
      </c>
      <c r="C122" s="8">
        <v>49194.907399999996</v>
      </c>
      <c r="D122" s="7">
        <v>7.3993600000000007E-3</v>
      </c>
      <c r="E122"/>
      <c r="F122" s="8">
        <v>0</v>
      </c>
      <c r="G122" s="7">
        <v>0</v>
      </c>
      <c r="H122"/>
      <c r="I122" s="8">
        <v>0</v>
      </c>
      <c r="J122" s="7">
        <v>0</v>
      </c>
      <c r="K122"/>
      <c r="L122" s="8">
        <v>0</v>
      </c>
      <c r="M122" s="7">
        <v>0</v>
      </c>
      <c r="N122"/>
      <c r="O122" s="8">
        <v>0</v>
      </c>
      <c r="P122" s="7">
        <v>0</v>
      </c>
      <c r="Q122"/>
      <c r="R122" s="8">
        <v>4447.6304</v>
      </c>
      <c r="S122" s="7">
        <v>8.6E-3</v>
      </c>
      <c r="T122"/>
      <c r="U122" s="8">
        <v>5619.8290999999999</v>
      </c>
      <c r="V122" s="7">
        <v>9.4999999999999998E-3</v>
      </c>
      <c r="W122"/>
      <c r="X122" s="8">
        <v>6350.8638000000001</v>
      </c>
      <c r="Y122" s="7">
        <v>1.32E-2</v>
      </c>
      <c r="Z122"/>
      <c r="AA122" s="8">
        <v>6264.2051000000001</v>
      </c>
      <c r="AB122" s="7">
        <v>1.21E-2</v>
      </c>
      <c r="AC122"/>
      <c r="AD122" s="8">
        <v>6013.8798999999999</v>
      </c>
      <c r="AE122" s="7">
        <v>9.0000000000000011E-3</v>
      </c>
      <c r="AF122"/>
      <c r="AG122" s="8">
        <v>7255.5861999999997</v>
      </c>
      <c r="AH122" s="7">
        <v>9.2960999999999998E-3</v>
      </c>
      <c r="AI122"/>
      <c r="AJ122" s="8">
        <v>6863.6534000000001</v>
      </c>
      <c r="AK122" s="7">
        <v>9.7204100000000005E-3</v>
      </c>
      <c r="AL122"/>
      <c r="AM122" s="8">
        <v>6379.2595000000001</v>
      </c>
      <c r="AN122" s="7">
        <v>1.077504E-2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669559.15960000001</v>
      </c>
      <c r="D124" s="327">
        <v>0.10070779000000001</v>
      </c>
      <c r="E124"/>
      <c r="F124" s="326">
        <v>-94123.34</v>
      </c>
      <c r="G124" s="327">
        <v>-0.26290559000000002</v>
      </c>
      <c r="H124"/>
      <c r="I124" s="326">
        <v>15966.06</v>
      </c>
      <c r="J124" s="327">
        <v>3.6494310000000002E-2</v>
      </c>
      <c r="K124"/>
      <c r="L124" s="326">
        <v>104788.4</v>
      </c>
      <c r="M124" s="327">
        <v>0.18426744</v>
      </c>
      <c r="N124"/>
      <c r="O124" s="326">
        <v>-94154.45</v>
      </c>
      <c r="P124" s="327">
        <v>-0.21899402000000001</v>
      </c>
      <c r="Q124"/>
      <c r="R124" s="326">
        <v>33119.237999999998</v>
      </c>
      <c r="S124" s="327">
        <v>6.4039819999999997E-2</v>
      </c>
      <c r="T124"/>
      <c r="U124" s="326">
        <v>81503.451499999996</v>
      </c>
      <c r="V124" s="327">
        <v>0.13777692999999999</v>
      </c>
      <c r="W124"/>
      <c r="X124" s="326">
        <v>15331.4812</v>
      </c>
      <c r="Y124" s="327">
        <v>3.1865829999999998E-2</v>
      </c>
      <c r="Z124"/>
      <c r="AA124" s="326">
        <v>36374.327700000002</v>
      </c>
      <c r="AB124" s="327">
        <v>7.0261009999999999E-2</v>
      </c>
      <c r="AC124"/>
      <c r="AD124" s="326">
        <v>116667.3995</v>
      </c>
      <c r="AE124" s="327">
        <v>0.17459720000000001</v>
      </c>
      <c r="AF124"/>
      <c r="AG124" s="326">
        <v>218817.94990000001</v>
      </c>
      <c r="AH124" s="327">
        <v>0.28035673999999999</v>
      </c>
      <c r="AI124"/>
      <c r="AJ124" s="326">
        <v>163872.7653</v>
      </c>
      <c r="AK124" s="327">
        <v>0.23207920000000001</v>
      </c>
      <c r="AL124"/>
      <c r="AM124" s="326">
        <v>71395.876499999998</v>
      </c>
      <c r="AN124" s="327">
        <v>0.12059288999999999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669559.15960000001</v>
      </c>
      <c r="D127" s="327">
        <v>0.10070779000000001</v>
      </c>
      <c r="E127"/>
      <c r="F127" s="326">
        <v>-94123.34</v>
      </c>
      <c r="G127" s="327">
        <v>-0.26290559000000002</v>
      </c>
      <c r="H127"/>
      <c r="I127" s="326">
        <v>15966.06</v>
      </c>
      <c r="J127" s="327">
        <v>3.6494310000000002E-2</v>
      </c>
      <c r="K127"/>
      <c r="L127" s="326">
        <v>104788.4</v>
      </c>
      <c r="M127" s="327">
        <v>0.18426744</v>
      </c>
      <c r="N127"/>
      <c r="O127" s="326">
        <v>-94154.45</v>
      </c>
      <c r="P127" s="327">
        <v>-0.21899402000000001</v>
      </c>
      <c r="Q127"/>
      <c r="R127" s="326">
        <v>33119.237999999998</v>
      </c>
      <c r="S127" s="327">
        <v>6.4039819999999997E-2</v>
      </c>
      <c r="T127"/>
      <c r="U127" s="326">
        <v>81503.451499999996</v>
      </c>
      <c r="V127" s="327">
        <v>0.13777692999999999</v>
      </c>
      <c r="W127"/>
      <c r="X127" s="326">
        <v>15331.4812</v>
      </c>
      <c r="Y127" s="327">
        <v>3.1865829999999998E-2</v>
      </c>
      <c r="Z127"/>
      <c r="AA127" s="326">
        <v>36374.327700000002</v>
      </c>
      <c r="AB127" s="327">
        <v>7.0261009999999999E-2</v>
      </c>
      <c r="AC127"/>
      <c r="AD127" s="326">
        <v>116667.3995</v>
      </c>
      <c r="AE127" s="327">
        <v>0.17459720000000001</v>
      </c>
      <c r="AF127"/>
      <c r="AG127" s="326">
        <v>218817.94990000001</v>
      </c>
      <c r="AH127" s="327">
        <v>0.28035673999999999</v>
      </c>
      <c r="AI127"/>
      <c r="AJ127" s="326">
        <v>163872.7653</v>
      </c>
      <c r="AK127" s="327">
        <v>0.23207920000000001</v>
      </c>
      <c r="AL127"/>
      <c r="AM127" s="326">
        <v>71395.876499999998</v>
      </c>
      <c r="AN127" s="327">
        <v>0.12059288999999999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140517.9088</v>
      </c>
      <c r="D129" s="327">
        <v>2.1135170000000002E-2</v>
      </c>
      <c r="E129"/>
      <c r="F129" s="326">
        <v>10608.88</v>
      </c>
      <c r="G129" s="327">
        <v>2.9632749999999999E-2</v>
      </c>
      <c r="H129"/>
      <c r="I129" s="326">
        <v>12999.26</v>
      </c>
      <c r="J129" s="327">
        <v>2.9712969999999998E-2</v>
      </c>
      <c r="K129"/>
      <c r="L129" s="326">
        <v>11300.81</v>
      </c>
      <c r="M129" s="327">
        <v>1.9872150000000002E-2</v>
      </c>
      <c r="N129"/>
      <c r="O129" s="326">
        <v>8520.74</v>
      </c>
      <c r="P129" s="327">
        <v>1.9818410000000002E-2</v>
      </c>
      <c r="Q129"/>
      <c r="R129" s="326">
        <v>10343.326499999999</v>
      </c>
      <c r="S129" s="327">
        <v>0.02</v>
      </c>
      <c r="T129"/>
      <c r="U129" s="326">
        <v>11831.2191</v>
      </c>
      <c r="V129" s="327">
        <v>0.02</v>
      </c>
      <c r="W129"/>
      <c r="X129" s="326">
        <v>9622.5208000000002</v>
      </c>
      <c r="Y129" s="327">
        <v>0.02</v>
      </c>
      <c r="Z129"/>
      <c r="AA129" s="326">
        <v>10354.058000000001</v>
      </c>
      <c r="AB129" s="327">
        <v>0.02</v>
      </c>
      <c r="AC129"/>
      <c r="AD129" s="326">
        <v>13364.177600000001</v>
      </c>
      <c r="AE129" s="327">
        <v>0.02</v>
      </c>
      <c r="AF129"/>
      <c r="AG129" s="326">
        <v>15609.9653</v>
      </c>
      <c r="AH129" s="327">
        <v>0.02</v>
      </c>
      <c r="AI129"/>
      <c r="AJ129" s="326">
        <v>14122.1414</v>
      </c>
      <c r="AK129" s="327">
        <v>0.02</v>
      </c>
      <c r="AL129"/>
      <c r="AM129" s="326">
        <v>11840.810100000001</v>
      </c>
      <c r="AN129" s="327">
        <v>0.02</v>
      </c>
    </row>
    <row r="130" spans="2:40" s="314" customFormat="1" ht="12.75" customHeight="1" x14ac:dyDescent="0.15">
      <c r="B130" s="5" t="s">
        <v>90</v>
      </c>
      <c r="C130" s="8">
        <v>140517.9088</v>
      </c>
      <c r="D130" s="7">
        <v>2.1135170000000002E-2</v>
      </c>
      <c r="E130"/>
      <c r="F130" s="8">
        <v>10608.88</v>
      </c>
      <c r="G130" s="7">
        <v>2.9632749999999999E-2</v>
      </c>
      <c r="H130"/>
      <c r="I130" s="8">
        <v>12999.26</v>
      </c>
      <c r="J130" s="7">
        <v>2.9712969999999998E-2</v>
      </c>
      <c r="K130"/>
      <c r="L130" s="8">
        <v>11300.81</v>
      </c>
      <c r="M130" s="7">
        <v>1.9872150000000002E-2</v>
      </c>
      <c r="N130"/>
      <c r="O130" s="8">
        <v>8520.74</v>
      </c>
      <c r="P130" s="7">
        <v>1.9818410000000002E-2</v>
      </c>
      <c r="Q130"/>
      <c r="R130" s="8">
        <v>10343.326499999999</v>
      </c>
      <c r="S130" s="7">
        <v>0.02</v>
      </c>
      <c r="T130"/>
      <c r="U130" s="8">
        <v>11831.2191</v>
      </c>
      <c r="V130" s="7">
        <v>0.02</v>
      </c>
      <c r="W130"/>
      <c r="X130" s="8">
        <v>9622.5208000000002</v>
      </c>
      <c r="Y130" s="7">
        <v>0.02</v>
      </c>
      <c r="Z130"/>
      <c r="AA130" s="8">
        <v>10354.058000000001</v>
      </c>
      <c r="AB130" s="7">
        <v>0.02</v>
      </c>
      <c r="AC130"/>
      <c r="AD130" s="8">
        <v>13364.177600000001</v>
      </c>
      <c r="AE130" s="7">
        <v>0.02</v>
      </c>
      <c r="AF130"/>
      <c r="AG130" s="8">
        <v>15609.9653</v>
      </c>
      <c r="AH130" s="7">
        <v>0.02</v>
      </c>
      <c r="AI130"/>
      <c r="AJ130" s="8">
        <v>14122.1414</v>
      </c>
      <c r="AK130" s="7">
        <v>0.02</v>
      </c>
      <c r="AL130"/>
      <c r="AM130" s="8">
        <v>11840.810100000001</v>
      </c>
      <c r="AN130" s="7">
        <v>0.02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529041.25080000004</v>
      </c>
      <c r="D134" s="327">
        <v>7.9572619999999997E-2</v>
      </c>
      <c r="E134"/>
      <c r="F134" s="326">
        <v>-104732.22</v>
      </c>
      <c r="G134" s="327">
        <v>-0.29253834000000001</v>
      </c>
      <c r="H134"/>
      <c r="I134" s="326">
        <v>2966.8</v>
      </c>
      <c r="J134" s="327">
        <v>6.7813400000000003E-3</v>
      </c>
      <c r="K134"/>
      <c r="L134" s="326">
        <v>93487.59</v>
      </c>
      <c r="M134" s="327">
        <v>0.16439528</v>
      </c>
      <c r="N134"/>
      <c r="O134" s="326">
        <v>-102675.19</v>
      </c>
      <c r="P134" s="327">
        <v>-0.23881242</v>
      </c>
      <c r="Q134"/>
      <c r="R134" s="326">
        <v>22775.911499999998</v>
      </c>
      <c r="S134" s="327">
        <v>4.403982E-2</v>
      </c>
      <c r="T134"/>
      <c r="U134" s="326">
        <v>69672.232399999994</v>
      </c>
      <c r="V134" s="327">
        <v>0.11777693</v>
      </c>
      <c r="W134"/>
      <c r="X134" s="326">
        <v>5708.9603999999999</v>
      </c>
      <c r="Y134" s="327">
        <v>1.1865830000000001E-2</v>
      </c>
      <c r="Z134"/>
      <c r="AA134" s="326">
        <v>26020.2696</v>
      </c>
      <c r="AB134" s="327">
        <v>5.0261009999999988E-2</v>
      </c>
      <c r="AC134"/>
      <c r="AD134" s="326">
        <v>103303.2219</v>
      </c>
      <c r="AE134" s="327">
        <v>0.15459719999999999</v>
      </c>
      <c r="AF134"/>
      <c r="AG134" s="326">
        <v>203207.9847</v>
      </c>
      <c r="AH134" s="327">
        <v>0.26035673999999998</v>
      </c>
      <c r="AI134"/>
      <c r="AJ134" s="326">
        <v>149750.62390000001</v>
      </c>
      <c r="AK134" s="327">
        <v>0.2120792</v>
      </c>
      <c r="AL134"/>
      <c r="AM134" s="326">
        <v>59555.066400000003</v>
      </c>
      <c r="AN134" s="327">
        <v>0.10059289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2060391.04</v>
      </c>
      <c r="D136" s="327">
        <v>0.30990157000000002</v>
      </c>
      <c r="E136"/>
      <c r="F136" s="326">
        <v>169819.92</v>
      </c>
      <c r="G136" s="327">
        <v>0.47434150000000003</v>
      </c>
      <c r="H136"/>
      <c r="I136" s="326">
        <v>169819.92</v>
      </c>
      <c r="J136" s="327">
        <v>0.38816467999999998</v>
      </c>
      <c r="K136"/>
      <c r="L136" s="326">
        <v>169887.6</v>
      </c>
      <c r="M136" s="327">
        <v>0.29874254</v>
      </c>
      <c r="N136"/>
      <c r="O136" s="326">
        <v>169887.6</v>
      </c>
      <c r="P136" s="327">
        <v>0.39514189999999999</v>
      </c>
      <c r="Q136"/>
      <c r="R136" s="326">
        <v>172622</v>
      </c>
      <c r="S136" s="327">
        <v>0.33378429999999998</v>
      </c>
      <c r="T136"/>
      <c r="U136" s="326">
        <v>172622</v>
      </c>
      <c r="V136" s="327">
        <v>0.29180762999999998</v>
      </c>
      <c r="W136"/>
      <c r="X136" s="326">
        <v>172622</v>
      </c>
      <c r="Y136" s="327">
        <v>0.35878747999999999</v>
      </c>
      <c r="Z136"/>
      <c r="AA136" s="326">
        <v>172622</v>
      </c>
      <c r="AB136" s="327">
        <v>0.33343834999999999</v>
      </c>
      <c r="AC136"/>
      <c r="AD136" s="326">
        <v>172622</v>
      </c>
      <c r="AE136" s="327">
        <v>0.25833539</v>
      </c>
      <c r="AF136"/>
      <c r="AG136" s="326">
        <v>172622</v>
      </c>
      <c r="AH136" s="327">
        <v>0.22116896999999999</v>
      </c>
      <c r="AI136"/>
      <c r="AJ136" s="326">
        <v>172622</v>
      </c>
      <c r="AK136" s="327">
        <v>0.24447000999999999</v>
      </c>
      <c r="AL136"/>
      <c r="AM136" s="326">
        <v>172622</v>
      </c>
      <c r="AN136" s="327">
        <v>0.29157126999999999</v>
      </c>
    </row>
    <row r="137" spans="2:40" s="314" customFormat="1" ht="12.75" customHeight="1" x14ac:dyDescent="0.15">
      <c r="B137" s="5" t="s">
        <v>95</v>
      </c>
      <c r="C137" s="8">
        <v>2060391.04</v>
      </c>
      <c r="D137" s="7">
        <v>0.30990157000000002</v>
      </c>
      <c r="E137"/>
      <c r="F137" s="8">
        <v>169819.92</v>
      </c>
      <c r="G137" s="7">
        <v>0.47434150000000003</v>
      </c>
      <c r="H137"/>
      <c r="I137" s="8">
        <v>169819.92</v>
      </c>
      <c r="J137" s="7">
        <v>0.38816467999999998</v>
      </c>
      <c r="K137"/>
      <c r="L137" s="8">
        <v>169887.6</v>
      </c>
      <c r="M137" s="7">
        <v>0.29874254</v>
      </c>
      <c r="N137"/>
      <c r="O137" s="8">
        <v>169887.6</v>
      </c>
      <c r="P137" s="7">
        <v>0.39514189999999999</v>
      </c>
      <c r="Q137"/>
      <c r="R137" s="8">
        <v>172622</v>
      </c>
      <c r="S137" s="7">
        <v>0.33378429999999998</v>
      </c>
      <c r="T137"/>
      <c r="U137" s="8">
        <v>172622</v>
      </c>
      <c r="V137" s="7">
        <v>0.29180762999999998</v>
      </c>
      <c r="W137"/>
      <c r="X137" s="8">
        <v>172622</v>
      </c>
      <c r="Y137" s="7">
        <v>0.35878747999999999</v>
      </c>
      <c r="Z137"/>
      <c r="AA137" s="8">
        <v>172622</v>
      </c>
      <c r="AB137" s="7">
        <v>0.33343834999999999</v>
      </c>
      <c r="AC137"/>
      <c r="AD137" s="8">
        <v>172622</v>
      </c>
      <c r="AE137" s="7">
        <v>0.25833539</v>
      </c>
      <c r="AF137"/>
      <c r="AG137" s="8">
        <v>172622</v>
      </c>
      <c r="AH137" s="7">
        <v>0.22116896999999999</v>
      </c>
      <c r="AI137"/>
      <c r="AJ137" s="8">
        <v>172622</v>
      </c>
      <c r="AK137" s="7">
        <v>0.24447000999999999</v>
      </c>
      <c r="AL137"/>
      <c r="AM137" s="8">
        <v>172622</v>
      </c>
      <c r="AN137" s="7">
        <v>0.29157126999999999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-1531349.7892</v>
      </c>
      <c r="D141" s="327">
        <v>-0.23032895</v>
      </c>
      <c r="E141"/>
      <c r="F141" s="326">
        <v>-274552.14</v>
      </c>
      <c r="G141" s="327">
        <v>-0.76687983999999998</v>
      </c>
      <c r="H141"/>
      <c r="I141" s="326">
        <v>-166853.12</v>
      </c>
      <c r="J141" s="327">
        <v>-0.38138334000000002</v>
      </c>
      <c r="K141"/>
      <c r="L141" s="326">
        <v>-76400.009999999995</v>
      </c>
      <c r="M141" s="327">
        <v>-0.13434726</v>
      </c>
      <c r="N141"/>
      <c r="O141" s="326">
        <v>-272562.78999999998</v>
      </c>
      <c r="P141" s="327">
        <v>-0.63395431999999996</v>
      </c>
      <c r="Q141"/>
      <c r="R141" s="326">
        <v>-149846.08850000001</v>
      </c>
      <c r="S141" s="327">
        <v>-0.28974448000000003</v>
      </c>
      <c r="T141"/>
      <c r="U141" s="326">
        <v>-102949.76760000001</v>
      </c>
      <c r="V141" s="327">
        <v>-0.17403070000000001</v>
      </c>
      <c r="W141"/>
      <c r="X141" s="326">
        <v>-166913.03959999999</v>
      </c>
      <c r="Y141" s="327">
        <v>-0.34692165000000003</v>
      </c>
      <c r="Z141"/>
      <c r="AA141" s="326">
        <v>-146601.7304</v>
      </c>
      <c r="AB141" s="327">
        <v>-0.28317734</v>
      </c>
      <c r="AC141"/>
      <c r="AD141" s="326">
        <v>-69318.778099999996</v>
      </c>
      <c r="AE141" s="327">
        <v>-0.10373818999999999</v>
      </c>
      <c r="AF141"/>
      <c r="AG141" s="326">
        <v>30585.984700000001</v>
      </c>
      <c r="AH141" s="327">
        <v>3.9187769999999997E-2</v>
      </c>
      <c r="AI141"/>
      <c r="AJ141" s="326">
        <v>-22871.376100000001</v>
      </c>
      <c r="AK141" s="327">
        <v>-3.2390799999999997E-2</v>
      </c>
      <c r="AL141"/>
      <c r="AM141" s="326">
        <v>-113066.9336</v>
      </c>
      <c r="AN141" s="327">
        <v>-0.19097838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-1531349.7892</v>
      </c>
      <c r="D144" s="327">
        <v>-0.23032895</v>
      </c>
      <c r="E144"/>
      <c r="F144" s="326">
        <v>-274552.14</v>
      </c>
      <c r="G144" s="327">
        <v>-0.76687983999999998</v>
      </c>
      <c r="H144"/>
      <c r="I144" s="326">
        <v>-166853.12</v>
      </c>
      <c r="J144" s="327">
        <v>-0.38138334000000002</v>
      </c>
      <c r="K144"/>
      <c r="L144" s="326">
        <v>-76400.009999999995</v>
      </c>
      <c r="M144" s="327">
        <v>-0.13434726</v>
      </c>
      <c r="N144"/>
      <c r="O144" s="326">
        <v>-272562.78999999998</v>
      </c>
      <c r="P144" s="327">
        <v>-0.63395431999999996</v>
      </c>
      <c r="Q144"/>
      <c r="R144" s="326">
        <v>-149846.08850000001</v>
      </c>
      <c r="S144" s="327">
        <v>-0.28974448000000003</v>
      </c>
      <c r="T144"/>
      <c r="U144" s="326">
        <v>-102949.76760000001</v>
      </c>
      <c r="V144" s="327">
        <v>-0.17403070000000001</v>
      </c>
      <c r="W144"/>
      <c r="X144" s="326">
        <v>-166913.03959999999</v>
      </c>
      <c r="Y144" s="327">
        <v>-0.34692165000000003</v>
      </c>
      <c r="Z144"/>
      <c r="AA144" s="326">
        <v>-146601.7304</v>
      </c>
      <c r="AB144" s="327">
        <v>-0.28317734</v>
      </c>
      <c r="AC144"/>
      <c r="AD144" s="326">
        <v>-69318.778099999996</v>
      </c>
      <c r="AE144" s="327">
        <v>-0.10373818999999999</v>
      </c>
      <c r="AF144"/>
      <c r="AG144" s="326">
        <v>30585.984700000001</v>
      </c>
      <c r="AH144" s="327">
        <v>3.9187769999999997E-2</v>
      </c>
      <c r="AI144"/>
      <c r="AJ144" s="326">
        <v>-22871.376100000001</v>
      </c>
      <c r="AK144" s="327">
        <v>-3.2390799999999997E-2</v>
      </c>
      <c r="AL144"/>
      <c r="AM144" s="326">
        <v>-113066.9336</v>
      </c>
      <c r="AN144" s="327">
        <v>-0.19097838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-1531349.7892</v>
      </c>
      <c r="D147" s="327">
        <v>-0.23032895</v>
      </c>
      <c r="E147"/>
      <c r="F147" s="326">
        <v>-274552.14</v>
      </c>
      <c r="G147" s="327">
        <v>-0.76687983999999998</v>
      </c>
      <c r="H147"/>
      <c r="I147" s="326">
        <v>-166853.12</v>
      </c>
      <c r="J147" s="327">
        <v>-0.38138334000000002</v>
      </c>
      <c r="K147"/>
      <c r="L147" s="326">
        <v>-76400.009999999995</v>
      </c>
      <c r="M147" s="327">
        <v>-0.13434726</v>
      </c>
      <c r="N147"/>
      <c r="O147" s="326">
        <v>-272562.78999999998</v>
      </c>
      <c r="P147" s="327">
        <v>-0.63395431999999996</v>
      </c>
      <c r="Q147"/>
      <c r="R147" s="326">
        <v>-149846.08850000001</v>
      </c>
      <c r="S147" s="327">
        <v>-0.28974448000000003</v>
      </c>
      <c r="T147"/>
      <c r="U147" s="326">
        <v>-102949.76760000001</v>
      </c>
      <c r="V147" s="327">
        <v>-0.17403070000000001</v>
      </c>
      <c r="W147"/>
      <c r="X147" s="326">
        <v>-166913.03959999999</v>
      </c>
      <c r="Y147" s="327">
        <v>-0.34692165000000003</v>
      </c>
      <c r="Z147"/>
      <c r="AA147" s="326">
        <v>-146601.7304</v>
      </c>
      <c r="AB147" s="327">
        <v>-0.28317734</v>
      </c>
      <c r="AC147"/>
      <c r="AD147" s="326">
        <v>-69318.778099999996</v>
      </c>
      <c r="AE147" s="327">
        <v>-0.10373818999999999</v>
      </c>
      <c r="AF147"/>
      <c r="AG147" s="326">
        <v>30585.984700000001</v>
      </c>
      <c r="AH147" s="327">
        <v>3.9187769999999997E-2</v>
      </c>
      <c r="AI147"/>
      <c r="AJ147" s="326">
        <v>-22871.376100000001</v>
      </c>
      <c r="AK147" s="327">
        <v>-3.2390799999999997E-2</v>
      </c>
      <c r="AL147"/>
      <c r="AM147" s="326">
        <v>-113066.9336</v>
      </c>
      <c r="AN147" s="327">
        <v>-0.19097838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-1531349.7892</v>
      </c>
      <c r="D150" s="327">
        <v>-0.23032895</v>
      </c>
      <c r="E150"/>
      <c r="F150" s="326">
        <v>-274552.14</v>
      </c>
      <c r="G150" s="327">
        <v>-0.76687983999999998</v>
      </c>
      <c r="H150"/>
      <c r="I150" s="326">
        <v>-166853.12</v>
      </c>
      <c r="J150" s="327">
        <v>-0.38138334000000002</v>
      </c>
      <c r="K150"/>
      <c r="L150" s="326">
        <v>-76400.009999999995</v>
      </c>
      <c r="M150" s="327">
        <v>-0.13434726</v>
      </c>
      <c r="N150"/>
      <c r="O150" s="326">
        <v>-272562.78999999998</v>
      </c>
      <c r="P150" s="327">
        <v>-0.63395431999999996</v>
      </c>
      <c r="Q150"/>
      <c r="R150" s="326">
        <v>-149846.08850000001</v>
      </c>
      <c r="S150" s="327">
        <v>-0.28974448000000003</v>
      </c>
      <c r="T150"/>
      <c r="U150" s="326">
        <v>-102949.76760000001</v>
      </c>
      <c r="V150" s="327">
        <v>-0.17403070000000001</v>
      </c>
      <c r="W150"/>
      <c r="X150" s="326">
        <v>-166913.03959999999</v>
      </c>
      <c r="Y150" s="327">
        <v>-0.34692165000000003</v>
      </c>
      <c r="Z150"/>
      <c r="AA150" s="326">
        <v>-146601.7304</v>
      </c>
      <c r="AB150" s="327">
        <v>-0.28317734</v>
      </c>
      <c r="AC150"/>
      <c r="AD150" s="326">
        <v>-69318.778099999996</v>
      </c>
      <c r="AE150" s="327">
        <v>-0.10373818999999999</v>
      </c>
      <c r="AF150"/>
      <c r="AG150" s="326">
        <v>30585.984700000001</v>
      </c>
      <c r="AH150" s="327">
        <v>3.9187769999999997E-2</v>
      </c>
      <c r="AI150"/>
      <c r="AJ150" s="326">
        <v>-22871.376100000001</v>
      </c>
      <c r="AK150" s="327">
        <v>-3.2390799999999997E-2</v>
      </c>
      <c r="AL150"/>
      <c r="AM150" s="326">
        <v>-113066.9336</v>
      </c>
      <c r="AN150" s="327">
        <v>-0.19097838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-1499349.7892</v>
      </c>
      <c r="D153" s="7">
        <v>-0.22551586000000001</v>
      </c>
      <c r="E153"/>
      <c r="F153" s="8">
        <v>-274552.14</v>
      </c>
      <c r="G153" s="7">
        <v>-0.76687983999999998</v>
      </c>
      <c r="H153"/>
      <c r="I153" s="8">
        <v>-166853.12</v>
      </c>
      <c r="J153" s="7">
        <v>-0.38138334000000002</v>
      </c>
      <c r="K153"/>
      <c r="L153" s="8">
        <v>-76400.009999999995</v>
      </c>
      <c r="M153" s="7">
        <v>-0.13434726</v>
      </c>
      <c r="N153"/>
      <c r="O153" s="8">
        <v>-272562.78999999998</v>
      </c>
      <c r="P153" s="7">
        <v>-0.63395431999999996</v>
      </c>
      <c r="Q153"/>
      <c r="R153" s="8">
        <v>-145846.08850000001</v>
      </c>
      <c r="S153" s="7">
        <v>-0.28201003000000002</v>
      </c>
      <c r="T153"/>
      <c r="U153" s="8">
        <v>-98949.767600000006</v>
      </c>
      <c r="V153" s="7">
        <v>-0.16726893000000001</v>
      </c>
      <c r="W153"/>
      <c r="X153" s="8">
        <v>-162913.03959999999</v>
      </c>
      <c r="Y153" s="7">
        <v>-0.33860782</v>
      </c>
      <c r="Z153"/>
      <c r="AA153" s="8">
        <v>-142601.7304</v>
      </c>
      <c r="AB153" s="7">
        <v>-0.2754509</v>
      </c>
      <c r="AC153"/>
      <c r="AD153" s="8">
        <v>-65318.778100000003</v>
      </c>
      <c r="AE153" s="7">
        <v>-9.7752039999999998E-2</v>
      </c>
      <c r="AF153"/>
      <c r="AG153" s="8">
        <v>34585.984700000001</v>
      </c>
      <c r="AH153" s="7">
        <v>4.4312699999999997E-2</v>
      </c>
      <c r="AI153"/>
      <c r="AJ153" s="8">
        <v>-18871.376100000001</v>
      </c>
      <c r="AK153" s="7">
        <v>-2.672594E-2</v>
      </c>
      <c r="AL153"/>
      <c r="AM153" s="8">
        <v>-109066.9336</v>
      </c>
      <c r="AN153" s="7">
        <v>-0.18422208000000001</v>
      </c>
    </row>
    <row r="154" spans="2:40" s="314" customFormat="1" ht="12.75" customHeight="1" x14ac:dyDescent="0.15">
      <c r="B154" s="5" t="s">
        <v>107</v>
      </c>
      <c r="C154" s="6">
        <v>-1531349.7892</v>
      </c>
      <c r="D154" s="7">
        <v>-0.23032895</v>
      </c>
      <c r="E154"/>
      <c r="F154" s="8">
        <v>-274552.14</v>
      </c>
      <c r="G154" s="7">
        <v>-0.76687983999999998</v>
      </c>
      <c r="H154"/>
      <c r="I154" s="8">
        <v>-166853.12</v>
      </c>
      <c r="J154" s="7">
        <v>-0.38138334000000002</v>
      </c>
      <c r="K154"/>
      <c r="L154" s="8">
        <v>-76400.009999999995</v>
      </c>
      <c r="M154" s="7">
        <v>-0.13434726</v>
      </c>
      <c r="N154"/>
      <c r="O154" s="8">
        <v>-272562.78999999998</v>
      </c>
      <c r="P154" s="7">
        <v>-0.63395431999999996</v>
      </c>
      <c r="Q154"/>
      <c r="R154" s="8">
        <v>-149846.08850000001</v>
      </c>
      <c r="S154" s="7">
        <v>-0.28974448000000003</v>
      </c>
      <c r="T154"/>
      <c r="U154" s="8">
        <v>-102949.76760000001</v>
      </c>
      <c r="V154" s="7">
        <v>-0.17403070000000001</v>
      </c>
      <c r="W154"/>
      <c r="X154" s="8">
        <v>-166913.03959999999</v>
      </c>
      <c r="Y154" s="7">
        <v>-0.34692165000000003</v>
      </c>
      <c r="Z154"/>
      <c r="AA154" s="8">
        <v>-146601.7304</v>
      </c>
      <c r="AB154" s="7">
        <v>-0.28317734</v>
      </c>
      <c r="AC154"/>
      <c r="AD154" s="8">
        <v>-69318.778099999996</v>
      </c>
      <c r="AE154" s="7">
        <v>-0.10373818999999999</v>
      </c>
      <c r="AF154"/>
      <c r="AG154" s="8">
        <v>30585.984700000001</v>
      </c>
      <c r="AH154" s="7">
        <v>3.9187769999999997E-2</v>
      </c>
      <c r="AI154"/>
      <c r="AJ154" s="8">
        <v>-22871.376100000001</v>
      </c>
      <c r="AK154" s="7">
        <v>-3.2390799999999997E-2</v>
      </c>
      <c r="AL154"/>
      <c r="AM154" s="8">
        <v>-113066.9336</v>
      </c>
      <c r="AN154" s="7">
        <v>-0.19097838</v>
      </c>
    </row>
    <row r="155" spans="2:40" s="314" customFormat="1" ht="12.75" customHeight="1" x14ac:dyDescent="0.15">
      <c r="B155" s="325" t="s">
        <v>108</v>
      </c>
      <c r="C155" s="330">
        <v>224622.31839999999</v>
      </c>
      <c r="D155" s="327">
        <v>3.3785240000000001E-2</v>
      </c>
      <c r="E155"/>
      <c r="F155" s="326">
        <v>17681.46</v>
      </c>
      <c r="G155" s="327">
        <v>4.938791E-2</v>
      </c>
      <c r="H155"/>
      <c r="I155" s="326">
        <v>21665.439999999999</v>
      </c>
      <c r="J155" s="327">
        <v>4.9521629999999997E-2</v>
      </c>
      <c r="K155"/>
      <c r="L155" s="326">
        <v>22601.61</v>
      </c>
      <c r="M155" s="327">
        <v>3.9744290000000002E-2</v>
      </c>
      <c r="N155"/>
      <c r="O155" s="326">
        <v>17041.48</v>
      </c>
      <c r="P155" s="327">
        <v>3.9636809999999988E-2</v>
      </c>
      <c r="Q155"/>
      <c r="R155" s="326">
        <v>15514.989799999999</v>
      </c>
      <c r="S155" s="327">
        <v>0.03</v>
      </c>
      <c r="T155"/>
      <c r="U155" s="326">
        <v>17746.828699999998</v>
      </c>
      <c r="V155" s="327">
        <v>0.03</v>
      </c>
      <c r="W155"/>
      <c r="X155" s="326">
        <v>14433.781300000001</v>
      </c>
      <c r="Y155" s="327">
        <v>0.03</v>
      </c>
      <c r="Z155"/>
      <c r="AA155" s="326">
        <v>15531.087</v>
      </c>
      <c r="AB155" s="327">
        <v>0.03</v>
      </c>
      <c r="AC155"/>
      <c r="AD155" s="326">
        <v>20046.266500000002</v>
      </c>
      <c r="AE155" s="327">
        <v>0.03</v>
      </c>
      <c r="AF155"/>
      <c r="AG155" s="326">
        <v>23414.947899999999</v>
      </c>
      <c r="AH155" s="327">
        <v>0.03</v>
      </c>
      <c r="AI155"/>
      <c r="AJ155" s="326">
        <v>21183.212100000001</v>
      </c>
      <c r="AK155" s="327">
        <v>0.03</v>
      </c>
      <c r="AL155"/>
      <c r="AM155" s="326">
        <v>17761.215100000001</v>
      </c>
      <c r="AN155" s="327">
        <v>0.03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66324.259399999995</v>
      </c>
      <c r="D158" s="7">
        <v>9.9757700000000001E-3</v>
      </c>
      <c r="E158"/>
      <c r="F158" s="8">
        <v>3536.29</v>
      </c>
      <c r="G158" s="7">
        <v>9.8775800000000004E-3</v>
      </c>
      <c r="H158"/>
      <c r="I158" s="8">
        <v>4333.09</v>
      </c>
      <c r="J158" s="7">
        <v>9.9043299999999994E-3</v>
      </c>
      <c r="K158"/>
      <c r="L158" s="8">
        <v>5650.4</v>
      </c>
      <c r="M158" s="7">
        <v>9.93607E-3</v>
      </c>
      <c r="N158"/>
      <c r="O158" s="8">
        <v>4260.37</v>
      </c>
      <c r="P158" s="7">
        <v>9.9092E-3</v>
      </c>
      <c r="Q158"/>
      <c r="R158" s="8">
        <v>5171.6633000000002</v>
      </c>
      <c r="S158" s="7">
        <v>0.01</v>
      </c>
      <c r="T158"/>
      <c r="U158" s="8">
        <v>5915.6095999999998</v>
      </c>
      <c r="V158" s="7">
        <v>0.01</v>
      </c>
      <c r="W158"/>
      <c r="X158" s="8">
        <v>4811.2604000000001</v>
      </c>
      <c r="Y158" s="7">
        <v>0.01</v>
      </c>
      <c r="Z158"/>
      <c r="AA158" s="8">
        <v>5177.0290000000005</v>
      </c>
      <c r="AB158" s="7">
        <v>0.01</v>
      </c>
      <c r="AC158"/>
      <c r="AD158" s="8">
        <v>6682.0888000000004</v>
      </c>
      <c r="AE158" s="7">
        <v>0.01</v>
      </c>
      <c r="AF158"/>
      <c r="AG158" s="8">
        <v>7804.9826000000003</v>
      </c>
      <c r="AH158" s="7">
        <v>0.01</v>
      </c>
      <c r="AI158"/>
      <c r="AJ158" s="8">
        <v>7061.0707000000002</v>
      </c>
      <c r="AK158" s="7">
        <v>0.01</v>
      </c>
      <c r="AL158"/>
      <c r="AM158" s="8">
        <v>5920.4049999999997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35626.867299999998</v>
      </c>
      <c r="D159" s="7">
        <v>5.3586100000000006E-3</v>
      </c>
      <c r="E159"/>
      <c r="F159" s="8">
        <v>-8496.5499999999993</v>
      </c>
      <c r="G159" s="7">
        <v>-2.3732590000000001E-2</v>
      </c>
      <c r="H159"/>
      <c r="I159" s="8">
        <v>-2341.8200000000002</v>
      </c>
      <c r="J159" s="7">
        <v>-5.3527999999999996E-3</v>
      </c>
      <c r="K159"/>
      <c r="L159" s="8">
        <v>-6884.69</v>
      </c>
      <c r="M159" s="7">
        <v>-1.2106530000000001E-2</v>
      </c>
      <c r="N159"/>
      <c r="O159" s="8">
        <v>-8332.68</v>
      </c>
      <c r="P159" s="7">
        <v>-1.9380999999999999E-2</v>
      </c>
      <c r="Q159"/>
      <c r="R159" s="8">
        <v>6045.8472000000002</v>
      </c>
      <c r="S159" s="7">
        <v>1.1690330000000001E-2</v>
      </c>
      <c r="T159"/>
      <c r="U159" s="8">
        <v>7181.9034000000001</v>
      </c>
      <c r="V159" s="7">
        <v>1.21406E-2</v>
      </c>
      <c r="W159"/>
      <c r="X159" s="8">
        <v>4811.2604000000001</v>
      </c>
      <c r="Y159" s="7">
        <v>0.01</v>
      </c>
      <c r="Z159"/>
      <c r="AA159" s="8">
        <v>5350.1005999999998</v>
      </c>
      <c r="AB159" s="7">
        <v>1.0334309999999999E-2</v>
      </c>
      <c r="AC159"/>
      <c r="AD159" s="8">
        <v>9091.8421999999991</v>
      </c>
      <c r="AE159" s="7">
        <v>1.360629E-2</v>
      </c>
      <c r="AF159"/>
      <c r="AG159" s="8">
        <v>11970.848599999999</v>
      </c>
      <c r="AH159" s="7">
        <v>1.5337440000000001E-2</v>
      </c>
      <c r="AI159"/>
      <c r="AJ159" s="8">
        <v>10036.270500000001</v>
      </c>
      <c r="AK159" s="7">
        <v>1.421353E-2</v>
      </c>
      <c r="AL159"/>
      <c r="AM159" s="8">
        <v>7194.5343999999996</v>
      </c>
      <c r="AN159" s="7">
        <v>1.2152100000000001E-2</v>
      </c>
    </row>
    <row r="160" spans="2:40" s="314" customFormat="1" ht="12.75" customHeight="1" x14ac:dyDescent="0.15">
      <c r="B160" s="5" t="s">
        <v>113</v>
      </c>
      <c r="C160" s="6">
        <v>140517.9088</v>
      </c>
      <c r="D160" s="7">
        <v>2.1135170000000002E-2</v>
      </c>
      <c r="E160"/>
      <c r="F160" s="8">
        <v>10608.88</v>
      </c>
      <c r="G160" s="7">
        <v>2.9632749999999999E-2</v>
      </c>
      <c r="H160"/>
      <c r="I160" s="8">
        <v>12999.26</v>
      </c>
      <c r="J160" s="7">
        <v>2.9712969999999998E-2</v>
      </c>
      <c r="K160"/>
      <c r="L160" s="8">
        <v>11300.81</v>
      </c>
      <c r="M160" s="7">
        <v>1.9872150000000002E-2</v>
      </c>
      <c r="N160"/>
      <c r="O160" s="8">
        <v>8520.74</v>
      </c>
      <c r="P160" s="7">
        <v>1.9818410000000002E-2</v>
      </c>
      <c r="Q160"/>
      <c r="R160" s="8">
        <v>10343.326499999999</v>
      </c>
      <c r="S160" s="7">
        <v>0.02</v>
      </c>
      <c r="T160"/>
      <c r="U160" s="8">
        <v>11831.2191</v>
      </c>
      <c r="V160" s="7">
        <v>0.02</v>
      </c>
      <c r="W160"/>
      <c r="X160" s="8">
        <v>9622.5208000000002</v>
      </c>
      <c r="Y160" s="7">
        <v>0.02</v>
      </c>
      <c r="Z160"/>
      <c r="AA160" s="8">
        <v>10354.058000000001</v>
      </c>
      <c r="AB160" s="7">
        <v>0.02</v>
      </c>
      <c r="AC160"/>
      <c r="AD160" s="8">
        <v>13364.177600000001</v>
      </c>
      <c r="AE160" s="7">
        <v>0.02</v>
      </c>
      <c r="AF160"/>
      <c r="AG160" s="8">
        <v>15609.9653</v>
      </c>
      <c r="AH160" s="7">
        <v>0.02</v>
      </c>
      <c r="AI160"/>
      <c r="AJ160" s="8">
        <v>14122.1414</v>
      </c>
      <c r="AK160" s="7">
        <v>0.02</v>
      </c>
      <c r="AL160"/>
      <c r="AM160" s="8">
        <v>11840.810100000001</v>
      </c>
      <c r="AN160" s="7">
        <v>0.02</v>
      </c>
    </row>
    <row r="161" spans="2:40" s="314" customFormat="1" ht="12.75" customHeight="1" x14ac:dyDescent="0.15">
      <c r="B161" s="5" t="s">
        <v>114</v>
      </c>
      <c r="C161" s="6">
        <v>17780.150000000001</v>
      </c>
      <c r="D161" s="7">
        <v>2.6743000000000001E-3</v>
      </c>
      <c r="E161"/>
      <c r="F161" s="8">
        <v>3536.29</v>
      </c>
      <c r="G161" s="7">
        <v>9.8775800000000004E-3</v>
      </c>
      <c r="H161"/>
      <c r="I161" s="8">
        <v>4333.09</v>
      </c>
      <c r="J161" s="7">
        <v>9.9043299999999994E-3</v>
      </c>
      <c r="K161"/>
      <c r="L161" s="8">
        <v>5650.4</v>
      </c>
      <c r="M161" s="7">
        <v>9.93607E-3</v>
      </c>
      <c r="N161"/>
      <c r="O161" s="8">
        <v>4260.37</v>
      </c>
      <c r="P161" s="7">
        <v>9.9092E-3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354381.14870000002</v>
      </c>
      <c r="D162" s="327">
        <v>5.330215E-2</v>
      </c>
      <c r="E162"/>
      <c r="F162" s="326">
        <v>22377.84</v>
      </c>
      <c r="G162" s="327">
        <v>6.2505850000000002E-2</v>
      </c>
      <c r="H162"/>
      <c r="I162" s="326">
        <v>27277.31</v>
      </c>
      <c r="J162" s="327">
        <v>6.2348920000000002E-2</v>
      </c>
      <c r="K162"/>
      <c r="L162" s="326">
        <v>25238.87</v>
      </c>
      <c r="M162" s="327">
        <v>4.4381839999999999E-2</v>
      </c>
      <c r="N162"/>
      <c r="O162" s="326">
        <v>29223.64</v>
      </c>
      <c r="P162" s="327">
        <v>6.7971320000000002E-2</v>
      </c>
      <c r="Q162"/>
      <c r="R162" s="326">
        <v>29169.027099999999</v>
      </c>
      <c r="S162" s="327">
        <v>5.6401640000000003E-2</v>
      </c>
      <c r="T162"/>
      <c r="U162" s="326">
        <v>29191.376700000001</v>
      </c>
      <c r="V162" s="327">
        <v>4.9346349999999997E-2</v>
      </c>
      <c r="W162"/>
      <c r="X162" s="326">
        <v>25303.510200000001</v>
      </c>
      <c r="Y162" s="327">
        <v>5.2592270000000003E-2</v>
      </c>
      <c r="Z162"/>
      <c r="AA162" s="326">
        <v>27393.6145</v>
      </c>
      <c r="AB162" s="327">
        <v>5.2913769999999999E-2</v>
      </c>
      <c r="AC162"/>
      <c r="AD162" s="326">
        <v>33164.106500000002</v>
      </c>
      <c r="AE162" s="327">
        <v>4.9631349999999998E-2</v>
      </c>
      <c r="AF162"/>
      <c r="AG162" s="326">
        <v>41372.995799999997</v>
      </c>
      <c r="AH162" s="327">
        <v>5.3008439999999997E-2</v>
      </c>
      <c r="AI162"/>
      <c r="AJ162" s="326">
        <v>35465.275399999999</v>
      </c>
      <c r="AK162" s="327">
        <v>5.0226479999999997E-2</v>
      </c>
      <c r="AL162"/>
      <c r="AM162" s="326">
        <v>29203.5825</v>
      </c>
      <c r="AN162" s="327">
        <v>4.9327000000000003E-2</v>
      </c>
    </row>
    <row r="163" spans="2:40" s="314" customFormat="1" ht="12.75" customHeight="1" x14ac:dyDescent="0.15">
      <c r="B163" s="5" t="s">
        <v>116</v>
      </c>
      <c r="C163" s="6">
        <v>158422.05470000001</v>
      </c>
      <c r="D163" s="7">
        <v>2.3828120000000001E-2</v>
      </c>
      <c r="E163"/>
      <c r="F163" s="8">
        <v>8997.14</v>
      </c>
      <c r="G163" s="7">
        <v>2.5130840000000002E-2</v>
      </c>
      <c r="H163"/>
      <c r="I163" s="8">
        <v>13112.08</v>
      </c>
      <c r="J163" s="7">
        <v>2.9970839999999999E-2</v>
      </c>
      <c r="K163"/>
      <c r="L163" s="8">
        <v>13846.35</v>
      </c>
      <c r="M163" s="7">
        <v>2.4348410000000001E-2</v>
      </c>
      <c r="N163"/>
      <c r="O163" s="8">
        <v>8358.94</v>
      </c>
      <c r="P163" s="7">
        <v>1.9442069999999999E-2</v>
      </c>
      <c r="Q163"/>
      <c r="R163" s="8">
        <v>13312.9473</v>
      </c>
      <c r="S163" s="7">
        <v>2.57421E-2</v>
      </c>
      <c r="T163"/>
      <c r="U163" s="8">
        <v>13083.3336</v>
      </c>
      <c r="V163" s="7">
        <v>2.2116630000000002E-2</v>
      </c>
      <c r="W163"/>
      <c r="X163" s="8">
        <v>11118.555</v>
      </c>
      <c r="Y163" s="7">
        <v>2.3109439999999998E-2</v>
      </c>
      <c r="Z163"/>
      <c r="AA163" s="8">
        <v>12231.1</v>
      </c>
      <c r="AB163" s="7">
        <v>2.3625710000000001E-2</v>
      </c>
      <c r="AC163"/>
      <c r="AD163" s="8">
        <v>15194.7029</v>
      </c>
      <c r="AE163" s="7">
        <v>2.2739450000000001E-2</v>
      </c>
      <c r="AF163"/>
      <c r="AG163" s="8">
        <v>19655.710899999998</v>
      </c>
      <c r="AH163" s="7">
        <v>2.5183540000000001E-2</v>
      </c>
      <c r="AI163"/>
      <c r="AJ163" s="8">
        <v>16426.514999999999</v>
      </c>
      <c r="AK163" s="7">
        <v>2.3263490000000001E-2</v>
      </c>
      <c r="AL163"/>
      <c r="AM163" s="8">
        <v>13084.68</v>
      </c>
      <c r="AN163" s="7">
        <v>2.2100990000000001E-2</v>
      </c>
    </row>
    <row r="164" spans="2:40" s="314" customFormat="1" ht="12.75" customHeight="1" x14ac:dyDescent="0.15">
      <c r="B164" s="5" t="s">
        <v>117</v>
      </c>
      <c r="C164" s="6">
        <v>106641.6591</v>
      </c>
      <c r="D164" s="7">
        <v>1.6039879999999999E-2</v>
      </c>
      <c r="E164"/>
      <c r="F164" s="8">
        <v>5140.22</v>
      </c>
      <c r="G164" s="7">
        <v>1.4357679999999999E-2</v>
      </c>
      <c r="H164"/>
      <c r="I164" s="8">
        <v>9456.4599999999991</v>
      </c>
      <c r="J164" s="7">
        <v>2.1615039999999999E-2</v>
      </c>
      <c r="K164"/>
      <c r="L164" s="8">
        <v>7912.2</v>
      </c>
      <c r="M164" s="7">
        <v>1.3913379999999999E-2</v>
      </c>
      <c r="N164"/>
      <c r="O164" s="8">
        <v>8336.89</v>
      </c>
      <c r="P164" s="7">
        <v>1.9390790000000001E-2</v>
      </c>
      <c r="Q164"/>
      <c r="R164" s="8">
        <v>8759.2481000000007</v>
      </c>
      <c r="S164" s="7">
        <v>1.6937000000000001E-2</v>
      </c>
      <c r="T164"/>
      <c r="U164" s="8">
        <v>8639.2383000000009</v>
      </c>
      <c r="V164" s="7">
        <v>1.460414E-2</v>
      </c>
      <c r="W164"/>
      <c r="X164" s="8">
        <v>7268.3249999999998</v>
      </c>
      <c r="Y164" s="7">
        <v>1.5106899999999999E-2</v>
      </c>
      <c r="Z164"/>
      <c r="AA164" s="8">
        <v>8063</v>
      </c>
      <c r="AB164" s="7">
        <v>1.5574569999999999E-2</v>
      </c>
      <c r="AC164"/>
      <c r="AD164" s="8">
        <v>10117.359200000001</v>
      </c>
      <c r="AE164" s="7">
        <v>1.514101E-2</v>
      </c>
      <c r="AF164"/>
      <c r="AG164" s="8">
        <v>13303.7935</v>
      </c>
      <c r="AH164" s="7">
        <v>1.704526E-2</v>
      </c>
      <c r="AI164"/>
      <c r="AJ164" s="8">
        <v>10997.225</v>
      </c>
      <c r="AK164" s="7">
        <v>1.557444E-2</v>
      </c>
      <c r="AL164"/>
      <c r="AM164" s="8">
        <v>8647.7000000000007</v>
      </c>
      <c r="AN164" s="7">
        <v>1.4606600000000001E-2</v>
      </c>
    </row>
    <row r="165" spans="2:40" s="314" customFormat="1" ht="12.75" customHeight="1" x14ac:dyDescent="0.15">
      <c r="B165" s="5" t="s">
        <v>118</v>
      </c>
      <c r="C165" s="6">
        <v>49451.22</v>
      </c>
      <c r="D165" s="7">
        <v>7.4379099999999998E-3</v>
      </c>
      <c r="E165"/>
      <c r="F165" s="8">
        <v>6451.52</v>
      </c>
      <c r="G165" s="7">
        <v>1.8020399999999999E-2</v>
      </c>
      <c r="H165"/>
      <c r="I165" s="8">
        <v>-206.84</v>
      </c>
      <c r="J165" s="7">
        <v>-4.7278000000000001E-4</v>
      </c>
      <c r="K165"/>
      <c r="L165" s="8">
        <v>949.46</v>
      </c>
      <c r="M165" s="7">
        <v>1.6696E-3</v>
      </c>
      <c r="N165"/>
      <c r="O165" s="8">
        <v>6169.08</v>
      </c>
      <c r="P165" s="7">
        <v>1.4348680000000001E-2</v>
      </c>
      <c r="Q165"/>
      <c r="R165" s="8">
        <v>4511</v>
      </c>
      <c r="S165" s="7">
        <v>8.7225299999999992E-3</v>
      </c>
      <c r="T165"/>
      <c r="U165" s="8">
        <v>4511</v>
      </c>
      <c r="V165" s="7">
        <v>7.6255899999999998E-3</v>
      </c>
      <c r="W165"/>
      <c r="X165" s="8">
        <v>4511</v>
      </c>
      <c r="Y165" s="7">
        <v>9.3759199999999994E-3</v>
      </c>
      <c r="Z165"/>
      <c r="AA165" s="8">
        <v>4511</v>
      </c>
      <c r="AB165" s="7">
        <v>8.7134900000000008E-3</v>
      </c>
      <c r="AC165"/>
      <c r="AD165" s="8">
        <v>4511</v>
      </c>
      <c r="AE165" s="7">
        <v>6.7508799999999999E-3</v>
      </c>
      <c r="AF165"/>
      <c r="AG165" s="8">
        <v>4511</v>
      </c>
      <c r="AH165" s="7">
        <v>5.77964E-3</v>
      </c>
      <c r="AI165"/>
      <c r="AJ165" s="8">
        <v>4511</v>
      </c>
      <c r="AK165" s="7">
        <v>6.3885499999999998E-3</v>
      </c>
      <c r="AL165"/>
      <c r="AM165" s="8">
        <v>4511</v>
      </c>
      <c r="AN165" s="7">
        <v>7.6194100000000001E-3</v>
      </c>
    </row>
    <row r="166" spans="2:40" s="314" customFormat="1" ht="12.75" customHeight="1" x14ac:dyDescent="0.15">
      <c r="B166" s="5" t="s">
        <v>119</v>
      </c>
      <c r="C166" s="6">
        <v>39866.214699999997</v>
      </c>
      <c r="D166" s="7">
        <v>5.9962400000000008E-3</v>
      </c>
      <c r="E166"/>
      <c r="F166" s="8">
        <v>1788.96</v>
      </c>
      <c r="G166" s="7">
        <v>4.9969300000000001E-3</v>
      </c>
      <c r="H166"/>
      <c r="I166" s="8">
        <v>4915.6099999999997</v>
      </c>
      <c r="J166" s="7">
        <v>1.1235820000000001E-2</v>
      </c>
      <c r="K166"/>
      <c r="L166" s="8">
        <v>2530.86</v>
      </c>
      <c r="M166" s="7">
        <v>4.4504499999999999E-3</v>
      </c>
      <c r="N166"/>
      <c r="O166" s="8">
        <v>6358.73</v>
      </c>
      <c r="P166" s="7">
        <v>1.4789780000000001E-2</v>
      </c>
      <c r="Q166"/>
      <c r="R166" s="8">
        <v>2585.8316</v>
      </c>
      <c r="S166" s="7">
        <v>5.0000000000000001E-3</v>
      </c>
      <c r="T166"/>
      <c r="U166" s="8">
        <v>2957.8047999999999</v>
      </c>
      <c r="V166" s="7">
        <v>5.0000000000000001E-3</v>
      </c>
      <c r="W166"/>
      <c r="X166" s="8">
        <v>2405.6302000000001</v>
      </c>
      <c r="Y166" s="7">
        <v>5.0000000000000001E-3</v>
      </c>
      <c r="Z166"/>
      <c r="AA166" s="8">
        <v>2588.5145000000002</v>
      </c>
      <c r="AB166" s="7">
        <v>5.0000000000000001E-3</v>
      </c>
      <c r="AC166"/>
      <c r="AD166" s="8">
        <v>3341.0444000000002</v>
      </c>
      <c r="AE166" s="7">
        <v>5.0000000000000001E-3</v>
      </c>
      <c r="AF166"/>
      <c r="AG166" s="8">
        <v>3902.4913000000001</v>
      </c>
      <c r="AH166" s="7">
        <v>5.0000000000000001E-3</v>
      </c>
      <c r="AI166"/>
      <c r="AJ166" s="8">
        <v>3530.5354000000002</v>
      </c>
      <c r="AK166" s="7">
        <v>5.0000000000000001E-3</v>
      </c>
      <c r="AL166"/>
      <c r="AM166" s="8">
        <v>2960.2024999999999</v>
      </c>
      <c r="AN166" s="7">
        <v>5.0000000000000001E-3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599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D57C-26B2-4B7A-9412-141562D1C0B2}">
  <sheetPr>
    <pageSetUpPr fitToPage="1"/>
  </sheetPr>
  <dimension ref="B2:O168"/>
  <sheetViews>
    <sheetView workbookViewId="0">
      <pane xSplit="2" ySplit="10" topLeftCell="E153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A170" sqref="A170:XFD178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145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Michel'!C11</f>
        <v>13779533.205700001</v>
      </c>
      <c r="D11" s="39">
        <f>'Data entry Michel'!F11</f>
        <v>729589.21</v>
      </c>
      <c r="E11" s="39">
        <f>'Data entry Michel'!I11</f>
        <v>784271.72</v>
      </c>
      <c r="F11" s="39">
        <f>'Data entry Michel'!L11</f>
        <v>1096354.6599999999</v>
      </c>
      <c r="G11" s="39">
        <f>'Data entry Michel'!O11</f>
        <v>1160152.6100000001</v>
      </c>
      <c r="H11" s="39">
        <f>'Data entry Michel'!R11</f>
        <v>1458805.7291000001</v>
      </c>
      <c r="I11" s="39">
        <f>'Data entry Michel'!U11</f>
        <v>1318149.9802000001</v>
      </c>
      <c r="J11" s="39">
        <f>'Data entry Michel'!X11</f>
        <v>1092093.9582</v>
      </c>
      <c r="K11" s="39">
        <f>'Data entry Michel'!AA11</f>
        <v>1047994.4821</v>
      </c>
      <c r="L11" s="39">
        <f>'Data entry Michel'!AD11</f>
        <v>1421675.5227000001</v>
      </c>
      <c r="M11" s="39">
        <f>'Data entry Michel'!AG11</f>
        <v>1334733.6836999999</v>
      </c>
      <c r="N11" s="39">
        <f>'Data entry Michel'!AJ11</f>
        <v>1241586.3430999999</v>
      </c>
      <c r="O11" s="39">
        <f>'Data entry Michel'!AM11</f>
        <v>1094125.3066</v>
      </c>
    </row>
    <row r="12" spans="2:15" ht="14" x14ac:dyDescent="0.15">
      <c r="B12" s="38" t="s">
        <v>22</v>
      </c>
      <c r="C12" s="39">
        <f>'Data entry Michel'!C12</f>
        <v>3861133.3520999998</v>
      </c>
      <c r="D12" s="39">
        <f>'Data entry Michel'!F12</f>
        <v>305367.38</v>
      </c>
      <c r="E12" s="39">
        <f>'Data entry Michel'!I12</f>
        <v>321298.19</v>
      </c>
      <c r="F12" s="39">
        <f>'Data entry Michel'!L12</f>
        <v>334012.43</v>
      </c>
      <c r="G12" s="39">
        <f>'Data entry Michel'!O12</f>
        <v>334288.49</v>
      </c>
      <c r="H12" s="39">
        <f>'Data entry Michel'!R12</f>
        <v>320974.1899</v>
      </c>
      <c r="I12" s="39">
        <f>'Data entry Michel'!U12</f>
        <v>326444.25469999999</v>
      </c>
      <c r="J12" s="39">
        <f>'Data entry Michel'!X12</f>
        <v>310467.0539</v>
      </c>
      <c r="K12" s="39">
        <f>'Data entry Michel'!AA12</f>
        <v>315483.19549999997</v>
      </c>
      <c r="L12" s="39">
        <f>'Data entry Michel'!AD12</f>
        <v>328767.21950000001</v>
      </c>
      <c r="M12" s="39">
        <f>'Data entry Michel'!AG12</f>
        <v>325043.11450000003</v>
      </c>
      <c r="N12" s="39">
        <f>'Data entry Michel'!AJ12</f>
        <v>341739.73420000001</v>
      </c>
      <c r="O12" s="39">
        <f>'Data entry Michel'!AM12</f>
        <v>297248.09989999997</v>
      </c>
    </row>
    <row r="13" spans="2:15" ht="14" x14ac:dyDescent="0.15">
      <c r="B13" s="38" t="s">
        <v>23</v>
      </c>
      <c r="C13" s="39">
        <f>'Data entry Michel'!C13</f>
        <v>5663953.6608999996</v>
      </c>
      <c r="D13" s="39">
        <f>'Data entry Michel'!F13</f>
        <v>156965.57</v>
      </c>
      <c r="E13" s="39">
        <f>'Data entry Michel'!I13</f>
        <v>151902.35</v>
      </c>
      <c r="F13" s="39">
        <f>'Data entry Michel'!L13</f>
        <v>434737.52</v>
      </c>
      <c r="G13" s="39">
        <f>'Data entry Michel'!O13</f>
        <v>447218.63</v>
      </c>
      <c r="H13" s="39">
        <f>'Data entry Michel'!R13</f>
        <v>740679.76580000005</v>
      </c>
      <c r="I13" s="39">
        <f>'Data entry Michel'!U13</f>
        <v>608892.83360000001</v>
      </c>
      <c r="J13" s="39">
        <f>'Data entry Michel'!X13</f>
        <v>446546.76539999997</v>
      </c>
      <c r="K13" s="39">
        <f>'Data entry Michel'!AA13</f>
        <v>395662.43310000002</v>
      </c>
      <c r="L13" s="39">
        <f>'Data entry Michel'!AD13</f>
        <v>690941.06079999998</v>
      </c>
      <c r="M13" s="39">
        <f>'Data entry Michel'!AG13</f>
        <v>619551.99140000006</v>
      </c>
      <c r="N13" s="39">
        <f>'Data entry Michel'!AJ13</f>
        <v>523755.50309999997</v>
      </c>
      <c r="O13" s="39">
        <f>'Data entry Michel'!AM13</f>
        <v>447099.2377</v>
      </c>
    </row>
    <row r="14" spans="2:15" ht="14" x14ac:dyDescent="0.15">
      <c r="B14" s="38" t="s">
        <v>24</v>
      </c>
      <c r="C14" s="39">
        <f>'Data entry Michel'!C14</f>
        <v>94535</v>
      </c>
      <c r="D14" s="39">
        <f>'Data entry Michel'!F14</f>
        <v>8029</v>
      </c>
      <c r="E14" s="39">
        <f>'Data entry Michel'!I14</f>
        <v>7252</v>
      </c>
      <c r="F14" s="39">
        <f>'Data entry Michel'!L14</f>
        <v>8029</v>
      </c>
      <c r="G14" s="39">
        <f>'Data entry Michel'!O14</f>
        <v>7770</v>
      </c>
      <c r="H14" s="39">
        <f>'Data entry Michel'!R14</f>
        <v>8029</v>
      </c>
      <c r="I14" s="39">
        <f>'Data entry Michel'!U14</f>
        <v>7770</v>
      </c>
      <c r="J14" s="39">
        <f>'Data entry Michel'!X14</f>
        <v>8029</v>
      </c>
      <c r="K14" s="39">
        <f>'Data entry Michel'!AA14</f>
        <v>8029</v>
      </c>
      <c r="L14" s="39">
        <f>'Data entry Michel'!AD14</f>
        <v>7770</v>
      </c>
      <c r="M14" s="39">
        <f>'Data entry Michel'!AG14</f>
        <v>8029</v>
      </c>
      <c r="N14" s="39">
        <f>'Data entry Michel'!AJ14</f>
        <v>7770</v>
      </c>
      <c r="O14" s="39">
        <f>'Data entry Michel'!AM14</f>
        <v>8029</v>
      </c>
    </row>
    <row r="15" spans="2:15" ht="14" x14ac:dyDescent="0.15">
      <c r="B15" s="38" t="s">
        <v>25</v>
      </c>
      <c r="C15" s="39">
        <f>'Data entry Michel'!C15</f>
        <v>72311</v>
      </c>
      <c r="D15" s="39">
        <f>'Data entry Michel'!F15</f>
        <v>4299</v>
      </c>
      <c r="E15" s="39">
        <f>'Data entry Michel'!I15</f>
        <v>4574</v>
      </c>
      <c r="F15" s="39">
        <f>'Data entry Michel'!L15</f>
        <v>5836</v>
      </c>
      <c r="G15" s="39">
        <f>'Data entry Michel'!O15</f>
        <v>6178</v>
      </c>
      <c r="H15" s="39">
        <f>'Data entry Michel'!R15</f>
        <v>6721</v>
      </c>
      <c r="I15" s="39">
        <f>'Data entry Michel'!U15</f>
        <v>6438</v>
      </c>
      <c r="J15" s="39">
        <f>'Data entry Michel'!X15</f>
        <v>6249</v>
      </c>
      <c r="K15" s="39">
        <f>'Data entry Michel'!AA15</f>
        <v>6312</v>
      </c>
      <c r="L15" s="39">
        <f>'Data entry Michel'!AD15</f>
        <v>6611</v>
      </c>
      <c r="M15" s="39">
        <f>'Data entry Michel'!AG15</f>
        <v>6837</v>
      </c>
      <c r="N15" s="39">
        <f>'Data entry Michel'!AJ15</f>
        <v>6496</v>
      </c>
      <c r="O15" s="39">
        <f>'Data entry Michel'!AM15</f>
        <v>5760</v>
      </c>
    </row>
    <row r="16" spans="2:15" ht="14" x14ac:dyDescent="0.15">
      <c r="B16" s="38" t="s">
        <v>26</v>
      </c>
      <c r="C16" s="39">
        <f>'Data entry Michel'!C16</f>
        <v>76.606547839425005</v>
      </c>
      <c r="D16" s="39">
        <f>'Data entry Michel'!F16</f>
        <v>53.655498816788999</v>
      </c>
      <c r="E16" s="39">
        <f>'Data entry Michel'!I16</f>
        <v>63.196359624930999</v>
      </c>
      <c r="F16" s="39">
        <f>'Data entry Michel'!L16</f>
        <v>72.711421098518002</v>
      </c>
      <c r="G16" s="39">
        <f>'Data entry Michel'!O16</f>
        <v>79.794079794080005</v>
      </c>
      <c r="H16" s="39">
        <f>'Data entry Michel'!R16</f>
        <v>83.833603188441998</v>
      </c>
      <c r="I16" s="39">
        <f>'Data entry Michel'!U16</f>
        <v>82.947232947233005</v>
      </c>
      <c r="J16" s="39">
        <f>'Data entry Michel'!X16</f>
        <v>77.954913438784004</v>
      </c>
      <c r="K16" s="39">
        <f>'Data entry Michel'!AA16</f>
        <v>78.739569062149997</v>
      </c>
      <c r="L16" s="39">
        <f>'Data entry Michel'!AD16</f>
        <v>85.212355212355007</v>
      </c>
      <c r="M16" s="39">
        <f>'Data entry Michel'!AG16</f>
        <v>85.216091667705001</v>
      </c>
      <c r="N16" s="39">
        <f>'Data entry Michel'!AJ16</f>
        <v>83.667953667953995</v>
      </c>
      <c r="O16" s="39">
        <f>'Data entry Michel'!AM16</f>
        <v>71.864491219330006</v>
      </c>
    </row>
    <row r="17" spans="2:15" ht="14" x14ac:dyDescent="0.15">
      <c r="B17" s="38" t="s">
        <v>27</v>
      </c>
      <c r="C17" s="39">
        <f>'Data entry Michel'!C17</f>
        <v>144.46931379735</v>
      </c>
      <c r="D17" s="39">
        <f>'Data entry Michel'!F17</f>
        <v>115.06314491742</v>
      </c>
      <c r="E17" s="39">
        <f>'Data entry Michel'!I17</f>
        <v>116.79597507651999</v>
      </c>
      <c r="F17" s="39">
        <f>'Data entry Michel'!L17</f>
        <v>142.07025017135001</v>
      </c>
      <c r="G17" s="39">
        <f>'Data entry Michel'!O17</f>
        <v>145.81552444157001</v>
      </c>
      <c r="H17" s="39">
        <f>'Data entry Michel'!R17</f>
        <v>176.14034518673</v>
      </c>
      <c r="I17" s="39">
        <f>'Data entry Michel'!U17</f>
        <v>156.41025939733001</v>
      </c>
      <c r="J17" s="39">
        <f>'Data entry Michel'!X17</f>
        <v>133.67098735798001</v>
      </c>
      <c r="K17" s="39">
        <f>'Data entry Michel'!AA17</f>
        <v>128.47512674270999</v>
      </c>
      <c r="L17" s="39">
        <f>'Data entry Michel'!AD17</f>
        <v>167.94683103918001</v>
      </c>
      <c r="M17" s="39">
        <f>'Data entry Michel'!AG17</f>
        <v>148.24162644435</v>
      </c>
      <c r="N17" s="39">
        <f>'Data entry Michel'!AJ17</f>
        <v>141.62730911329999</v>
      </c>
      <c r="O17" s="39">
        <f>'Data entry Michel'!AM17</f>
        <v>140.10069444443999</v>
      </c>
    </row>
    <row r="18" spans="2:15" ht="14" x14ac:dyDescent="0.15">
      <c r="B18" s="38" t="s">
        <v>28</v>
      </c>
      <c r="C18" s="39">
        <f>'Data entry Michel'!C18</f>
        <v>109.78076067065</v>
      </c>
      <c r="D18" s="39">
        <f>'Data entry Michel'!F18</f>
        <v>61.052383858512997</v>
      </c>
      <c r="E18" s="39">
        <f>'Data entry Michel'!I18</f>
        <v>72.858166023166007</v>
      </c>
      <c r="F18" s="39">
        <f>'Data entry Michel'!L18</f>
        <v>102.56390210487</v>
      </c>
      <c r="G18" s="39">
        <f>'Data entry Michel'!O18</f>
        <v>115.14962934363</v>
      </c>
      <c r="H18" s="39">
        <f>'Data entry Michel'!R18</f>
        <v>146.26220699963</v>
      </c>
      <c r="I18" s="39">
        <f>'Data entry Michel'!U18</f>
        <v>128.63182110682001</v>
      </c>
      <c r="J18" s="39">
        <f>'Data entry Michel'!X18</f>
        <v>103.53842321584</v>
      </c>
      <c r="K18" s="39">
        <f>'Data entry Michel'!AA18</f>
        <v>100.50255324449</v>
      </c>
      <c r="L18" s="39">
        <f>'Data entry Michel'!AD18</f>
        <v>141.86570141569999</v>
      </c>
      <c r="M18" s="39">
        <f>'Data entry Michel'!AG18</f>
        <v>125.23701581765999</v>
      </c>
      <c r="N18" s="39">
        <f>'Data entry Michel'!AJ18</f>
        <v>117.89073359072999</v>
      </c>
      <c r="O18" s="39">
        <f>'Data entry Michel'!AM18</f>
        <v>100.32133516003999</v>
      </c>
    </row>
    <row r="19" spans="2:15" ht="14" x14ac:dyDescent="0.15">
      <c r="B19" s="38" t="s">
        <v>29</v>
      </c>
      <c r="C19" s="39">
        <f>'Data entry Michel'!C19</f>
        <v>145.76118057545</v>
      </c>
      <c r="D19" s="39">
        <f>'Data entry Michel'!F19</f>
        <v>90.869250217960001</v>
      </c>
      <c r="E19" s="39">
        <f>'Data entry Michel'!I19</f>
        <v>108.14557639272</v>
      </c>
      <c r="F19" s="39">
        <f>'Data entry Michel'!L19</f>
        <v>136.54934113837001</v>
      </c>
      <c r="G19" s="39">
        <f>'Data entry Michel'!O19</f>
        <v>149.31179021879001</v>
      </c>
      <c r="H19" s="39">
        <f>'Data entry Michel'!R19</f>
        <v>181.69208233902</v>
      </c>
      <c r="I19" s="39">
        <f>'Data entry Michel'!U19</f>
        <v>169.64607209780999</v>
      </c>
      <c r="J19" s="39">
        <f>'Data entry Michel'!X19</f>
        <v>136.01867707061999</v>
      </c>
      <c r="K19" s="39">
        <f>'Data entry Michel'!AA19</f>
        <v>130.52615295803</v>
      </c>
      <c r="L19" s="39">
        <f>'Data entry Michel'!AD19</f>
        <v>182.96982274131</v>
      </c>
      <c r="M19" s="39">
        <f>'Data entry Michel'!AG19</f>
        <v>166.23909374766001</v>
      </c>
      <c r="N19" s="39">
        <f>'Data entry Michel'!AJ19</f>
        <v>159.79232214928999</v>
      </c>
      <c r="O19" s="39">
        <f>'Data entry Michel'!AM19</f>
        <v>136.27167849047001</v>
      </c>
    </row>
    <row r="20" spans="2:15" ht="14" x14ac:dyDescent="0.15">
      <c r="B20" s="38" t="s">
        <v>30</v>
      </c>
      <c r="C20" s="39">
        <f>'Data entry Michel'!C20</f>
        <v>104699.25</v>
      </c>
      <c r="D20" s="39">
        <f>'Data entry Michel'!F20</f>
        <v>6208</v>
      </c>
      <c r="E20" s="39">
        <f>'Data entry Michel'!I20</f>
        <v>6795</v>
      </c>
      <c r="F20" s="39">
        <f>'Data entry Michel'!L20</f>
        <v>8046</v>
      </c>
      <c r="G20" s="39">
        <f>'Data entry Michel'!O20</f>
        <v>9335</v>
      </c>
      <c r="H20" s="39">
        <f>'Data entry Michel'!R20</f>
        <v>10163.81</v>
      </c>
      <c r="I20" s="39">
        <f>'Data entry Michel'!U20</f>
        <v>9023</v>
      </c>
      <c r="J20" s="39">
        <f>'Data entry Michel'!X20</f>
        <v>9764.0400000000009</v>
      </c>
      <c r="K20" s="39">
        <f>'Data entry Michel'!AA20</f>
        <v>9483</v>
      </c>
      <c r="L20" s="39">
        <f>'Data entry Michel'!AD20</f>
        <v>9269.4</v>
      </c>
      <c r="M20" s="39">
        <f>'Data entry Michel'!AG20</f>
        <v>9578.7999999999993</v>
      </c>
      <c r="N20" s="39">
        <f>'Data entry Michel'!AJ20</f>
        <v>7801.2</v>
      </c>
      <c r="O20" s="39">
        <f>'Data entry Michel'!AM20</f>
        <v>9232</v>
      </c>
    </row>
    <row r="21" spans="2:15" ht="14" x14ac:dyDescent="0.15">
      <c r="B21" s="38" t="s">
        <v>31</v>
      </c>
      <c r="C21" s="39">
        <f>'Data entry Michel'!C21</f>
        <v>1.4457228666113999</v>
      </c>
      <c r="D21" s="39">
        <f>'Data entry Michel'!F21</f>
        <v>1.4410399257196</v>
      </c>
      <c r="E21" s="39">
        <f>'Data entry Michel'!I21</f>
        <v>1.4826532838752</v>
      </c>
      <c r="F21" s="39">
        <f>'Data entry Michel'!L21</f>
        <v>1.3782117163412</v>
      </c>
      <c r="G21" s="39">
        <f>'Data entry Michel'!O21</f>
        <v>1.5056451612902999</v>
      </c>
      <c r="H21" s="39">
        <f>'Data entry Michel'!R21</f>
        <v>1.51</v>
      </c>
      <c r="I21" s="39">
        <f>'Data entry Michel'!U21</f>
        <v>1.4</v>
      </c>
      <c r="J21" s="39">
        <f>'Data entry Michel'!X21</f>
        <v>1.56</v>
      </c>
      <c r="K21" s="39">
        <f>'Data entry Michel'!AA21</f>
        <v>1.5</v>
      </c>
      <c r="L21" s="39">
        <f>'Data entry Michel'!AD21</f>
        <v>1.4</v>
      </c>
      <c r="M21" s="39">
        <f>'Data entry Michel'!AG21</f>
        <v>1.4</v>
      </c>
      <c r="N21" s="39">
        <f>'Data entry Michel'!AJ21</f>
        <v>1.2</v>
      </c>
      <c r="O21" s="39">
        <f>'Data entry Michel'!AM21</f>
        <v>1.6</v>
      </c>
    </row>
    <row r="22" spans="2:15" ht="14" x14ac:dyDescent="0.15">
      <c r="B22" s="38" t="s">
        <v>32</v>
      </c>
      <c r="C22" s="39">
        <f>'Data entry Michel'!C22</f>
        <v>52020.675000000003</v>
      </c>
      <c r="D22" s="39">
        <f>'Data entry Michel'!F22</f>
        <v>0</v>
      </c>
      <c r="E22" s="39">
        <f>'Data entry Michel'!I22</f>
        <v>0</v>
      </c>
      <c r="F22" s="39">
        <f>'Data entry Michel'!L22</f>
        <v>0</v>
      </c>
      <c r="G22" s="39">
        <f>'Data entry Michel'!O22</f>
        <v>0</v>
      </c>
      <c r="H22" s="39">
        <f>'Data entry Michel'!R22</f>
        <v>7114.6670000000004</v>
      </c>
      <c r="I22" s="39">
        <f>'Data entry Michel'!U22</f>
        <v>6316.1</v>
      </c>
      <c r="J22" s="39">
        <f>'Data entry Michel'!X22</f>
        <v>6834.8280000000004</v>
      </c>
      <c r="K22" s="39">
        <f>'Data entry Michel'!AA22</f>
        <v>6638.1</v>
      </c>
      <c r="L22" s="39">
        <f>'Data entry Michel'!AD22</f>
        <v>6488.58</v>
      </c>
      <c r="M22" s="39">
        <f>'Data entry Michel'!AG22</f>
        <v>6705.16</v>
      </c>
      <c r="N22" s="39">
        <f>'Data entry Michel'!AJ22</f>
        <v>5460.84</v>
      </c>
      <c r="O22" s="39">
        <f>'Data entry Michel'!AM22</f>
        <v>6462.4</v>
      </c>
    </row>
    <row r="23" spans="2:15" ht="14" x14ac:dyDescent="0.15">
      <c r="B23" s="38" t="s">
        <v>33</v>
      </c>
      <c r="C23" s="39">
        <f>'Data entry Michel'!C23</f>
        <v>546.54499999999996</v>
      </c>
      <c r="D23" s="39">
        <f>'Data entry Michel'!F23</f>
        <v>6010</v>
      </c>
      <c r="E23" s="39">
        <f>'Data entry Michel'!I23</f>
        <v>58.85</v>
      </c>
      <c r="F23" s="39">
        <f>'Data entry Michel'!L23</f>
        <v>57.57</v>
      </c>
      <c r="G23" s="39">
        <f>'Data entry Michel'!O23</f>
        <v>56.87</v>
      </c>
      <c r="H23" s="39">
        <f>'Data entry Michel'!R23</f>
        <v>46.75</v>
      </c>
      <c r="I23" s="39">
        <f>'Data entry Michel'!U23</f>
        <v>46.75</v>
      </c>
      <c r="J23" s="39">
        <f>'Data entry Michel'!X23</f>
        <v>46.125</v>
      </c>
      <c r="K23" s="39">
        <f>'Data entry Michel'!AA23</f>
        <v>47.125</v>
      </c>
      <c r="L23" s="39">
        <f>'Data entry Michel'!AD23</f>
        <v>47.125</v>
      </c>
      <c r="M23" s="39">
        <f>'Data entry Michel'!AG23</f>
        <v>47.125</v>
      </c>
      <c r="N23" s="39">
        <f>'Data entry Michel'!AJ23</f>
        <v>47.125</v>
      </c>
      <c r="O23" s="39">
        <f>'Data entry Michel'!AM23</f>
        <v>47.125</v>
      </c>
    </row>
    <row r="24" spans="2:15" x14ac:dyDescent="0.15">
      <c r="C24" s="39">
        <f>'Data entry Michel'!C24</f>
        <v>0</v>
      </c>
      <c r="D24" s="39">
        <f>'Data entry Michel'!F24</f>
        <v>0</v>
      </c>
      <c r="E24" s="39">
        <f>'Data entry Michel'!I24</f>
        <v>0</v>
      </c>
      <c r="F24" s="39">
        <f>'Data entry Michel'!L24</f>
        <v>0</v>
      </c>
      <c r="G24" s="39">
        <f>'Data entry Michel'!O24</f>
        <v>0</v>
      </c>
      <c r="H24" s="39">
        <f>'Data entry Michel'!R24</f>
        <v>0</v>
      </c>
      <c r="I24" s="39">
        <f>'Data entry Michel'!U24</f>
        <v>0</v>
      </c>
      <c r="J24" s="39">
        <f>'Data entry Michel'!X24</f>
        <v>0</v>
      </c>
      <c r="K24" s="39">
        <f>'Data entry Michel'!AA24</f>
        <v>0</v>
      </c>
      <c r="L24" s="39">
        <f>'Data entry Michel'!AD24</f>
        <v>0</v>
      </c>
      <c r="M24" s="39">
        <f>'Data entry Michel'!AG24</f>
        <v>0</v>
      </c>
      <c r="N24" s="39">
        <f>'Data entry Michel'!AJ24</f>
        <v>0</v>
      </c>
      <c r="O24" s="39">
        <f>'Data entry Michel'!AM24</f>
        <v>0</v>
      </c>
    </row>
    <row r="25" spans="2:15" ht="14" x14ac:dyDescent="0.15">
      <c r="B25" s="38" t="s">
        <v>34</v>
      </c>
      <c r="C25" s="39">
        <f>'Data entry Michel'!C25</f>
        <v>0</v>
      </c>
      <c r="D25" s="39">
        <f>'Data entry Michel'!F25</f>
        <v>0</v>
      </c>
      <c r="E25" s="39">
        <f>'Data entry Michel'!I25</f>
        <v>0</v>
      </c>
      <c r="F25" s="39">
        <f>'Data entry Michel'!L25</f>
        <v>0</v>
      </c>
      <c r="G25" s="39">
        <f>'Data entry Michel'!O25</f>
        <v>0</v>
      </c>
      <c r="H25" s="39">
        <f>'Data entry Michel'!R25</f>
        <v>0</v>
      </c>
      <c r="I25" s="39">
        <f>'Data entry Michel'!U25</f>
        <v>0</v>
      </c>
      <c r="J25" s="39">
        <f>'Data entry Michel'!X25</f>
        <v>0</v>
      </c>
      <c r="K25" s="39">
        <f>'Data entry Michel'!AA25</f>
        <v>0</v>
      </c>
      <c r="L25" s="39">
        <f>'Data entry Michel'!AD25</f>
        <v>0</v>
      </c>
      <c r="M25" s="39">
        <f>'Data entry Michel'!AG25</f>
        <v>0</v>
      </c>
      <c r="N25" s="39">
        <f>'Data entry Michel'!AJ25</f>
        <v>0</v>
      </c>
      <c r="O25" s="39">
        <f>'Data entry Michel'!AM25</f>
        <v>0</v>
      </c>
    </row>
    <row r="26" spans="2:15" x14ac:dyDescent="0.15">
      <c r="B26" s="40"/>
      <c r="C26" s="39">
        <f>'Data entry Michel'!C26</f>
        <v>0</v>
      </c>
      <c r="D26" s="39">
        <f>'Data entry Michel'!F26</f>
        <v>0</v>
      </c>
      <c r="E26" s="39">
        <f>'Data entry Michel'!I26</f>
        <v>0</v>
      </c>
      <c r="F26" s="39">
        <f>'Data entry Michel'!L26</f>
        <v>0</v>
      </c>
      <c r="G26" s="39">
        <f>'Data entry Michel'!O26</f>
        <v>0</v>
      </c>
      <c r="H26" s="39">
        <f>'Data entry Michel'!R26</f>
        <v>0</v>
      </c>
      <c r="I26" s="39">
        <f>'Data entry Michel'!U26</f>
        <v>0</v>
      </c>
      <c r="J26" s="39">
        <f>'Data entry Michel'!X26</f>
        <v>0</v>
      </c>
      <c r="K26" s="39">
        <f>'Data entry Michel'!AA26</f>
        <v>0</v>
      </c>
      <c r="L26" s="39">
        <f>'Data entry Michel'!AD26</f>
        <v>0</v>
      </c>
      <c r="M26" s="39">
        <f>'Data entry Michel'!AG26</f>
        <v>0</v>
      </c>
      <c r="N26" s="39">
        <f>'Data entry Michel'!AJ26</f>
        <v>0</v>
      </c>
      <c r="O26" s="39">
        <f>'Data entry Michel'!AM26</f>
        <v>0</v>
      </c>
    </row>
    <row r="27" spans="2:15" ht="14" x14ac:dyDescent="0.15">
      <c r="B27" s="42" t="s">
        <v>21</v>
      </c>
      <c r="C27" s="39">
        <f>'Data entry Michel'!C27</f>
        <v>13779533.205700001</v>
      </c>
      <c r="D27" s="39">
        <f>'Data entry Michel'!F27</f>
        <v>729589.21</v>
      </c>
      <c r="E27" s="39">
        <f>'Data entry Michel'!I27</f>
        <v>784271.72</v>
      </c>
      <c r="F27" s="39">
        <f>'Data entry Michel'!L27</f>
        <v>1096354.6599999999</v>
      </c>
      <c r="G27" s="39">
        <f>'Data entry Michel'!O27</f>
        <v>1160152.6100000001</v>
      </c>
      <c r="H27" s="39">
        <f>'Data entry Michel'!R27</f>
        <v>1458805.7291000001</v>
      </c>
      <c r="I27" s="39">
        <f>'Data entry Michel'!U27</f>
        <v>1318149.9802000001</v>
      </c>
      <c r="J27" s="39">
        <f>'Data entry Michel'!X27</f>
        <v>1092093.9582</v>
      </c>
      <c r="K27" s="39">
        <f>'Data entry Michel'!AA27</f>
        <v>1047994.4821</v>
      </c>
      <c r="L27" s="39">
        <f>'Data entry Michel'!AD27</f>
        <v>1421675.5227000001</v>
      </c>
      <c r="M27" s="39">
        <f>'Data entry Michel'!AG27</f>
        <v>1334733.6836999999</v>
      </c>
      <c r="N27" s="39">
        <f>'Data entry Michel'!AJ27</f>
        <v>1241586.3430999999</v>
      </c>
      <c r="O27" s="39">
        <f>'Data entry Michel'!AM27</f>
        <v>1094125.3066</v>
      </c>
    </row>
    <row r="28" spans="2:15" ht="14" x14ac:dyDescent="0.15">
      <c r="B28" s="38" t="s">
        <v>35</v>
      </c>
      <c r="C28" s="39">
        <f>'Data entry Michel'!C28</f>
        <v>10446720.550000001</v>
      </c>
      <c r="D28" s="39">
        <f>'Data entry Michel'!F28</f>
        <v>494656.46</v>
      </c>
      <c r="E28" s="39">
        <f>'Data entry Michel'!I28</f>
        <v>534224.79</v>
      </c>
      <c r="F28" s="39">
        <f>'Data entry Michel'!L28</f>
        <v>829121.98</v>
      </c>
      <c r="G28" s="39">
        <f>'Data entry Michel'!O28</f>
        <v>900848.31</v>
      </c>
      <c r="H28" s="39">
        <f>'Data entry Michel'!R28</f>
        <v>1183839.26</v>
      </c>
      <c r="I28" s="39">
        <f>'Data entry Michel'!U28</f>
        <v>1006969.25</v>
      </c>
      <c r="J28" s="39">
        <f>'Data entry Michel'!X28</f>
        <v>835310</v>
      </c>
      <c r="K28" s="39">
        <f>'Data entry Michel'!AA28</f>
        <v>810935</v>
      </c>
      <c r="L28" s="39">
        <f>'Data entry Michel'!AD28</f>
        <v>1110296.5</v>
      </c>
      <c r="M28" s="39">
        <f>'Data entry Michel'!AG28</f>
        <v>1013528</v>
      </c>
      <c r="N28" s="39">
        <f>'Data entry Michel'!AJ28</f>
        <v>920011</v>
      </c>
      <c r="O28" s="39">
        <f>'Data entry Michel'!AM28</f>
        <v>806980</v>
      </c>
    </row>
    <row r="29" spans="2:15" ht="14" x14ac:dyDescent="0.15">
      <c r="B29" s="38" t="s">
        <v>36</v>
      </c>
      <c r="C29" s="39">
        <f>'Data entry Michel'!C29</f>
        <v>2734277.4885</v>
      </c>
      <c r="D29" s="39">
        <f>'Data entry Michel'!F29</f>
        <v>184048.45</v>
      </c>
      <c r="E29" s="39">
        <f>'Data entry Michel'!I29</f>
        <v>189316.99</v>
      </c>
      <c r="F29" s="39">
        <f>'Data entry Michel'!L29</f>
        <v>212108.59</v>
      </c>
      <c r="G29" s="39">
        <f>'Data entry Michel'!O29</f>
        <v>205638.93</v>
      </c>
      <c r="H29" s="39">
        <f>'Data entry Michel'!R29</f>
        <v>224471.47169999999</v>
      </c>
      <c r="I29" s="39">
        <f>'Data entry Michel'!U29</f>
        <v>269113.11</v>
      </c>
      <c r="J29" s="39">
        <f>'Data entry Michel'!X29</f>
        <v>209328.48879999999</v>
      </c>
      <c r="K29" s="39">
        <f>'Data entry Michel'!AA29</f>
        <v>186256.26</v>
      </c>
      <c r="L29" s="39">
        <f>'Data entry Michel'!AD29</f>
        <v>261517.55799999999</v>
      </c>
      <c r="M29" s="39">
        <f>'Data entry Michel'!AG29</f>
        <v>273087.91600000003</v>
      </c>
      <c r="N29" s="39">
        <f>'Data entry Michel'!AJ29</f>
        <v>272998.68400000001</v>
      </c>
      <c r="O29" s="39">
        <f>'Data entry Michel'!AM29</f>
        <v>246391.04000000001</v>
      </c>
    </row>
    <row r="30" spans="2:15" ht="14" x14ac:dyDescent="0.15">
      <c r="B30" s="38" t="s">
        <v>37</v>
      </c>
      <c r="C30" s="39">
        <f>'Data entry Michel'!C30</f>
        <v>562832.83719999995</v>
      </c>
      <c r="D30" s="39">
        <f>'Data entry Michel'!F30</f>
        <v>49372.09</v>
      </c>
      <c r="E30" s="39">
        <f>'Data entry Michel'!I30</f>
        <v>53899.16</v>
      </c>
      <c r="F30" s="39">
        <f>'Data entry Michel'!L30</f>
        <v>53405.64</v>
      </c>
      <c r="G30" s="39">
        <f>'Data entry Michel'!O30</f>
        <v>52524.480000000003</v>
      </c>
      <c r="H30" s="39">
        <f>'Data entry Michel'!R30</f>
        <v>47994.9974</v>
      </c>
      <c r="I30" s="39">
        <f>'Data entry Michel'!U30</f>
        <v>40067.620199999998</v>
      </c>
      <c r="J30" s="39">
        <f>'Data entry Michel'!X30</f>
        <v>44955.469400000002</v>
      </c>
      <c r="K30" s="39">
        <f>'Data entry Michel'!AA30</f>
        <v>47803.222099999999</v>
      </c>
      <c r="L30" s="39">
        <f>'Data entry Michel'!AD30</f>
        <v>45861.464699999997</v>
      </c>
      <c r="M30" s="39">
        <f>'Data entry Michel'!AG30</f>
        <v>44617.767699999997</v>
      </c>
      <c r="N30" s="39">
        <f>'Data entry Michel'!AJ30</f>
        <v>44076.659099999997</v>
      </c>
      <c r="O30" s="39">
        <f>'Data entry Michel'!AM30</f>
        <v>38254.266600000003</v>
      </c>
    </row>
    <row r="31" spans="2:15" ht="14" x14ac:dyDescent="0.15">
      <c r="B31" s="38" t="s">
        <v>38</v>
      </c>
      <c r="C31" s="39">
        <f>'Data entry Michel'!C31</f>
        <v>35702.33</v>
      </c>
      <c r="D31" s="39">
        <f>'Data entry Michel'!F31</f>
        <v>1512.21</v>
      </c>
      <c r="E31" s="39">
        <f>'Data entry Michel'!I31</f>
        <v>6830.78</v>
      </c>
      <c r="F31" s="39">
        <f>'Data entry Michel'!L31</f>
        <v>1718.45</v>
      </c>
      <c r="G31" s="39">
        <f>'Data entry Michel'!O31</f>
        <v>1140.8900000000001</v>
      </c>
      <c r="H31" s="39">
        <f>'Data entry Michel'!R31</f>
        <v>2500</v>
      </c>
      <c r="I31" s="39">
        <f>'Data entry Michel'!U31</f>
        <v>2000</v>
      </c>
      <c r="J31" s="39">
        <f>'Data entry Michel'!X31</f>
        <v>2500</v>
      </c>
      <c r="K31" s="39">
        <f>'Data entry Michel'!AA31</f>
        <v>3000</v>
      </c>
      <c r="L31" s="39">
        <f>'Data entry Michel'!AD31</f>
        <v>4000</v>
      </c>
      <c r="M31" s="39">
        <f>'Data entry Michel'!AG31</f>
        <v>3500</v>
      </c>
      <c r="N31" s="39">
        <f>'Data entry Michel'!AJ31</f>
        <v>4500</v>
      </c>
      <c r="O31" s="39">
        <f>'Data entry Michel'!AM31</f>
        <v>2500</v>
      </c>
    </row>
    <row r="32" spans="2:15" x14ac:dyDescent="0.15">
      <c r="B32" s="40"/>
      <c r="C32" s="39">
        <f>'Data entry Michel'!C32</f>
        <v>0</v>
      </c>
      <c r="D32" s="39">
        <f>'Data entry Michel'!F32</f>
        <v>0</v>
      </c>
      <c r="E32" s="39">
        <f>'Data entry Michel'!I32</f>
        <v>0</v>
      </c>
      <c r="F32" s="39">
        <f>'Data entry Michel'!L32</f>
        <v>0</v>
      </c>
      <c r="G32" s="39">
        <f>'Data entry Michel'!O32</f>
        <v>0</v>
      </c>
      <c r="H32" s="39">
        <f>'Data entry Michel'!R32</f>
        <v>0</v>
      </c>
      <c r="I32" s="39">
        <f>'Data entry Michel'!U32</f>
        <v>0</v>
      </c>
      <c r="J32" s="39">
        <f>'Data entry Michel'!X32</f>
        <v>0</v>
      </c>
      <c r="K32" s="39">
        <f>'Data entry Michel'!AA32</f>
        <v>0</v>
      </c>
      <c r="L32" s="39">
        <f>'Data entry Michel'!AD32</f>
        <v>0</v>
      </c>
      <c r="M32" s="39">
        <f>'Data entry Michel'!AG32</f>
        <v>0</v>
      </c>
      <c r="N32" s="39">
        <f>'Data entry Michel'!AJ32</f>
        <v>0</v>
      </c>
      <c r="O32" s="39">
        <f>'Data entry Michel'!AM32</f>
        <v>0</v>
      </c>
    </row>
    <row r="33" spans="2:15" ht="14" x14ac:dyDescent="0.15">
      <c r="B33" s="44" t="s">
        <v>39</v>
      </c>
      <c r="C33" s="39">
        <f>'Data entry Michel'!C33</f>
        <v>0</v>
      </c>
      <c r="D33" s="39">
        <f>'Data entry Michel'!F33</f>
        <v>0</v>
      </c>
      <c r="E33" s="39">
        <f>'Data entry Michel'!I33</f>
        <v>0</v>
      </c>
      <c r="F33" s="39">
        <f>'Data entry Michel'!L33</f>
        <v>0</v>
      </c>
      <c r="G33" s="39">
        <f>'Data entry Michel'!O33</f>
        <v>0</v>
      </c>
      <c r="H33" s="39">
        <f>'Data entry Michel'!R33</f>
        <v>0</v>
      </c>
      <c r="I33" s="39">
        <f>'Data entry Michel'!U33</f>
        <v>0</v>
      </c>
      <c r="J33" s="39">
        <f>'Data entry Michel'!X33</f>
        <v>0</v>
      </c>
      <c r="K33" s="39">
        <f>'Data entry Michel'!AA33</f>
        <v>0</v>
      </c>
      <c r="L33" s="39">
        <f>'Data entry Michel'!AD33</f>
        <v>0</v>
      </c>
      <c r="M33" s="39">
        <f>'Data entry Michel'!AG33</f>
        <v>0</v>
      </c>
      <c r="N33" s="39">
        <f>'Data entry Michel'!AJ33</f>
        <v>0</v>
      </c>
      <c r="O33" s="39">
        <f>'Data entry Michel'!AM33</f>
        <v>0</v>
      </c>
    </row>
    <row r="34" spans="2:15" ht="14" x14ac:dyDescent="0.15">
      <c r="B34" s="42" t="s">
        <v>35</v>
      </c>
      <c r="C34" s="39">
        <f>'Data entry Michel'!C34</f>
        <v>10446720.550000001</v>
      </c>
      <c r="D34" s="39">
        <f>'Data entry Michel'!F34</f>
        <v>494656.46</v>
      </c>
      <c r="E34" s="39">
        <f>'Data entry Michel'!I34</f>
        <v>534224.79</v>
      </c>
      <c r="F34" s="39">
        <f>'Data entry Michel'!L34</f>
        <v>829121.98</v>
      </c>
      <c r="G34" s="39">
        <f>'Data entry Michel'!O34</f>
        <v>900848.31</v>
      </c>
      <c r="H34" s="39">
        <f>'Data entry Michel'!R34</f>
        <v>1183839.26</v>
      </c>
      <c r="I34" s="39">
        <f>'Data entry Michel'!U34</f>
        <v>1006969.25</v>
      </c>
      <c r="J34" s="39">
        <f>'Data entry Michel'!X34</f>
        <v>835310</v>
      </c>
      <c r="K34" s="39">
        <f>'Data entry Michel'!AA34</f>
        <v>810935</v>
      </c>
      <c r="L34" s="39">
        <f>'Data entry Michel'!AD34</f>
        <v>1110296.5</v>
      </c>
      <c r="M34" s="39">
        <f>'Data entry Michel'!AG34</f>
        <v>1013528</v>
      </c>
      <c r="N34" s="39">
        <f>'Data entry Michel'!AJ34</f>
        <v>920011</v>
      </c>
      <c r="O34" s="39">
        <f>'Data entry Michel'!AM34</f>
        <v>806980</v>
      </c>
    </row>
    <row r="35" spans="2:15" ht="14" x14ac:dyDescent="0.15">
      <c r="B35" s="38" t="s">
        <v>22</v>
      </c>
      <c r="C35" s="39">
        <f>'Data entry Michel'!C35</f>
        <v>1738838.3054</v>
      </c>
      <c r="D35" s="39">
        <f>'Data entry Michel'!F35</f>
        <v>132005</v>
      </c>
      <c r="E35" s="39">
        <f>'Data entry Michel'!I35</f>
        <v>134622.31</v>
      </c>
      <c r="F35" s="39">
        <f>'Data entry Michel'!L35</f>
        <v>147303.31</v>
      </c>
      <c r="G35" s="39">
        <f>'Data entry Michel'!O35</f>
        <v>150836.14000000001</v>
      </c>
      <c r="H35" s="39">
        <f>'Data entry Michel'!R35</f>
        <v>147998.67809999999</v>
      </c>
      <c r="I35" s="39">
        <f>'Data entry Michel'!U35</f>
        <v>150202.1128</v>
      </c>
      <c r="J35" s="39">
        <f>'Data entry Michel'!X35</f>
        <v>144158.78589999999</v>
      </c>
      <c r="K35" s="39">
        <f>'Data entry Michel'!AA35</f>
        <v>146631.7053</v>
      </c>
      <c r="L35" s="39">
        <f>'Data entry Michel'!AD35</f>
        <v>149604.087</v>
      </c>
      <c r="M35" s="39">
        <f>'Data entry Michel'!AG35</f>
        <v>148866.8394</v>
      </c>
      <c r="N35" s="39">
        <f>'Data entry Michel'!AJ35</f>
        <v>154309.82500000001</v>
      </c>
      <c r="O35" s="39">
        <f>'Data entry Michel'!AM35</f>
        <v>132299.51190000001</v>
      </c>
    </row>
    <row r="36" spans="2:15" ht="14" x14ac:dyDescent="0.15">
      <c r="B36" s="38" t="s">
        <v>40</v>
      </c>
      <c r="C36" s="39">
        <f>'Data entry Michel'!C36</f>
        <v>1623935.5151</v>
      </c>
      <c r="D36" s="39">
        <f>'Data entry Michel'!F36</f>
        <v>89679.39</v>
      </c>
      <c r="E36" s="39">
        <f>'Data entry Michel'!I36</f>
        <v>119863.29</v>
      </c>
      <c r="F36" s="39">
        <f>'Data entry Michel'!L36</f>
        <v>124148.36</v>
      </c>
      <c r="G36" s="39">
        <f>'Data entry Michel'!O36</f>
        <v>151069.75</v>
      </c>
      <c r="H36" s="39">
        <f>'Data entry Michel'!R36</f>
        <v>163959.77230000001</v>
      </c>
      <c r="I36" s="39">
        <f>'Data entry Michel'!U36</f>
        <v>145276.32130000001</v>
      </c>
      <c r="J36" s="39">
        <f>'Data entry Michel'!X36</f>
        <v>132154.38</v>
      </c>
      <c r="K36" s="39">
        <f>'Data entry Michel'!AA36</f>
        <v>137727.41500000001</v>
      </c>
      <c r="L36" s="39">
        <f>'Data entry Michel'!AD36</f>
        <v>156453.2825</v>
      </c>
      <c r="M36" s="39">
        <f>'Data entry Michel'!AG36</f>
        <v>145613.38</v>
      </c>
      <c r="N36" s="39">
        <f>'Data entry Michel'!AJ36</f>
        <v>134913.42499999999</v>
      </c>
      <c r="O36" s="39">
        <f>'Data entry Michel'!AM36</f>
        <v>123076.749</v>
      </c>
    </row>
    <row r="37" spans="2:15" ht="14" x14ac:dyDescent="0.15">
      <c r="B37" s="42" t="s">
        <v>41</v>
      </c>
      <c r="C37" s="39">
        <f>'Data entry Michel'!C37</f>
        <v>7083946.7295000004</v>
      </c>
      <c r="D37" s="39">
        <f>'Data entry Michel'!F37</f>
        <v>272972.07</v>
      </c>
      <c r="E37" s="39">
        <f>'Data entry Michel'!I37</f>
        <v>279739.19</v>
      </c>
      <c r="F37" s="39">
        <f>'Data entry Michel'!L37</f>
        <v>557670.31000000006</v>
      </c>
      <c r="G37" s="39">
        <f>'Data entry Michel'!O37</f>
        <v>598942.42000000004</v>
      </c>
      <c r="H37" s="39">
        <f>'Data entry Michel'!R37</f>
        <v>871880.80960000004</v>
      </c>
      <c r="I37" s="39">
        <f>'Data entry Michel'!U37</f>
        <v>711490.81590000005</v>
      </c>
      <c r="J37" s="39">
        <f>'Data entry Michel'!X37</f>
        <v>558996.83409999998</v>
      </c>
      <c r="K37" s="39">
        <f>'Data entry Michel'!AA37</f>
        <v>526575.87970000005</v>
      </c>
      <c r="L37" s="39">
        <f>'Data entry Michel'!AD37</f>
        <v>804239.13049999997</v>
      </c>
      <c r="M37" s="39">
        <f>'Data entry Michel'!AG37</f>
        <v>719047.78060000006</v>
      </c>
      <c r="N37" s="39">
        <f>'Data entry Michel'!AJ37</f>
        <v>630787.75</v>
      </c>
      <c r="O37" s="39">
        <f>'Data entry Michel'!AM37</f>
        <v>551603.73910000001</v>
      </c>
    </row>
    <row r="38" spans="2:15" x14ac:dyDescent="0.15">
      <c r="B38" s="40"/>
      <c r="C38" s="39">
        <f>'Data entry Michel'!C38</f>
        <v>0</v>
      </c>
      <c r="D38" s="39">
        <f>'Data entry Michel'!F38</f>
        <v>0</v>
      </c>
      <c r="E38" s="39">
        <f>'Data entry Michel'!I38</f>
        <v>0</v>
      </c>
      <c r="F38" s="39">
        <f>'Data entry Michel'!L38</f>
        <v>0</v>
      </c>
      <c r="G38" s="39">
        <f>'Data entry Michel'!O38</f>
        <v>0</v>
      </c>
      <c r="H38" s="39">
        <f>'Data entry Michel'!R38</f>
        <v>0</v>
      </c>
      <c r="I38" s="39">
        <f>'Data entry Michel'!U38</f>
        <v>0</v>
      </c>
      <c r="J38" s="39">
        <f>'Data entry Michel'!X38</f>
        <v>0</v>
      </c>
      <c r="K38" s="39">
        <f>'Data entry Michel'!AA38</f>
        <v>0</v>
      </c>
      <c r="L38" s="39">
        <f>'Data entry Michel'!AD38</f>
        <v>0</v>
      </c>
      <c r="M38" s="39">
        <f>'Data entry Michel'!AG38</f>
        <v>0</v>
      </c>
      <c r="N38" s="39">
        <f>'Data entry Michel'!AJ38</f>
        <v>0</v>
      </c>
      <c r="O38" s="39">
        <f>'Data entry Michel'!AM38</f>
        <v>0</v>
      </c>
    </row>
    <row r="39" spans="2:15" ht="14" x14ac:dyDescent="0.15">
      <c r="B39" s="44" t="s">
        <v>42</v>
      </c>
      <c r="C39" s="39">
        <f>'Data entry Michel'!C39</f>
        <v>0</v>
      </c>
      <c r="D39" s="39">
        <f>'Data entry Michel'!F39</f>
        <v>0</v>
      </c>
      <c r="E39" s="39">
        <f>'Data entry Michel'!I39</f>
        <v>0</v>
      </c>
      <c r="F39" s="39">
        <f>'Data entry Michel'!L39</f>
        <v>0</v>
      </c>
      <c r="G39" s="39">
        <f>'Data entry Michel'!O39</f>
        <v>0</v>
      </c>
      <c r="H39" s="39">
        <f>'Data entry Michel'!R39</f>
        <v>0</v>
      </c>
      <c r="I39" s="39">
        <f>'Data entry Michel'!U39</f>
        <v>0</v>
      </c>
      <c r="J39" s="39">
        <f>'Data entry Michel'!X39</f>
        <v>0</v>
      </c>
      <c r="K39" s="39">
        <f>'Data entry Michel'!AA39</f>
        <v>0</v>
      </c>
      <c r="L39" s="39">
        <f>'Data entry Michel'!AD39</f>
        <v>0</v>
      </c>
      <c r="M39" s="39">
        <f>'Data entry Michel'!AG39</f>
        <v>0</v>
      </c>
      <c r="N39" s="39">
        <f>'Data entry Michel'!AJ39</f>
        <v>0</v>
      </c>
      <c r="O39" s="39">
        <f>'Data entry Michel'!AM39</f>
        <v>0</v>
      </c>
    </row>
    <row r="40" spans="2:15" ht="14" x14ac:dyDescent="0.15">
      <c r="B40" s="38" t="s">
        <v>43</v>
      </c>
      <c r="C40" s="39">
        <f>'Data entry Michel'!C40</f>
        <v>1719271.5109999999</v>
      </c>
      <c r="D40" s="39">
        <f>'Data entry Michel'!F40</f>
        <v>115713.14</v>
      </c>
      <c r="E40" s="39">
        <f>'Data entry Michel'!I40</f>
        <v>116768.22</v>
      </c>
      <c r="F40" s="39">
        <f>'Data entry Michel'!L40</f>
        <v>131397.26</v>
      </c>
      <c r="G40" s="39">
        <f>'Data entry Michel'!O40</f>
        <v>132591.78</v>
      </c>
      <c r="H40" s="39">
        <f>'Data entry Michel'!R40</f>
        <v>146490.671</v>
      </c>
      <c r="I40" s="39">
        <f>'Data entry Michel'!U40</f>
        <v>168609.3</v>
      </c>
      <c r="J40" s="39">
        <f>'Data entry Michel'!X40</f>
        <v>135935.35</v>
      </c>
      <c r="K40" s="39">
        <f>'Data entry Michel'!AA40</f>
        <v>123476.25</v>
      </c>
      <c r="L40" s="39">
        <f>'Data entry Michel'!AD40</f>
        <v>160351.54</v>
      </c>
      <c r="M40" s="39">
        <f>'Data entry Michel'!AG40</f>
        <v>167167.07999999999</v>
      </c>
      <c r="N40" s="39">
        <f>'Data entry Michel'!AJ40</f>
        <v>164990.92000000001</v>
      </c>
      <c r="O40" s="39">
        <f>'Data entry Michel'!AM40</f>
        <v>155780</v>
      </c>
    </row>
    <row r="41" spans="2:15" ht="14" x14ac:dyDescent="0.15">
      <c r="B41" s="38" t="s">
        <v>44</v>
      </c>
      <c r="C41" s="39">
        <f>'Data entry Michel'!C41</f>
        <v>764022.63749999995</v>
      </c>
      <c r="D41" s="39">
        <f>'Data entry Michel'!F41</f>
        <v>49571.78</v>
      </c>
      <c r="E41" s="39">
        <f>'Data entry Michel'!I41</f>
        <v>54047.12</v>
      </c>
      <c r="F41" s="39">
        <f>'Data entry Michel'!L41</f>
        <v>58640.36</v>
      </c>
      <c r="G41" s="39">
        <f>'Data entry Michel'!O41</f>
        <v>60719.96</v>
      </c>
      <c r="H41" s="39">
        <f>'Data entry Michel'!R41</f>
        <v>61940.8007</v>
      </c>
      <c r="I41" s="39">
        <f>'Data entry Michel'!U41</f>
        <v>72463.81</v>
      </c>
      <c r="J41" s="39">
        <f>'Data entry Michel'!X41</f>
        <v>58353.138800000001</v>
      </c>
      <c r="K41" s="39">
        <f>'Data entry Michel'!AA41</f>
        <v>56740.01</v>
      </c>
      <c r="L41" s="39">
        <f>'Data entry Michel'!AD41</f>
        <v>73126.017999999996</v>
      </c>
      <c r="M41" s="39">
        <f>'Data entry Michel'!AG41</f>
        <v>74880.835999999996</v>
      </c>
      <c r="N41" s="39">
        <f>'Data entry Michel'!AJ41</f>
        <v>74967.763999999996</v>
      </c>
      <c r="O41" s="39">
        <f>'Data entry Michel'!AM41</f>
        <v>68571.039999999994</v>
      </c>
    </row>
    <row r="42" spans="2:15" ht="14" x14ac:dyDescent="0.15">
      <c r="B42" s="38" t="s">
        <v>45</v>
      </c>
      <c r="C42" s="39">
        <f>'Data entry Michel'!C42</f>
        <v>250983.34</v>
      </c>
      <c r="D42" s="39">
        <f>'Data entry Michel'!F42</f>
        <v>18763.53</v>
      </c>
      <c r="E42" s="39">
        <f>'Data entry Michel'!I42</f>
        <v>18501.650000000001</v>
      </c>
      <c r="F42" s="39">
        <f>'Data entry Michel'!L42</f>
        <v>22070.97</v>
      </c>
      <c r="G42" s="39">
        <f>'Data entry Michel'!O42</f>
        <v>12327.19</v>
      </c>
      <c r="H42" s="39">
        <f>'Data entry Michel'!R42</f>
        <v>16040</v>
      </c>
      <c r="I42" s="39">
        <f>'Data entry Michel'!U42</f>
        <v>28040</v>
      </c>
      <c r="J42" s="39">
        <f>'Data entry Michel'!X42</f>
        <v>15040</v>
      </c>
      <c r="K42" s="39">
        <f>'Data entry Michel'!AA42</f>
        <v>6040</v>
      </c>
      <c r="L42" s="39">
        <f>'Data entry Michel'!AD42</f>
        <v>28040</v>
      </c>
      <c r="M42" s="39">
        <f>'Data entry Michel'!AG42</f>
        <v>31040</v>
      </c>
      <c r="N42" s="39">
        <f>'Data entry Michel'!AJ42</f>
        <v>33040</v>
      </c>
      <c r="O42" s="39">
        <f>'Data entry Michel'!AM42</f>
        <v>22040</v>
      </c>
    </row>
    <row r="43" spans="2:15" ht="14" x14ac:dyDescent="0.15">
      <c r="B43" s="42" t="s">
        <v>36</v>
      </c>
      <c r="C43" s="39">
        <f>'Data entry Michel'!C43</f>
        <v>2734277.4885</v>
      </c>
      <c r="D43" s="39">
        <f>'Data entry Michel'!F43</f>
        <v>184048.45</v>
      </c>
      <c r="E43" s="39">
        <f>'Data entry Michel'!I43</f>
        <v>189316.99</v>
      </c>
      <c r="F43" s="39">
        <f>'Data entry Michel'!L43</f>
        <v>212108.59</v>
      </c>
      <c r="G43" s="39">
        <f>'Data entry Michel'!O43</f>
        <v>205638.93</v>
      </c>
      <c r="H43" s="39">
        <f>'Data entry Michel'!R43</f>
        <v>224471.47169999999</v>
      </c>
      <c r="I43" s="39">
        <f>'Data entry Michel'!U43</f>
        <v>269113.11</v>
      </c>
      <c r="J43" s="39">
        <f>'Data entry Michel'!X43</f>
        <v>209328.48879999999</v>
      </c>
      <c r="K43" s="39">
        <f>'Data entry Michel'!AA43</f>
        <v>186256.26</v>
      </c>
      <c r="L43" s="39">
        <f>'Data entry Michel'!AD43</f>
        <v>261517.55799999999</v>
      </c>
      <c r="M43" s="39">
        <f>'Data entry Michel'!AG43</f>
        <v>273087.91600000003</v>
      </c>
      <c r="N43" s="39">
        <f>'Data entry Michel'!AJ43</f>
        <v>272998.68400000001</v>
      </c>
      <c r="O43" s="39">
        <f>'Data entry Michel'!AM43</f>
        <v>246391.04000000001</v>
      </c>
    </row>
    <row r="44" spans="2:15" ht="14" x14ac:dyDescent="0.15">
      <c r="B44" s="38" t="s">
        <v>46</v>
      </c>
      <c r="C44" s="39">
        <f>'Data entry Michel'!C44</f>
        <v>469123.64889999997</v>
      </c>
      <c r="D44" s="39">
        <f>'Data entry Michel'!F44</f>
        <v>31763.18</v>
      </c>
      <c r="E44" s="39">
        <f>'Data entry Michel'!I44</f>
        <v>44832.63</v>
      </c>
      <c r="F44" s="39">
        <f>'Data entry Michel'!L44</f>
        <v>28661.040000000001</v>
      </c>
      <c r="G44" s="39">
        <f>'Data entry Michel'!O44</f>
        <v>45938.51</v>
      </c>
      <c r="H44" s="39">
        <f>'Data entry Michel'!R44</f>
        <v>38087.574500000002</v>
      </c>
      <c r="I44" s="39">
        <f>'Data entry Michel'!U44</f>
        <v>43838.417999999998</v>
      </c>
      <c r="J44" s="39">
        <f>'Data entry Michel'!X44</f>
        <v>35343.190999999999</v>
      </c>
      <c r="K44" s="39">
        <f>'Data entry Michel'!AA44</f>
        <v>32103.825000000001</v>
      </c>
      <c r="L44" s="39">
        <f>'Data entry Michel'!AD44</f>
        <v>41691.400399999999</v>
      </c>
      <c r="M44" s="39">
        <f>'Data entry Michel'!AG44</f>
        <v>43463.440799999997</v>
      </c>
      <c r="N44" s="39">
        <f>'Data entry Michel'!AJ44</f>
        <v>42897.639199999998</v>
      </c>
      <c r="O44" s="39">
        <f>'Data entry Michel'!AM44</f>
        <v>40502.800000000003</v>
      </c>
    </row>
    <row r="45" spans="2:15" ht="14" x14ac:dyDescent="0.15">
      <c r="B45" s="38" t="s">
        <v>47</v>
      </c>
      <c r="C45" s="39">
        <f>'Data entry Michel'!C45</f>
        <v>172224.9976</v>
      </c>
      <c r="D45" s="39">
        <f>'Data entry Michel'!F45</f>
        <v>11541.01</v>
      </c>
      <c r="E45" s="39">
        <f>'Data entry Michel'!I45</f>
        <v>15046.4</v>
      </c>
      <c r="F45" s="39">
        <f>'Data entry Michel'!L45</f>
        <v>14481.25</v>
      </c>
      <c r="G45" s="39">
        <f>'Data entry Michel'!O45</f>
        <v>17537.22</v>
      </c>
      <c r="H45" s="39">
        <f>'Data entry Michel'!R45</f>
        <v>13007.5681</v>
      </c>
      <c r="I45" s="39">
        <f>'Data entry Michel'!U45</f>
        <v>15217.400100000001</v>
      </c>
      <c r="J45" s="39">
        <f>'Data entry Michel'!X45</f>
        <v>12254.159100000001</v>
      </c>
      <c r="K45" s="39">
        <f>'Data entry Michel'!AA45</f>
        <v>11915.402099999999</v>
      </c>
      <c r="L45" s="39">
        <f>'Data entry Michel'!AD45</f>
        <v>15356.4638</v>
      </c>
      <c r="M45" s="39">
        <f>'Data entry Michel'!AG45</f>
        <v>15724.9756</v>
      </c>
      <c r="N45" s="39">
        <f>'Data entry Michel'!AJ45</f>
        <v>15743.2304</v>
      </c>
      <c r="O45" s="39">
        <f>'Data entry Michel'!AM45</f>
        <v>14399.9184</v>
      </c>
    </row>
    <row r="46" spans="2:15" ht="14" x14ac:dyDescent="0.15">
      <c r="B46" s="38" t="s">
        <v>48</v>
      </c>
      <c r="C46" s="39">
        <f>'Data entry Michel'!C46</f>
        <v>16221.67</v>
      </c>
      <c r="D46" s="39">
        <f>'Data entry Michel'!F46</f>
        <v>5474.91</v>
      </c>
      <c r="E46" s="39">
        <f>'Data entry Michel'!I46</f>
        <v>1268.1600000000001</v>
      </c>
      <c r="F46" s="39">
        <f>'Data entry Michel'!L46</f>
        <v>3886.13</v>
      </c>
      <c r="G46" s="39">
        <f>'Data entry Michel'!O46</f>
        <v>292.47000000000003</v>
      </c>
      <c r="H46" s="39">
        <f>'Data entry Michel'!R46</f>
        <v>0</v>
      </c>
      <c r="I46" s="39">
        <f>'Data entry Michel'!U46</f>
        <v>3500</v>
      </c>
      <c r="J46" s="39">
        <f>'Data entry Michel'!X46</f>
        <v>250</v>
      </c>
      <c r="K46" s="39">
        <f>'Data entry Michel'!AA46</f>
        <v>100</v>
      </c>
      <c r="L46" s="39">
        <f>'Data entry Michel'!AD46</f>
        <v>300</v>
      </c>
      <c r="M46" s="39">
        <f>'Data entry Michel'!AG46</f>
        <v>450</v>
      </c>
      <c r="N46" s="39">
        <f>'Data entry Michel'!AJ46</f>
        <v>400</v>
      </c>
      <c r="O46" s="39">
        <f>'Data entry Michel'!AM46</f>
        <v>300</v>
      </c>
    </row>
    <row r="47" spans="2:15" ht="14" x14ac:dyDescent="0.15">
      <c r="B47" s="42" t="s">
        <v>49</v>
      </c>
      <c r="C47" s="39">
        <f>'Data entry Michel'!C47</f>
        <v>657570.31649999996</v>
      </c>
      <c r="D47" s="39">
        <f>'Data entry Michel'!F47</f>
        <v>48779.1</v>
      </c>
      <c r="E47" s="39">
        <f>'Data entry Michel'!I47</f>
        <v>61147.19</v>
      </c>
      <c r="F47" s="39">
        <f>'Data entry Michel'!L47</f>
        <v>47028.42</v>
      </c>
      <c r="G47" s="39">
        <f>'Data entry Michel'!O47</f>
        <v>63768.2</v>
      </c>
      <c r="H47" s="39">
        <f>'Data entry Michel'!R47</f>
        <v>51095.142599999999</v>
      </c>
      <c r="I47" s="39">
        <f>'Data entry Michel'!U47</f>
        <v>62555.818099999997</v>
      </c>
      <c r="J47" s="39">
        <f>'Data entry Michel'!X47</f>
        <v>47847.350100000003</v>
      </c>
      <c r="K47" s="39">
        <f>'Data entry Michel'!AA47</f>
        <v>44119.227099999996</v>
      </c>
      <c r="L47" s="39">
        <f>'Data entry Michel'!AD47</f>
        <v>57347.864200000004</v>
      </c>
      <c r="M47" s="39">
        <f>'Data entry Michel'!AG47</f>
        <v>59638.416400000002</v>
      </c>
      <c r="N47" s="39">
        <f>'Data entry Michel'!AJ47</f>
        <v>59040.869599999998</v>
      </c>
      <c r="O47" s="39">
        <f>'Data entry Michel'!AM47</f>
        <v>55202.718399999998</v>
      </c>
    </row>
    <row r="48" spans="2:15" ht="14" x14ac:dyDescent="0.15">
      <c r="B48" s="38" t="s">
        <v>22</v>
      </c>
      <c r="C48" s="39">
        <f>'Data entry Michel'!C48</f>
        <v>1373398.4919</v>
      </c>
      <c r="D48" s="39">
        <f>'Data entry Michel'!F48</f>
        <v>120989.41</v>
      </c>
      <c r="E48" s="39">
        <f>'Data entry Michel'!I48</f>
        <v>118411.42</v>
      </c>
      <c r="F48" s="39">
        <f>'Data entry Michel'!L48</f>
        <v>118963.62</v>
      </c>
      <c r="G48" s="39">
        <f>'Data entry Michel'!O48</f>
        <v>116227.3</v>
      </c>
      <c r="H48" s="39">
        <f>'Data entry Michel'!R48</f>
        <v>112929.6961</v>
      </c>
      <c r="I48" s="39">
        <f>'Data entry Michel'!U48</f>
        <v>112353.7934</v>
      </c>
      <c r="J48" s="39">
        <f>'Data entry Michel'!X48</f>
        <v>104398.93640000001</v>
      </c>
      <c r="K48" s="39">
        <f>'Data entry Michel'!AA48</f>
        <v>111019.0294</v>
      </c>
      <c r="L48" s="39">
        <f>'Data entry Michel'!AD48</f>
        <v>114719.6801</v>
      </c>
      <c r="M48" s="39">
        <f>'Data entry Michel'!AG48</f>
        <v>111320.769</v>
      </c>
      <c r="N48" s="39">
        <f>'Data entry Michel'!AJ48</f>
        <v>125052.1928</v>
      </c>
      <c r="O48" s="39">
        <f>'Data entry Michel'!AM48</f>
        <v>107012.6447</v>
      </c>
    </row>
    <row r="49" spans="2:15" ht="14" x14ac:dyDescent="0.15">
      <c r="B49" s="38" t="s">
        <v>40</v>
      </c>
      <c r="C49" s="39">
        <f>'Data entry Michel'!C49</f>
        <v>84541.946899999995</v>
      </c>
      <c r="D49" s="39">
        <f>'Data entry Michel'!F49</f>
        <v>163.11000000000001</v>
      </c>
      <c r="E49" s="39">
        <f>'Data entry Michel'!I49</f>
        <v>6492.35</v>
      </c>
      <c r="F49" s="39">
        <f>'Data entry Michel'!L49</f>
        <v>8682.48</v>
      </c>
      <c r="G49" s="39">
        <f>'Data entry Michel'!O49</f>
        <v>7142.91</v>
      </c>
      <c r="H49" s="39">
        <f>'Data entry Michel'!R49</f>
        <v>6660.2529999999997</v>
      </c>
      <c r="I49" s="39">
        <f>'Data entry Michel'!U49</f>
        <v>6950.9453000000003</v>
      </c>
      <c r="J49" s="39">
        <f>'Data entry Michel'!X49</f>
        <v>6039</v>
      </c>
      <c r="K49" s="39">
        <f>'Data entry Michel'!AA49</f>
        <v>5931.3698999999997</v>
      </c>
      <c r="L49" s="39">
        <f>'Data entry Michel'!AD49</f>
        <v>10189</v>
      </c>
      <c r="M49" s="39">
        <f>'Data entry Michel'!AG49</f>
        <v>7931.7574999999997</v>
      </c>
      <c r="N49" s="39">
        <f>'Data entry Michel'!AJ49</f>
        <v>9006.1759999999995</v>
      </c>
      <c r="O49" s="39">
        <f>'Data entry Michel'!AM49</f>
        <v>9352.5951999999997</v>
      </c>
    </row>
    <row r="50" spans="2:15" ht="14" x14ac:dyDescent="0.15">
      <c r="B50" s="42" t="s">
        <v>41</v>
      </c>
      <c r="C50" s="39">
        <f>'Data entry Michel'!C50</f>
        <v>618766.73289999994</v>
      </c>
      <c r="D50" s="39">
        <f>'Data entry Michel'!F50</f>
        <v>14116.83</v>
      </c>
      <c r="E50" s="39">
        <f>'Data entry Michel'!I50</f>
        <v>3266.03</v>
      </c>
      <c r="F50" s="39">
        <f>'Data entry Michel'!L50</f>
        <v>37434.07</v>
      </c>
      <c r="G50" s="39">
        <f>'Data entry Michel'!O50</f>
        <v>18500.52</v>
      </c>
      <c r="H50" s="39">
        <f>'Data entry Michel'!R50</f>
        <v>53786.38</v>
      </c>
      <c r="I50" s="39">
        <f>'Data entry Michel'!U50</f>
        <v>87252.553100000005</v>
      </c>
      <c r="J50" s="39">
        <f>'Data entry Michel'!X50</f>
        <v>51043.2022</v>
      </c>
      <c r="K50" s="39">
        <f>'Data entry Michel'!AA50</f>
        <v>25186.633600000001</v>
      </c>
      <c r="L50" s="39">
        <f>'Data entry Michel'!AD50</f>
        <v>79261.013800000001</v>
      </c>
      <c r="M50" s="39">
        <f>'Data entry Michel'!AG50</f>
        <v>94196.973100000003</v>
      </c>
      <c r="N50" s="39">
        <f>'Data entry Michel'!AJ50</f>
        <v>79899.445500000002</v>
      </c>
      <c r="O50" s="39">
        <f>'Data entry Michel'!AM50</f>
        <v>74823.081600000005</v>
      </c>
    </row>
    <row r="51" spans="2:15" x14ac:dyDescent="0.15">
      <c r="B51" s="40"/>
      <c r="C51" s="39">
        <f>'Data entry Michel'!C51</f>
        <v>0</v>
      </c>
      <c r="D51" s="39">
        <f>'Data entry Michel'!F51</f>
        <v>0</v>
      </c>
      <c r="E51" s="39">
        <f>'Data entry Michel'!I51</f>
        <v>0</v>
      </c>
      <c r="F51" s="39">
        <f>'Data entry Michel'!L51</f>
        <v>0</v>
      </c>
      <c r="G51" s="39">
        <f>'Data entry Michel'!O51</f>
        <v>0</v>
      </c>
      <c r="H51" s="39">
        <f>'Data entry Michel'!R51</f>
        <v>0</v>
      </c>
      <c r="I51" s="39">
        <f>'Data entry Michel'!U51</f>
        <v>0</v>
      </c>
      <c r="J51" s="39">
        <f>'Data entry Michel'!X51</f>
        <v>0</v>
      </c>
      <c r="K51" s="39">
        <f>'Data entry Michel'!AA51</f>
        <v>0</v>
      </c>
      <c r="L51" s="39">
        <f>'Data entry Michel'!AD51</f>
        <v>0</v>
      </c>
      <c r="M51" s="39">
        <f>'Data entry Michel'!AG51</f>
        <v>0</v>
      </c>
      <c r="N51" s="39">
        <f>'Data entry Michel'!AJ51</f>
        <v>0</v>
      </c>
      <c r="O51" s="39">
        <f>'Data entry Michel'!AM51</f>
        <v>0</v>
      </c>
    </row>
    <row r="52" spans="2:15" ht="14" x14ac:dyDescent="0.15">
      <c r="B52" s="44" t="s">
        <v>50</v>
      </c>
      <c r="C52" s="39">
        <f>'Data entry Michel'!C52</f>
        <v>0</v>
      </c>
      <c r="D52" s="39">
        <f>'Data entry Michel'!F52</f>
        <v>0</v>
      </c>
      <c r="E52" s="39">
        <f>'Data entry Michel'!I52</f>
        <v>0</v>
      </c>
      <c r="F52" s="39">
        <f>'Data entry Michel'!L52</f>
        <v>0</v>
      </c>
      <c r="G52" s="39">
        <f>'Data entry Michel'!O52</f>
        <v>0</v>
      </c>
      <c r="H52" s="39">
        <f>'Data entry Michel'!R52</f>
        <v>0</v>
      </c>
      <c r="I52" s="39">
        <f>'Data entry Michel'!U52</f>
        <v>0</v>
      </c>
      <c r="J52" s="39">
        <f>'Data entry Michel'!X52</f>
        <v>0</v>
      </c>
      <c r="K52" s="39">
        <f>'Data entry Michel'!AA52</f>
        <v>0</v>
      </c>
      <c r="L52" s="39">
        <f>'Data entry Michel'!AD52</f>
        <v>0</v>
      </c>
      <c r="M52" s="39">
        <f>'Data entry Michel'!AG52</f>
        <v>0</v>
      </c>
      <c r="N52" s="39">
        <f>'Data entry Michel'!AJ52</f>
        <v>0</v>
      </c>
      <c r="O52" s="39">
        <f>'Data entry Michel'!AM52</f>
        <v>0</v>
      </c>
    </row>
    <row r="53" spans="2:15" ht="14" x14ac:dyDescent="0.15">
      <c r="B53" s="38" t="s">
        <v>37</v>
      </c>
      <c r="C53" s="39">
        <f>'Data entry Michel'!C53</f>
        <v>562832.83719999995</v>
      </c>
      <c r="D53" s="39">
        <f>'Data entry Michel'!F53</f>
        <v>49372.09</v>
      </c>
      <c r="E53" s="39">
        <f>'Data entry Michel'!I53</f>
        <v>53899.16</v>
      </c>
      <c r="F53" s="39">
        <f>'Data entry Michel'!L53</f>
        <v>53405.64</v>
      </c>
      <c r="G53" s="39">
        <f>'Data entry Michel'!O53</f>
        <v>52524.480000000003</v>
      </c>
      <c r="H53" s="39">
        <f>'Data entry Michel'!R53</f>
        <v>47994.9974</v>
      </c>
      <c r="I53" s="39">
        <f>'Data entry Michel'!U53</f>
        <v>40067.620199999998</v>
      </c>
      <c r="J53" s="39">
        <f>'Data entry Michel'!X53</f>
        <v>44955.469400000002</v>
      </c>
      <c r="K53" s="39">
        <f>'Data entry Michel'!AA53</f>
        <v>47803.222099999999</v>
      </c>
      <c r="L53" s="39">
        <f>'Data entry Michel'!AD53</f>
        <v>45861.464699999997</v>
      </c>
      <c r="M53" s="39">
        <f>'Data entry Michel'!AG53</f>
        <v>44617.767699999997</v>
      </c>
      <c r="N53" s="39">
        <f>'Data entry Michel'!AJ53</f>
        <v>44076.659099999997</v>
      </c>
      <c r="O53" s="39">
        <f>'Data entry Michel'!AM53</f>
        <v>38254.266600000003</v>
      </c>
    </row>
    <row r="54" spans="2:15" ht="14" x14ac:dyDescent="0.15">
      <c r="B54" s="38" t="s">
        <v>49</v>
      </c>
      <c r="C54" s="39">
        <f>'Data entry Michel'!C54</f>
        <v>5633.9754000000003</v>
      </c>
      <c r="D54" s="39">
        <f>'Data entry Michel'!F54</f>
        <v>322.75</v>
      </c>
      <c r="E54" s="39">
        <f>'Data entry Michel'!I54</f>
        <v>212.88</v>
      </c>
      <c r="F54" s="39">
        <f>'Data entry Michel'!L54</f>
        <v>490.06</v>
      </c>
      <c r="G54" s="39">
        <f>'Data entry Michel'!O54</f>
        <v>524.27</v>
      </c>
      <c r="H54" s="39">
        <f>'Data entry Michel'!R54</f>
        <v>773.15520000000004</v>
      </c>
      <c r="I54" s="39">
        <f>'Data entry Michel'!U54</f>
        <v>624.51229999999998</v>
      </c>
      <c r="J54" s="39">
        <f>'Data entry Michel'!X54</f>
        <v>579.92240000000004</v>
      </c>
      <c r="K54" s="39">
        <f>'Data entry Michel'!AA54</f>
        <v>532.27779999999996</v>
      </c>
      <c r="L54" s="39">
        <f>'Data entry Michel'!AD54</f>
        <v>575.31820000000005</v>
      </c>
      <c r="M54" s="39">
        <f>'Data entry Michel'!AG54</f>
        <v>415.99090000000001</v>
      </c>
      <c r="N54" s="39">
        <f>'Data entry Michel'!AJ54</f>
        <v>291.2371</v>
      </c>
      <c r="O54" s="39">
        <f>'Data entry Michel'!AM54</f>
        <v>291.60149999999999</v>
      </c>
    </row>
    <row r="55" spans="2:15" ht="14" x14ac:dyDescent="0.15">
      <c r="B55" s="38" t="s">
        <v>22</v>
      </c>
      <c r="C55" s="39">
        <f>'Data entry Michel'!C55</f>
        <v>0</v>
      </c>
      <c r="D55" s="39">
        <f>'Data entry Michel'!F55</f>
        <v>0</v>
      </c>
      <c r="E55" s="39">
        <f>'Data entry Michel'!I55</f>
        <v>0</v>
      </c>
      <c r="F55" s="39">
        <f>'Data entry Michel'!L55</f>
        <v>0</v>
      </c>
      <c r="G55" s="39">
        <f>'Data entry Michel'!O55</f>
        <v>0</v>
      </c>
      <c r="H55" s="39">
        <f>'Data entry Michel'!R55</f>
        <v>0</v>
      </c>
      <c r="I55" s="39">
        <f>'Data entry Michel'!U55</f>
        <v>0</v>
      </c>
      <c r="J55" s="39">
        <f>'Data entry Michel'!X55</f>
        <v>0</v>
      </c>
      <c r="K55" s="39">
        <f>'Data entry Michel'!AA55</f>
        <v>0</v>
      </c>
      <c r="L55" s="39">
        <f>'Data entry Michel'!AD55</f>
        <v>0</v>
      </c>
      <c r="M55" s="39">
        <f>'Data entry Michel'!AG55</f>
        <v>0</v>
      </c>
      <c r="N55" s="39">
        <f>'Data entry Michel'!AJ55</f>
        <v>0</v>
      </c>
      <c r="O55" s="39">
        <f>'Data entry Michel'!AM55</f>
        <v>0</v>
      </c>
    </row>
    <row r="56" spans="2:15" ht="14" x14ac:dyDescent="0.15">
      <c r="B56" s="38" t="s">
        <v>40</v>
      </c>
      <c r="C56" s="39">
        <f>'Data entry Michel'!C56</f>
        <v>0</v>
      </c>
      <c r="D56" s="39">
        <f>'Data entry Michel'!F56</f>
        <v>0</v>
      </c>
      <c r="E56" s="39">
        <f>'Data entry Michel'!I56</f>
        <v>0</v>
      </c>
      <c r="F56" s="39">
        <f>'Data entry Michel'!L56</f>
        <v>0</v>
      </c>
      <c r="G56" s="39">
        <f>'Data entry Michel'!O56</f>
        <v>0</v>
      </c>
      <c r="H56" s="39">
        <f>'Data entry Michel'!R56</f>
        <v>0</v>
      </c>
      <c r="I56" s="39">
        <f>'Data entry Michel'!U56</f>
        <v>0</v>
      </c>
      <c r="J56" s="39">
        <f>'Data entry Michel'!X56</f>
        <v>0</v>
      </c>
      <c r="K56" s="39">
        <f>'Data entry Michel'!AA56</f>
        <v>0</v>
      </c>
      <c r="L56" s="39">
        <f>'Data entry Michel'!AD56</f>
        <v>0</v>
      </c>
      <c r="M56" s="39">
        <f>'Data entry Michel'!AG56</f>
        <v>0</v>
      </c>
      <c r="N56" s="39">
        <f>'Data entry Michel'!AJ56</f>
        <v>0</v>
      </c>
      <c r="O56" s="39">
        <f>'Data entry Michel'!AM56</f>
        <v>0</v>
      </c>
    </row>
    <row r="57" spans="2:15" ht="14" x14ac:dyDescent="0.15">
      <c r="B57" s="42" t="s">
        <v>41</v>
      </c>
      <c r="C57" s="39">
        <f>'Data entry Michel'!C57</f>
        <v>557198.86179999996</v>
      </c>
      <c r="D57" s="39">
        <f>'Data entry Michel'!F57</f>
        <v>49049.34</v>
      </c>
      <c r="E57" s="39">
        <f>'Data entry Michel'!I57</f>
        <v>53686.28</v>
      </c>
      <c r="F57" s="39">
        <f>'Data entry Michel'!L57</f>
        <v>52915.58</v>
      </c>
      <c r="G57" s="39">
        <f>'Data entry Michel'!O57</f>
        <v>52000.21</v>
      </c>
      <c r="H57" s="39">
        <f>'Data entry Michel'!R57</f>
        <v>47221.842199999999</v>
      </c>
      <c r="I57" s="39">
        <f>'Data entry Michel'!U57</f>
        <v>39443.107900000003</v>
      </c>
      <c r="J57" s="39">
        <f>'Data entry Michel'!X57</f>
        <v>44375.546900000001</v>
      </c>
      <c r="K57" s="39">
        <f>'Data entry Michel'!AA57</f>
        <v>47270.9444</v>
      </c>
      <c r="L57" s="39">
        <f>'Data entry Michel'!AD57</f>
        <v>45286.146500000003</v>
      </c>
      <c r="M57" s="39">
        <f>'Data entry Michel'!AG57</f>
        <v>44201.7768</v>
      </c>
      <c r="N57" s="39">
        <f>'Data entry Michel'!AJ57</f>
        <v>43785.421999999999</v>
      </c>
      <c r="O57" s="39">
        <f>'Data entry Michel'!AM57</f>
        <v>37962.665099999998</v>
      </c>
    </row>
    <row r="58" spans="2:15" x14ac:dyDescent="0.15">
      <c r="B58" s="40"/>
      <c r="C58" s="39">
        <f>'Data entry Michel'!C58</f>
        <v>0</v>
      </c>
      <c r="D58" s="39">
        <f>'Data entry Michel'!F58</f>
        <v>0</v>
      </c>
      <c r="E58" s="39">
        <f>'Data entry Michel'!I58</f>
        <v>0</v>
      </c>
      <c r="F58" s="39">
        <f>'Data entry Michel'!L58</f>
        <v>0</v>
      </c>
      <c r="G58" s="39">
        <f>'Data entry Michel'!O58</f>
        <v>0</v>
      </c>
      <c r="H58" s="39">
        <f>'Data entry Michel'!R58</f>
        <v>0</v>
      </c>
      <c r="I58" s="39">
        <f>'Data entry Michel'!U58</f>
        <v>0</v>
      </c>
      <c r="J58" s="39">
        <f>'Data entry Michel'!X58</f>
        <v>0</v>
      </c>
      <c r="K58" s="39">
        <f>'Data entry Michel'!AA58</f>
        <v>0</v>
      </c>
      <c r="L58" s="39">
        <f>'Data entry Michel'!AD58</f>
        <v>0</v>
      </c>
      <c r="M58" s="39">
        <f>'Data entry Michel'!AG58</f>
        <v>0</v>
      </c>
      <c r="N58" s="39">
        <f>'Data entry Michel'!AJ58</f>
        <v>0</v>
      </c>
      <c r="O58" s="39">
        <f>'Data entry Michel'!AM58</f>
        <v>0</v>
      </c>
    </row>
    <row r="59" spans="2:15" ht="14" x14ac:dyDescent="0.15">
      <c r="B59" s="44" t="s">
        <v>38</v>
      </c>
      <c r="C59" s="39">
        <f>'Data entry Michel'!C59</f>
        <v>0</v>
      </c>
      <c r="D59" s="39">
        <f>'Data entry Michel'!F59</f>
        <v>0</v>
      </c>
      <c r="E59" s="39">
        <f>'Data entry Michel'!I59</f>
        <v>0</v>
      </c>
      <c r="F59" s="39">
        <f>'Data entry Michel'!L59</f>
        <v>0</v>
      </c>
      <c r="G59" s="39">
        <f>'Data entry Michel'!O59</f>
        <v>0</v>
      </c>
      <c r="H59" s="39">
        <f>'Data entry Michel'!R59</f>
        <v>0</v>
      </c>
      <c r="I59" s="39">
        <f>'Data entry Michel'!U59</f>
        <v>0</v>
      </c>
      <c r="J59" s="39">
        <f>'Data entry Michel'!X59</f>
        <v>0</v>
      </c>
      <c r="K59" s="39">
        <f>'Data entry Michel'!AA59</f>
        <v>0</v>
      </c>
      <c r="L59" s="39">
        <f>'Data entry Michel'!AD59</f>
        <v>0</v>
      </c>
      <c r="M59" s="39">
        <f>'Data entry Michel'!AG59</f>
        <v>0</v>
      </c>
      <c r="N59" s="39">
        <f>'Data entry Michel'!AJ59</f>
        <v>0</v>
      </c>
      <c r="O59" s="39">
        <f>'Data entry Michel'!AM59</f>
        <v>0</v>
      </c>
    </row>
    <row r="60" spans="2:15" ht="14" x14ac:dyDescent="0.15">
      <c r="B60" s="42" t="s">
        <v>38</v>
      </c>
      <c r="C60" s="39">
        <f>'Data entry Michel'!C60</f>
        <v>35702.33</v>
      </c>
      <c r="D60" s="39">
        <f>'Data entry Michel'!F60</f>
        <v>1512.21</v>
      </c>
      <c r="E60" s="39">
        <f>'Data entry Michel'!I60</f>
        <v>6830.78</v>
      </c>
      <c r="F60" s="39">
        <f>'Data entry Michel'!L60</f>
        <v>1718.45</v>
      </c>
      <c r="G60" s="39">
        <f>'Data entry Michel'!O60</f>
        <v>1140.8900000000001</v>
      </c>
      <c r="H60" s="39">
        <f>'Data entry Michel'!R60</f>
        <v>2500</v>
      </c>
      <c r="I60" s="39">
        <f>'Data entry Michel'!U60</f>
        <v>2000</v>
      </c>
      <c r="J60" s="39">
        <f>'Data entry Michel'!X60</f>
        <v>2500</v>
      </c>
      <c r="K60" s="39">
        <f>'Data entry Michel'!AA60</f>
        <v>3000</v>
      </c>
      <c r="L60" s="39">
        <f>'Data entry Michel'!AD60</f>
        <v>4000</v>
      </c>
      <c r="M60" s="39">
        <f>'Data entry Michel'!AG60</f>
        <v>3500</v>
      </c>
      <c r="N60" s="39">
        <f>'Data entry Michel'!AJ60</f>
        <v>4500</v>
      </c>
      <c r="O60" s="39">
        <f>'Data entry Michel'!AM60</f>
        <v>2500</v>
      </c>
    </row>
    <row r="61" spans="2:15" x14ac:dyDescent="0.15">
      <c r="B61" s="40"/>
      <c r="C61" s="39">
        <f>'Data entry Michel'!C61</f>
        <v>0</v>
      </c>
      <c r="D61" s="39">
        <f>'Data entry Michel'!F61</f>
        <v>0</v>
      </c>
      <c r="E61" s="39">
        <f>'Data entry Michel'!I61</f>
        <v>0</v>
      </c>
      <c r="F61" s="39">
        <f>'Data entry Michel'!L61</f>
        <v>0</v>
      </c>
      <c r="G61" s="39">
        <f>'Data entry Michel'!O61</f>
        <v>0</v>
      </c>
      <c r="H61" s="39">
        <f>'Data entry Michel'!R61</f>
        <v>0</v>
      </c>
      <c r="I61" s="39">
        <f>'Data entry Michel'!U61</f>
        <v>0</v>
      </c>
      <c r="J61" s="39">
        <f>'Data entry Michel'!X61</f>
        <v>0</v>
      </c>
      <c r="K61" s="39">
        <f>'Data entry Michel'!AA61</f>
        <v>0</v>
      </c>
      <c r="L61" s="39">
        <f>'Data entry Michel'!AD61</f>
        <v>0</v>
      </c>
      <c r="M61" s="39">
        <f>'Data entry Michel'!AG61</f>
        <v>0</v>
      </c>
      <c r="N61" s="39">
        <f>'Data entry Michel'!AJ61</f>
        <v>0</v>
      </c>
      <c r="O61" s="39">
        <f>'Data entry Michel'!AM61</f>
        <v>0</v>
      </c>
    </row>
    <row r="62" spans="2:15" ht="14" x14ac:dyDescent="0.15">
      <c r="B62" s="44" t="s">
        <v>51</v>
      </c>
      <c r="C62" s="39">
        <f>'Data entry Michel'!C62</f>
        <v>0</v>
      </c>
      <c r="D62" s="39">
        <f>'Data entry Michel'!F62</f>
        <v>0</v>
      </c>
      <c r="E62" s="39">
        <f>'Data entry Michel'!I62</f>
        <v>0</v>
      </c>
      <c r="F62" s="39">
        <f>'Data entry Michel'!L62</f>
        <v>0</v>
      </c>
      <c r="G62" s="39">
        <f>'Data entry Michel'!O62</f>
        <v>0</v>
      </c>
      <c r="H62" s="39">
        <f>'Data entry Michel'!R62</f>
        <v>0</v>
      </c>
      <c r="I62" s="39">
        <f>'Data entry Michel'!U62</f>
        <v>0</v>
      </c>
      <c r="J62" s="39">
        <f>'Data entry Michel'!X62</f>
        <v>0</v>
      </c>
      <c r="K62" s="39">
        <f>'Data entry Michel'!AA62</f>
        <v>0</v>
      </c>
      <c r="L62" s="39">
        <f>'Data entry Michel'!AD62</f>
        <v>0</v>
      </c>
      <c r="M62" s="39">
        <f>'Data entry Michel'!AG62</f>
        <v>0</v>
      </c>
      <c r="N62" s="39">
        <f>'Data entry Michel'!AJ62</f>
        <v>0</v>
      </c>
      <c r="O62" s="39">
        <f>'Data entry Michel'!AM62</f>
        <v>0</v>
      </c>
    </row>
    <row r="63" spans="2:15" ht="14" x14ac:dyDescent="0.15">
      <c r="B63" s="42" t="s">
        <v>52</v>
      </c>
      <c r="C63" s="39">
        <f>'Data entry Michel'!C63</f>
        <v>8295614.6541999998</v>
      </c>
      <c r="D63" s="39">
        <f>'Data entry Michel'!F63</f>
        <v>337650.45</v>
      </c>
      <c r="E63" s="39">
        <f>'Data entry Michel'!I63</f>
        <v>343522.28</v>
      </c>
      <c r="F63" s="39">
        <f>'Data entry Michel'!L63</f>
        <v>649738.41</v>
      </c>
      <c r="G63" s="39">
        <f>'Data entry Michel'!O63</f>
        <v>670584.04</v>
      </c>
      <c r="H63" s="39">
        <f>'Data entry Michel'!R63</f>
        <v>975389.03189999994</v>
      </c>
      <c r="I63" s="39">
        <f>'Data entry Michel'!U63</f>
        <v>840186.47690000001</v>
      </c>
      <c r="J63" s="39">
        <f>'Data entry Michel'!X63</f>
        <v>656915.58319999999</v>
      </c>
      <c r="K63" s="39">
        <f>'Data entry Michel'!AA63</f>
        <v>602033.45759999997</v>
      </c>
      <c r="L63" s="39">
        <f>'Data entry Michel'!AD63</f>
        <v>932786.29070000001</v>
      </c>
      <c r="M63" s="39">
        <f>'Data entry Michel'!AG63</f>
        <v>860946.53049999999</v>
      </c>
      <c r="N63" s="39">
        <f>'Data entry Michel'!AJ63</f>
        <v>758972.6176</v>
      </c>
      <c r="O63" s="39">
        <f>'Data entry Michel'!AM63</f>
        <v>666889.48580000002</v>
      </c>
    </row>
    <row r="64" spans="2:15" x14ac:dyDescent="0.15">
      <c r="B64" s="40"/>
      <c r="C64" s="39">
        <f>'Data entry Michel'!C64</f>
        <v>0</v>
      </c>
      <c r="D64" s="39">
        <f>'Data entry Michel'!F64</f>
        <v>0</v>
      </c>
      <c r="E64" s="39">
        <f>'Data entry Michel'!I64</f>
        <v>0</v>
      </c>
      <c r="F64" s="39">
        <f>'Data entry Michel'!L64</f>
        <v>0</v>
      </c>
      <c r="G64" s="39">
        <f>'Data entry Michel'!O64</f>
        <v>0</v>
      </c>
      <c r="H64" s="39">
        <f>'Data entry Michel'!R64</f>
        <v>0</v>
      </c>
      <c r="I64" s="39">
        <f>'Data entry Michel'!U64</f>
        <v>0</v>
      </c>
      <c r="J64" s="39">
        <f>'Data entry Michel'!X64</f>
        <v>0</v>
      </c>
      <c r="K64" s="39">
        <f>'Data entry Michel'!AA64</f>
        <v>0</v>
      </c>
      <c r="L64" s="39">
        <f>'Data entry Michel'!AD64</f>
        <v>0</v>
      </c>
      <c r="M64" s="39">
        <f>'Data entry Michel'!AG64</f>
        <v>0</v>
      </c>
      <c r="N64" s="39">
        <f>'Data entry Michel'!AJ64</f>
        <v>0</v>
      </c>
      <c r="O64" s="39">
        <f>'Data entry Michel'!AM64</f>
        <v>0</v>
      </c>
    </row>
    <row r="65" spans="2:15" ht="14" x14ac:dyDescent="0.15">
      <c r="B65" s="44" t="s">
        <v>53</v>
      </c>
      <c r="C65" s="39">
        <f>'Data entry Michel'!C65</f>
        <v>0</v>
      </c>
      <c r="D65" s="39">
        <f>'Data entry Michel'!F65</f>
        <v>0</v>
      </c>
      <c r="E65" s="39">
        <f>'Data entry Michel'!I65</f>
        <v>0</v>
      </c>
      <c r="F65" s="39">
        <f>'Data entry Michel'!L65</f>
        <v>0</v>
      </c>
      <c r="G65" s="39">
        <f>'Data entry Michel'!O65</f>
        <v>0</v>
      </c>
      <c r="H65" s="39">
        <f>'Data entry Michel'!R65</f>
        <v>0</v>
      </c>
      <c r="I65" s="39">
        <f>'Data entry Michel'!U65</f>
        <v>0</v>
      </c>
      <c r="J65" s="39">
        <f>'Data entry Michel'!X65</f>
        <v>0</v>
      </c>
      <c r="K65" s="39">
        <f>'Data entry Michel'!AA65</f>
        <v>0</v>
      </c>
      <c r="L65" s="39">
        <f>'Data entry Michel'!AD65</f>
        <v>0</v>
      </c>
      <c r="M65" s="39">
        <f>'Data entry Michel'!AG65</f>
        <v>0</v>
      </c>
      <c r="N65" s="39">
        <f>'Data entry Michel'!AJ65</f>
        <v>0</v>
      </c>
      <c r="O65" s="39">
        <f>'Data entry Michel'!AM65</f>
        <v>0</v>
      </c>
    </row>
    <row r="66" spans="2:15" ht="14" x14ac:dyDescent="0.15">
      <c r="B66" s="38" t="s">
        <v>22</v>
      </c>
      <c r="C66" s="39">
        <f>'Data entry Michel'!C66</f>
        <v>351058.4313</v>
      </c>
      <c r="D66" s="39">
        <f>'Data entry Michel'!F66</f>
        <v>28428.57</v>
      </c>
      <c r="E66" s="39">
        <f>'Data entry Michel'!I66</f>
        <v>32947.67</v>
      </c>
      <c r="F66" s="39">
        <f>'Data entry Michel'!L66</f>
        <v>31575.31</v>
      </c>
      <c r="G66" s="39">
        <f>'Data entry Michel'!O66</f>
        <v>29300</v>
      </c>
      <c r="H66" s="39">
        <f>'Data entry Michel'!R66</f>
        <v>23896.232199999999</v>
      </c>
      <c r="I66" s="39">
        <f>'Data entry Michel'!U66</f>
        <v>29313.953300000001</v>
      </c>
      <c r="J66" s="39">
        <f>'Data entry Michel'!X66</f>
        <v>30877.130499999999</v>
      </c>
      <c r="K66" s="39">
        <f>'Data entry Michel'!AA66</f>
        <v>30162.608700000001</v>
      </c>
      <c r="L66" s="39">
        <f>'Data entry Michel'!AD66</f>
        <v>28656.935000000001</v>
      </c>
      <c r="M66" s="39">
        <f>'Data entry Michel'!AG66</f>
        <v>30727.3004</v>
      </c>
      <c r="N66" s="39">
        <f>'Data entry Michel'!AJ66</f>
        <v>27091.817999999999</v>
      </c>
      <c r="O66" s="39">
        <f>'Data entry Michel'!AM66</f>
        <v>28080.903200000001</v>
      </c>
    </row>
    <row r="67" spans="2:15" ht="14" x14ac:dyDescent="0.15">
      <c r="B67" s="38" t="s">
        <v>40</v>
      </c>
      <c r="C67" s="39">
        <f>'Data entry Michel'!C67</f>
        <v>327344.99219999998</v>
      </c>
      <c r="D67" s="39">
        <f>'Data entry Michel'!F67</f>
        <v>17330.04</v>
      </c>
      <c r="E67" s="39">
        <f>'Data entry Michel'!I67</f>
        <v>19864.78</v>
      </c>
      <c r="F67" s="39">
        <f>'Data entry Michel'!L67</f>
        <v>23877.34</v>
      </c>
      <c r="G67" s="39">
        <f>'Data entry Michel'!O67</f>
        <v>29457.81</v>
      </c>
      <c r="H67" s="39">
        <f>'Data entry Michel'!R67</f>
        <v>33590.203699999998</v>
      </c>
      <c r="I67" s="39">
        <f>'Data entry Michel'!U67</f>
        <v>31860.224600000001</v>
      </c>
      <c r="J67" s="39">
        <f>'Data entry Michel'!X67</f>
        <v>26652.114099999999</v>
      </c>
      <c r="K67" s="39">
        <f>'Data entry Michel'!AA67</f>
        <v>24611.881399999998</v>
      </c>
      <c r="L67" s="39">
        <f>'Data entry Michel'!AD67</f>
        <v>32646.023700000002</v>
      </c>
      <c r="M67" s="39">
        <f>'Data entry Michel'!AG67</f>
        <v>30776.7742</v>
      </c>
      <c r="N67" s="39">
        <f>'Data entry Michel'!AJ67</f>
        <v>31074.106400000001</v>
      </c>
      <c r="O67" s="39">
        <f>'Data entry Michel'!AM67</f>
        <v>25603.694100000001</v>
      </c>
    </row>
    <row r="68" spans="2:15" ht="14" x14ac:dyDescent="0.15">
      <c r="B68" s="42" t="s">
        <v>41</v>
      </c>
      <c r="C68" s="39">
        <f>'Data entry Michel'!C68</f>
        <v>-678403.42370000004</v>
      </c>
      <c r="D68" s="39">
        <f>'Data entry Michel'!F68</f>
        <v>-45758.61</v>
      </c>
      <c r="E68" s="39">
        <f>'Data entry Michel'!I68</f>
        <v>-52812.45</v>
      </c>
      <c r="F68" s="39">
        <f>'Data entry Michel'!L68</f>
        <v>-55452.65</v>
      </c>
      <c r="G68" s="39">
        <f>'Data entry Michel'!O68</f>
        <v>-58757.81</v>
      </c>
      <c r="H68" s="39">
        <f>'Data entry Michel'!R68</f>
        <v>-57486.436000000002</v>
      </c>
      <c r="I68" s="39">
        <f>'Data entry Michel'!U68</f>
        <v>-61174.177900000002</v>
      </c>
      <c r="J68" s="39">
        <f>'Data entry Michel'!X68</f>
        <v>-57529.244599999998</v>
      </c>
      <c r="K68" s="39">
        <f>'Data entry Michel'!AA68</f>
        <v>-54774.490100000003</v>
      </c>
      <c r="L68" s="39">
        <f>'Data entry Michel'!AD68</f>
        <v>-61302.9588</v>
      </c>
      <c r="M68" s="39">
        <f>'Data entry Michel'!AG68</f>
        <v>-61504.0746</v>
      </c>
      <c r="N68" s="39">
        <f>'Data entry Michel'!AJ68</f>
        <v>-58165.924400000004</v>
      </c>
      <c r="O68" s="39">
        <f>'Data entry Michel'!AM68</f>
        <v>-53684.597300000001</v>
      </c>
    </row>
    <row r="69" spans="2:15" x14ac:dyDescent="0.15">
      <c r="B69" s="40"/>
      <c r="C69" s="39">
        <f>'Data entry Michel'!C69</f>
        <v>0</v>
      </c>
      <c r="D69" s="39">
        <f>'Data entry Michel'!F69</f>
        <v>0</v>
      </c>
      <c r="E69" s="39">
        <f>'Data entry Michel'!I69</f>
        <v>0</v>
      </c>
      <c r="F69" s="39">
        <f>'Data entry Michel'!L69</f>
        <v>0</v>
      </c>
      <c r="G69" s="39">
        <f>'Data entry Michel'!O69</f>
        <v>0</v>
      </c>
      <c r="H69" s="39">
        <f>'Data entry Michel'!R69</f>
        <v>0</v>
      </c>
      <c r="I69" s="39">
        <f>'Data entry Michel'!U69</f>
        <v>0</v>
      </c>
      <c r="J69" s="39">
        <f>'Data entry Michel'!X69</f>
        <v>0</v>
      </c>
      <c r="K69" s="39">
        <f>'Data entry Michel'!AA69</f>
        <v>0</v>
      </c>
      <c r="L69" s="39">
        <f>'Data entry Michel'!AD69</f>
        <v>0</v>
      </c>
      <c r="M69" s="39">
        <f>'Data entry Michel'!AG69</f>
        <v>0</v>
      </c>
      <c r="N69" s="39">
        <f>'Data entry Michel'!AJ69</f>
        <v>0</v>
      </c>
      <c r="O69" s="39">
        <f>'Data entry Michel'!AM69</f>
        <v>0</v>
      </c>
    </row>
    <row r="70" spans="2:15" ht="14" x14ac:dyDescent="0.15">
      <c r="B70" s="44" t="s">
        <v>54</v>
      </c>
      <c r="C70" s="39">
        <f>'Data entry Michel'!C70</f>
        <v>0</v>
      </c>
      <c r="D70" s="39">
        <f>'Data entry Michel'!F70</f>
        <v>0</v>
      </c>
      <c r="E70" s="39">
        <f>'Data entry Michel'!I70</f>
        <v>0</v>
      </c>
      <c r="F70" s="39">
        <f>'Data entry Michel'!L70</f>
        <v>0</v>
      </c>
      <c r="G70" s="39">
        <f>'Data entry Michel'!O70</f>
        <v>0</v>
      </c>
      <c r="H70" s="39">
        <f>'Data entry Michel'!R70</f>
        <v>0</v>
      </c>
      <c r="I70" s="39">
        <f>'Data entry Michel'!U70</f>
        <v>0</v>
      </c>
      <c r="J70" s="39">
        <f>'Data entry Michel'!X70</f>
        <v>0</v>
      </c>
      <c r="K70" s="39">
        <f>'Data entry Michel'!AA70</f>
        <v>0</v>
      </c>
      <c r="L70" s="39">
        <f>'Data entry Michel'!AD70</f>
        <v>0</v>
      </c>
      <c r="M70" s="39">
        <f>'Data entry Michel'!AG70</f>
        <v>0</v>
      </c>
      <c r="N70" s="39">
        <f>'Data entry Michel'!AJ70</f>
        <v>0</v>
      </c>
      <c r="O70" s="39">
        <f>'Data entry Michel'!AM70</f>
        <v>0</v>
      </c>
    </row>
    <row r="71" spans="2:15" ht="14" x14ac:dyDescent="0.15">
      <c r="B71" s="38" t="s">
        <v>55</v>
      </c>
      <c r="C71" s="39">
        <f>'Data entry Michel'!C71</f>
        <v>31226.89</v>
      </c>
      <c r="D71" s="39">
        <f>'Data entry Michel'!F71</f>
        <v>2450.36</v>
      </c>
      <c r="E71" s="39">
        <f>'Data entry Michel'!I71</f>
        <v>3137.1</v>
      </c>
      <c r="F71" s="39">
        <f>'Data entry Michel'!L71</f>
        <v>2576.5700000000002</v>
      </c>
      <c r="G71" s="39">
        <f>'Data entry Michel'!O71</f>
        <v>2502.86</v>
      </c>
      <c r="H71" s="39">
        <f>'Data entry Michel'!R71</f>
        <v>2570</v>
      </c>
      <c r="I71" s="39">
        <f>'Data entry Michel'!U71</f>
        <v>2570</v>
      </c>
      <c r="J71" s="39">
        <f>'Data entry Michel'!X71</f>
        <v>2570</v>
      </c>
      <c r="K71" s="39">
        <f>'Data entry Michel'!AA71</f>
        <v>2570</v>
      </c>
      <c r="L71" s="39">
        <f>'Data entry Michel'!AD71</f>
        <v>2570</v>
      </c>
      <c r="M71" s="39">
        <f>'Data entry Michel'!AG71</f>
        <v>2570</v>
      </c>
      <c r="N71" s="39">
        <f>'Data entry Michel'!AJ71</f>
        <v>2570</v>
      </c>
      <c r="O71" s="39">
        <f>'Data entry Michel'!AM71</f>
        <v>2570</v>
      </c>
    </row>
    <row r="72" spans="2:15" ht="14" x14ac:dyDescent="0.15">
      <c r="B72" s="38" t="s">
        <v>56</v>
      </c>
      <c r="C72" s="39">
        <f>'Data entry Michel'!C72</f>
        <v>171751.64</v>
      </c>
      <c r="D72" s="39">
        <f>'Data entry Michel'!F72</f>
        <v>14022.71</v>
      </c>
      <c r="E72" s="39">
        <f>'Data entry Michel'!I72</f>
        <v>14490.78</v>
      </c>
      <c r="F72" s="39">
        <f>'Data entry Michel'!L72</f>
        <v>14918.96</v>
      </c>
      <c r="G72" s="39">
        <f>'Data entry Michel'!O72</f>
        <v>15031.19</v>
      </c>
      <c r="H72" s="39">
        <f>'Data entry Michel'!R72</f>
        <v>14113</v>
      </c>
      <c r="I72" s="39">
        <f>'Data entry Michel'!U72</f>
        <v>14113</v>
      </c>
      <c r="J72" s="39">
        <f>'Data entry Michel'!X72</f>
        <v>14305</v>
      </c>
      <c r="K72" s="39">
        <f>'Data entry Michel'!AA72</f>
        <v>14113</v>
      </c>
      <c r="L72" s="39">
        <f>'Data entry Michel'!AD72</f>
        <v>14113</v>
      </c>
      <c r="M72" s="39">
        <f>'Data entry Michel'!AG72</f>
        <v>14305</v>
      </c>
      <c r="N72" s="39">
        <f>'Data entry Michel'!AJ72</f>
        <v>14113</v>
      </c>
      <c r="O72" s="39">
        <f>'Data entry Michel'!AM72</f>
        <v>14113</v>
      </c>
    </row>
    <row r="73" spans="2:15" ht="14" x14ac:dyDescent="0.15">
      <c r="B73" s="38" t="s">
        <v>40</v>
      </c>
      <c r="C73" s="39">
        <f>'Data entry Michel'!C73</f>
        <v>-2250.58</v>
      </c>
      <c r="D73" s="39">
        <f>'Data entry Michel'!F73</f>
        <v>250</v>
      </c>
      <c r="E73" s="39">
        <f>'Data entry Michel'!I73</f>
        <v>-5500.58</v>
      </c>
      <c r="F73" s="39">
        <f>'Data entry Michel'!L73</f>
        <v>750</v>
      </c>
      <c r="G73" s="39">
        <f>'Data entry Michel'!O73</f>
        <v>250</v>
      </c>
      <c r="H73" s="39">
        <f>'Data entry Michel'!R73</f>
        <v>250</v>
      </c>
      <c r="I73" s="39">
        <f>'Data entry Michel'!U73</f>
        <v>250</v>
      </c>
      <c r="J73" s="39">
        <f>'Data entry Michel'!X73</f>
        <v>250</v>
      </c>
      <c r="K73" s="39">
        <f>'Data entry Michel'!AA73</f>
        <v>250</v>
      </c>
      <c r="L73" s="39">
        <f>'Data entry Michel'!AD73</f>
        <v>250</v>
      </c>
      <c r="M73" s="39">
        <f>'Data entry Michel'!AG73</f>
        <v>250</v>
      </c>
      <c r="N73" s="39">
        <f>'Data entry Michel'!AJ73</f>
        <v>250</v>
      </c>
      <c r="O73" s="39">
        <f>'Data entry Michel'!AM73</f>
        <v>250</v>
      </c>
    </row>
    <row r="74" spans="2:15" ht="14" x14ac:dyDescent="0.15">
      <c r="B74" s="42" t="s">
        <v>41</v>
      </c>
      <c r="C74" s="39">
        <f>'Data entry Michel'!C74</f>
        <v>-200727.95</v>
      </c>
      <c r="D74" s="39">
        <f>'Data entry Michel'!F74</f>
        <v>-16723.07</v>
      </c>
      <c r="E74" s="39">
        <f>'Data entry Michel'!I74</f>
        <v>-12127.3</v>
      </c>
      <c r="F74" s="39">
        <f>'Data entry Michel'!L74</f>
        <v>-18245.53</v>
      </c>
      <c r="G74" s="39">
        <f>'Data entry Michel'!O74</f>
        <v>-17784.05</v>
      </c>
      <c r="H74" s="39">
        <f>'Data entry Michel'!R74</f>
        <v>-16933</v>
      </c>
      <c r="I74" s="39">
        <f>'Data entry Michel'!U74</f>
        <v>-16933</v>
      </c>
      <c r="J74" s="39">
        <f>'Data entry Michel'!X74</f>
        <v>-17125</v>
      </c>
      <c r="K74" s="39">
        <f>'Data entry Michel'!AA74</f>
        <v>-16933</v>
      </c>
      <c r="L74" s="39">
        <f>'Data entry Michel'!AD74</f>
        <v>-16933</v>
      </c>
      <c r="M74" s="39">
        <f>'Data entry Michel'!AG74</f>
        <v>-17125</v>
      </c>
      <c r="N74" s="39">
        <f>'Data entry Michel'!AJ74</f>
        <v>-16933</v>
      </c>
      <c r="O74" s="39">
        <f>'Data entry Michel'!AM74</f>
        <v>-16933</v>
      </c>
    </row>
    <row r="75" spans="2:15" x14ac:dyDescent="0.15">
      <c r="B75" s="40"/>
      <c r="C75" s="39">
        <f>'Data entry Michel'!C75</f>
        <v>0</v>
      </c>
      <c r="D75" s="39">
        <f>'Data entry Michel'!F75</f>
        <v>0</v>
      </c>
      <c r="E75" s="39">
        <f>'Data entry Michel'!I75</f>
        <v>0</v>
      </c>
      <c r="F75" s="39">
        <f>'Data entry Michel'!L75</f>
        <v>0</v>
      </c>
      <c r="G75" s="39">
        <f>'Data entry Michel'!O75</f>
        <v>0</v>
      </c>
      <c r="H75" s="39">
        <f>'Data entry Michel'!R75</f>
        <v>0</v>
      </c>
      <c r="I75" s="39">
        <f>'Data entry Michel'!U75</f>
        <v>0</v>
      </c>
      <c r="J75" s="39">
        <f>'Data entry Michel'!X75</f>
        <v>0</v>
      </c>
      <c r="K75" s="39">
        <f>'Data entry Michel'!AA75</f>
        <v>0</v>
      </c>
      <c r="L75" s="39">
        <f>'Data entry Michel'!AD75</f>
        <v>0</v>
      </c>
      <c r="M75" s="39">
        <f>'Data entry Michel'!AG75</f>
        <v>0</v>
      </c>
      <c r="N75" s="39">
        <f>'Data entry Michel'!AJ75</f>
        <v>0</v>
      </c>
      <c r="O75" s="39">
        <f>'Data entry Michel'!AM75</f>
        <v>0</v>
      </c>
    </row>
    <row r="76" spans="2:15" ht="14" x14ac:dyDescent="0.15">
      <c r="B76" s="44" t="s">
        <v>57</v>
      </c>
      <c r="C76" s="39">
        <f>'Data entry Michel'!C76</f>
        <v>0</v>
      </c>
      <c r="D76" s="39">
        <f>'Data entry Michel'!F76</f>
        <v>0</v>
      </c>
      <c r="E76" s="39">
        <f>'Data entry Michel'!I76</f>
        <v>0</v>
      </c>
      <c r="F76" s="39">
        <f>'Data entry Michel'!L76</f>
        <v>0</v>
      </c>
      <c r="G76" s="39">
        <f>'Data entry Michel'!O76</f>
        <v>0</v>
      </c>
      <c r="H76" s="39">
        <f>'Data entry Michel'!R76</f>
        <v>0</v>
      </c>
      <c r="I76" s="39">
        <f>'Data entry Michel'!U76</f>
        <v>0</v>
      </c>
      <c r="J76" s="39">
        <f>'Data entry Michel'!X76</f>
        <v>0</v>
      </c>
      <c r="K76" s="39">
        <f>'Data entry Michel'!AA76</f>
        <v>0</v>
      </c>
      <c r="L76" s="39">
        <f>'Data entry Michel'!AD76</f>
        <v>0</v>
      </c>
      <c r="M76" s="39">
        <f>'Data entry Michel'!AG76</f>
        <v>0</v>
      </c>
      <c r="N76" s="39">
        <f>'Data entry Michel'!AJ76</f>
        <v>0</v>
      </c>
      <c r="O76" s="39">
        <f>'Data entry Michel'!AM76</f>
        <v>0</v>
      </c>
    </row>
    <row r="77" spans="2:15" ht="14" x14ac:dyDescent="0.15">
      <c r="B77" s="38" t="s">
        <v>22</v>
      </c>
      <c r="C77" s="39">
        <f>'Data entry Michel'!C77</f>
        <v>206928.91500000001</v>
      </c>
      <c r="D77" s="39">
        <f>'Data entry Michel'!F77</f>
        <v>6533.38</v>
      </c>
      <c r="E77" s="39">
        <f>'Data entry Michel'!I77</f>
        <v>16411.419999999998</v>
      </c>
      <c r="F77" s="39">
        <f>'Data entry Michel'!L77</f>
        <v>16444.59</v>
      </c>
      <c r="G77" s="39">
        <f>'Data entry Michel'!O77</f>
        <v>17402.05</v>
      </c>
      <c r="H77" s="39">
        <f>'Data entry Michel'!R77</f>
        <v>21882.085899999998</v>
      </c>
      <c r="I77" s="39">
        <f>'Data entry Michel'!U77</f>
        <v>19772.2497</v>
      </c>
      <c r="J77" s="39">
        <f>'Data entry Michel'!X77</f>
        <v>16381.4094</v>
      </c>
      <c r="K77" s="39">
        <f>'Data entry Michel'!AA77</f>
        <v>15719.9172</v>
      </c>
      <c r="L77" s="39">
        <f>'Data entry Michel'!AD77</f>
        <v>21325.132799999999</v>
      </c>
      <c r="M77" s="39">
        <f>'Data entry Michel'!AG77</f>
        <v>20021.005300000001</v>
      </c>
      <c r="N77" s="39">
        <f>'Data entry Michel'!AJ77</f>
        <v>18623.795099999999</v>
      </c>
      <c r="O77" s="39">
        <f>'Data entry Michel'!AM77</f>
        <v>16411.8796</v>
      </c>
    </row>
    <row r="78" spans="2:15" ht="14" x14ac:dyDescent="0.15">
      <c r="B78" s="38" t="s">
        <v>40</v>
      </c>
      <c r="C78" s="39">
        <f>'Data entry Michel'!C78</f>
        <v>653301.27399999998</v>
      </c>
      <c r="D78" s="39">
        <f>'Data entry Michel'!F78</f>
        <v>30606.32</v>
      </c>
      <c r="E78" s="39">
        <f>'Data entry Michel'!I78</f>
        <v>31143.14</v>
      </c>
      <c r="F78" s="39">
        <f>'Data entry Michel'!L78</f>
        <v>48117.85</v>
      </c>
      <c r="G78" s="39">
        <f>'Data entry Michel'!O78</f>
        <v>52686.7</v>
      </c>
      <c r="H78" s="39">
        <f>'Data entry Michel'!R78</f>
        <v>72738.246599999999</v>
      </c>
      <c r="I78" s="39">
        <f>'Data entry Michel'!U78</f>
        <v>64049.879099999998</v>
      </c>
      <c r="J78" s="39">
        <f>'Data entry Michel'!X78</f>
        <v>53924.372199999998</v>
      </c>
      <c r="K78" s="39">
        <f>'Data entry Michel'!AA78</f>
        <v>52235.682399999998</v>
      </c>
      <c r="L78" s="39">
        <f>'Data entry Michel'!AD78</f>
        <v>70064.753700000001</v>
      </c>
      <c r="M78" s="39">
        <f>'Data entry Michel'!AG78</f>
        <v>64879.258800000003</v>
      </c>
      <c r="N78" s="39">
        <f>'Data entry Michel'!AJ78</f>
        <v>59719.307699999998</v>
      </c>
      <c r="O78" s="39">
        <f>'Data entry Michel'!AM78</f>
        <v>53135.763500000001</v>
      </c>
    </row>
    <row r="79" spans="2:15" ht="14" x14ac:dyDescent="0.15">
      <c r="B79" s="42" t="s">
        <v>41</v>
      </c>
      <c r="C79" s="39">
        <f>'Data entry Michel'!C79</f>
        <v>-860230.18900000001</v>
      </c>
      <c r="D79" s="39">
        <f>'Data entry Michel'!F79</f>
        <v>-37139.699999999997</v>
      </c>
      <c r="E79" s="39">
        <f>'Data entry Michel'!I79</f>
        <v>-47554.559999999998</v>
      </c>
      <c r="F79" s="39">
        <f>'Data entry Michel'!L79</f>
        <v>-64562.44</v>
      </c>
      <c r="G79" s="39">
        <f>'Data entry Michel'!O79</f>
        <v>-70088.75</v>
      </c>
      <c r="H79" s="39">
        <f>'Data entry Michel'!R79</f>
        <v>-94620.332500000004</v>
      </c>
      <c r="I79" s="39">
        <f>'Data entry Michel'!U79</f>
        <v>-83822.128800000006</v>
      </c>
      <c r="J79" s="39">
        <f>'Data entry Michel'!X79</f>
        <v>-70305.781600000002</v>
      </c>
      <c r="K79" s="39">
        <f>'Data entry Michel'!AA79</f>
        <v>-67955.599600000001</v>
      </c>
      <c r="L79" s="39">
        <f>'Data entry Michel'!AD79</f>
        <v>-91389.886499999993</v>
      </c>
      <c r="M79" s="39">
        <f>'Data entry Michel'!AG79</f>
        <v>-84900.2641</v>
      </c>
      <c r="N79" s="39">
        <f>'Data entry Michel'!AJ79</f>
        <v>-78343.102799999993</v>
      </c>
      <c r="O79" s="39">
        <f>'Data entry Michel'!AM79</f>
        <v>-69547.643100000001</v>
      </c>
    </row>
    <row r="80" spans="2:15" x14ac:dyDescent="0.15">
      <c r="B80" s="40"/>
      <c r="C80" s="39">
        <f>'Data entry Michel'!C80</f>
        <v>0</v>
      </c>
      <c r="D80" s="39">
        <f>'Data entry Michel'!F80</f>
        <v>0</v>
      </c>
      <c r="E80" s="39">
        <f>'Data entry Michel'!I80</f>
        <v>0</v>
      </c>
      <c r="F80" s="39">
        <f>'Data entry Michel'!L80</f>
        <v>0</v>
      </c>
      <c r="G80" s="39">
        <f>'Data entry Michel'!O80</f>
        <v>0</v>
      </c>
      <c r="H80" s="39">
        <f>'Data entry Michel'!R80</f>
        <v>0</v>
      </c>
      <c r="I80" s="39">
        <f>'Data entry Michel'!U80</f>
        <v>0</v>
      </c>
      <c r="J80" s="39">
        <f>'Data entry Michel'!X80</f>
        <v>0</v>
      </c>
      <c r="K80" s="39">
        <f>'Data entry Michel'!AA80</f>
        <v>0</v>
      </c>
      <c r="L80" s="39">
        <f>'Data entry Michel'!AD80</f>
        <v>0</v>
      </c>
      <c r="M80" s="39">
        <f>'Data entry Michel'!AG80</f>
        <v>0</v>
      </c>
      <c r="N80" s="39">
        <f>'Data entry Michel'!AJ80</f>
        <v>0</v>
      </c>
      <c r="O80" s="39">
        <f>'Data entry Michel'!AM80</f>
        <v>0</v>
      </c>
    </row>
    <row r="81" spans="2:15" ht="14" x14ac:dyDescent="0.15">
      <c r="B81" s="44" t="s">
        <v>58</v>
      </c>
      <c r="C81" s="39">
        <f>'Data entry Michel'!C81</f>
        <v>0</v>
      </c>
      <c r="D81" s="39">
        <f>'Data entry Michel'!F81</f>
        <v>0</v>
      </c>
      <c r="E81" s="39">
        <f>'Data entry Michel'!I81</f>
        <v>0</v>
      </c>
      <c r="F81" s="39">
        <f>'Data entry Michel'!L81</f>
        <v>0</v>
      </c>
      <c r="G81" s="39">
        <f>'Data entry Michel'!O81</f>
        <v>0</v>
      </c>
      <c r="H81" s="39">
        <f>'Data entry Michel'!R81</f>
        <v>0</v>
      </c>
      <c r="I81" s="39">
        <f>'Data entry Michel'!U81</f>
        <v>0</v>
      </c>
      <c r="J81" s="39">
        <f>'Data entry Michel'!X81</f>
        <v>0</v>
      </c>
      <c r="K81" s="39">
        <f>'Data entry Michel'!AA81</f>
        <v>0</v>
      </c>
      <c r="L81" s="39">
        <f>'Data entry Michel'!AD81</f>
        <v>0</v>
      </c>
      <c r="M81" s="39">
        <f>'Data entry Michel'!AG81</f>
        <v>0</v>
      </c>
      <c r="N81" s="39">
        <f>'Data entry Michel'!AJ81</f>
        <v>0</v>
      </c>
      <c r="O81" s="39">
        <f>'Data entry Michel'!AM81</f>
        <v>0</v>
      </c>
    </row>
    <row r="82" spans="2:15" ht="14" x14ac:dyDescent="0.15">
      <c r="B82" s="38" t="s">
        <v>22</v>
      </c>
      <c r="C82" s="39">
        <f>'Data entry Michel'!C82</f>
        <v>190909.2084</v>
      </c>
      <c r="D82" s="39">
        <f>'Data entry Michel'!F82</f>
        <v>17411.02</v>
      </c>
      <c r="E82" s="39">
        <f>'Data entry Michel'!I82</f>
        <v>18905.37</v>
      </c>
      <c r="F82" s="39">
        <f>'Data entry Michel'!L82</f>
        <v>19725.599999999999</v>
      </c>
      <c r="G82" s="39">
        <f>'Data entry Michel'!O82</f>
        <v>20523</v>
      </c>
      <c r="H82" s="39">
        <f>'Data entry Michel'!R82</f>
        <v>14267.497600000001</v>
      </c>
      <c r="I82" s="39">
        <f>'Data entry Michel'!U82</f>
        <v>14802.145500000001</v>
      </c>
      <c r="J82" s="39">
        <f>'Data entry Michel'!X82</f>
        <v>14650.7917</v>
      </c>
      <c r="K82" s="39">
        <f>'Data entry Michel'!AA82</f>
        <v>11949.934800000001</v>
      </c>
      <c r="L82" s="39">
        <f>'Data entry Michel'!AD82</f>
        <v>14461.384599999999</v>
      </c>
      <c r="M82" s="39">
        <f>'Data entry Michel'!AG82</f>
        <v>14107.200500000001</v>
      </c>
      <c r="N82" s="39">
        <f>'Data entry Michel'!AJ82</f>
        <v>16662.103299999999</v>
      </c>
      <c r="O82" s="39">
        <f>'Data entry Michel'!AM82</f>
        <v>13443.160400000001</v>
      </c>
    </row>
    <row r="83" spans="2:15" ht="14" x14ac:dyDescent="0.15">
      <c r="B83" s="38" t="s">
        <v>40</v>
      </c>
      <c r="C83" s="39">
        <f>'Data entry Michel'!C83</f>
        <v>262855.59999999998</v>
      </c>
      <c r="D83" s="39">
        <f>'Data entry Michel'!F83</f>
        <v>23119.27</v>
      </c>
      <c r="E83" s="39">
        <f>'Data entry Michel'!I83</f>
        <v>20681.47</v>
      </c>
      <c r="F83" s="39">
        <f>'Data entry Michel'!L83</f>
        <v>18132.86</v>
      </c>
      <c r="G83" s="39">
        <f>'Data entry Michel'!O83</f>
        <v>23358</v>
      </c>
      <c r="H83" s="39">
        <f>'Data entry Michel'!R83</f>
        <v>21158</v>
      </c>
      <c r="I83" s="39">
        <f>'Data entry Michel'!U83</f>
        <v>23458</v>
      </c>
      <c r="J83" s="39">
        <f>'Data entry Michel'!X83</f>
        <v>20658</v>
      </c>
      <c r="K83" s="39">
        <f>'Data entry Michel'!AA83</f>
        <v>21658</v>
      </c>
      <c r="L83" s="39">
        <f>'Data entry Michel'!AD83</f>
        <v>22658</v>
      </c>
      <c r="M83" s="39">
        <f>'Data entry Michel'!AG83</f>
        <v>22658</v>
      </c>
      <c r="N83" s="39">
        <f>'Data entry Michel'!AJ83</f>
        <v>22658</v>
      </c>
      <c r="O83" s="39">
        <f>'Data entry Michel'!AM83</f>
        <v>22658</v>
      </c>
    </row>
    <row r="84" spans="2:15" ht="14" x14ac:dyDescent="0.15">
      <c r="B84" s="42" t="s">
        <v>41</v>
      </c>
      <c r="C84" s="39">
        <f>'Data entry Michel'!C84</f>
        <v>-453764.80839999998</v>
      </c>
      <c r="D84" s="39">
        <f>'Data entry Michel'!F84</f>
        <v>-40530.29</v>
      </c>
      <c r="E84" s="39">
        <f>'Data entry Michel'!I84</f>
        <v>-39586.839999999997</v>
      </c>
      <c r="F84" s="39">
        <f>'Data entry Michel'!L84</f>
        <v>-37858.46</v>
      </c>
      <c r="G84" s="39">
        <f>'Data entry Michel'!O84</f>
        <v>-43881</v>
      </c>
      <c r="H84" s="39">
        <f>'Data entry Michel'!R84</f>
        <v>-35425.497600000002</v>
      </c>
      <c r="I84" s="39">
        <f>'Data entry Michel'!U84</f>
        <v>-38260.145499999999</v>
      </c>
      <c r="J84" s="39">
        <f>'Data entry Michel'!X84</f>
        <v>-35308.791700000002</v>
      </c>
      <c r="K84" s="39">
        <f>'Data entry Michel'!AA84</f>
        <v>-33607.934800000003</v>
      </c>
      <c r="L84" s="39">
        <f>'Data entry Michel'!AD84</f>
        <v>-37119.384599999998</v>
      </c>
      <c r="M84" s="39">
        <f>'Data entry Michel'!AG84</f>
        <v>-36765.200499999999</v>
      </c>
      <c r="N84" s="39">
        <f>'Data entry Michel'!AJ84</f>
        <v>-39320.103300000002</v>
      </c>
      <c r="O84" s="39">
        <f>'Data entry Michel'!AM84</f>
        <v>-36101.160400000001</v>
      </c>
    </row>
    <row r="85" spans="2:15" x14ac:dyDescent="0.15">
      <c r="B85" s="40"/>
      <c r="C85" s="39">
        <f>'Data entry Michel'!C85</f>
        <v>0</v>
      </c>
      <c r="D85" s="39">
        <f>'Data entry Michel'!F85</f>
        <v>0</v>
      </c>
      <c r="E85" s="39">
        <f>'Data entry Michel'!I85</f>
        <v>0</v>
      </c>
      <c r="F85" s="39">
        <f>'Data entry Michel'!L85</f>
        <v>0</v>
      </c>
      <c r="G85" s="39">
        <f>'Data entry Michel'!O85</f>
        <v>0</v>
      </c>
      <c r="H85" s="39">
        <f>'Data entry Michel'!R85</f>
        <v>0</v>
      </c>
      <c r="I85" s="39">
        <f>'Data entry Michel'!U85</f>
        <v>0</v>
      </c>
      <c r="J85" s="39">
        <f>'Data entry Michel'!X85</f>
        <v>0</v>
      </c>
      <c r="K85" s="39">
        <f>'Data entry Michel'!AA85</f>
        <v>0</v>
      </c>
      <c r="L85" s="39">
        <f>'Data entry Michel'!AD85</f>
        <v>0</v>
      </c>
      <c r="M85" s="39">
        <f>'Data entry Michel'!AG85</f>
        <v>0</v>
      </c>
      <c r="N85" s="39">
        <f>'Data entry Michel'!AJ85</f>
        <v>0</v>
      </c>
      <c r="O85" s="39">
        <f>'Data entry Michel'!AM85</f>
        <v>0</v>
      </c>
    </row>
    <row r="86" spans="2:15" ht="14" x14ac:dyDescent="0.15">
      <c r="B86" s="44" t="s">
        <v>59</v>
      </c>
      <c r="C86" s="39">
        <f>'Data entry Michel'!C86</f>
        <v>0</v>
      </c>
      <c r="D86" s="39">
        <f>'Data entry Michel'!F86</f>
        <v>0</v>
      </c>
      <c r="E86" s="39">
        <f>'Data entry Michel'!I86</f>
        <v>0</v>
      </c>
      <c r="F86" s="39">
        <f>'Data entry Michel'!L86</f>
        <v>0</v>
      </c>
      <c r="G86" s="39">
        <f>'Data entry Michel'!O86</f>
        <v>0</v>
      </c>
      <c r="H86" s="39">
        <f>'Data entry Michel'!R86</f>
        <v>0</v>
      </c>
      <c r="I86" s="39">
        <f>'Data entry Michel'!U86</f>
        <v>0</v>
      </c>
      <c r="J86" s="39">
        <f>'Data entry Michel'!X86</f>
        <v>0</v>
      </c>
      <c r="K86" s="39">
        <f>'Data entry Michel'!AA86</f>
        <v>0</v>
      </c>
      <c r="L86" s="39">
        <f>'Data entry Michel'!AD86</f>
        <v>0</v>
      </c>
      <c r="M86" s="39">
        <f>'Data entry Michel'!AG86</f>
        <v>0</v>
      </c>
      <c r="N86" s="39">
        <f>'Data entry Michel'!AJ86</f>
        <v>0</v>
      </c>
      <c r="O86" s="39">
        <f>'Data entry Michel'!AM86</f>
        <v>0</v>
      </c>
    </row>
    <row r="87" spans="2:15" ht="14" x14ac:dyDescent="0.15">
      <c r="B87" s="42" t="s">
        <v>41</v>
      </c>
      <c r="C87" s="39">
        <f>'Data entry Michel'!C87</f>
        <v>-438534.6225</v>
      </c>
      <c r="D87" s="39">
        <f>'Data entry Michel'!F87</f>
        <v>-40533.21</v>
      </c>
      <c r="E87" s="39">
        <f>'Data entry Michel'!I87</f>
        <v>-39538.78</v>
      </c>
      <c r="F87" s="39">
        <f>'Data entry Michel'!L87</f>
        <v>-38881.81</v>
      </c>
      <c r="G87" s="39">
        <f>'Data entry Michel'!O87</f>
        <v>-32853.800000000003</v>
      </c>
      <c r="H87" s="39">
        <f>'Data entry Michel'!R87</f>
        <v>-30244</v>
      </c>
      <c r="I87" s="39">
        <f>'Data entry Michel'!U87</f>
        <v>-31104.191200000001</v>
      </c>
      <c r="J87" s="39">
        <f>'Data entry Michel'!X87</f>
        <v>-30100</v>
      </c>
      <c r="K87" s="39">
        <f>'Data entry Michel'!AA87</f>
        <v>-33100</v>
      </c>
      <c r="L87" s="39">
        <f>'Data entry Michel'!AD87</f>
        <v>-35100</v>
      </c>
      <c r="M87" s="39">
        <f>'Data entry Michel'!AG87</f>
        <v>-41100</v>
      </c>
      <c r="N87" s="39">
        <f>'Data entry Michel'!AJ87</f>
        <v>-42454.983999999997</v>
      </c>
      <c r="O87" s="39">
        <f>'Data entry Michel'!AM87</f>
        <v>-43523.847300000001</v>
      </c>
    </row>
    <row r="88" spans="2:15" x14ac:dyDescent="0.15">
      <c r="B88" s="40"/>
      <c r="C88" s="39">
        <f>'Data entry Michel'!C88</f>
        <v>0</v>
      </c>
      <c r="D88" s="39">
        <f>'Data entry Michel'!F88</f>
        <v>0</v>
      </c>
      <c r="E88" s="39">
        <f>'Data entry Michel'!I88</f>
        <v>0</v>
      </c>
      <c r="F88" s="39">
        <f>'Data entry Michel'!L88</f>
        <v>0</v>
      </c>
      <c r="G88" s="39">
        <f>'Data entry Michel'!O88</f>
        <v>0</v>
      </c>
      <c r="H88" s="39">
        <f>'Data entry Michel'!R88</f>
        <v>0</v>
      </c>
      <c r="I88" s="39">
        <f>'Data entry Michel'!U88</f>
        <v>0</v>
      </c>
      <c r="J88" s="39">
        <f>'Data entry Michel'!X88</f>
        <v>0</v>
      </c>
      <c r="K88" s="39">
        <f>'Data entry Michel'!AA88</f>
        <v>0</v>
      </c>
      <c r="L88" s="39">
        <f>'Data entry Michel'!AD88</f>
        <v>0</v>
      </c>
      <c r="M88" s="39">
        <f>'Data entry Michel'!AG88</f>
        <v>0</v>
      </c>
      <c r="N88" s="39">
        <f>'Data entry Michel'!AJ88</f>
        <v>0</v>
      </c>
      <c r="O88" s="39">
        <f>'Data entry Michel'!AM88</f>
        <v>0</v>
      </c>
    </row>
    <row r="89" spans="2:15" ht="14" x14ac:dyDescent="0.15">
      <c r="B89" s="42" t="s">
        <v>23</v>
      </c>
      <c r="C89" s="39">
        <f>'Data entry Michel'!C89</f>
        <v>5663953.6608999996</v>
      </c>
      <c r="D89" s="39">
        <f>'Data entry Michel'!F89</f>
        <v>156965.57</v>
      </c>
      <c r="E89" s="39">
        <f>'Data entry Michel'!I89</f>
        <v>151902.35</v>
      </c>
      <c r="F89" s="39">
        <f>'Data entry Michel'!L89</f>
        <v>434737.52</v>
      </c>
      <c r="G89" s="39">
        <f>'Data entry Michel'!O89</f>
        <v>447218.63</v>
      </c>
      <c r="H89" s="39">
        <f>'Data entry Michel'!R89</f>
        <v>740679.76580000005</v>
      </c>
      <c r="I89" s="39">
        <f>'Data entry Michel'!U89</f>
        <v>608892.83360000001</v>
      </c>
      <c r="J89" s="39">
        <f>'Data entry Michel'!X89</f>
        <v>446546.76539999997</v>
      </c>
      <c r="K89" s="39">
        <f>'Data entry Michel'!AA89</f>
        <v>395662.43310000002</v>
      </c>
      <c r="L89" s="39">
        <f>'Data entry Michel'!AD89</f>
        <v>690941.06079999998</v>
      </c>
      <c r="M89" s="39">
        <f>'Data entry Michel'!AG89</f>
        <v>619551.99140000006</v>
      </c>
      <c r="N89" s="39">
        <f>'Data entry Michel'!AJ89</f>
        <v>523755.50309999997</v>
      </c>
      <c r="O89" s="39">
        <f>'Data entry Michel'!AM89</f>
        <v>447099.2377</v>
      </c>
    </row>
    <row r="90" spans="2:15" x14ac:dyDescent="0.15">
      <c r="B90" s="40"/>
      <c r="C90" s="39">
        <f>'Data entry Michel'!C90</f>
        <v>0</v>
      </c>
      <c r="D90" s="39">
        <f>'Data entry Michel'!F90</f>
        <v>0</v>
      </c>
      <c r="E90" s="39">
        <f>'Data entry Michel'!I90</f>
        <v>0</v>
      </c>
      <c r="F90" s="39">
        <f>'Data entry Michel'!L90</f>
        <v>0</v>
      </c>
      <c r="G90" s="39">
        <f>'Data entry Michel'!O90</f>
        <v>0</v>
      </c>
      <c r="H90" s="39">
        <f>'Data entry Michel'!R90</f>
        <v>0</v>
      </c>
      <c r="I90" s="39">
        <f>'Data entry Michel'!U90</f>
        <v>0</v>
      </c>
      <c r="J90" s="39">
        <f>'Data entry Michel'!X90</f>
        <v>0</v>
      </c>
      <c r="K90" s="39">
        <f>'Data entry Michel'!AA90</f>
        <v>0</v>
      </c>
      <c r="L90" s="39">
        <f>'Data entry Michel'!AD90</f>
        <v>0</v>
      </c>
      <c r="M90" s="39">
        <f>'Data entry Michel'!AG90</f>
        <v>0</v>
      </c>
      <c r="N90" s="39">
        <f>'Data entry Michel'!AJ90</f>
        <v>0</v>
      </c>
      <c r="O90" s="39">
        <f>'Data entry Michel'!AM90</f>
        <v>0</v>
      </c>
    </row>
    <row r="91" spans="2:15" ht="14" x14ac:dyDescent="0.15">
      <c r="B91" s="42" t="s">
        <v>60</v>
      </c>
      <c r="C91" s="39">
        <f>'Data entry Michel'!C91</f>
        <v>0</v>
      </c>
      <c r="D91" s="39">
        <f>'Data entry Michel'!F91</f>
        <v>0</v>
      </c>
      <c r="E91" s="39">
        <f>'Data entry Michel'!I91</f>
        <v>0</v>
      </c>
      <c r="F91" s="39">
        <f>'Data entry Michel'!L91</f>
        <v>0</v>
      </c>
      <c r="G91" s="39">
        <f>'Data entry Michel'!O91</f>
        <v>0</v>
      </c>
      <c r="H91" s="39">
        <f>'Data entry Michel'!R91</f>
        <v>0</v>
      </c>
      <c r="I91" s="39">
        <f>'Data entry Michel'!U91</f>
        <v>0</v>
      </c>
      <c r="J91" s="39">
        <f>'Data entry Michel'!X91</f>
        <v>0</v>
      </c>
      <c r="K91" s="39">
        <f>'Data entry Michel'!AA91</f>
        <v>0</v>
      </c>
      <c r="L91" s="39">
        <f>'Data entry Michel'!AD91</f>
        <v>0</v>
      </c>
      <c r="M91" s="39">
        <f>'Data entry Michel'!AG91</f>
        <v>0</v>
      </c>
      <c r="N91" s="39">
        <f>'Data entry Michel'!AJ91</f>
        <v>0</v>
      </c>
      <c r="O91" s="39">
        <f>'Data entry Michel'!AM91</f>
        <v>0</v>
      </c>
    </row>
    <row r="92" spans="2:15" ht="14" x14ac:dyDescent="0.15">
      <c r="B92" s="38" t="s">
        <v>61</v>
      </c>
      <c r="C92" s="39">
        <f>'Data entry Michel'!C92</f>
        <v>0</v>
      </c>
      <c r="D92" s="39">
        <f>'Data entry Michel'!F92</f>
        <v>0</v>
      </c>
      <c r="E92" s="39">
        <f>'Data entry Michel'!I92</f>
        <v>0</v>
      </c>
      <c r="F92" s="39">
        <f>'Data entry Michel'!L92</f>
        <v>0</v>
      </c>
      <c r="G92" s="39">
        <f>'Data entry Michel'!O92</f>
        <v>0</v>
      </c>
      <c r="H92" s="39">
        <f>'Data entry Michel'!R92</f>
        <v>0</v>
      </c>
      <c r="I92" s="39">
        <f>'Data entry Michel'!U92</f>
        <v>0</v>
      </c>
      <c r="J92" s="39">
        <f>'Data entry Michel'!X92</f>
        <v>0</v>
      </c>
      <c r="K92" s="39">
        <f>'Data entry Michel'!AA92</f>
        <v>0</v>
      </c>
      <c r="L92" s="39">
        <f>'Data entry Michel'!AD92</f>
        <v>0</v>
      </c>
      <c r="M92" s="39">
        <f>'Data entry Michel'!AG92</f>
        <v>0</v>
      </c>
      <c r="N92" s="39">
        <f>'Data entry Michel'!AJ92</f>
        <v>0</v>
      </c>
      <c r="O92" s="39">
        <f>'Data entry Michel'!AM92</f>
        <v>0</v>
      </c>
    </row>
    <row r="93" spans="2:15" ht="14" x14ac:dyDescent="0.15">
      <c r="B93" s="38" t="s">
        <v>62</v>
      </c>
      <c r="C93" s="39">
        <f>'Data entry Michel'!C93</f>
        <v>0</v>
      </c>
      <c r="D93" s="39">
        <f>'Data entry Michel'!F93</f>
        <v>0</v>
      </c>
      <c r="E93" s="39">
        <f>'Data entry Michel'!I93</f>
        <v>0</v>
      </c>
      <c r="F93" s="39">
        <f>'Data entry Michel'!L93</f>
        <v>0</v>
      </c>
      <c r="G93" s="39">
        <f>'Data entry Michel'!O93</f>
        <v>0</v>
      </c>
      <c r="H93" s="39">
        <f>'Data entry Michel'!R93</f>
        <v>0</v>
      </c>
      <c r="I93" s="39">
        <f>'Data entry Michel'!U93</f>
        <v>0</v>
      </c>
      <c r="J93" s="39">
        <f>'Data entry Michel'!X93</f>
        <v>0</v>
      </c>
      <c r="K93" s="39">
        <f>'Data entry Michel'!AA93</f>
        <v>0</v>
      </c>
      <c r="L93" s="39">
        <f>'Data entry Michel'!AD93</f>
        <v>0</v>
      </c>
      <c r="M93" s="39">
        <f>'Data entry Michel'!AG93</f>
        <v>0</v>
      </c>
      <c r="N93" s="39">
        <f>'Data entry Michel'!AJ93</f>
        <v>0</v>
      </c>
      <c r="O93" s="39">
        <f>'Data entry Michel'!AM93</f>
        <v>0</v>
      </c>
    </row>
    <row r="94" spans="2:15" ht="14" x14ac:dyDescent="0.15">
      <c r="B94" s="38" t="s">
        <v>63</v>
      </c>
      <c r="C94" s="39">
        <f>'Data entry Michel'!C94</f>
        <v>0</v>
      </c>
      <c r="D94" s="39">
        <f>'Data entry Michel'!F94</f>
        <v>0</v>
      </c>
      <c r="E94" s="39">
        <f>'Data entry Michel'!I94</f>
        <v>0</v>
      </c>
      <c r="F94" s="39">
        <f>'Data entry Michel'!L94</f>
        <v>0</v>
      </c>
      <c r="G94" s="39">
        <f>'Data entry Michel'!O94</f>
        <v>0</v>
      </c>
      <c r="H94" s="39">
        <f>'Data entry Michel'!R94</f>
        <v>0</v>
      </c>
      <c r="I94" s="39">
        <f>'Data entry Michel'!U94</f>
        <v>0</v>
      </c>
      <c r="J94" s="39">
        <f>'Data entry Michel'!X94</f>
        <v>0</v>
      </c>
      <c r="K94" s="39">
        <f>'Data entry Michel'!AA94</f>
        <v>0</v>
      </c>
      <c r="L94" s="39">
        <f>'Data entry Michel'!AD94</f>
        <v>0</v>
      </c>
      <c r="M94" s="39">
        <f>'Data entry Michel'!AG94</f>
        <v>0</v>
      </c>
      <c r="N94" s="39">
        <f>'Data entry Michel'!AJ94</f>
        <v>0</v>
      </c>
      <c r="O94" s="39">
        <f>'Data entry Michel'!AM94</f>
        <v>0</v>
      </c>
    </row>
    <row r="95" spans="2:15" ht="14" x14ac:dyDescent="0.15">
      <c r="B95" s="38" t="s">
        <v>64</v>
      </c>
      <c r="C95" s="39">
        <f>'Data entry Michel'!C95</f>
        <v>0</v>
      </c>
      <c r="D95" s="39">
        <f>'Data entry Michel'!F95</f>
        <v>0</v>
      </c>
      <c r="E95" s="39">
        <f>'Data entry Michel'!I95</f>
        <v>0</v>
      </c>
      <c r="F95" s="39">
        <f>'Data entry Michel'!L95</f>
        <v>0</v>
      </c>
      <c r="G95" s="39">
        <f>'Data entry Michel'!O95</f>
        <v>0</v>
      </c>
      <c r="H95" s="39">
        <f>'Data entry Michel'!R95</f>
        <v>0</v>
      </c>
      <c r="I95" s="39">
        <f>'Data entry Michel'!U95</f>
        <v>0</v>
      </c>
      <c r="J95" s="39">
        <f>'Data entry Michel'!X95</f>
        <v>0</v>
      </c>
      <c r="K95" s="39">
        <f>'Data entry Michel'!AA95</f>
        <v>0</v>
      </c>
      <c r="L95" s="39">
        <f>'Data entry Michel'!AD95</f>
        <v>0</v>
      </c>
      <c r="M95" s="39">
        <f>'Data entry Michel'!AG95</f>
        <v>0</v>
      </c>
      <c r="N95" s="39">
        <f>'Data entry Michel'!AJ95</f>
        <v>0</v>
      </c>
      <c r="O95" s="39">
        <f>'Data entry Michel'!AM95</f>
        <v>0</v>
      </c>
    </row>
    <row r="96" spans="2:15" x14ac:dyDescent="0.15">
      <c r="B96" s="40"/>
      <c r="C96" s="39">
        <f>'Data entry Michel'!C96</f>
        <v>0</v>
      </c>
      <c r="D96" s="39">
        <f>'Data entry Michel'!F96</f>
        <v>0</v>
      </c>
      <c r="E96" s="39">
        <f>'Data entry Michel'!I96</f>
        <v>0</v>
      </c>
      <c r="F96" s="39">
        <f>'Data entry Michel'!L96</f>
        <v>0</v>
      </c>
      <c r="G96" s="39">
        <f>'Data entry Michel'!O96</f>
        <v>0</v>
      </c>
      <c r="H96" s="39">
        <f>'Data entry Michel'!R96</f>
        <v>0</v>
      </c>
      <c r="I96" s="39">
        <f>'Data entry Michel'!U96</f>
        <v>0</v>
      </c>
      <c r="J96" s="39">
        <f>'Data entry Michel'!X96</f>
        <v>0</v>
      </c>
      <c r="K96" s="39">
        <f>'Data entry Michel'!AA96</f>
        <v>0</v>
      </c>
      <c r="L96" s="39">
        <f>'Data entry Michel'!AD96</f>
        <v>0</v>
      </c>
      <c r="M96" s="39">
        <f>'Data entry Michel'!AG96</f>
        <v>0</v>
      </c>
      <c r="N96" s="39">
        <f>'Data entry Michel'!AJ96</f>
        <v>0</v>
      </c>
      <c r="O96" s="39">
        <f>'Data entry Michel'!AM96</f>
        <v>0</v>
      </c>
    </row>
    <row r="97" spans="2:15" ht="14" x14ac:dyDescent="0.15">
      <c r="B97" s="42" t="s">
        <v>65</v>
      </c>
      <c r="C97" s="39">
        <f>'Data entry Michel'!C97</f>
        <v>0</v>
      </c>
      <c r="D97" s="39">
        <f>'Data entry Michel'!F97</f>
        <v>0</v>
      </c>
      <c r="E97" s="39">
        <f>'Data entry Michel'!I97</f>
        <v>0</v>
      </c>
      <c r="F97" s="39">
        <f>'Data entry Michel'!L97</f>
        <v>0</v>
      </c>
      <c r="G97" s="39">
        <f>'Data entry Michel'!O97</f>
        <v>0</v>
      </c>
      <c r="H97" s="39">
        <f>'Data entry Michel'!R97</f>
        <v>0</v>
      </c>
      <c r="I97" s="39">
        <f>'Data entry Michel'!U97</f>
        <v>0</v>
      </c>
      <c r="J97" s="39">
        <f>'Data entry Michel'!X97</f>
        <v>0</v>
      </c>
      <c r="K97" s="39">
        <f>'Data entry Michel'!AA97</f>
        <v>0</v>
      </c>
      <c r="L97" s="39">
        <f>'Data entry Michel'!AD97</f>
        <v>0</v>
      </c>
      <c r="M97" s="39">
        <f>'Data entry Michel'!AG97</f>
        <v>0</v>
      </c>
      <c r="N97" s="39">
        <f>'Data entry Michel'!AJ97</f>
        <v>0</v>
      </c>
      <c r="O97" s="39">
        <f>'Data entry Michel'!AM97</f>
        <v>0</v>
      </c>
    </row>
    <row r="98" spans="2:15" ht="14" x14ac:dyDescent="0.15">
      <c r="B98" s="38" t="s">
        <v>66</v>
      </c>
      <c r="C98" s="39">
        <f>'Data entry Michel'!C98</f>
        <v>0</v>
      </c>
      <c r="D98" s="39">
        <f>'Data entry Michel'!F98</f>
        <v>0</v>
      </c>
      <c r="E98" s="39">
        <f>'Data entry Michel'!I98</f>
        <v>0</v>
      </c>
      <c r="F98" s="39">
        <f>'Data entry Michel'!L98</f>
        <v>0</v>
      </c>
      <c r="G98" s="39">
        <f>'Data entry Michel'!O98</f>
        <v>0</v>
      </c>
      <c r="H98" s="39">
        <f>'Data entry Michel'!R98</f>
        <v>0</v>
      </c>
      <c r="I98" s="39">
        <f>'Data entry Michel'!U98</f>
        <v>0</v>
      </c>
      <c r="J98" s="39">
        <f>'Data entry Michel'!X98</f>
        <v>0</v>
      </c>
      <c r="K98" s="39">
        <f>'Data entry Michel'!AA98</f>
        <v>0</v>
      </c>
      <c r="L98" s="39">
        <f>'Data entry Michel'!AD98</f>
        <v>0</v>
      </c>
      <c r="M98" s="39">
        <f>'Data entry Michel'!AG98</f>
        <v>0</v>
      </c>
      <c r="N98" s="39">
        <f>'Data entry Michel'!AJ98</f>
        <v>0</v>
      </c>
      <c r="O98" s="39">
        <f>'Data entry Michel'!AM98</f>
        <v>0</v>
      </c>
    </row>
    <row r="99" spans="2:15" ht="14" x14ac:dyDescent="0.15">
      <c r="B99" s="38" t="s">
        <v>67</v>
      </c>
      <c r="C99" s="39">
        <f>'Data entry Michel'!C99</f>
        <v>0</v>
      </c>
      <c r="D99" s="39">
        <f>'Data entry Michel'!F99</f>
        <v>0</v>
      </c>
      <c r="E99" s="39">
        <f>'Data entry Michel'!I99</f>
        <v>0</v>
      </c>
      <c r="F99" s="39">
        <f>'Data entry Michel'!L99</f>
        <v>0</v>
      </c>
      <c r="G99" s="39">
        <f>'Data entry Michel'!O99</f>
        <v>0</v>
      </c>
      <c r="H99" s="39">
        <f>'Data entry Michel'!R99</f>
        <v>0</v>
      </c>
      <c r="I99" s="39">
        <f>'Data entry Michel'!U99</f>
        <v>0</v>
      </c>
      <c r="J99" s="39">
        <f>'Data entry Michel'!X99</f>
        <v>0</v>
      </c>
      <c r="K99" s="39">
        <f>'Data entry Michel'!AA99</f>
        <v>0</v>
      </c>
      <c r="L99" s="39">
        <f>'Data entry Michel'!AD99</f>
        <v>0</v>
      </c>
      <c r="M99" s="39">
        <f>'Data entry Michel'!AG99</f>
        <v>0</v>
      </c>
      <c r="N99" s="39">
        <f>'Data entry Michel'!AJ99</f>
        <v>0</v>
      </c>
      <c r="O99" s="39">
        <f>'Data entry Michel'!AM99</f>
        <v>0</v>
      </c>
    </row>
    <row r="100" spans="2:15" x14ac:dyDescent="0.15">
      <c r="B100" s="40"/>
      <c r="C100" s="39">
        <f>'Data entry Michel'!C100</f>
        <v>0</v>
      </c>
      <c r="D100" s="39">
        <f>'Data entry Michel'!F100</f>
        <v>0</v>
      </c>
      <c r="E100" s="39">
        <f>'Data entry Michel'!I100</f>
        <v>0</v>
      </c>
      <c r="F100" s="39">
        <f>'Data entry Michel'!L100</f>
        <v>0</v>
      </c>
      <c r="G100" s="39">
        <f>'Data entry Michel'!O100</f>
        <v>0</v>
      </c>
      <c r="H100" s="39">
        <f>'Data entry Michel'!R100</f>
        <v>0</v>
      </c>
      <c r="I100" s="39">
        <f>'Data entry Michel'!U100</f>
        <v>0</v>
      </c>
      <c r="J100" s="39">
        <f>'Data entry Michel'!X100</f>
        <v>0</v>
      </c>
      <c r="K100" s="39">
        <f>'Data entry Michel'!AA100</f>
        <v>0</v>
      </c>
      <c r="L100" s="39">
        <f>'Data entry Michel'!AD100</f>
        <v>0</v>
      </c>
      <c r="M100" s="39">
        <f>'Data entry Michel'!AG100</f>
        <v>0</v>
      </c>
      <c r="N100" s="39">
        <f>'Data entry Michel'!AJ100</f>
        <v>0</v>
      </c>
      <c r="O100" s="39">
        <f>'Data entry Michel'!AM100</f>
        <v>0</v>
      </c>
    </row>
    <row r="101" spans="2:15" ht="28" x14ac:dyDescent="0.15">
      <c r="B101" s="42" t="s">
        <v>68</v>
      </c>
      <c r="C101" s="39">
        <f>'Data entry Michel'!C101</f>
        <v>0</v>
      </c>
      <c r="D101" s="39">
        <f>'Data entry Michel'!F101</f>
        <v>0</v>
      </c>
      <c r="E101" s="39">
        <f>'Data entry Michel'!I101</f>
        <v>0</v>
      </c>
      <c r="F101" s="39">
        <f>'Data entry Michel'!L101</f>
        <v>0</v>
      </c>
      <c r="G101" s="39">
        <f>'Data entry Michel'!O101</f>
        <v>0</v>
      </c>
      <c r="H101" s="39">
        <f>'Data entry Michel'!R101</f>
        <v>0</v>
      </c>
      <c r="I101" s="39">
        <f>'Data entry Michel'!U101</f>
        <v>0</v>
      </c>
      <c r="J101" s="39">
        <f>'Data entry Michel'!X101</f>
        <v>0</v>
      </c>
      <c r="K101" s="39">
        <f>'Data entry Michel'!AA101</f>
        <v>0</v>
      </c>
      <c r="L101" s="39">
        <f>'Data entry Michel'!AD101</f>
        <v>0</v>
      </c>
      <c r="M101" s="39">
        <f>'Data entry Michel'!AG101</f>
        <v>0</v>
      </c>
      <c r="N101" s="39">
        <f>'Data entry Michel'!AJ101</f>
        <v>0</v>
      </c>
      <c r="O101" s="39">
        <f>'Data entry Michel'!AM101</f>
        <v>0</v>
      </c>
    </row>
    <row r="102" spans="2:15" x14ac:dyDescent="0.15">
      <c r="B102" s="40"/>
      <c r="C102" s="39">
        <f>'Data entry Michel'!C102</f>
        <v>0</v>
      </c>
      <c r="D102" s="39">
        <f>'Data entry Michel'!F102</f>
        <v>0</v>
      </c>
      <c r="E102" s="39">
        <f>'Data entry Michel'!I102</f>
        <v>0</v>
      </c>
      <c r="F102" s="39">
        <f>'Data entry Michel'!L102</f>
        <v>0</v>
      </c>
      <c r="G102" s="39">
        <f>'Data entry Michel'!O102</f>
        <v>0</v>
      </c>
      <c r="H102" s="39">
        <f>'Data entry Michel'!R102</f>
        <v>0</v>
      </c>
      <c r="I102" s="39">
        <f>'Data entry Michel'!U102</f>
        <v>0</v>
      </c>
      <c r="J102" s="39">
        <f>'Data entry Michel'!X102</f>
        <v>0</v>
      </c>
      <c r="K102" s="39">
        <f>'Data entry Michel'!AA102</f>
        <v>0</v>
      </c>
      <c r="L102" s="39">
        <f>'Data entry Michel'!AD102</f>
        <v>0</v>
      </c>
      <c r="M102" s="39">
        <f>'Data entry Michel'!AG102</f>
        <v>0</v>
      </c>
      <c r="N102" s="39">
        <f>'Data entry Michel'!AJ102</f>
        <v>0</v>
      </c>
      <c r="O102" s="39">
        <f>'Data entry Michel'!AM102</f>
        <v>0</v>
      </c>
    </row>
    <row r="103" spans="2:15" ht="14" x14ac:dyDescent="0.15">
      <c r="B103" s="42" t="s">
        <v>69</v>
      </c>
      <c r="C103" s="39">
        <f>'Data entry Michel'!C103</f>
        <v>5663953.6608999996</v>
      </c>
      <c r="D103" s="39">
        <f>'Data entry Michel'!F103</f>
        <v>156965.57</v>
      </c>
      <c r="E103" s="39">
        <f>'Data entry Michel'!I103</f>
        <v>151902.35</v>
      </c>
      <c r="F103" s="39">
        <f>'Data entry Michel'!L103</f>
        <v>434737.52</v>
      </c>
      <c r="G103" s="39">
        <f>'Data entry Michel'!O103</f>
        <v>447218.63</v>
      </c>
      <c r="H103" s="39">
        <f>'Data entry Michel'!R103</f>
        <v>740679.76580000005</v>
      </c>
      <c r="I103" s="39">
        <f>'Data entry Michel'!U103</f>
        <v>608892.83360000001</v>
      </c>
      <c r="J103" s="39">
        <f>'Data entry Michel'!X103</f>
        <v>446546.76539999997</v>
      </c>
      <c r="K103" s="39">
        <f>'Data entry Michel'!AA103</f>
        <v>395662.43310000002</v>
      </c>
      <c r="L103" s="39">
        <f>'Data entry Michel'!AD103</f>
        <v>690941.06079999998</v>
      </c>
      <c r="M103" s="39">
        <f>'Data entry Michel'!AG103</f>
        <v>619551.99140000006</v>
      </c>
      <c r="N103" s="39">
        <f>'Data entry Michel'!AJ103</f>
        <v>523755.50309999997</v>
      </c>
      <c r="O103" s="39">
        <f>'Data entry Michel'!AM103</f>
        <v>447099.2377</v>
      </c>
    </row>
    <row r="104" spans="2:15" x14ac:dyDescent="0.15">
      <c r="B104" s="40"/>
      <c r="C104" s="39">
        <f>'Data entry Michel'!C104</f>
        <v>0</v>
      </c>
      <c r="D104" s="39">
        <f>'Data entry Michel'!F104</f>
        <v>0</v>
      </c>
      <c r="E104" s="39">
        <f>'Data entry Michel'!I104</f>
        <v>0</v>
      </c>
      <c r="F104" s="39">
        <f>'Data entry Michel'!L104</f>
        <v>0</v>
      </c>
      <c r="G104" s="39">
        <f>'Data entry Michel'!O104</f>
        <v>0</v>
      </c>
      <c r="H104" s="39">
        <f>'Data entry Michel'!R104</f>
        <v>0</v>
      </c>
      <c r="I104" s="39">
        <f>'Data entry Michel'!U104</f>
        <v>0</v>
      </c>
      <c r="J104" s="39">
        <f>'Data entry Michel'!X104</f>
        <v>0</v>
      </c>
      <c r="K104" s="39">
        <f>'Data entry Michel'!AA104</f>
        <v>0</v>
      </c>
      <c r="L104" s="39">
        <f>'Data entry Michel'!AD104</f>
        <v>0</v>
      </c>
      <c r="M104" s="39">
        <f>'Data entry Michel'!AG104</f>
        <v>0</v>
      </c>
      <c r="N104" s="39">
        <f>'Data entry Michel'!AJ104</f>
        <v>0</v>
      </c>
      <c r="O104" s="39">
        <f>'Data entry Michel'!AM104</f>
        <v>0</v>
      </c>
    </row>
    <row r="105" spans="2:15" ht="14" x14ac:dyDescent="0.15">
      <c r="B105" s="42" t="s">
        <v>70</v>
      </c>
      <c r="C105" s="39">
        <f>'Data entry Michel'!C105</f>
        <v>157133.28</v>
      </c>
      <c r="D105" s="39">
        <f>'Data entry Michel'!F105</f>
        <v>4733.33</v>
      </c>
      <c r="E105" s="39">
        <f>'Data entry Michel'!I105</f>
        <v>21399.99</v>
      </c>
      <c r="F105" s="39">
        <f>'Data entry Michel'!L105</f>
        <v>13066.66</v>
      </c>
      <c r="G105" s="39">
        <f>'Data entry Michel'!O105</f>
        <v>13066.66</v>
      </c>
      <c r="H105" s="39">
        <f>'Data entry Michel'!R105</f>
        <v>13108.33</v>
      </c>
      <c r="I105" s="39">
        <f>'Data entry Michel'!U105</f>
        <v>13108.33</v>
      </c>
      <c r="J105" s="39">
        <f>'Data entry Michel'!X105</f>
        <v>13108.33</v>
      </c>
      <c r="K105" s="39">
        <f>'Data entry Michel'!AA105</f>
        <v>13108.33</v>
      </c>
      <c r="L105" s="39">
        <f>'Data entry Michel'!AD105</f>
        <v>13108.33</v>
      </c>
      <c r="M105" s="39">
        <f>'Data entry Michel'!AG105</f>
        <v>13108.33</v>
      </c>
      <c r="N105" s="39">
        <f>'Data entry Michel'!AJ105</f>
        <v>13108.33</v>
      </c>
      <c r="O105" s="39">
        <f>'Data entry Michel'!AM105</f>
        <v>13108.33</v>
      </c>
    </row>
    <row r="106" spans="2:15" ht="14" x14ac:dyDescent="0.15">
      <c r="B106" s="38" t="s">
        <v>71</v>
      </c>
      <c r="C106" s="39">
        <f>'Data entry Michel'!C106</f>
        <v>58933.32</v>
      </c>
      <c r="D106" s="39">
        <f>'Data entry Michel'!F106</f>
        <v>4733.33</v>
      </c>
      <c r="E106" s="39">
        <f>'Data entry Michel'!I106</f>
        <v>4733.33</v>
      </c>
      <c r="F106" s="39">
        <f>'Data entry Michel'!L106</f>
        <v>4733.33</v>
      </c>
      <c r="G106" s="39">
        <f>'Data entry Michel'!O106</f>
        <v>4733.33</v>
      </c>
      <c r="H106" s="39">
        <f>'Data entry Michel'!R106</f>
        <v>5000</v>
      </c>
      <c r="I106" s="39">
        <f>'Data entry Michel'!U106</f>
        <v>5000</v>
      </c>
      <c r="J106" s="39">
        <f>'Data entry Michel'!X106</f>
        <v>5000</v>
      </c>
      <c r="K106" s="39">
        <f>'Data entry Michel'!AA106</f>
        <v>5000</v>
      </c>
      <c r="L106" s="39">
        <f>'Data entry Michel'!AD106</f>
        <v>5000</v>
      </c>
      <c r="M106" s="39">
        <f>'Data entry Michel'!AG106</f>
        <v>5000</v>
      </c>
      <c r="N106" s="39">
        <f>'Data entry Michel'!AJ106</f>
        <v>5000</v>
      </c>
      <c r="O106" s="39">
        <f>'Data entry Michel'!AM106</f>
        <v>5000</v>
      </c>
    </row>
    <row r="107" spans="2:15" ht="14" x14ac:dyDescent="0.15">
      <c r="B107" s="38" t="s">
        <v>72</v>
      </c>
      <c r="C107" s="39">
        <f>'Data entry Michel'!C107</f>
        <v>0</v>
      </c>
      <c r="D107" s="39">
        <f>'Data entry Michel'!F107</f>
        <v>0</v>
      </c>
      <c r="E107" s="39">
        <f>'Data entry Michel'!I107</f>
        <v>0</v>
      </c>
      <c r="F107" s="39">
        <f>'Data entry Michel'!L107</f>
        <v>0</v>
      </c>
      <c r="G107" s="39">
        <f>'Data entry Michel'!O107</f>
        <v>0</v>
      </c>
      <c r="H107" s="39">
        <f>'Data entry Michel'!R107</f>
        <v>0</v>
      </c>
      <c r="I107" s="39">
        <f>'Data entry Michel'!U107</f>
        <v>0</v>
      </c>
      <c r="J107" s="39">
        <f>'Data entry Michel'!X107</f>
        <v>0</v>
      </c>
      <c r="K107" s="39">
        <f>'Data entry Michel'!AA107</f>
        <v>0</v>
      </c>
      <c r="L107" s="39">
        <f>'Data entry Michel'!AD107</f>
        <v>0</v>
      </c>
      <c r="M107" s="39">
        <f>'Data entry Michel'!AG107</f>
        <v>0</v>
      </c>
      <c r="N107" s="39">
        <f>'Data entry Michel'!AJ107</f>
        <v>0</v>
      </c>
      <c r="O107" s="39">
        <f>'Data entry Michel'!AM107</f>
        <v>0</v>
      </c>
    </row>
    <row r="108" spans="2:15" ht="14" x14ac:dyDescent="0.15">
      <c r="B108" s="38" t="s">
        <v>73</v>
      </c>
      <c r="C108" s="39">
        <f>'Data entry Michel'!C108</f>
        <v>25000</v>
      </c>
      <c r="D108" s="39">
        <f>'Data entry Michel'!F108</f>
        <v>0</v>
      </c>
      <c r="E108" s="39">
        <f>'Data entry Michel'!I108</f>
        <v>4500</v>
      </c>
      <c r="F108" s="39">
        <f>'Data entry Michel'!L108</f>
        <v>2250</v>
      </c>
      <c r="G108" s="39">
        <f>'Data entry Michel'!O108</f>
        <v>2250</v>
      </c>
      <c r="H108" s="39">
        <f>'Data entry Michel'!R108</f>
        <v>2000</v>
      </c>
      <c r="I108" s="39">
        <f>'Data entry Michel'!U108</f>
        <v>2000</v>
      </c>
      <c r="J108" s="39">
        <f>'Data entry Michel'!X108</f>
        <v>2000</v>
      </c>
      <c r="K108" s="39">
        <f>'Data entry Michel'!AA108</f>
        <v>2000</v>
      </c>
      <c r="L108" s="39">
        <f>'Data entry Michel'!AD108</f>
        <v>2000</v>
      </c>
      <c r="M108" s="39">
        <f>'Data entry Michel'!AG108</f>
        <v>2000</v>
      </c>
      <c r="N108" s="39">
        <f>'Data entry Michel'!AJ108</f>
        <v>2000</v>
      </c>
      <c r="O108" s="39">
        <f>'Data entry Michel'!AM108</f>
        <v>2000</v>
      </c>
    </row>
    <row r="109" spans="2:15" ht="14" x14ac:dyDescent="0.15">
      <c r="B109" s="38" t="s">
        <v>74</v>
      </c>
      <c r="C109" s="39">
        <f>'Data entry Michel'!C109</f>
        <v>0</v>
      </c>
      <c r="D109" s="39">
        <f>'Data entry Michel'!F109</f>
        <v>0</v>
      </c>
      <c r="E109" s="39">
        <f>'Data entry Michel'!I109</f>
        <v>0</v>
      </c>
      <c r="F109" s="39">
        <f>'Data entry Michel'!L109</f>
        <v>0</v>
      </c>
      <c r="G109" s="39">
        <f>'Data entry Michel'!O109</f>
        <v>0</v>
      </c>
      <c r="H109" s="39">
        <f>'Data entry Michel'!R109</f>
        <v>0</v>
      </c>
      <c r="I109" s="39">
        <f>'Data entry Michel'!U109</f>
        <v>0</v>
      </c>
      <c r="J109" s="39">
        <f>'Data entry Michel'!X109</f>
        <v>0</v>
      </c>
      <c r="K109" s="39">
        <f>'Data entry Michel'!AA109</f>
        <v>0</v>
      </c>
      <c r="L109" s="39">
        <f>'Data entry Michel'!AD109</f>
        <v>0</v>
      </c>
      <c r="M109" s="39">
        <f>'Data entry Michel'!AG109</f>
        <v>0</v>
      </c>
      <c r="N109" s="39">
        <f>'Data entry Michel'!AJ109</f>
        <v>0</v>
      </c>
      <c r="O109" s="39">
        <f>'Data entry Michel'!AM109</f>
        <v>0</v>
      </c>
    </row>
    <row r="110" spans="2:15" ht="14" x14ac:dyDescent="0.15">
      <c r="B110" s="38" t="s">
        <v>75</v>
      </c>
      <c r="C110" s="39">
        <f>'Data entry Michel'!C110</f>
        <v>73199.960000000006</v>
      </c>
      <c r="D110" s="39">
        <f>'Data entry Michel'!F110</f>
        <v>0</v>
      </c>
      <c r="E110" s="39">
        <f>'Data entry Michel'!I110</f>
        <v>12166.66</v>
      </c>
      <c r="F110" s="39">
        <f>'Data entry Michel'!L110</f>
        <v>6083.33</v>
      </c>
      <c r="G110" s="39">
        <f>'Data entry Michel'!O110</f>
        <v>6083.33</v>
      </c>
      <c r="H110" s="39">
        <f>'Data entry Michel'!R110</f>
        <v>6108.33</v>
      </c>
      <c r="I110" s="39">
        <f>'Data entry Michel'!U110</f>
        <v>6108.33</v>
      </c>
      <c r="J110" s="39">
        <f>'Data entry Michel'!X110</f>
        <v>6108.33</v>
      </c>
      <c r="K110" s="39">
        <f>'Data entry Michel'!AA110</f>
        <v>6108.33</v>
      </c>
      <c r="L110" s="39">
        <f>'Data entry Michel'!AD110</f>
        <v>6108.33</v>
      </c>
      <c r="M110" s="39">
        <f>'Data entry Michel'!AG110</f>
        <v>6108.33</v>
      </c>
      <c r="N110" s="39">
        <f>'Data entry Michel'!AJ110</f>
        <v>6108.33</v>
      </c>
      <c r="O110" s="39">
        <f>'Data entry Michel'!AM110</f>
        <v>6108.33</v>
      </c>
    </row>
    <row r="111" spans="2:15" ht="14" x14ac:dyDescent="0.15">
      <c r="B111" s="38" t="s">
        <v>76</v>
      </c>
      <c r="C111" s="39">
        <f>'Data entry Michel'!C111</f>
        <v>0</v>
      </c>
      <c r="D111" s="39">
        <f>'Data entry Michel'!F111</f>
        <v>0</v>
      </c>
      <c r="E111" s="39">
        <f>'Data entry Michel'!I111</f>
        <v>0</v>
      </c>
      <c r="F111" s="39">
        <f>'Data entry Michel'!L111</f>
        <v>0</v>
      </c>
      <c r="G111" s="39">
        <f>'Data entry Michel'!O111</f>
        <v>0</v>
      </c>
      <c r="H111" s="39">
        <f>'Data entry Michel'!R111</f>
        <v>0</v>
      </c>
      <c r="I111" s="39">
        <f>'Data entry Michel'!U111</f>
        <v>0</v>
      </c>
      <c r="J111" s="39">
        <f>'Data entry Michel'!X111</f>
        <v>0</v>
      </c>
      <c r="K111" s="39">
        <f>'Data entry Michel'!AA111</f>
        <v>0</v>
      </c>
      <c r="L111" s="39">
        <f>'Data entry Michel'!AD111</f>
        <v>0</v>
      </c>
      <c r="M111" s="39">
        <f>'Data entry Michel'!AG111</f>
        <v>0</v>
      </c>
      <c r="N111" s="39">
        <f>'Data entry Michel'!AJ111</f>
        <v>0</v>
      </c>
      <c r="O111" s="39">
        <f>'Data entry Michel'!AM111</f>
        <v>0</v>
      </c>
    </row>
    <row r="112" spans="2:15" ht="14" x14ac:dyDescent="0.15">
      <c r="B112" s="38" t="s">
        <v>77</v>
      </c>
      <c r="C112" s="39">
        <f>'Data entry Michel'!C112</f>
        <v>0</v>
      </c>
      <c r="D112" s="39">
        <f>'Data entry Michel'!F112</f>
        <v>0</v>
      </c>
      <c r="E112" s="39">
        <f>'Data entry Michel'!I112</f>
        <v>0</v>
      </c>
      <c r="F112" s="39">
        <f>'Data entry Michel'!L112</f>
        <v>0</v>
      </c>
      <c r="G112" s="39">
        <f>'Data entry Michel'!O112</f>
        <v>0</v>
      </c>
      <c r="H112" s="39">
        <f>'Data entry Michel'!R112</f>
        <v>0</v>
      </c>
      <c r="I112" s="39">
        <f>'Data entry Michel'!U112</f>
        <v>0</v>
      </c>
      <c r="J112" s="39">
        <f>'Data entry Michel'!X112</f>
        <v>0</v>
      </c>
      <c r="K112" s="39">
        <f>'Data entry Michel'!AA112</f>
        <v>0</v>
      </c>
      <c r="L112" s="39">
        <f>'Data entry Michel'!AD112</f>
        <v>0</v>
      </c>
      <c r="M112" s="39">
        <f>'Data entry Michel'!AG112</f>
        <v>0</v>
      </c>
      <c r="N112" s="39">
        <f>'Data entry Michel'!AJ112</f>
        <v>0</v>
      </c>
      <c r="O112" s="39">
        <f>'Data entry Michel'!AM112</f>
        <v>0</v>
      </c>
    </row>
    <row r="113" spans="2:15" ht="14" x14ac:dyDescent="0.15">
      <c r="B113" s="38" t="s">
        <v>78</v>
      </c>
      <c r="C113" s="39">
        <f>'Data entry Michel'!C113</f>
        <v>0</v>
      </c>
      <c r="D113" s="39">
        <f>'Data entry Michel'!F113</f>
        <v>0</v>
      </c>
      <c r="E113" s="39">
        <f>'Data entry Michel'!I113</f>
        <v>0</v>
      </c>
      <c r="F113" s="39">
        <f>'Data entry Michel'!L113</f>
        <v>0</v>
      </c>
      <c r="G113" s="39">
        <f>'Data entry Michel'!O113</f>
        <v>0</v>
      </c>
      <c r="H113" s="39">
        <f>'Data entry Michel'!R113</f>
        <v>0</v>
      </c>
      <c r="I113" s="39">
        <f>'Data entry Michel'!U113</f>
        <v>0</v>
      </c>
      <c r="J113" s="39">
        <f>'Data entry Michel'!X113</f>
        <v>0</v>
      </c>
      <c r="K113" s="39">
        <f>'Data entry Michel'!AA113</f>
        <v>0</v>
      </c>
      <c r="L113" s="39">
        <f>'Data entry Michel'!AD113</f>
        <v>0</v>
      </c>
      <c r="M113" s="39">
        <f>'Data entry Michel'!AG113</f>
        <v>0</v>
      </c>
      <c r="N113" s="39">
        <f>'Data entry Michel'!AJ113</f>
        <v>0</v>
      </c>
      <c r="O113" s="39">
        <f>'Data entry Michel'!AM113</f>
        <v>0</v>
      </c>
    </row>
    <row r="114" spans="2:15" ht="14" x14ac:dyDescent="0.15">
      <c r="B114" s="38" t="s">
        <v>79</v>
      </c>
      <c r="C114" s="39">
        <f>'Data entry Michel'!C114</f>
        <v>0</v>
      </c>
      <c r="D114" s="39">
        <f>'Data entry Michel'!F114</f>
        <v>0</v>
      </c>
      <c r="E114" s="39">
        <f>'Data entry Michel'!I114</f>
        <v>0</v>
      </c>
      <c r="F114" s="39">
        <f>'Data entry Michel'!L114</f>
        <v>0</v>
      </c>
      <c r="G114" s="39">
        <f>'Data entry Michel'!O114</f>
        <v>0</v>
      </c>
      <c r="H114" s="39">
        <f>'Data entry Michel'!R114</f>
        <v>0</v>
      </c>
      <c r="I114" s="39">
        <f>'Data entry Michel'!U114</f>
        <v>0</v>
      </c>
      <c r="J114" s="39">
        <f>'Data entry Michel'!X114</f>
        <v>0</v>
      </c>
      <c r="K114" s="39">
        <f>'Data entry Michel'!AA114</f>
        <v>0</v>
      </c>
      <c r="L114" s="39">
        <f>'Data entry Michel'!AD114</f>
        <v>0</v>
      </c>
      <c r="M114" s="39">
        <f>'Data entry Michel'!AG114</f>
        <v>0</v>
      </c>
      <c r="N114" s="39">
        <f>'Data entry Michel'!AJ114</f>
        <v>0</v>
      </c>
      <c r="O114" s="39">
        <f>'Data entry Michel'!AM114</f>
        <v>0</v>
      </c>
    </row>
    <row r="115" spans="2:15" ht="14" x14ac:dyDescent="0.15">
      <c r="B115" s="38" t="s">
        <v>80</v>
      </c>
      <c r="C115" s="39">
        <f>'Data entry Michel'!C115</f>
        <v>0</v>
      </c>
      <c r="D115" s="39">
        <f>'Data entry Michel'!F115</f>
        <v>0</v>
      </c>
      <c r="E115" s="39">
        <f>'Data entry Michel'!I115</f>
        <v>0</v>
      </c>
      <c r="F115" s="39">
        <f>'Data entry Michel'!L115</f>
        <v>0</v>
      </c>
      <c r="G115" s="39">
        <f>'Data entry Michel'!O115</f>
        <v>0</v>
      </c>
      <c r="H115" s="39">
        <f>'Data entry Michel'!R115</f>
        <v>0</v>
      </c>
      <c r="I115" s="39">
        <f>'Data entry Michel'!U115</f>
        <v>0</v>
      </c>
      <c r="J115" s="39">
        <f>'Data entry Michel'!X115</f>
        <v>0</v>
      </c>
      <c r="K115" s="39">
        <f>'Data entry Michel'!AA115</f>
        <v>0</v>
      </c>
      <c r="L115" s="39">
        <f>'Data entry Michel'!AD115</f>
        <v>0</v>
      </c>
      <c r="M115" s="39">
        <f>'Data entry Michel'!AG115</f>
        <v>0</v>
      </c>
      <c r="N115" s="39">
        <f>'Data entry Michel'!AJ115</f>
        <v>0</v>
      </c>
      <c r="O115" s="39">
        <f>'Data entry Michel'!AM115</f>
        <v>0</v>
      </c>
    </row>
    <row r="116" spans="2:15" x14ac:dyDescent="0.15">
      <c r="B116" s="40"/>
      <c r="C116" s="39">
        <f>'Data entry Michel'!C116</f>
        <v>0</v>
      </c>
      <c r="D116" s="39">
        <f>'Data entry Michel'!F116</f>
        <v>0</v>
      </c>
      <c r="E116" s="39">
        <f>'Data entry Michel'!I116</f>
        <v>0</v>
      </c>
      <c r="F116" s="39">
        <f>'Data entry Michel'!L116</f>
        <v>0</v>
      </c>
      <c r="G116" s="39">
        <f>'Data entry Michel'!O116</f>
        <v>0</v>
      </c>
      <c r="H116" s="39">
        <f>'Data entry Michel'!R116</f>
        <v>0</v>
      </c>
      <c r="I116" s="39">
        <f>'Data entry Michel'!U116</f>
        <v>0</v>
      </c>
      <c r="J116" s="39">
        <f>'Data entry Michel'!X116</f>
        <v>0</v>
      </c>
      <c r="K116" s="39">
        <f>'Data entry Michel'!AA116</f>
        <v>0</v>
      </c>
      <c r="L116" s="39">
        <f>'Data entry Michel'!AD116</f>
        <v>0</v>
      </c>
      <c r="M116" s="39">
        <f>'Data entry Michel'!AG116</f>
        <v>0</v>
      </c>
      <c r="N116" s="39">
        <f>'Data entry Michel'!AJ116</f>
        <v>0</v>
      </c>
      <c r="O116" s="39">
        <f>'Data entry Michel'!AM116</f>
        <v>0</v>
      </c>
    </row>
    <row r="117" spans="2:15" ht="14" x14ac:dyDescent="0.15">
      <c r="B117" s="42" t="s">
        <v>81</v>
      </c>
      <c r="C117" s="39">
        <f>'Data entry Michel'!C117</f>
        <v>0</v>
      </c>
      <c r="D117" s="39">
        <f>'Data entry Michel'!F117</f>
        <v>0</v>
      </c>
      <c r="E117" s="39">
        <f>'Data entry Michel'!I117</f>
        <v>0</v>
      </c>
      <c r="F117" s="39">
        <f>'Data entry Michel'!L117</f>
        <v>0</v>
      </c>
      <c r="G117" s="39">
        <f>'Data entry Michel'!O117</f>
        <v>0</v>
      </c>
      <c r="H117" s="39">
        <f>'Data entry Michel'!R117</f>
        <v>0</v>
      </c>
      <c r="I117" s="39">
        <f>'Data entry Michel'!U117</f>
        <v>0</v>
      </c>
      <c r="J117" s="39">
        <f>'Data entry Michel'!X117</f>
        <v>0</v>
      </c>
      <c r="K117" s="39">
        <f>'Data entry Michel'!AA117</f>
        <v>0</v>
      </c>
      <c r="L117" s="39">
        <f>'Data entry Michel'!AD117</f>
        <v>0</v>
      </c>
      <c r="M117" s="39">
        <f>'Data entry Michel'!AG117</f>
        <v>0</v>
      </c>
      <c r="N117" s="39">
        <f>'Data entry Michel'!AJ117</f>
        <v>0</v>
      </c>
      <c r="O117" s="39">
        <f>'Data entry Michel'!AM117</f>
        <v>0</v>
      </c>
    </row>
    <row r="118" spans="2:15" ht="14" x14ac:dyDescent="0.15">
      <c r="B118" s="38" t="s">
        <v>82</v>
      </c>
      <c r="C118" s="39">
        <f>'Data entry Michel'!C118</f>
        <v>0</v>
      </c>
      <c r="D118" s="39">
        <f>'Data entry Michel'!F118</f>
        <v>0</v>
      </c>
      <c r="E118" s="39">
        <f>'Data entry Michel'!I118</f>
        <v>0</v>
      </c>
      <c r="F118" s="39">
        <f>'Data entry Michel'!L118</f>
        <v>0</v>
      </c>
      <c r="G118" s="39">
        <f>'Data entry Michel'!O118</f>
        <v>0</v>
      </c>
      <c r="H118" s="39">
        <f>'Data entry Michel'!R118</f>
        <v>0</v>
      </c>
      <c r="I118" s="39">
        <f>'Data entry Michel'!U118</f>
        <v>0</v>
      </c>
      <c r="J118" s="39">
        <f>'Data entry Michel'!X118</f>
        <v>0</v>
      </c>
      <c r="K118" s="39">
        <f>'Data entry Michel'!AA118</f>
        <v>0</v>
      </c>
      <c r="L118" s="39">
        <f>'Data entry Michel'!AD118</f>
        <v>0</v>
      </c>
      <c r="M118" s="39">
        <f>'Data entry Michel'!AG118</f>
        <v>0</v>
      </c>
      <c r="N118" s="39">
        <f>'Data entry Michel'!AJ118</f>
        <v>0</v>
      </c>
      <c r="O118" s="39">
        <f>'Data entry Michel'!AM118</f>
        <v>0</v>
      </c>
    </row>
    <row r="119" spans="2:15" ht="14" x14ac:dyDescent="0.15">
      <c r="B119" s="38" t="s">
        <v>83</v>
      </c>
      <c r="C119" s="39">
        <f>'Data entry Michel'!C119</f>
        <v>0</v>
      </c>
      <c r="D119" s="39">
        <f>'Data entry Michel'!F119</f>
        <v>0</v>
      </c>
      <c r="E119" s="39">
        <f>'Data entry Michel'!I119</f>
        <v>0</v>
      </c>
      <c r="F119" s="39">
        <f>'Data entry Michel'!L119</f>
        <v>0</v>
      </c>
      <c r="G119" s="39">
        <f>'Data entry Michel'!O119</f>
        <v>0</v>
      </c>
      <c r="H119" s="39">
        <f>'Data entry Michel'!R119</f>
        <v>0</v>
      </c>
      <c r="I119" s="39">
        <f>'Data entry Michel'!U119</f>
        <v>0</v>
      </c>
      <c r="J119" s="39">
        <f>'Data entry Michel'!X119</f>
        <v>0</v>
      </c>
      <c r="K119" s="39">
        <f>'Data entry Michel'!AA119</f>
        <v>0</v>
      </c>
      <c r="L119" s="39">
        <f>'Data entry Michel'!AD119</f>
        <v>0</v>
      </c>
      <c r="M119" s="39">
        <f>'Data entry Michel'!AG119</f>
        <v>0</v>
      </c>
      <c r="N119" s="39">
        <f>'Data entry Michel'!AJ119</f>
        <v>0</v>
      </c>
      <c r="O119" s="39">
        <f>'Data entry Michel'!AM119</f>
        <v>0</v>
      </c>
    </row>
    <row r="120" spans="2:15" x14ac:dyDescent="0.15">
      <c r="B120" s="40"/>
      <c r="C120" s="39">
        <f>'Data entry Michel'!C120</f>
        <v>0</v>
      </c>
      <c r="D120" s="39">
        <f>'Data entry Michel'!F120</f>
        <v>0</v>
      </c>
      <c r="E120" s="39">
        <f>'Data entry Michel'!I120</f>
        <v>0</v>
      </c>
      <c r="F120" s="39">
        <f>'Data entry Michel'!L120</f>
        <v>0</v>
      </c>
      <c r="G120" s="39">
        <f>'Data entry Michel'!O120</f>
        <v>0</v>
      </c>
      <c r="H120" s="39">
        <f>'Data entry Michel'!R120</f>
        <v>0</v>
      </c>
      <c r="I120" s="39">
        <f>'Data entry Michel'!U120</f>
        <v>0</v>
      </c>
      <c r="J120" s="39">
        <f>'Data entry Michel'!X120</f>
        <v>0</v>
      </c>
      <c r="K120" s="39">
        <f>'Data entry Michel'!AA120</f>
        <v>0</v>
      </c>
      <c r="L120" s="39">
        <f>'Data entry Michel'!AD120</f>
        <v>0</v>
      </c>
      <c r="M120" s="39">
        <f>'Data entry Michel'!AG120</f>
        <v>0</v>
      </c>
      <c r="N120" s="39">
        <f>'Data entry Michel'!AJ120</f>
        <v>0</v>
      </c>
      <c r="O120" s="39">
        <f>'Data entry Michel'!AM120</f>
        <v>0</v>
      </c>
    </row>
    <row r="121" spans="2:15" ht="14" x14ac:dyDescent="0.15">
      <c r="B121" s="42" t="s">
        <v>84</v>
      </c>
      <c r="C121" s="39">
        <f>'Data entry Michel'!C121</f>
        <v>5506820.3809000002</v>
      </c>
      <c r="D121" s="39">
        <f>'Data entry Michel'!F121</f>
        <v>152232.24</v>
      </c>
      <c r="E121" s="39">
        <f>'Data entry Michel'!I121</f>
        <v>130502.36</v>
      </c>
      <c r="F121" s="39">
        <f>'Data entry Michel'!L121</f>
        <v>421670.86</v>
      </c>
      <c r="G121" s="39">
        <f>'Data entry Michel'!O121</f>
        <v>434151.97</v>
      </c>
      <c r="H121" s="39">
        <f>'Data entry Michel'!R121</f>
        <v>727571.43579999998</v>
      </c>
      <c r="I121" s="39">
        <f>'Data entry Michel'!U121</f>
        <v>595784.50360000005</v>
      </c>
      <c r="J121" s="39">
        <f>'Data entry Michel'!X121</f>
        <v>433438.43540000002</v>
      </c>
      <c r="K121" s="39">
        <f>'Data entry Michel'!AA121</f>
        <v>382554.10310000001</v>
      </c>
      <c r="L121" s="39">
        <f>'Data entry Michel'!AD121</f>
        <v>677832.73080000002</v>
      </c>
      <c r="M121" s="39">
        <f>'Data entry Michel'!AG121</f>
        <v>606443.66139999998</v>
      </c>
      <c r="N121" s="39">
        <f>'Data entry Michel'!AJ121</f>
        <v>510647.17310000001</v>
      </c>
      <c r="O121" s="39">
        <f>'Data entry Michel'!AM121</f>
        <v>433990.90769999998</v>
      </c>
    </row>
    <row r="122" spans="2:15" ht="14" x14ac:dyDescent="0.15">
      <c r="B122" s="38" t="s">
        <v>85</v>
      </c>
      <c r="C122" s="39">
        <f>'Data entry Michel'!C122</f>
        <v>150498.29939999999</v>
      </c>
      <c r="D122" s="39">
        <f>'Data entry Michel'!F122</f>
        <v>12410.42</v>
      </c>
      <c r="E122" s="39">
        <f>'Data entry Michel'!I122</f>
        <v>12410.42</v>
      </c>
      <c r="F122" s="39">
        <f>'Data entry Michel'!L122</f>
        <v>12410.42</v>
      </c>
      <c r="G122" s="39">
        <f>'Data entry Michel'!O122</f>
        <v>12410.42</v>
      </c>
      <c r="H122" s="39">
        <f>'Data entry Michel'!R122</f>
        <v>12577.9496</v>
      </c>
      <c r="I122" s="39">
        <f>'Data entry Michel'!U122</f>
        <v>12568.598</v>
      </c>
      <c r="J122" s="39">
        <f>'Data entry Michel'!X122</f>
        <v>12447.8349</v>
      </c>
      <c r="K122" s="39">
        <f>'Data entry Michel'!AA122</f>
        <v>13311.2556</v>
      </c>
      <c r="L122" s="39">
        <f>'Data entry Michel'!AD122</f>
        <v>12622.0288</v>
      </c>
      <c r="M122" s="39">
        <f>'Data entry Michel'!AG122</f>
        <v>12085.2084</v>
      </c>
      <c r="N122" s="39">
        <f>'Data entry Michel'!AJ122</f>
        <v>12824.202799999999</v>
      </c>
      <c r="O122" s="39">
        <f>'Data entry Michel'!AM122</f>
        <v>12419.541300000001</v>
      </c>
    </row>
    <row r="123" spans="2:15" x14ac:dyDescent="0.15">
      <c r="B123" s="40"/>
      <c r="C123" s="39">
        <f>'Data entry Michel'!C123</f>
        <v>0</v>
      </c>
      <c r="D123" s="39">
        <f>'Data entry Michel'!F123</f>
        <v>0</v>
      </c>
      <c r="E123" s="39">
        <f>'Data entry Michel'!I123</f>
        <v>0</v>
      </c>
      <c r="F123" s="39">
        <f>'Data entry Michel'!L123</f>
        <v>0</v>
      </c>
      <c r="G123" s="39">
        <f>'Data entry Michel'!O123</f>
        <v>0</v>
      </c>
      <c r="H123" s="39">
        <f>'Data entry Michel'!R123</f>
        <v>0</v>
      </c>
      <c r="I123" s="39">
        <f>'Data entry Michel'!U123</f>
        <v>0</v>
      </c>
      <c r="J123" s="39">
        <f>'Data entry Michel'!X123</f>
        <v>0</v>
      </c>
      <c r="K123" s="39">
        <f>'Data entry Michel'!AA123</f>
        <v>0</v>
      </c>
      <c r="L123" s="39">
        <f>'Data entry Michel'!AD123</f>
        <v>0</v>
      </c>
      <c r="M123" s="39">
        <f>'Data entry Michel'!AG123</f>
        <v>0</v>
      </c>
      <c r="N123" s="39">
        <f>'Data entry Michel'!AJ123</f>
        <v>0</v>
      </c>
      <c r="O123" s="39">
        <f>'Data entry Michel'!AM123</f>
        <v>0</v>
      </c>
    </row>
    <row r="124" spans="2:15" ht="14" x14ac:dyDescent="0.15">
      <c r="B124" s="42" t="s">
        <v>86</v>
      </c>
      <c r="C124" s="39">
        <f>'Data entry Michel'!C124</f>
        <v>5356322.0813999996</v>
      </c>
      <c r="D124" s="39">
        <f>'Data entry Michel'!F124</f>
        <v>139821.82</v>
      </c>
      <c r="E124" s="39">
        <f>'Data entry Michel'!I124</f>
        <v>118091.94</v>
      </c>
      <c r="F124" s="39">
        <f>'Data entry Michel'!L124</f>
        <v>409260.44</v>
      </c>
      <c r="G124" s="39">
        <f>'Data entry Michel'!O124</f>
        <v>421741.55</v>
      </c>
      <c r="H124" s="39">
        <f>'Data entry Michel'!R124</f>
        <v>714993.48620000004</v>
      </c>
      <c r="I124" s="39">
        <f>'Data entry Michel'!U124</f>
        <v>583215.90549999999</v>
      </c>
      <c r="J124" s="39">
        <f>'Data entry Michel'!X124</f>
        <v>420990.6005</v>
      </c>
      <c r="K124" s="39">
        <f>'Data entry Michel'!AA124</f>
        <v>369242.84749999997</v>
      </c>
      <c r="L124" s="39">
        <f>'Data entry Michel'!AD124</f>
        <v>665210.70200000005</v>
      </c>
      <c r="M124" s="39">
        <f>'Data entry Michel'!AG124</f>
        <v>594358.45299999998</v>
      </c>
      <c r="N124" s="39">
        <f>'Data entry Michel'!AJ124</f>
        <v>497822.97029999999</v>
      </c>
      <c r="O124" s="39">
        <f>'Data entry Michel'!AM124</f>
        <v>421571.3664</v>
      </c>
    </row>
    <row r="125" spans="2:15" ht="14" x14ac:dyDescent="0.15">
      <c r="B125" s="38" t="s">
        <v>87</v>
      </c>
      <c r="C125" s="39">
        <f>'Data entry Michel'!C125</f>
        <v>0</v>
      </c>
      <c r="D125" s="39">
        <f>'Data entry Michel'!F125</f>
        <v>0</v>
      </c>
      <c r="E125" s="39">
        <f>'Data entry Michel'!I125</f>
        <v>0</v>
      </c>
      <c r="F125" s="39">
        <f>'Data entry Michel'!L125</f>
        <v>0</v>
      </c>
      <c r="G125" s="39">
        <f>'Data entry Michel'!O125</f>
        <v>0</v>
      </c>
      <c r="H125" s="39">
        <f>'Data entry Michel'!R125</f>
        <v>0</v>
      </c>
      <c r="I125" s="39">
        <f>'Data entry Michel'!U125</f>
        <v>0</v>
      </c>
      <c r="J125" s="39">
        <f>'Data entry Michel'!X125</f>
        <v>0</v>
      </c>
      <c r="K125" s="39">
        <f>'Data entry Michel'!AA125</f>
        <v>0</v>
      </c>
      <c r="L125" s="39">
        <f>'Data entry Michel'!AD125</f>
        <v>0</v>
      </c>
      <c r="M125" s="39">
        <f>'Data entry Michel'!AG125</f>
        <v>0</v>
      </c>
      <c r="N125" s="39">
        <f>'Data entry Michel'!AJ125</f>
        <v>0</v>
      </c>
      <c r="O125" s="39">
        <f>'Data entry Michel'!AM125</f>
        <v>0</v>
      </c>
    </row>
    <row r="126" spans="2:15" x14ac:dyDescent="0.15">
      <c r="B126" s="40"/>
      <c r="C126" s="39">
        <f>'Data entry Michel'!C126</f>
        <v>0</v>
      </c>
      <c r="D126" s="39">
        <f>'Data entry Michel'!F126</f>
        <v>0</v>
      </c>
      <c r="E126" s="39">
        <f>'Data entry Michel'!I126</f>
        <v>0</v>
      </c>
      <c r="F126" s="39">
        <f>'Data entry Michel'!L126</f>
        <v>0</v>
      </c>
      <c r="G126" s="39">
        <f>'Data entry Michel'!O126</f>
        <v>0</v>
      </c>
      <c r="H126" s="39">
        <f>'Data entry Michel'!R126</f>
        <v>0</v>
      </c>
      <c r="I126" s="39">
        <f>'Data entry Michel'!U126</f>
        <v>0</v>
      </c>
      <c r="J126" s="39">
        <f>'Data entry Michel'!X126</f>
        <v>0</v>
      </c>
      <c r="K126" s="39">
        <f>'Data entry Michel'!AA126</f>
        <v>0</v>
      </c>
      <c r="L126" s="39">
        <f>'Data entry Michel'!AD126</f>
        <v>0</v>
      </c>
      <c r="M126" s="39">
        <f>'Data entry Michel'!AG126</f>
        <v>0</v>
      </c>
      <c r="N126" s="39">
        <f>'Data entry Michel'!AJ126</f>
        <v>0</v>
      </c>
      <c r="O126" s="39">
        <f>'Data entry Michel'!AM126</f>
        <v>0</v>
      </c>
    </row>
    <row r="127" spans="2:15" ht="14" x14ac:dyDescent="0.15">
      <c r="B127" s="42" t="s">
        <v>88</v>
      </c>
      <c r="C127" s="39">
        <f>'Data entry Michel'!C127</f>
        <v>5356322.0813999996</v>
      </c>
      <c r="D127" s="39">
        <f>'Data entry Michel'!F127</f>
        <v>139821.82</v>
      </c>
      <c r="E127" s="39">
        <f>'Data entry Michel'!I127</f>
        <v>118091.94</v>
      </c>
      <c r="F127" s="39">
        <f>'Data entry Michel'!L127</f>
        <v>409260.44</v>
      </c>
      <c r="G127" s="39">
        <f>'Data entry Michel'!O127</f>
        <v>421741.55</v>
      </c>
      <c r="H127" s="39">
        <f>'Data entry Michel'!R127</f>
        <v>714993.48620000004</v>
      </c>
      <c r="I127" s="39">
        <f>'Data entry Michel'!U127</f>
        <v>583215.90549999999</v>
      </c>
      <c r="J127" s="39">
        <f>'Data entry Michel'!X127</f>
        <v>420990.6005</v>
      </c>
      <c r="K127" s="39">
        <f>'Data entry Michel'!AA127</f>
        <v>369242.84749999997</v>
      </c>
      <c r="L127" s="39">
        <f>'Data entry Michel'!AD127</f>
        <v>665210.70200000005</v>
      </c>
      <c r="M127" s="39">
        <f>'Data entry Michel'!AG127</f>
        <v>594358.45299999998</v>
      </c>
      <c r="N127" s="39">
        <f>'Data entry Michel'!AJ127</f>
        <v>497822.97029999999</v>
      </c>
      <c r="O127" s="39">
        <f>'Data entry Michel'!AM127</f>
        <v>421571.3664</v>
      </c>
    </row>
    <row r="128" spans="2:15" x14ac:dyDescent="0.15">
      <c r="B128" s="40"/>
      <c r="C128" s="39">
        <f>'Data entry Michel'!C128</f>
        <v>0</v>
      </c>
      <c r="D128" s="39">
        <f>'Data entry Michel'!F128</f>
        <v>0</v>
      </c>
      <c r="E128" s="39">
        <f>'Data entry Michel'!I128</f>
        <v>0</v>
      </c>
      <c r="F128" s="39">
        <f>'Data entry Michel'!L128</f>
        <v>0</v>
      </c>
      <c r="G128" s="39">
        <f>'Data entry Michel'!O128</f>
        <v>0</v>
      </c>
      <c r="H128" s="39">
        <f>'Data entry Michel'!R128</f>
        <v>0</v>
      </c>
      <c r="I128" s="39">
        <f>'Data entry Michel'!U128</f>
        <v>0</v>
      </c>
      <c r="J128" s="39">
        <f>'Data entry Michel'!X128</f>
        <v>0</v>
      </c>
      <c r="K128" s="39">
        <f>'Data entry Michel'!AA128</f>
        <v>0</v>
      </c>
      <c r="L128" s="39">
        <f>'Data entry Michel'!AD128</f>
        <v>0</v>
      </c>
      <c r="M128" s="39">
        <f>'Data entry Michel'!AG128</f>
        <v>0</v>
      </c>
      <c r="N128" s="39">
        <f>'Data entry Michel'!AJ128</f>
        <v>0</v>
      </c>
      <c r="O128" s="39">
        <f>'Data entry Michel'!AM128</f>
        <v>0</v>
      </c>
    </row>
    <row r="129" spans="2:15" ht="14" x14ac:dyDescent="0.15">
      <c r="B129" s="42" t="s">
        <v>89</v>
      </c>
      <c r="C129" s="39">
        <f>'Data entry Michel'!C129</f>
        <v>413245.03019999998</v>
      </c>
      <c r="D129" s="39">
        <f>'Data entry Michel'!F129</f>
        <v>21751.65</v>
      </c>
      <c r="E129" s="39">
        <f>'Data entry Michel'!I129</f>
        <v>23525.13</v>
      </c>
      <c r="F129" s="39">
        <f>'Data entry Michel'!L129</f>
        <v>32889.19</v>
      </c>
      <c r="G129" s="39">
        <f>'Data entry Michel'!O129</f>
        <v>34804.11</v>
      </c>
      <c r="H129" s="39">
        <f>'Data entry Michel'!R129</f>
        <v>43764.171900000001</v>
      </c>
      <c r="I129" s="39">
        <f>'Data entry Michel'!U129</f>
        <v>39544.499400000001</v>
      </c>
      <c r="J129" s="39">
        <f>'Data entry Michel'!X129</f>
        <v>32762.8187</v>
      </c>
      <c r="K129" s="39">
        <f>'Data entry Michel'!AA129</f>
        <v>31439.834500000001</v>
      </c>
      <c r="L129" s="39">
        <f>'Data entry Michel'!AD129</f>
        <v>42650.265700000004</v>
      </c>
      <c r="M129" s="39">
        <f>'Data entry Michel'!AG129</f>
        <v>40042.010499999997</v>
      </c>
      <c r="N129" s="39">
        <f>'Data entry Michel'!AJ129</f>
        <v>37247.590300000003</v>
      </c>
      <c r="O129" s="39">
        <f>'Data entry Michel'!AM129</f>
        <v>32823.7592</v>
      </c>
    </row>
    <row r="130" spans="2:15" ht="14" x14ac:dyDescent="0.15">
      <c r="B130" s="38" t="s">
        <v>90</v>
      </c>
      <c r="C130" s="39">
        <f>'Data entry Michel'!C130</f>
        <v>413245.03019999998</v>
      </c>
      <c r="D130" s="39">
        <f>'Data entry Michel'!F130</f>
        <v>21751.65</v>
      </c>
      <c r="E130" s="39">
        <f>'Data entry Michel'!I130</f>
        <v>23525.13</v>
      </c>
      <c r="F130" s="39">
        <f>'Data entry Michel'!L130</f>
        <v>32889.19</v>
      </c>
      <c r="G130" s="39">
        <f>'Data entry Michel'!O130</f>
        <v>34804.11</v>
      </c>
      <c r="H130" s="39">
        <f>'Data entry Michel'!R130</f>
        <v>43764.171900000001</v>
      </c>
      <c r="I130" s="39">
        <f>'Data entry Michel'!U130</f>
        <v>39544.499400000001</v>
      </c>
      <c r="J130" s="39">
        <f>'Data entry Michel'!X130</f>
        <v>32762.8187</v>
      </c>
      <c r="K130" s="39">
        <f>'Data entry Michel'!AA130</f>
        <v>31439.834500000001</v>
      </c>
      <c r="L130" s="39">
        <f>'Data entry Michel'!AD130</f>
        <v>42650.265700000004</v>
      </c>
      <c r="M130" s="39">
        <f>'Data entry Michel'!AG130</f>
        <v>40042.010499999997</v>
      </c>
      <c r="N130" s="39">
        <f>'Data entry Michel'!AJ130</f>
        <v>37247.590300000003</v>
      </c>
      <c r="O130" s="39">
        <f>'Data entry Michel'!AM130</f>
        <v>32823.7592</v>
      </c>
    </row>
    <row r="131" spans="2:15" ht="14" x14ac:dyDescent="0.15">
      <c r="B131" s="38" t="s">
        <v>91</v>
      </c>
      <c r="C131" s="39">
        <f>'Data entry Michel'!C131</f>
        <v>0</v>
      </c>
      <c r="D131" s="39">
        <f>'Data entry Michel'!F131</f>
        <v>0</v>
      </c>
      <c r="E131" s="39">
        <f>'Data entry Michel'!I131</f>
        <v>0</v>
      </c>
      <c r="F131" s="39">
        <f>'Data entry Michel'!L131</f>
        <v>0</v>
      </c>
      <c r="G131" s="39">
        <f>'Data entry Michel'!O131</f>
        <v>0</v>
      </c>
      <c r="H131" s="39">
        <f>'Data entry Michel'!R131</f>
        <v>0</v>
      </c>
      <c r="I131" s="39">
        <f>'Data entry Michel'!U131</f>
        <v>0</v>
      </c>
      <c r="J131" s="39">
        <f>'Data entry Michel'!X131</f>
        <v>0</v>
      </c>
      <c r="K131" s="39">
        <f>'Data entry Michel'!AA131</f>
        <v>0</v>
      </c>
      <c r="L131" s="39">
        <f>'Data entry Michel'!AD131</f>
        <v>0</v>
      </c>
      <c r="M131" s="39">
        <f>'Data entry Michel'!AG131</f>
        <v>0</v>
      </c>
      <c r="N131" s="39">
        <f>'Data entry Michel'!AJ131</f>
        <v>0</v>
      </c>
      <c r="O131" s="39">
        <f>'Data entry Michel'!AM131</f>
        <v>0</v>
      </c>
    </row>
    <row r="132" spans="2:15" ht="14" x14ac:dyDescent="0.15">
      <c r="B132" s="38" t="s">
        <v>92</v>
      </c>
      <c r="C132" s="39">
        <f>'Data entry Michel'!C132</f>
        <v>0</v>
      </c>
      <c r="D132" s="39">
        <f>'Data entry Michel'!F132</f>
        <v>0</v>
      </c>
      <c r="E132" s="39">
        <f>'Data entry Michel'!I132</f>
        <v>0</v>
      </c>
      <c r="F132" s="39">
        <f>'Data entry Michel'!L132</f>
        <v>0</v>
      </c>
      <c r="G132" s="39">
        <f>'Data entry Michel'!O132</f>
        <v>0</v>
      </c>
      <c r="H132" s="39">
        <f>'Data entry Michel'!R132</f>
        <v>0</v>
      </c>
      <c r="I132" s="39">
        <f>'Data entry Michel'!U132</f>
        <v>0</v>
      </c>
      <c r="J132" s="39">
        <f>'Data entry Michel'!X132</f>
        <v>0</v>
      </c>
      <c r="K132" s="39">
        <f>'Data entry Michel'!AA132</f>
        <v>0</v>
      </c>
      <c r="L132" s="39">
        <f>'Data entry Michel'!AD132</f>
        <v>0</v>
      </c>
      <c r="M132" s="39">
        <f>'Data entry Michel'!AG132</f>
        <v>0</v>
      </c>
      <c r="N132" s="39">
        <f>'Data entry Michel'!AJ132</f>
        <v>0</v>
      </c>
      <c r="O132" s="39">
        <f>'Data entry Michel'!AM132</f>
        <v>0</v>
      </c>
    </row>
    <row r="133" spans="2:15" x14ac:dyDescent="0.15">
      <c r="B133" s="40"/>
      <c r="C133" s="39">
        <f>'Data entry Michel'!C133</f>
        <v>0</v>
      </c>
      <c r="D133" s="39">
        <f>'Data entry Michel'!F133</f>
        <v>0</v>
      </c>
      <c r="E133" s="39">
        <f>'Data entry Michel'!I133</f>
        <v>0</v>
      </c>
      <c r="F133" s="39">
        <f>'Data entry Michel'!L133</f>
        <v>0</v>
      </c>
      <c r="G133" s="39">
        <f>'Data entry Michel'!O133</f>
        <v>0</v>
      </c>
      <c r="H133" s="39">
        <f>'Data entry Michel'!R133</f>
        <v>0</v>
      </c>
      <c r="I133" s="39">
        <f>'Data entry Michel'!U133</f>
        <v>0</v>
      </c>
      <c r="J133" s="39">
        <f>'Data entry Michel'!X133</f>
        <v>0</v>
      </c>
      <c r="K133" s="39">
        <f>'Data entry Michel'!AA133</f>
        <v>0</v>
      </c>
      <c r="L133" s="39">
        <f>'Data entry Michel'!AD133</f>
        <v>0</v>
      </c>
      <c r="M133" s="39">
        <f>'Data entry Michel'!AG133</f>
        <v>0</v>
      </c>
      <c r="N133" s="39">
        <f>'Data entry Michel'!AJ133</f>
        <v>0</v>
      </c>
      <c r="O133" s="39">
        <f>'Data entry Michel'!AM133</f>
        <v>0</v>
      </c>
    </row>
    <row r="134" spans="2:15" ht="14" x14ac:dyDescent="0.15">
      <c r="B134" s="42" t="s">
        <v>93</v>
      </c>
      <c r="C134" s="39">
        <f>'Data entry Michel'!C134</f>
        <v>4943077.0511999996</v>
      </c>
      <c r="D134" s="39">
        <f>'Data entry Michel'!F134</f>
        <v>118070.17</v>
      </c>
      <c r="E134" s="39">
        <f>'Data entry Michel'!I134</f>
        <v>94566.81</v>
      </c>
      <c r="F134" s="39">
        <f>'Data entry Michel'!L134</f>
        <v>376371.25</v>
      </c>
      <c r="G134" s="39">
        <f>'Data entry Michel'!O134</f>
        <v>386937.44</v>
      </c>
      <c r="H134" s="39">
        <f>'Data entry Michel'!R134</f>
        <v>671229.31429999997</v>
      </c>
      <c r="I134" s="39">
        <f>'Data entry Michel'!U134</f>
        <v>543671.40610000002</v>
      </c>
      <c r="J134" s="39">
        <f>'Data entry Michel'!X134</f>
        <v>388227.78169999999</v>
      </c>
      <c r="K134" s="39">
        <f>'Data entry Michel'!AA134</f>
        <v>337803.01309999998</v>
      </c>
      <c r="L134" s="39">
        <f>'Data entry Michel'!AD134</f>
        <v>622560.43629999994</v>
      </c>
      <c r="M134" s="39">
        <f>'Data entry Michel'!AG134</f>
        <v>554316.4425</v>
      </c>
      <c r="N134" s="39">
        <f>'Data entry Michel'!AJ134</f>
        <v>460575.38</v>
      </c>
      <c r="O134" s="39">
        <f>'Data entry Michel'!AM134</f>
        <v>388747.60720000003</v>
      </c>
    </row>
    <row r="135" spans="2:15" x14ac:dyDescent="0.15">
      <c r="B135" s="40"/>
      <c r="C135" s="39">
        <f>'Data entry Michel'!C135</f>
        <v>0</v>
      </c>
      <c r="D135" s="39">
        <f>'Data entry Michel'!F135</f>
        <v>0</v>
      </c>
      <c r="E135" s="39">
        <f>'Data entry Michel'!I135</f>
        <v>0</v>
      </c>
      <c r="F135" s="39">
        <f>'Data entry Michel'!L135</f>
        <v>0</v>
      </c>
      <c r="G135" s="39">
        <f>'Data entry Michel'!O135</f>
        <v>0</v>
      </c>
      <c r="H135" s="39">
        <f>'Data entry Michel'!R135</f>
        <v>0</v>
      </c>
      <c r="I135" s="39">
        <f>'Data entry Michel'!U135</f>
        <v>0</v>
      </c>
      <c r="J135" s="39">
        <f>'Data entry Michel'!X135</f>
        <v>0</v>
      </c>
      <c r="K135" s="39">
        <f>'Data entry Michel'!AA135</f>
        <v>0</v>
      </c>
      <c r="L135" s="39">
        <f>'Data entry Michel'!AD135</f>
        <v>0</v>
      </c>
      <c r="M135" s="39">
        <f>'Data entry Michel'!AG135</f>
        <v>0</v>
      </c>
      <c r="N135" s="39">
        <f>'Data entry Michel'!AJ135</f>
        <v>0</v>
      </c>
      <c r="O135" s="39">
        <f>'Data entry Michel'!AM135</f>
        <v>0</v>
      </c>
    </row>
    <row r="136" spans="2:15" ht="14" x14ac:dyDescent="0.15">
      <c r="B136" s="42" t="s">
        <v>94</v>
      </c>
      <c r="C136" s="39">
        <f>'Data entry Michel'!C136</f>
        <v>3469971.28</v>
      </c>
      <c r="D136" s="39">
        <f>'Data entry Michel'!F136</f>
        <v>282912.45</v>
      </c>
      <c r="E136" s="39">
        <f>'Data entry Michel'!I136</f>
        <v>295417.19</v>
      </c>
      <c r="F136" s="39">
        <f>'Data entry Michel'!L136</f>
        <v>289164.82</v>
      </c>
      <c r="G136" s="39">
        <f>'Data entry Michel'!O136</f>
        <v>289164.82</v>
      </c>
      <c r="H136" s="39">
        <f>'Data entry Michel'!R136</f>
        <v>289164</v>
      </c>
      <c r="I136" s="39">
        <f>'Data entry Michel'!U136</f>
        <v>289164</v>
      </c>
      <c r="J136" s="39">
        <f>'Data entry Michel'!X136</f>
        <v>289164</v>
      </c>
      <c r="K136" s="39">
        <f>'Data entry Michel'!AA136</f>
        <v>289164</v>
      </c>
      <c r="L136" s="39">
        <f>'Data entry Michel'!AD136</f>
        <v>289164</v>
      </c>
      <c r="M136" s="39">
        <f>'Data entry Michel'!AG136</f>
        <v>289164</v>
      </c>
      <c r="N136" s="39">
        <f>'Data entry Michel'!AJ136</f>
        <v>289164</v>
      </c>
      <c r="O136" s="39">
        <f>'Data entry Michel'!AM136</f>
        <v>289164</v>
      </c>
    </row>
    <row r="137" spans="2:15" ht="14" x14ac:dyDescent="0.15">
      <c r="B137" s="38" t="s">
        <v>95</v>
      </c>
      <c r="C137" s="39">
        <f>'Data entry Michel'!C137</f>
        <v>3469971.28</v>
      </c>
      <c r="D137" s="39">
        <f>'Data entry Michel'!F137</f>
        <v>282912.45</v>
      </c>
      <c r="E137" s="39">
        <f>'Data entry Michel'!I137</f>
        <v>295417.19</v>
      </c>
      <c r="F137" s="39">
        <f>'Data entry Michel'!L137</f>
        <v>289164.82</v>
      </c>
      <c r="G137" s="39">
        <f>'Data entry Michel'!O137</f>
        <v>289164.82</v>
      </c>
      <c r="H137" s="39">
        <f>'Data entry Michel'!R137</f>
        <v>289164</v>
      </c>
      <c r="I137" s="39">
        <f>'Data entry Michel'!U137</f>
        <v>289164</v>
      </c>
      <c r="J137" s="39">
        <f>'Data entry Michel'!X137</f>
        <v>289164</v>
      </c>
      <c r="K137" s="39">
        <f>'Data entry Michel'!AA137</f>
        <v>289164</v>
      </c>
      <c r="L137" s="39">
        <f>'Data entry Michel'!AD137</f>
        <v>289164</v>
      </c>
      <c r="M137" s="39">
        <f>'Data entry Michel'!AG137</f>
        <v>289164</v>
      </c>
      <c r="N137" s="39">
        <f>'Data entry Michel'!AJ137</f>
        <v>289164</v>
      </c>
      <c r="O137" s="39">
        <f>'Data entry Michel'!AM137</f>
        <v>289164</v>
      </c>
    </row>
    <row r="138" spans="2:15" ht="14" x14ac:dyDescent="0.15">
      <c r="B138" s="38" t="s">
        <v>96</v>
      </c>
      <c r="C138" s="39">
        <f>'Data entry Michel'!C138</f>
        <v>0</v>
      </c>
      <c r="D138" s="39">
        <f>'Data entry Michel'!F138</f>
        <v>0</v>
      </c>
      <c r="E138" s="39">
        <f>'Data entry Michel'!I138</f>
        <v>0</v>
      </c>
      <c r="F138" s="39">
        <f>'Data entry Michel'!L138</f>
        <v>0</v>
      </c>
      <c r="G138" s="39">
        <f>'Data entry Michel'!O138</f>
        <v>0</v>
      </c>
      <c r="H138" s="39">
        <f>'Data entry Michel'!R138</f>
        <v>0</v>
      </c>
      <c r="I138" s="39">
        <f>'Data entry Michel'!U138</f>
        <v>0</v>
      </c>
      <c r="J138" s="39">
        <f>'Data entry Michel'!X138</f>
        <v>0</v>
      </c>
      <c r="K138" s="39">
        <f>'Data entry Michel'!AA138</f>
        <v>0</v>
      </c>
      <c r="L138" s="39">
        <f>'Data entry Michel'!AD138</f>
        <v>0</v>
      </c>
      <c r="M138" s="39">
        <f>'Data entry Michel'!AG138</f>
        <v>0</v>
      </c>
      <c r="N138" s="39">
        <f>'Data entry Michel'!AJ138</f>
        <v>0</v>
      </c>
      <c r="O138" s="39">
        <f>'Data entry Michel'!AM138</f>
        <v>0</v>
      </c>
    </row>
    <row r="139" spans="2:15" ht="14" x14ac:dyDescent="0.15">
      <c r="B139" s="38" t="s">
        <v>97</v>
      </c>
      <c r="C139" s="39">
        <f>'Data entry Michel'!C139</f>
        <v>0</v>
      </c>
      <c r="D139" s="39">
        <f>'Data entry Michel'!F139</f>
        <v>0</v>
      </c>
      <c r="E139" s="39">
        <f>'Data entry Michel'!I139</f>
        <v>0</v>
      </c>
      <c r="F139" s="39">
        <f>'Data entry Michel'!L139</f>
        <v>0</v>
      </c>
      <c r="G139" s="39">
        <f>'Data entry Michel'!O139</f>
        <v>0</v>
      </c>
      <c r="H139" s="39">
        <f>'Data entry Michel'!R139</f>
        <v>0</v>
      </c>
      <c r="I139" s="39">
        <f>'Data entry Michel'!U139</f>
        <v>0</v>
      </c>
      <c r="J139" s="39">
        <f>'Data entry Michel'!X139</f>
        <v>0</v>
      </c>
      <c r="K139" s="39">
        <f>'Data entry Michel'!AA139</f>
        <v>0</v>
      </c>
      <c r="L139" s="39">
        <f>'Data entry Michel'!AD139</f>
        <v>0</v>
      </c>
      <c r="M139" s="39">
        <f>'Data entry Michel'!AG139</f>
        <v>0</v>
      </c>
      <c r="N139" s="39">
        <f>'Data entry Michel'!AJ139</f>
        <v>0</v>
      </c>
      <c r="O139" s="39">
        <f>'Data entry Michel'!AM139</f>
        <v>0</v>
      </c>
    </row>
    <row r="140" spans="2:15" x14ac:dyDescent="0.15">
      <c r="B140" s="40"/>
      <c r="C140" s="39">
        <f>'Data entry Michel'!C140</f>
        <v>0</v>
      </c>
      <c r="D140" s="39">
        <f>'Data entry Michel'!F140</f>
        <v>0</v>
      </c>
      <c r="E140" s="39">
        <f>'Data entry Michel'!I140</f>
        <v>0</v>
      </c>
      <c r="F140" s="39">
        <f>'Data entry Michel'!L140</f>
        <v>0</v>
      </c>
      <c r="G140" s="39">
        <f>'Data entry Michel'!O140</f>
        <v>0</v>
      </c>
      <c r="H140" s="39">
        <f>'Data entry Michel'!R140</f>
        <v>0</v>
      </c>
      <c r="I140" s="39">
        <f>'Data entry Michel'!U140</f>
        <v>0</v>
      </c>
      <c r="J140" s="39">
        <f>'Data entry Michel'!X140</f>
        <v>0</v>
      </c>
      <c r="K140" s="39">
        <f>'Data entry Michel'!AA140</f>
        <v>0</v>
      </c>
      <c r="L140" s="39">
        <f>'Data entry Michel'!AD140</f>
        <v>0</v>
      </c>
      <c r="M140" s="39">
        <f>'Data entry Michel'!AG140</f>
        <v>0</v>
      </c>
      <c r="N140" s="39">
        <f>'Data entry Michel'!AJ140</f>
        <v>0</v>
      </c>
      <c r="O140" s="39">
        <f>'Data entry Michel'!AM140</f>
        <v>0</v>
      </c>
    </row>
    <row r="141" spans="2:15" ht="28" x14ac:dyDescent="0.15">
      <c r="B141" s="42" t="s">
        <v>98</v>
      </c>
      <c r="C141" s="39">
        <f>'Data entry Michel'!C141</f>
        <v>1473105.7712000001</v>
      </c>
      <c r="D141" s="39">
        <f>'Data entry Michel'!F141</f>
        <v>-164842.28</v>
      </c>
      <c r="E141" s="39">
        <f>'Data entry Michel'!I141</f>
        <v>-200850.38</v>
      </c>
      <c r="F141" s="39">
        <f>'Data entry Michel'!L141</f>
        <v>87206.43</v>
      </c>
      <c r="G141" s="39">
        <f>'Data entry Michel'!O141</f>
        <v>97772.62</v>
      </c>
      <c r="H141" s="39">
        <f>'Data entry Michel'!R141</f>
        <v>382065.31430000003</v>
      </c>
      <c r="I141" s="39">
        <f>'Data entry Michel'!U141</f>
        <v>254507.40609999999</v>
      </c>
      <c r="J141" s="39">
        <f>'Data entry Michel'!X141</f>
        <v>99063.781700000007</v>
      </c>
      <c r="K141" s="39">
        <f>'Data entry Michel'!AA141</f>
        <v>48639.013099999996</v>
      </c>
      <c r="L141" s="39">
        <f>'Data entry Michel'!AD141</f>
        <v>333396.4363</v>
      </c>
      <c r="M141" s="39">
        <f>'Data entry Michel'!AG141</f>
        <v>265152.4425</v>
      </c>
      <c r="N141" s="39">
        <f>'Data entry Michel'!AJ141</f>
        <v>171411.38</v>
      </c>
      <c r="O141" s="39">
        <f>'Data entry Michel'!AM141</f>
        <v>99583.607199999999</v>
      </c>
    </row>
    <row r="142" spans="2:15" ht="14" x14ac:dyDescent="0.15">
      <c r="B142" s="38" t="s">
        <v>99</v>
      </c>
      <c r="C142" s="39">
        <f>'Data entry Michel'!C142</f>
        <v>0</v>
      </c>
      <c r="D142" s="39">
        <f>'Data entry Michel'!F142</f>
        <v>0</v>
      </c>
      <c r="E142" s="39">
        <f>'Data entry Michel'!I142</f>
        <v>0</v>
      </c>
      <c r="F142" s="39">
        <f>'Data entry Michel'!L142</f>
        <v>0</v>
      </c>
      <c r="G142" s="39">
        <f>'Data entry Michel'!O142</f>
        <v>0</v>
      </c>
      <c r="H142" s="39">
        <f>'Data entry Michel'!R142</f>
        <v>0</v>
      </c>
      <c r="I142" s="39">
        <f>'Data entry Michel'!U142</f>
        <v>0</v>
      </c>
      <c r="J142" s="39">
        <f>'Data entry Michel'!X142</f>
        <v>0</v>
      </c>
      <c r="K142" s="39">
        <f>'Data entry Michel'!AA142</f>
        <v>0</v>
      </c>
      <c r="L142" s="39">
        <f>'Data entry Michel'!AD142</f>
        <v>0</v>
      </c>
      <c r="M142" s="39">
        <f>'Data entry Michel'!AG142</f>
        <v>0</v>
      </c>
      <c r="N142" s="39">
        <f>'Data entry Michel'!AJ142</f>
        <v>0</v>
      </c>
      <c r="O142" s="39">
        <f>'Data entry Michel'!AM142</f>
        <v>0</v>
      </c>
    </row>
    <row r="143" spans="2:15" x14ac:dyDescent="0.15">
      <c r="B143" s="40"/>
      <c r="C143" s="39">
        <f>'Data entry Michel'!C143</f>
        <v>0</v>
      </c>
      <c r="D143" s="39">
        <f>'Data entry Michel'!F143</f>
        <v>0</v>
      </c>
      <c r="E143" s="39">
        <f>'Data entry Michel'!I143</f>
        <v>0</v>
      </c>
      <c r="F143" s="39">
        <f>'Data entry Michel'!L143</f>
        <v>0</v>
      </c>
      <c r="G143" s="39">
        <f>'Data entry Michel'!O143</f>
        <v>0</v>
      </c>
      <c r="H143" s="39">
        <f>'Data entry Michel'!R143</f>
        <v>0</v>
      </c>
      <c r="I143" s="39">
        <f>'Data entry Michel'!U143</f>
        <v>0</v>
      </c>
      <c r="J143" s="39">
        <f>'Data entry Michel'!X143</f>
        <v>0</v>
      </c>
      <c r="K143" s="39">
        <f>'Data entry Michel'!AA143</f>
        <v>0</v>
      </c>
      <c r="L143" s="39">
        <f>'Data entry Michel'!AD143</f>
        <v>0</v>
      </c>
      <c r="M143" s="39">
        <f>'Data entry Michel'!AG143</f>
        <v>0</v>
      </c>
      <c r="N143" s="39">
        <f>'Data entry Michel'!AJ143</f>
        <v>0</v>
      </c>
      <c r="O143" s="39">
        <f>'Data entry Michel'!AM143</f>
        <v>0</v>
      </c>
    </row>
    <row r="144" spans="2:15" ht="14" x14ac:dyDescent="0.15">
      <c r="B144" s="42" t="s">
        <v>100</v>
      </c>
      <c r="C144" s="39">
        <f>'Data entry Michel'!C144</f>
        <v>1473105.7712000001</v>
      </c>
      <c r="D144" s="39">
        <f>'Data entry Michel'!F144</f>
        <v>-164842.28</v>
      </c>
      <c r="E144" s="39">
        <f>'Data entry Michel'!I144</f>
        <v>-200850.38</v>
      </c>
      <c r="F144" s="39">
        <f>'Data entry Michel'!L144</f>
        <v>87206.43</v>
      </c>
      <c r="G144" s="39">
        <f>'Data entry Michel'!O144</f>
        <v>97772.62</v>
      </c>
      <c r="H144" s="39">
        <f>'Data entry Michel'!R144</f>
        <v>382065.31430000003</v>
      </c>
      <c r="I144" s="39">
        <f>'Data entry Michel'!U144</f>
        <v>254507.40609999999</v>
      </c>
      <c r="J144" s="39">
        <f>'Data entry Michel'!X144</f>
        <v>99063.781700000007</v>
      </c>
      <c r="K144" s="39">
        <f>'Data entry Michel'!AA144</f>
        <v>48639.013099999996</v>
      </c>
      <c r="L144" s="39">
        <f>'Data entry Michel'!AD144</f>
        <v>333396.4363</v>
      </c>
      <c r="M144" s="39">
        <f>'Data entry Michel'!AG144</f>
        <v>265152.4425</v>
      </c>
      <c r="N144" s="39">
        <f>'Data entry Michel'!AJ144</f>
        <v>171411.38</v>
      </c>
      <c r="O144" s="39">
        <f>'Data entry Michel'!AM144</f>
        <v>99583.607199999999</v>
      </c>
    </row>
    <row r="145" spans="2:15" ht="14" x14ac:dyDescent="0.15">
      <c r="B145" s="38" t="s">
        <v>101</v>
      </c>
      <c r="C145" s="39">
        <f>'Data entry Michel'!C145</f>
        <v>0</v>
      </c>
      <c r="D145" s="39">
        <f>'Data entry Michel'!F145</f>
        <v>0</v>
      </c>
      <c r="E145" s="39">
        <f>'Data entry Michel'!I145</f>
        <v>0</v>
      </c>
      <c r="F145" s="39">
        <f>'Data entry Michel'!L145</f>
        <v>0</v>
      </c>
      <c r="G145" s="39">
        <f>'Data entry Michel'!O145</f>
        <v>0</v>
      </c>
      <c r="H145" s="39">
        <f>'Data entry Michel'!R145</f>
        <v>0</v>
      </c>
      <c r="I145" s="39">
        <f>'Data entry Michel'!U145</f>
        <v>0</v>
      </c>
      <c r="J145" s="39">
        <f>'Data entry Michel'!X145</f>
        <v>0</v>
      </c>
      <c r="K145" s="39">
        <f>'Data entry Michel'!AA145</f>
        <v>0</v>
      </c>
      <c r="L145" s="39">
        <f>'Data entry Michel'!AD145</f>
        <v>0</v>
      </c>
      <c r="M145" s="39">
        <f>'Data entry Michel'!AG145</f>
        <v>0</v>
      </c>
      <c r="N145" s="39">
        <f>'Data entry Michel'!AJ145</f>
        <v>0</v>
      </c>
      <c r="O145" s="39">
        <f>'Data entry Michel'!AM145</f>
        <v>0</v>
      </c>
    </row>
    <row r="146" spans="2:15" x14ac:dyDescent="0.15">
      <c r="B146" s="40"/>
      <c r="C146" s="39">
        <f>'Data entry Michel'!C146</f>
        <v>0</v>
      </c>
      <c r="D146" s="39">
        <f>'Data entry Michel'!F146</f>
        <v>0</v>
      </c>
      <c r="E146" s="39">
        <f>'Data entry Michel'!I146</f>
        <v>0</v>
      </c>
      <c r="F146" s="39">
        <f>'Data entry Michel'!L146</f>
        <v>0</v>
      </c>
      <c r="G146" s="39">
        <f>'Data entry Michel'!O146</f>
        <v>0</v>
      </c>
      <c r="H146" s="39">
        <f>'Data entry Michel'!R146</f>
        <v>0</v>
      </c>
      <c r="I146" s="39">
        <f>'Data entry Michel'!U146</f>
        <v>0</v>
      </c>
      <c r="J146" s="39">
        <f>'Data entry Michel'!X146</f>
        <v>0</v>
      </c>
      <c r="K146" s="39">
        <f>'Data entry Michel'!AA146</f>
        <v>0</v>
      </c>
      <c r="L146" s="39">
        <f>'Data entry Michel'!AD146</f>
        <v>0</v>
      </c>
      <c r="M146" s="39">
        <f>'Data entry Michel'!AG146</f>
        <v>0</v>
      </c>
      <c r="N146" s="39">
        <f>'Data entry Michel'!AJ146</f>
        <v>0</v>
      </c>
      <c r="O146" s="39">
        <f>'Data entry Michel'!AM146</f>
        <v>0</v>
      </c>
    </row>
    <row r="147" spans="2:15" ht="28" x14ac:dyDescent="0.15">
      <c r="B147" s="42" t="s">
        <v>102</v>
      </c>
      <c r="C147" s="39">
        <f>'Data entry Michel'!C147</f>
        <v>1473105.7712000001</v>
      </c>
      <c r="D147" s="39">
        <f>'Data entry Michel'!F147</f>
        <v>-164842.28</v>
      </c>
      <c r="E147" s="39">
        <f>'Data entry Michel'!I147</f>
        <v>-200850.38</v>
      </c>
      <c r="F147" s="39">
        <f>'Data entry Michel'!L147</f>
        <v>87206.43</v>
      </c>
      <c r="G147" s="39">
        <f>'Data entry Michel'!O147</f>
        <v>97772.62</v>
      </c>
      <c r="H147" s="39">
        <f>'Data entry Michel'!R147</f>
        <v>382065.31430000003</v>
      </c>
      <c r="I147" s="39">
        <f>'Data entry Michel'!U147</f>
        <v>254507.40609999999</v>
      </c>
      <c r="J147" s="39">
        <f>'Data entry Michel'!X147</f>
        <v>99063.781700000007</v>
      </c>
      <c r="K147" s="39">
        <f>'Data entry Michel'!AA147</f>
        <v>48639.013099999996</v>
      </c>
      <c r="L147" s="39">
        <f>'Data entry Michel'!AD147</f>
        <v>333396.4363</v>
      </c>
      <c r="M147" s="39">
        <f>'Data entry Michel'!AG147</f>
        <v>265152.4425</v>
      </c>
      <c r="N147" s="39">
        <f>'Data entry Michel'!AJ147</f>
        <v>171411.38</v>
      </c>
      <c r="O147" s="39">
        <f>'Data entry Michel'!AM147</f>
        <v>99583.607199999999</v>
      </c>
    </row>
    <row r="148" spans="2:15" ht="14" x14ac:dyDescent="0.15">
      <c r="B148" s="38" t="s">
        <v>103</v>
      </c>
      <c r="C148" s="39">
        <f>'Data entry Michel'!C148</f>
        <v>0</v>
      </c>
      <c r="D148" s="39">
        <f>'Data entry Michel'!F148</f>
        <v>0</v>
      </c>
      <c r="E148" s="39">
        <f>'Data entry Michel'!I148</f>
        <v>0</v>
      </c>
      <c r="F148" s="39">
        <f>'Data entry Michel'!L148</f>
        <v>0</v>
      </c>
      <c r="G148" s="39">
        <f>'Data entry Michel'!O148</f>
        <v>0</v>
      </c>
      <c r="H148" s="39">
        <f>'Data entry Michel'!R148</f>
        <v>0</v>
      </c>
      <c r="I148" s="39">
        <f>'Data entry Michel'!U148</f>
        <v>0</v>
      </c>
      <c r="J148" s="39">
        <f>'Data entry Michel'!X148</f>
        <v>0</v>
      </c>
      <c r="K148" s="39">
        <f>'Data entry Michel'!AA148</f>
        <v>0</v>
      </c>
      <c r="L148" s="39">
        <f>'Data entry Michel'!AD148</f>
        <v>0</v>
      </c>
      <c r="M148" s="39">
        <f>'Data entry Michel'!AG148</f>
        <v>0</v>
      </c>
      <c r="N148" s="39">
        <f>'Data entry Michel'!AJ148</f>
        <v>0</v>
      </c>
      <c r="O148" s="39">
        <f>'Data entry Michel'!AM148</f>
        <v>0</v>
      </c>
    </row>
    <row r="149" spans="2:15" x14ac:dyDescent="0.15">
      <c r="B149" s="40"/>
      <c r="C149" s="39">
        <f>'Data entry Michel'!C149</f>
        <v>0</v>
      </c>
      <c r="D149" s="39">
        <f>'Data entry Michel'!F149</f>
        <v>0</v>
      </c>
      <c r="E149" s="39">
        <f>'Data entry Michel'!I149</f>
        <v>0</v>
      </c>
      <c r="F149" s="39">
        <f>'Data entry Michel'!L149</f>
        <v>0</v>
      </c>
      <c r="G149" s="39">
        <f>'Data entry Michel'!O149</f>
        <v>0</v>
      </c>
      <c r="H149" s="39">
        <f>'Data entry Michel'!R149</f>
        <v>0</v>
      </c>
      <c r="I149" s="39">
        <f>'Data entry Michel'!U149</f>
        <v>0</v>
      </c>
      <c r="J149" s="39">
        <f>'Data entry Michel'!X149</f>
        <v>0</v>
      </c>
      <c r="K149" s="39">
        <f>'Data entry Michel'!AA149</f>
        <v>0</v>
      </c>
      <c r="L149" s="39">
        <f>'Data entry Michel'!AD149</f>
        <v>0</v>
      </c>
      <c r="M149" s="39">
        <f>'Data entry Michel'!AG149</f>
        <v>0</v>
      </c>
      <c r="N149" s="39">
        <f>'Data entry Michel'!AJ149</f>
        <v>0</v>
      </c>
      <c r="O149" s="39">
        <f>'Data entry Michel'!AM149</f>
        <v>0</v>
      </c>
    </row>
    <row r="150" spans="2:15" ht="14" x14ac:dyDescent="0.15">
      <c r="B150" s="42" t="s">
        <v>104</v>
      </c>
      <c r="C150" s="39">
        <f>'Data entry Michel'!C150</f>
        <v>1473105.7712000001</v>
      </c>
      <c r="D150" s="39">
        <f>'Data entry Michel'!F150</f>
        <v>-164842.28</v>
      </c>
      <c r="E150" s="39">
        <f>'Data entry Michel'!I150</f>
        <v>-200850.38</v>
      </c>
      <c r="F150" s="39">
        <f>'Data entry Michel'!L150</f>
        <v>87206.43</v>
      </c>
      <c r="G150" s="39">
        <f>'Data entry Michel'!O150</f>
        <v>97772.62</v>
      </c>
      <c r="H150" s="39">
        <f>'Data entry Michel'!R150</f>
        <v>382065.31430000003</v>
      </c>
      <c r="I150" s="39">
        <f>'Data entry Michel'!U150</f>
        <v>254507.40609999999</v>
      </c>
      <c r="J150" s="39">
        <f>'Data entry Michel'!X150</f>
        <v>99063.781700000007</v>
      </c>
      <c r="K150" s="39">
        <f>'Data entry Michel'!AA150</f>
        <v>48639.013099999996</v>
      </c>
      <c r="L150" s="39">
        <f>'Data entry Michel'!AD150</f>
        <v>333396.4363</v>
      </c>
      <c r="M150" s="39">
        <f>'Data entry Michel'!AG150</f>
        <v>265152.4425</v>
      </c>
      <c r="N150" s="39">
        <f>'Data entry Michel'!AJ150</f>
        <v>171411.38</v>
      </c>
      <c r="O150" s="39">
        <f>'Data entry Michel'!AM150</f>
        <v>99583.607199999999</v>
      </c>
    </row>
    <row r="151" spans="2:15" x14ac:dyDescent="0.15">
      <c r="B151" s="40"/>
      <c r="C151" s="39">
        <f>'Data entry Michel'!C151</f>
        <v>0</v>
      </c>
      <c r="D151" s="39">
        <f>'Data entry Michel'!F151</f>
        <v>0</v>
      </c>
      <c r="E151" s="39">
        <f>'Data entry Michel'!I151</f>
        <v>0</v>
      </c>
      <c r="F151" s="39">
        <f>'Data entry Michel'!L151</f>
        <v>0</v>
      </c>
      <c r="G151" s="39">
        <f>'Data entry Michel'!O151</f>
        <v>0</v>
      </c>
      <c r="H151" s="39">
        <f>'Data entry Michel'!R151</f>
        <v>0</v>
      </c>
      <c r="I151" s="39">
        <f>'Data entry Michel'!U151</f>
        <v>0</v>
      </c>
      <c r="J151" s="39">
        <f>'Data entry Michel'!X151</f>
        <v>0</v>
      </c>
      <c r="K151" s="39">
        <f>'Data entry Michel'!AA151</f>
        <v>0</v>
      </c>
      <c r="L151" s="39">
        <f>'Data entry Michel'!AD151</f>
        <v>0</v>
      </c>
      <c r="M151" s="39">
        <f>'Data entry Michel'!AG151</f>
        <v>0</v>
      </c>
      <c r="N151" s="39">
        <f>'Data entry Michel'!AJ151</f>
        <v>0</v>
      </c>
      <c r="O151" s="39">
        <f>'Data entry Michel'!AM151</f>
        <v>0</v>
      </c>
    </row>
    <row r="152" spans="2:15" ht="14" x14ac:dyDescent="0.15">
      <c r="B152" s="44" t="s">
        <v>105</v>
      </c>
      <c r="C152" s="39">
        <f>'Data entry Michel'!C152</f>
        <v>0</v>
      </c>
      <c r="D152" s="39">
        <f>'Data entry Michel'!F152</f>
        <v>0</v>
      </c>
      <c r="E152" s="39">
        <f>'Data entry Michel'!I152</f>
        <v>0</v>
      </c>
      <c r="F152" s="39">
        <f>'Data entry Michel'!L152</f>
        <v>0</v>
      </c>
      <c r="G152" s="39">
        <f>'Data entry Michel'!O152</f>
        <v>0</v>
      </c>
      <c r="H152" s="39">
        <f>'Data entry Michel'!R152</f>
        <v>0</v>
      </c>
      <c r="I152" s="39">
        <f>'Data entry Michel'!U152</f>
        <v>0</v>
      </c>
      <c r="J152" s="39">
        <f>'Data entry Michel'!X152</f>
        <v>0</v>
      </c>
      <c r="K152" s="39">
        <f>'Data entry Michel'!AA152</f>
        <v>0</v>
      </c>
      <c r="L152" s="39">
        <f>'Data entry Michel'!AD152</f>
        <v>0</v>
      </c>
      <c r="M152" s="39">
        <f>'Data entry Michel'!AG152</f>
        <v>0</v>
      </c>
      <c r="N152" s="39">
        <f>'Data entry Michel'!AJ152</f>
        <v>0</v>
      </c>
      <c r="O152" s="39">
        <f>'Data entry Michel'!AM152</f>
        <v>0</v>
      </c>
    </row>
    <row r="153" spans="2:15" ht="14" x14ac:dyDescent="0.15">
      <c r="B153" s="38" t="s">
        <v>106</v>
      </c>
      <c r="C153" s="39">
        <f>'Data entry Michel'!C153</f>
        <v>1498105.7712000001</v>
      </c>
      <c r="D153" s="39">
        <f>'Data entry Michel'!F153</f>
        <v>-164842.28</v>
      </c>
      <c r="E153" s="39">
        <f>'Data entry Michel'!I153</f>
        <v>-196350.38</v>
      </c>
      <c r="F153" s="39">
        <f>'Data entry Michel'!L153</f>
        <v>89456.43</v>
      </c>
      <c r="G153" s="39">
        <f>'Data entry Michel'!O153</f>
        <v>100022.62</v>
      </c>
      <c r="H153" s="39">
        <f>'Data entry Michel'!R153</f>
        <v>384065.31430000003</v>
      </c>
      <c r="I153" s="39">
        <f>'Data entry Michel'!U153</f>
        <v>256507.40609999999</v>
      </c>
      <c r="J153" s="39">
        <f>'Data entry Michel'!X153</f>
        <v>101063.78170000001</v>
      </c>
      <c r="K153" s="39">
        <f>'Data entry Michel'!AA153</f>
        <v>50639.013099999996</v>
      </c>
      <c r="L153" s="39">
        <f>'Data entry Michel'!AD153</f>
        <v>335396.4363</v>
      </c>
      <c r="M153" s="39">
        <f>'Data entry Michel'!AG153</f>
        <v>267152.4425</v>
      </c>
      <c r="N153" s="39">
        <f>'Data entry Michel'!AJ153</f>
        <v>173411.38</v>
      </c>
      <c r="O153" s="39">
        <f>'Data entry Michel'!AM153</f>
        <v>101583.6072</v>
      </c>
    </row>
    <row r="154" spans="2:15" ht="14" x14ac:dyDescent="0.15">
      <c r="B154" s="38" t="s">
        <v>107</v>
      </c>
      <c r="C154" s="39">
        <f>'Data entry Michel'!C154</f>
        <v>1473105.7712000001</v>
      </c>
      <c r="D154" s="39">
        <f>'Data entry Michel'!F154</f>
        <v>-164842.28</v>
      </c>
      <c r="E154" s="39">
        <f>'Data entry Michel'!I154</f>
        <v>-200850.38</v>
      </c>
      <c r="F154" s="39">
        <f>'Data entry Michel'!L154</f>
        <v>87206.43</v>
      </c>
      <c r="G154" s="39">
        <f>'Data entry Michel'!O154</f>
        <v>97772.62</v>
      </c>
      <c r="H154" s="39">
        <f>'Data entry Michel'!R154</f>
        <v>382065.31430000003</v>
      </c>
      <c r="I154" s="39">
        <f>'Data entry Michel'!U154</f>
        <v>254507.40609999999</v>
      </c>
      <c r="J154" s="39">
        <f>'Data entry Michel'!X154</f>
        <v>99063.781700000007</v>
      </c>
      <c r="K154" s="39">
        <f>'Data entry Michel'!AA154</f>
        <v>48639.013099999996</v>
      </c>
      <c r="L154" s="39">
        <f>'Data entry Michel'!AD154</f>
        <v>333396.4363</v>
      </c>
      <c r="M154" s="39">
        <f>'Data entry Michel'!AG154</f>
        <v>265152.4425</v>
      </c>
      <c r="N154" s="39">
        <f>'Data entry Michel'!AJ154</f>
        <v>171411.38</v>
      </c>
      <c r="O154" s="39">
        <f>'Data entry Michel'!AM154</f>
        <v>99583.607199999999</v>
      </c>
    </row>
    <row r="155" spans="2:15" ht="14" x14ac:dyDescent="0.15">
      <c r="B155" s="42" t="s">
        <v>108</v>
      </c>
      <c r="C155" s="39">
        <f>'Data entry Michel'!C155</f>
        <v>688741.71030000004</v>
      </c>
      <c r="D155" s="39">
        <f>'Data entry Michel'!F155</f>
        <v>36252.75</v>
      </c>
      <c r="E155" s="39">
        <f>'Data entry Michel'!I155</f>
        <v>39208.550000000003</v>
      </c>
      <c r="F155" s="39">
        <f>'Data entry Michel'!L155</f>
        <v>54815.31</v>
      </c>
      <c r="G155" s="39">
        <f>'Data entry Michel'!O155</f>
        <v>58006.85</v>
      </c>
      <c r="H155" s="39">
        <f>'Data entry Michel'!R155</f>
        <v>72940.286500000002</v>
      </c>
      <c r="I155" s="39">
        <f>'Data entry Michel'!U155</f>
        <v>65907.498999999996</v>
      </c>
      <c r="J155" s="39">
        <f>'Data entry Michel'!X155</f>
        <v>54604.697899999999</v>
      </c>
      <c r="K155" s="39">
        <f>'Data entry Michel'!AA155</f>
        <v>52399.724099999999</v>
      </c>
      <c r="L155" s="39">
        <f>'Data entry Michel'!AD155</f>
        <v>71083.776100000003</v>
      </c>
      <c r="M155" s="39">
        <f>'Data entry Michel'!AG155</f>
        <v>66736.684200000003</v>
      </c>
      <c r="N155" s="39">
        <f>'Data entry Michel'!AJ155</f>
        <v>62079.317199999998</v>
      </c>
      <c r="O155" s="39">
        <f>'Data entry Michel'!AM155</f>
        <v>54706.265299999999</v>
      </c>
    </row>
    <row r="156" spans="2:15" ht="14" x14ac:dyDescent="0.15">
      <c r="B156" s="38" t="s">
        <v>109</v>
      </c>
      <c r="C156" s="39">
        <f>'Data entry Michel'!C156</f>
        <v>0</v>
      </c>
      <c r="D156" s="39">
        <f>'Data entry Michel'!F156</f>
        <v>0</v>
      </c>
      <c r="E156" s="39">
        <f>'Data entry Michel'!I156</f>
        <v>0</v>
      </c>
      <c r="F156" s="39">
        <f>'Data entry Michel'!L156</f>
        <v>0</v>
      </c>
      <c r="G156" s="39">
        <f>'Data entry Michel'!O156</f>
        <v>0</v>
      </c>
      <c r="H156" s="39">
        <f>'Data entry Michel'!R156</f>
        <v>0</v>
      </c>
      <c r="I156" s="39">
        <f>'Data entry Michel'!U156</f>
        <v>0</v>
      </c>
      <c r="J156" s="39">
        <f>'Data entry Michel'!X156</f>
        <v>0</v>
      </c>
      <c r="K156" s="39">
        <f>'Data entry Michel'!AA156</f>
        <v>0</v>
      </c>
      <c r="L156" s="39">
        <f>'Data entry Michel'!AD156</f>
        <v>0</v>
      </c>
      <c r="M156" s="39">
        <f>'Data entry Michel'!AG156</f>
        <v>0</v>
      </c>
      <c r="N156" s="39">
        <f>'Data entry Michel'!AJ156</f>
        <v>0</v>
      </c>
      <c r="O156" s="39">
        <f>'Data entry Michel'!AM156</f>
        <v>0</v>
      </c>
    </row>
    <row r="157" spans="2:15" ht="14" x14ac:dyDescent="0.15">
      <c r="B157" s="38" t="s">
        <v>110</v>
      </c>
      <c r="C157" s="39">
        <f>'Data entry Michel'!C157</f>
        <v>0</v>
      </c>
      <c r="D157" s="39">
        <f>'Data entry Michel'!F157</f>
        <v>0</v>
      </c>
      <c r="E157" s="39">
        <f>'Data entry Michel'!I157</f>
        <v>0</v>
      </c>
      <c r="F157" s="39">
        <f>'Data entry Michel'!L157</f>
        <v>0</v>
      </c>
      <c r="G157" s="39">
        <f>'Data entry Michel'!O157</f>
        <v>0</v>
      </c>
      <c r="H157" s="39">
        <f>'Data entry Michel'!R157</f>
        <v>0</v>
      </c>
      <c r="I157" s="39">
        <f>'Data entry Michel'!U157</f>
        <v>0</v>
      </c>
      <c r="J157" s="39">
        <f>'Data entry Michel'!X157</f>
        <v>0</v>
      </c>
      <c r="K157" s="39">
        <f>'Data entry Michel'!AA157</f>
        <v>0</v>
      </c>
      <c r="L157" s="39">
        <f>'Data entry Michel'!AD157</f>
        <v>0</v>
      </c>
      <c r="M157" s="39">
        <f>'Data entry Michel'!AG157</f>
        <v>0</v>
      </c>
      <c r="N157" s="39">
        <f>'Data entry Michel'!AJ157</f>
        <v>0</v>
      </c>
      <c r="O157" s="39">
        <f>'Data entry Michel'!AM157</f>
        <v>0</v>
      </c>
    </row>
    <row r="158" spans="2:15" ht="14" x14ac:dyDescent="0.15">
      <c r="B158" s="38" t="s">
        <v>111</v>
      </c>
      <c r="C158" s="39">
        <f>'Data entry Michel'!C158</f>
        <v>137748.34</v>
      </c>
      <c r="D158" s="39">
        <f>'Data entry Michel'!F158</f>
        <v>7250.55</v>
      </c>
      <c r="E158" s="39">
        <f>'Data entry Michel'!I158</f>
        <v>7841.71</v>
      </c>
      <c r="F158" s="39">
        <f>'Data entry Michel'!L158</f>
        <v>10963.06</v>
      </c>
      <c r="G158" s="39">
        <f>'Data entry Michel'!O158</f>
        <v>11601.37</v>
      </c>
      <c r="H158" s="39">
        <f>'Data entry Michel'!R158</f>
        <v>14588.0573</v>
      </c>
      <c r="I158" s="39">
        <f>'Data entry Michel'!U158</f>
        <v>13181.4998</v>
      </c>
      <c r="J158" s="39">
        <f>'Data entry Michel'!X158</f>
        <v>10920.9396</v>
      </c>
      <c r="K158" s="39">
        <f>'Data entry Michel'!AA158</f>
        <v>10479.944799999999</v>
      </c>
      <c r="L158" s="39">
        <f>'Data entry Michel'!AD158</f>
        <v>14216.7552</v>
      </c>
      <c r="M158" s="39">
        <f>'Data entry Michel'!AG158</f>
        <v>13347.336799999999</v>
      </c>
      <c r="N158" s="39">
        <f>'Data entry Michel'!AJ158</f>
        <v>12415.8634</v>
      </c>
      <c r="O158" s="39">
        <f>'Data entry Michel'!AM158</f>
        <v>10941.2531</v>
      </c>
    </row>
    <row r="159" spans="2:15" ht="14" x14ac:dyDescent="0.15">
      <c r="B159" s="38" t="s">
        <v>112</v>
      </c>
      <c r="C159" s="39">
        <f>'Data entry Michel'!C159</f>
        <v>113904.515</v>
      </c>
      <c r="D159" s="39">
        <f>'Data entry Michel'!F159</f>
        <v>-16777.73</v>
      </c>
      <c r="E159" s="39">
        <f>'Data entry Michel'!I159</f>
        <v>-8457.89</v>
      </c>
      <c r="F159" s="39">
        <f>'Data entry Michel'!L159</f>
        <v>-8814.93</v>
      </c>
      <c r="G159" s="39">
        <f>'Data entry Michel'!O159</f>
        <v>-2182.41</v>
      </c>
      <c r="H159" s="39">
        <f>'Data entry Michel'!R159</f>
        <v>21882.085899999998</v>
      </c>
      <c r="I159" s="39">
        <f>'Data entry Michel'!U159</f>
        <v>19772.2497</v>
      </c>
      <c r="J159" s="39">
        <f>'Data entry Michel'!X159</f>
        <v>16381.4094</v>
      </c>
      <c r="K159" s="39">
        <f>'Data entry Michel'!AA159</f>
        <v>15719.9172</v>
      </c>
      <c r="L159" s="39">
        <f>'Data entry Michel'!AD159</f>
        <v>21325.132799999999</v>
      </c>
      <c r="M159" s="39">
        <f>'Data entry Michel'!AG159</f>
        <v>20021.005300000001</v>
      </c>
      <c r="N159" s="39">
        <f>'Data entry Michel'!AJ159</f>
        <v>18623.795099999999</v>
      </c>
      <c r="O159" s="39">
        <f>'Data entry Michel'!AM159</f>
        <v>16411.8796</v>
      </c>
    </row>
    <row r="160" spans="2:15" ht="14" x14ac:dyDescent="0.15">
      <c r="B160" s="38" t="s">
        <v>113</v>
      </c>
      <c r="C160" s="39">
        <f>'Data entry Michel'!C160</f>
        <v>413245.03019999998</v>
      </c>
      <c r="D160" s="39">
        <f>'Data entry Michel'!F160</f>
        <v>21751.65</v>
      </c>
      <c r="E160" s="39">
        <f>'Data entry Michel'!I160</f>
        <v>23525.13</v>
      </c>
      <c r="F160" s="39">
        <f>'Data entry Michel'!L160</f>
        <v>32889.19</v>
      </c>
      <c r="G160" s="39">
        <f>'Data entry Michel'!O160</f>
        <v>34804.11</v>
      </c>
      <c r="H160" s="39">
        <f>'Data entry Michel'!R160</f>
        <v>43764.171900000001</v>
      </c>
      <c r="I160" s="39">
        <f>'Data entry Michel'!U160</f>
        <v>39544.499400000001</v>
      </c>
      <c r="J160" s="39">
        <f>'Data entry Michel'!X160</f>
        <v>32762.8187</v>
      </c>
      <c r="K160" s="39">
        <f>'Data entry Michel'!AA160</f>
        <v>31439.834500000001</v>
      </c>
      <c r="L160" s="39">
        <f>'Data entry Michel'!AD160</f>
        <v>42650.265700000004</v>
      </c>
      <c r="M160" s="39">
        <f>'Data entry Michel'!AG160</f>
        <v>40042.010499999997</v>
      </c>
      <c r="N160" s="39">
        <f>'Data entry Michel'!AJ160</f>
        <v>37247.590300000003</v>
      </c>
      <c r="O160" s="39">
        <f>'Data entry Michel'!AM160</f>
        <v>32823.7592</v>
      </c>
    </row>
    <row r="161" spans="2:15" ht="14" x14ac:dyDescent="0.15">
      <c r="B161" s="38" t="s">
        <v>114</v>
      </c>
      <c r="C161" s="39">
        <f>'Data entry Michel'!C161</f>
        <v>137748.34</v>
      </c>
      <c r="D161" s="39">
        <f>'Data entry Michel'!F161</f>
        <v>7250.55</v>
      </c>
      <c r="E161" s="39">
        <f>'Data entry Michel'!I161</f>
        <v>7841.71</v>
      </c>
      <c r="F161" s="39">
        <f>'Data entry Michel'!L161</f>
        <v>10963.06</v>
      </c>
      <c r="G161" s="39">
        <f>'Data entry Michel'!O161</f>
        <v>11601.37</v>
      </c>
      <c r="H161" s="39">
        <f>'Data entry Michel'!R161</f>
        <v>14588.0573</v>
      </c>
      <c r="I161" s="39">
        <f>'Data entry Michel'!U161</f>
        <v>13181.4998</v>
      </c>
      <c r="J161" s="39">
        <f>'Data entry Michel'!X161</f>
        <v>10920.9396</v>
      </c>
      <c r="K161" s="39">
        <f>'Data entry Michel'!AA161</f>
        <v>10479.944799999999</v>
      </c>
      <c r="L161" s="39">
        <f>'Data entry Michel'!AD161</f>
        <v>14216.7552</v>
      </c>
      <c r="M161" s="39">
        <f>'Data entry Michel'!AG161</f>
        <v>13347.336799999999</v>
      </c>
      <c r="N161" s="39">
        <f>'Data entry Michel'!AJ161</f>
        <v>12415.8634</v>
      </c>
      <c r="O161" s="39">
        <f>'Data entry Michel'!AM161</f>
        <v>10941.2531</v>
      </c>
    </row>
    <row r="162" spans="2:15" ht="14" x14ac:dyDescent="0.15">
      <c r="B162" s="42" t="s">
        <v>115</v>
      </c>
      <c r="C162" s="39">
        <f>'Data entry Michel'!C162</f>
        <v>841810.53940000001</v>
      </c>
      <c r="D162" s="39">
        <f>'Data entry Michel'!F162</f>
        <v>42559.519999999997</v>
      </c>
      <c r="E162" s="39">
        <f>'Data entry Michel'!I162</f>
        <v>38899.339999999997</v>
      </c>
      <c r="F162" s="39">
        <f>'Data entry Michel'!L162</f>
        <v>63064.62</v>
      </c>
      <c r="G162" s="39">
        <f>'Data entry Michel'!O162</f>
        <v>73318.03</v>
      </c>
      <c r="H162" s="39">
        <f>'Data entry Michel'!R162</f>
        <v>95220.563399999999</v>
      </c>
      <c r="I162" s="39">
        <f>'Data entry Michel'!U162</f>
        <v>81748.303100000005</v>
      </c>
      <c r="J162" s="39">
        <f>'Data entry Michel'!X162</f>
        <v>67875.282600000006</v>
      </c>
      <c r="K162" s="39">
        <f>'Data entry Michel'!AA162</f>
        <v>65774.462599999999</v>
      </c>
      <c r="L162" s="39">
        <f>'Data entry Michel'!AD162</f>
        <v>89844.376000000004</v>
      </c>
      <c r="M162" s="39">
        <f>'Data entry Michel'!AG162</f>
        <v>82341.402000000002</v>
      </c>
      <c r="N162" s="39">
        <f>'Data entry Michel'!AJ162</f>
        <v>75139.829299999998</v>
      </c>
      <c r="O162" s="39">
        <f>'Data entry Michel'!AM162</f>
        <v>66024.810400000002</v>
      </c>
    </row>
    <row r="163" spans="2:15" ht="14" x14ac:dyDescent="0.15">
      <c r="B163" s="38" t="s">
        <v>116</v>
      </c>
      <c r="C163" s="39">
        <f>'Data entry Michel'!C163</f>
        <v>372094.34539999999</v>
      </c>
      <c r="D163" s="39">
        <f>'Data entry Michel'!F163</f>
        <v>18009.34</v>
      </c>
      <c r="E163" s="39">
        <f>'Data entry Michel'!I163</f>
        <v>18386.490000000002</v>
      </c>
      <c r="F163" s="39">
        <f>'Data entry Michel'!L163</f>
        <v>29019.27</v>
      </c>
      <c r="G163" s="39">
        <f>'Data entry Michel'!O163</f>
        <v>37603.83</v>
      </c>
      <c r="H163" s="39">
        <f>'Data entry Michel'!R163</f>
        <v>41434.374100000001</v>
      </c>
      <c r="I163" s="39">
        <f>'Data entry Michel'!U163</f>
        <v>35243.923799999997</v>
      </c>
      <c r="J163" s="39">
        <f>'Data entry Michel'!X163</f>
        <v>29235.85</v>
      </c>
      <c r="K163" s="39">
        <f>'Data entry Michel'!AA163</f>
        <v>28382.724999999999</v>
      </c>
      <c r="L163" s="39">
        <f>'Data entry Michel'!AD163</f>
        <v>38860.377500000002</v>
      </c>
      <c r="M163" s="39">
        <f>'Data entry Michel'!AG163</f>
        <v>35473.480000000003</v>
      </c>
      <c r="N163" s="39">
        <f>'Data entry Michel'!AJ163</f>
        <v>32200.384999999998</v>
      </c>
      <c r="O163" s="39">
        <f>'Data entry Michel'!AM163</f>
        <v>28244.3</v>
      </c>
    </row>
    <row r="164" spans="2:15" ht="14" x14ac:dyDescent="0.15">
      <c r="B164" s="38" t="s">
        <v>117</v>
      </c>
      <c r="C164" s="39">
        <f>'Data entry Michel'!C164</f>
        <v>251260.37530000001</v>
      </c>
      <c r="D164" s="39">
        <f>'Data entry Michel'!F164</f>
        <v>13810.87</v>
      </c>
      <c r="E164" s="39">
        <f>'Data entry Michel'!I164</f>
        <v>13276.08</v>
      </c>
      <c r="F164" s="39">
        <f>'Data entry Michel'!L164</f>
        <v>16582.439999999999</v>
      </c>
      <c r="G164" s="39">
        <f>'Data entry Michel'!O164</f>
        <v>16556.759999999998</v>
      </c>
      <c r="H164" s="39">
        <f>'Data entry Michel'!R164</f>
        <v>29358.481500000002</v>
      </c>
      <c r="I164" s="39">
        <f>'Data entry Michel'!U164</f>
        <v>24986.731299999999</v>
      </c>
      <c r="J164" s="39">
        <f>'Data entry Michel'!X164</f>
        <v>20782.75</v>
      </c>
      <c r="K164" s="39">
        <f>'Data entry Michel'!AA164</f>
        <v>20173.375</v>
      </c>
      <c r="L164" s="39">
        <f>'Data entry Michel'!AD164</f>
        <v>27557.412499999999</v>
      </c>
      <c r="M164" s="39">
        <f>'Data entry Michel'!AG164</f>
        <v>25138.2</v>
      </c>
      <c r="N164" s="39">
        <f>'Data entry Michel'!AJ164</f>
        <v>22900.275000000001</v>
      </c>
      <c r="O164" s="39">
        <f>'Data entry Michel'!AM164</f>
        <v>20137</v>
      </c>
    </row>
    <row r="165" spans="2:15" ht="14" x14ac:dyDescent="0.15">
      <c r="B165" s="38" t="s">
        <v>118</v>
      </c>
      <c r="C165" s="39">
        <f>'Data entry Michel'!C165</f>
        <v>85535.131099999999</v>
      </c>
      <c r="D165" s="39">
        <f>'Data entry Michel'!F165</f>
        <v>3808.85</v>
      </c>
      <c r="E165" s="39">
        <f>'Data entry Michel'!I165</f>
        <v>-2019.14</v>
      </c>
      <c r="F165" s="39">
        <f>'Data entry Michel'!L165</f>
        <v>7047.54</v>
      </c>
      <c r="G165" s="39">
        <f>'Data entry Michel'!O165</f>
        <v>7925.56</v>
      </c>
      <c r="H165" s="39">
        <f>'Data entry Michel'!R165</f>
        <v>10569.0533</v>
      </c>
      <c r="I165" s="39">
        <f>'Data entry Michel'!U165</f>
        <v>8995.2232999999997</v>
      </c>
      <c r="J165" s="39">
        <f>'Data entry Michel'!X165</f>
        <v>7481.79</v>
      </c>
      <c r="K165" s="39">
        <f>'Data entry Michel'!AA165</f>
        <v>7262.415</v>
      </c>
      <c r="L165" s="39">
        <f>'Data entry Michel'!AD165</f>
        <v>9920.6684999999998</v>
      </c>
      <c r="M165" s="39">
        <f>'Data entry Michel'!AG165</f>
        <v>9049.7520000000004</v>
      </c>
      <c r="N165" s="39">
        <f>'Data entry Michel'!AJ165</f>
        <v>8244.0990000000002</v>
      </c>
      <c r="O165" s="39">
        <f>'Data entry Michel'!AM165</f>
        <v>7249.32</v>
      </c>
    </row>
    <row r="166" spans="2:15" ht="14" x14ac:dyDescent="0.15">
      <c r="B166" s="38" t="s">
        <v>119</v>
      </c>
      <c r="C166" s="39">
        <f>'Data entry Michel'!C166</f>
        <v>132920.6876</v>
      </c>
      <c r="D166" s="39">
        <f>'Data entry Michel'!F166</f>
        <v>6930.46</v>
      </c>
      <c r="E166" s="39">
        <f>'Data entry Michel'!I166</f>
        <v>9255.91</v>
      </c>
      <c r="F166" s="39">
        <f>'Data entry Michel'!L166</f>
        <v>10415.370000000001</v>
      </c>
      <c r="G166" s="39">
        <f>'Data entry Michel'!O166</f>
        <v>11231.88</v>
      </c>
      <c r="H166" s="39">
        <f>'Data entry Michel'!R166</f>
        <v>13858.654399999999</v>
      </c>
      <c r="I166" s="39">
        <f>'Data entry Michel'!U166</f>
        <v>12522.424800000001</v>
      </c>
      <c r="J166" s="39">
        <f>'Data entry Michel'!X166</f>
        <v>10374.892599999999</v>
      </c>
      <c r="K166" s="39">
        <f>'Data entry Michel'!AA166</f>
        <v>9955.9475999999995</v>
      </c>
      <c r="L166" s="39">
        <f>'Data entry Michel'!AD166</f>
        <v>13505.9175</v>
      </c>
      <c r="M166" s="39">
        <f>'Data entry Michel'!AG166</f>
        <v>12679.97</v>
      </c>
      <c r="N166" s="39">
        <f>'Data entry Michel'!AJ166</f>
        <v>11795.070299999999</v>
      </c>
      <c r="O166" s="39">
        <f>'Data entry Michel'!AM166</f>
        <v>10394.190399999999</v>
      </c>
    </row>
    <row r="168" spans="2:15" ht="14" x14ac:dyDescent="0.15">
      <c r="B168" s="33" t="s">
        <v>146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2209-2161-472A-858B-8899A21C9541}">
  <sheetPr>
    <pageSetUpPr fitToPage="1"/>
  </sheetPr>
  <dimension ref="B2:AN170"/>
  <sheetViews>
    <sheetView workbookViewId="0">
      <pane xSplit="2" ySplit="10" topLeftCell="AB11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145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13779533.205700001</v>
      </c>
      <c r="D11" s="7">
        <v>1</v>
      </c>
      <c r="E11"/>
      <c r="F11" s="6">
        <v>729589.21</v>
      </c>
      <c r="G11" s="7">
        <v>1</v>
      </c>
      <c r="H11"/>
      <c r="I11" s="6">
        <v>784271.72</v>
      </c>
      <c r="J11" s="7">
        <v>1</v>
      </c>
      <c r="K11"/>
      <c r="L11" s="6">
        <v>1096354.6599999999</v>
      </c>
      <c r="M11" s="7">
        <v>1</v>
      </c>
      <c r="N11"/>
      <c r="O11" s="6">
        <v>1160152.6100000001</v>
      </c>
      <c r="P11" s="7">
        <v>1</v>
      </c>
      <c r="Q11"/>
      <c r="R11" s="6">
        <v>1458805.7291000001</v>
      </c>
      <c r="S11" s="7">
        <v>1</v>
      </c>
      <c r="T11"/>
      <c r="U11" s="6">
        <v>1318149.9802000001</v>
      </c>
      <c r="V11" s="7">
        <v>1</v>
      </c>
      <c r="W11"/>
      <c r="X11" s="6">
        <v>1092093.9582</v>
      </c>
      <c r="Y11" s="7">
        <v>1</v>
      </c>
      <c r="Z11"/>
      <c r="AA11" s="6">
        <v>1047994.4821</v>
      </c>
      <c r="AB11" s="7">
        <v>1</v>
      </c>
      <c r="AC11"/>
      <c r="AD11" s="6">
        <v>1421675.5227000001</v>
      </c>
      <c r="AE11" s="7">
        <v>1</v>
      </c>
      <c r="AF11"/>
      <c r="AG11" s="6">
        <v>1334733.6836999999</v>
      </c>
      <c r="AH11" s="7">
        <v>1</v>
      </c>
      <c r="AI11"/>
      <c r="AJ11" s="6">
        <v>1241586.3430999999</v>
      </c>
      <c r="AK11" s="7">
        <v>1</v>
      </c>
      <c r="AL11"/>
      <c r="AM11" s="6">
        <v>1094125.3066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3861133.3520999998</v>
      </c>
      <c r="D12" s="7">
        <v>0.28020784999999998</v>
      </c>
      <c r="E12"/>
      <c r="F12" s="6">
        <v>305367.38</v>
      </c>
      <c r="G12" s="7">
        <v>0.41854701</v>
      </c>
      <c r="H12"/>
      <c r="I12" s="6">
        <v>321298.19</v>
      </c>
      <c r="J12" s="7">
        <v>0.40967713000000011</v>
      </c>
      <c r="K12"/>
      <c r="L12" s="6">
        <v>334012.43</v>
      </c>
      <c r="M12" s="7">
        <v>0.30465727999999997</v>
      </c>
      <c r="N12"/>
      <c r="O12" s="6">
        <v>334288.49</v>
      </c>
      <c r="P12" s="7">
        <v>0.28814181999999999</v>
      </c>
      <c r="Q12"/>
      <c r="R12" s="6">
        <v>320974.1899</v>
      </c>
      <c r="S12" s="7">
        <v>0.22002531</v>
      </c>
      <c r="T12"/>
      <c r="U12" s="6">
        <v>326444.25469999999</v>
      </c>
      <c r="V12" s="7">
        <v>0.24765334999999999</v>
      </c>
      <c r="W12"/>
      <c r="X12" s="6">
        <v>310467.0539</v>
      </c>
      <c r="Y12" s="7">
        <v>0.28428603000000002</v>
      </c>
      <c r="Z12"/>
      <c r="AA12" s="6">
        <v>315483.19549999997</v>
      </c>
      <c r="AB12" s="7">
        <v>0.30103517000000002</v>
      </c>
      <c r="AC12"/>
      <c r="AD12" s="6">
        <v>328767.21950000001</v>
      </c>
      <c r="AE12" s="7">
        <v>0.23125334</v>
      </c>
      <c r="AF12"/>
      <c r="AG12" s="6">
        <v>325043.11450000003</v>
      </c>
      <c r="AH12" s="7">
        <v>0.24352657</v>
      </c>
      <c r="AI12"/>
      <c r="AJ12" s="6">
        <v>341739.73420000001</v>
      </c>
      <c r="AK12" s="7">
        <v>0.27524443999999998</v>
      </c>
      <c r="AL12"/>
      <c r="AM12" s="6">
        <v>297248.09989999997</v>
      </c>
      <c r="AN12" s="7">
        <v>0.27167647</v>
      </c>
    </row>
    <row r="13" spans="2:40" s="314" customFormat="1" ht="12.75" customHeight="1" x14ac:dyDescent="0.15">
      <c r="B13" s="5" t="s">
        <v>23</v>
      </c>
      <c r="C13" s="6">
        <v>5663953.6608999996</v>
      </c>
      <c r="D13" s="7">
        <v>0</v>
      </c>
      <c r="E13"/>
      <c r="F13" s="6">
        <v>156965.57</v>
      </c>
      <c r="G13" s="7">
        <v>0</v>
      </c>
      <c r="H13"/>
      <c r="I13" s="6">
        <v>151902.35</v>
      </c>
      <c r="J13" s="7">
        <v>0</v>
      </c>
      <c r="K13"/>
      <c r="L13" s="6">
        <v>434737.52</v>
      </c>
      <c r="M13" s="7">
        <v>0</v>
      </c>
      <c r="N13"/>
      <c r="O13" s="6">
        <v>447218.63</v>
      </c>
      <c r="P13" s="7">
        <v>0</v>
      </c>
      <c r="Q13"/>
      <c r="R13" s="6">
        <v>740679.76580000005</v>
      </c>
      <c r="S13" s="7">
        <v>0</v>
      </c>
      <c r="T13"/>
      <c r="U13" s="6">
        <v>608892.83360000001</v>
      </c>
      <c r="V13" s="7">
        <v>0</v>
      </c>
      <c r="W13"/>
      <c r="X13" s="6">
        <v>446546.76539999997</v>
      </c>
      <c r="Y13" s="7">
        <v>0</v>
      </c>
      <c r="Z13"/>
      <c r="AA13" s="6">
        <v>395662.43310000002</v>
      </c>
      <c r="AB13" s="7">
        <v>0</v>
      </c>
      <c r="AC13"/>
      <c r="AD13" s="6">
        <v>690941.06079999998</v>
      </c>
      <c r="AE13" s="7">
        <v>0</v>
      </c>
      <c r="AF13"/>
      <c r="AG13" s="6">
        <v>619551.99140000006</v>
      </c>
      <c r="AH13" s="7">
        <v>0</v>
      </c>
      <c r="AI13"/>
      <c r="AJ13" s="6">
        <v>523755.50309999997</v>
      </c>
      <c r="AK13" s="7">
        <v>0</v>
      </c>
      <c r="AL13"/>
      <c r="AM13" s="6">
        <v>447099.2377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94535</v>
      </c>
      <c r="D14" s="7">
        <v>0</v>
      </c>
      <c r="E14"/>
      <c r="F14" s="8">
        <v>8029</v>
      </c>
      <c r="G14" s="7">
        <v>0</v>
      </c>
      <c r="H14"/>
      <c r="I14" s="8">
        <v>7252</v>
      </c>
      <c r="J14" s="7">
        <v>0</v>
      </c>
      <c r="K14"/>
      <c r="L14" s="8">
        <v>8029</v>
      </c>
      <c r="M14" s="7">
        <v>0</v>
      </c>
      <c r="N14"/>
      <c r="O14" s="8">
        <v>7770</v>
      </c>
      <c r="P14" s="7">
        <v>0</v>
      </c>
      <c r="Q14"/>
      <c r="R14" s="8">
        <v>8029</v>
      </c>
      <c r="S14" s="7">
        <v>0</v>
      </c>
      <c r="T14"/>
      <c r="U14" s="8">
        <v>7770</v>
      </c>
      <c r="V14" s="7">
        <v>0</v>
      </c>
      <c r="W14"/>
      <c r="X14" s="8">
        <v>8029</v>
      </c>
      <c r="Y14" s="7">
        <v>0</v>
      </c>
      <c r="Z14"/>
      <c r="AA14" s="8">
        <v>8029</v>
      </c>
      <c r="AB14" s="7">
        <v>0</v>
      </c>
      <c r="AC14"/>
      <c r="AD14" s="8">
        <v>7770</v>
      </c>
      <c r="AE14" s="7">
        <v>0</v>
      </c>
      <c r="AF14"/>
      <c r="AG14" s="8">
        <v>8029</v>
      </c>
      <c r="AH14" s="7">
        <v>0</v>
      </c>
      <c r="AI14"/>
      <c r="AJ14" s="8">
        <v>7770</v>
      </c>
      <c r="AK14" s="7">
        <v>0</v>
      </c>
      <c r="AL14"/>
      <c r="AM14" s="8">
        <v>8029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72311</v>
      </c>
      <c r="D15" s="7">
        <v>0</v>
      </c>
      <c r="E15"/>
      <c r="F15" s="9">
        <v>4299</v>
      </c>
      <c r="G15" s="7">
        <v>0</v>
      </c>
      <c r="H15"/>
      <c r="I15" s="9">
        <v>4574</v>
      </c>
      <c r="J15" s="7">
        <v>0</v>
      </c>
      <c r="K15"/>
      <c r="L15" s="9">
        <v>5836</v>
      </c>
      <c r="M15" s="7">
        <v>0</v>
      </c>
      <c r="N15"/>
      <c r="O15" s="9">
        <v>6178</v>
      </c>
      <c r="P15" s="7">
        <v>0</v>
      </c>
      <c r="Q15"/>
      <c r="R15" s="9">
        <v>6721</v>
      </c>
      <c r="S15" s="7">
        <v>0</v>
      </c>
      <c r="T15"/>
      <c r="U15" s="9">
        <v>6438</v>
      </c>
      <c r="V15" s="7">
        <v>0</v>
      </c>
      <c r="W15"/>
      <c r="X15" s="9">
        <v>6249</v>
      </c>
      <c r="Y15" s="7">
        <v>0</v>
      </c>
      <c r="Z15"/>
      <c r="AA15" s="9">
        <v>6312</v>
      </c>
      <c r="AB15" s="7">
        <v>0</v>
      </c>
      <c r="AC15"/>
      <c r="AD15" s="9">
        <v>6611</v>
      </c>
      <c r="AE15" s="7">
        <v>0</v>
      </c>
      <c r="AF15"/>
      <c r="AG15" s="9">
        <v>6837</v>
      </c>
      <c r="AH15" s="7">
        <v>0</v>
      </c>
      <c r="AI15"/>
      <c r="AJ15" s="9">
        <v>6496</v>
      </c>
      <c r="AK15" s="7">
        <v>0</v>
      </c>
      <c r="AL15"/>
      <c r="AM15" s="9">
        <v>5760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76.606547839425005</v>
      </c>
      <c r="D16" s="7">
        <v>0</v>
      </c>
      <c r="E16"/>
      <c r="F16" s="8">
        <v>53.655498816788999</v>
      </c>
      <c r="G16" s="7">
        <v>0</v>
      </c>
      <c r="H16"/>
      <c r="I16" s="8">
        <v>63.196359624930999</v>
      </c>
      <c r="J16" s="7">
        <v>0</v>
      </c>
      <c r="K16"/>
      <c r="L16" s="8">
        <v>72.711421098518002</v>
      </c>
      <c r="M16" s="7">
        <v>0</v>
      </c>
      <c r="N16"/>
      <c r="O16" s="8">
        <v>79.794079794080005</v>
      </c>
      <c r="P16" s="7">
        <v>0</v>
      </c>
      <c r="Q16"/>
      <c r="R16" s="8">
        <v>83.833603188441998</v>
      </c>
      <c r="S16" s="7">
        <v>0</v>
      </c>
      <c r="T16"/>
      <c r="U16" s="8">
        <v>82.947232947233005</v>
      </c>
      <c r="V16" s="7">
        <v>0</v>
      </c>
      <c r="W16"/>
      <c r="X16" s="8">
        <v>77.954913438784004</v>
      </c>
      <c r="Y16" s="7">
        <v>0</v>
      </c>
      <c r="Z16"/>
      <c r="AA16" s="8">
        <v>78.739569062149997</v>
      </c>
      <c r="AB16" s="7">
        <v>0</v>
      </c>
      <c r="AC16"/>
      <c r="AD16" s="8">
        <v>85.212355212355007</v>
      </c>
      <c r="AE16" s="7">
        <v>0</v>
      </c>
      <c r="AF16"/>
      <c r="AG16" s="8">
        <v>85.216091667705001</v>
      </c>
      <c r="AH16" s="7">
        <v>0</v>
      </c>
      <c r="AI16"/>
      <c r="AJ16" s="8">
        <v>83.667953667953995</v>
      </c>
      <c r="AK16" s="7">
        <v>0</v>
      </c>
      <c r="AL16"/>
      <c r="AM16" s="8">
        <v>71.864491219330006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144.46931379735</v>
      </c>
      <c r="D17" s="7">
        <v>0</v>
      </c>
      <c r="E17"/>
      <c r="F17" s="9">
        <v>115.06314491742</v>
      </c>
      <c r="G17" s="7">
        <v>0</v>
      </c>
      <c r="H17"/>
      <c r="I17" s="9">
        <v>116.79597507651999</v>
      </c>
      <c r="J17" s="7">
        <v>0</v>
      </c>
      <c r="K17"/>
      <c r="L17" s="9">
        <v>142.07025017135001</v>
      </c>
      <c r="M17" s="7">
        <v>0</v>
      </c>
      <c r="N17"/>
      <c r="O17" s="9">
        <v>145.81552444157001</v>
      </c>
      <c r="P17" s="7">
        <v>0</v>
      </c>
      <c r="Q17"/>
      <c r="R17" s="9">
        <v>176.14034518673</v>
      </c>
      <c r="S17" s="7">
        <v>0</v>
      </c>
      <c r="T17"/>
      <c r="U17" s="9">
        <v>156.41025939733001</v>
      </c>
      <c r="V17" s="7">
        <v>0</v>
      </c>
      <c r="W17"/>
      <c r="X17" s="9">
        <v>133.67098735798001</v>
      </c>
      <c r="Y17" s="7">
        <v>0</v>
      </c>
      <c r="Z17"/>
      <c r="AA17" s="9">
        <v>128.47512674270999</v>
      </c>
      <c r="AB17" s="7">
        <v>0</v>
      </c>
      <c r="AC17"/>
      <c r="AD17" s="9">
        <v>167.94683103918001</v>
      </c>
      <c r="AE17" s="7">
        <v>0</v>
      </c>
      <c r="AF17"/>
      <c r="AG17" s="9">
        <v>148.24162644435</v>
      </c>
      <c r="AH17" s="7">
        <v>0</v>
      </c>
      <c r="AI17"/>
      <c r="AJ17" s="9">
        <v>141.62730911329999</v>
      </c>
      <c r="AK17" s="7">
        <v>0</v>
      </c>
      <c r="AL17"/>
      <c r="AM17" s="9">
        <v>140.10069444443999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109.78076067065</v>
      </c>
      <c r="D18" s="7">
        <v>0</v>
      </c>
      <c r="E18"/>
      <c r="F18" s="6">
        <v>61.052383858512997</v>
      </c>
      <c r="G18" s="7">
        <v>0</v>
      </c>
      <c r="H18"/>
      <c r="I18" s="6">
        <v>72.858166023166007</v>
      </c>
      <c r="J18" s="7">
        <v>0</v>
      </c>
      <c r="K18"/>
      <c r="L18" s="6">
        <v>102.56390210487</v>
      </c>
      <c r="M18" s="7">
        <v>0</v>
      </c>
      <c r="N18"/>
      <c r="O18" s="6">
        <v>115.14962934363</v>
      </c>
      <c r="P18" s="7">
        <v>0</v>
      </c>
      <c r="Q18"/>
      <c r="R18" s="6">
        <v>146.26220699963</v>
      </c>
      <c r="S18" s="7">
        <v>0</v>
      </c>
      <c r="T18"/>
      <c r="U18" s="6">
        <v>128.63182110682001</v>
      </c>
      <c r="V18" s="7">
        <v>0</v>
      </c>
      <c r="W18"/>
      <c r="X18" s="6">
        <v>103.53842321584</v>
      </c>
      <c r="Y18" s="7">
        <v>0</v>
      </c>
      <c r="Z18"/>
      <c r="AA18" s="6">
        <v>100.50255324449</v>
      </c>
      <c r="AB18" s="7">
        <v>0</v>
      </c>
      <c r="AC18"/>
      <c r="AD18" s="6">
        <v>141.86570141569999</v>
      </c>
      <c r="AE18" s="7">
        <v>0</v>
      </c>
      <c r="AF18"/>
      <c r="AG18" s="6">
        <v>125.23701581765999</v>
      </c>
      <c r="AH18" s="7">
        <v>0</v>
      </c>
      <c r="AI18"/>
      <c r="AJ18" s="6">
        <v>117.89073359072999</v>
      </c>
      <c r="AK18" s="7">
        <v>0</v>
      </c>
      <c r="AL18"/>
      <c r="AM18" s="6">
        <v>100.32133516003999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145.76118057545</v>
      </c>
      <c r="D19" s="7">
        <v>0</v>
      </c>
      <c r="E19"/>
      <c r="F19" s="9">
        <v>90.869250217960001</v>
      </c>
      <c r="G19" s="7">
        <v>0</v>
      </c>
      <c r="H19"/>
      <c r="I19" s="9">
        <v>108.14557639272</v>
      </c>
      <c r="J19" s="7">
        <v>0</v>
      </c>
      <c r="K19"/>
      <c r="L19" s="9">
        <v>136.54934113837001</v>
      </c>
      <c r="M19" s="7">
        <v>0</v>
      </c>
      <c r="N19"/>
      <c r="O19" s="9">
        <v>149.31179021879001</v>
      </c>
      <c r="P19" s="7">
        <v>0</v>
      </c>
      <c r="Q19"/>
      <c r="R19" s="9">
        <v>181.69208233902</v>
      </c>
      <c r="S19" s="7">
        <v>0</v>
      </c>
      <c r="T19"/>
      <c r="U19" s="9">
        <v>169.64607209780999</v>
      </c>
      <c r="V19" s="7">
        <v>0</v>
      </c>
      <c r="W19"/>
      <c r="X19" s="9">
        <v>136.01867707061999</v>
      </c>
      <c r="Y19" s="7">
        <v>0</v>
      </c>
      <c r="Z19"/>
      <c r="AA19" s="9">
        <v>130.52615295803</v>
      </c>
      <c r="AB19" s="7">
        <v>0</v>
      </c>
      <c r="AC19"/>
      <c r="AD19" s="9">
        <v>182.96982274131</v>
      </c>
      <c r="AE19" s="7">
        <v>0</v>
      </c>
      <c r="AF19"/>
      <c r="AG19" s="9">
        <v>166.23909374766001</v>
      </c>
      <c r="AH19" s="7">
        <v>0</v>
      </c>
      <c r="AI19"/>
      <c r="AJ19" s="9">
        <v>159.79232214928999</v>
      </c>
      <c r="AK19" s="7">
        <v>0</v>
      </c>
      <c r="AL19"/>
      <c r="AM19" s="9">
        <v>136.27167849047001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104699.25</v>
      </c>
      <c r="D20" s="7">
        <v>0</v>
      </c>
      <c r="E20"/>
      <c r="F20" s="8">
        <v>6208</v>
      </c>
      <c r="G20" s="7">
        <v>0</v>
      </c>
      <c r="H20"/>
      <c r="I20" s="8">
        <v>6795</v>
      </c>
      <c r="J20" s="7">
        <v>0</v>
      </c>
      <c r="K20"/>
      <c r="L20" s="8">
        <v>8046</v>
      </c>
      <c r="M20" s="7">
        <v>0</v>
      </c>
      <c r="N20"/>
      <c r="O20" s="8">
        <v>9335</v>
      </c>
      <c r="P20" s="7">
        <v>0</v>
      </c>
      <c r="Q20"/>
      <c r="R20" s="8">
        <v>10163.81</v>
      </c>
      <c r="S20" s="7">
        <v>0</v>
      </c>
      <c r="T20"/>
      <c r="U20" s="8">
        <v>9023</v>
      </c>
      <c r="V20" s="7">
        <v>0</v>
      </c>
      <c r="W20"/>
      <c r="X20" s="8">
        <v>9764.0400000000009</v>
      </c>
      <c r="Y20" s="7">
        <v>0</v>
      </c>
      <c r="Z20"/>
      <c r="AA20" s="8">
        <v>9483</v>
      </c>
      <c r="AB20" s="7">
        <v>0</v>
      </c>
      <c r="AC20"/>
      <c r="AD20" s="8">
        <v>9269.4</v>
      </c>
      <c r="AE20" s="7">
        <v>0</v>
      </c>
      <c r="AF20"/>
      <c r="AG20" s="8">
        <v>9578.7999999999993</v>
      </c>
      <c r="AH20" s="7">
        <v>0</v>
      </c>
      <c r="AI20"/>
      <c r="AJ20" s="8">
        <v>7801.2</v>
      </c>
      <c r="AK20" s="7">
        <v>0</v>
      </c>
      <c r="AL20"/>
      <c r="AM20" s="8">
        <v>9232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1.4457228666113999</v>
      </c>
      <c r="D21" s="7">
        <v>0</v>
      </c>
      <c r="E21"/>
      <c r="F21" s="9">
        <v>1.4410399257196</v>
      </c>
      <c r="G21" s="7">
        <v>0</v>
      </c>
      <c r="H21"/>
      <c r="I21" s="9">
        <v>1.4826532838752</v>
      </c>
      <c r="J21" s="7">
        <v>0</v>
      </c>
      <c r="K21"/>
      <c r="L21" s="9">
        <v>1.3782117163412</v>
      </c>
      <c r="M21" s="7">
        <v>0</v>
      </c>
      <c r="N21"/>
      <c r="O21" s="9">
        <v>1.5056451612902999</v>
      </c>
      <c r="P21" s="7">
        <v>0</v>
      </c>
      <c r="Q21"/>
      <c r="R21" s="9">
        <v>1.51</v>
      </c>
      <c r="S21" s="7">
        <v>0</v>
      </c>
      <c r="T21"/>
      <c r="U21" s="9">
        <v>1.4</v>
      </c>
      <c r="V21" s="7">
        <v>0</v>
      </c>
      <c r="W21"/>
      <c r="X21" s="9">
        <v>1.56</v>
      </c>
      <c r="Y21" s="7">
        <v>0</v>
      </c>
      <c r="Z21"/>
      <c r="AA21" s="9">
        <v>1.5</v>
      </c>
      <c r="AB21" s="7">
        <v>0</v>
      </c>
      <c r="AC21"/>
      <c r="AD21" s="9">
        <v>1.4</v>
      </c>
      <c r="AE21" s="7">
        <v>0</v>
      </c>
      <c r="AF21"/>
      <c r="AG21" s="9">
        <v>1.4</v>
      </c>
      <c r="AH21" s="7">
        <v>0</v>
      </c>
      <c r="AI21"/>
      <c r="AJ21" s="9">
        <v>1.2</v>
      </c>
      <c r="AK21" s="7">
        <v>0</v>
      </c>
      <c r="AL21"/>
      <c r="AM21" s="9">
        <v>1.6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52020.675000000003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7114.6670000000004</v>
      </c>
      <c r="S22" s="7">
        <v>0</v>
      </c>
      <c r="T22"/>
      <c r="U22" s="8">
        <v>6316.1</v>
      </c>
      <c r="V22" s="7">
        <v>0</v>
      </c>
      <c r="W22"/>
      <c r="X22" s="8">
        <v>6834.8280000000004</v>
      </c>
      <c r="Y22" s="7">
        <v>0</v>
      </c>
      <c r="Z22"/>
      <c r="AA22" s="8">
        <v>6638.1</v>
      </c>
      <c r="AB22" s="7">
        <v>0</v>
      </c>
      <c r="AC22"/>
      <c r="AD22" s="8">
        <v>6488.58</v>
      </c>
      <c r="AE22" s="7">
        <v>0</v>
      </c>
      <c r="AF22"/>
      <c r="AG22" s="8">
        <v>6705.16</v>
      </c>
      <c r="AH22" s="7">
        <v>0</v>
      </c>
      <c r="AI22"/>
      <c r="AJ22" s="8">
        <v>5460.84</v>
      </c>
      <c r="AK22" s="7">
        <v>0</v>
      </c>
      <c r="AL22"/>
      <c r="AM22" s="8">
        <v>6462.4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546.54499999999996</v>
      </c>
      <c r="D23" s="7">
        <v>0</v>
      </c>
      <c r="E23"/>
      <c r="F23" s="8">
        <v>6010</v>
      </c>
      <c r="G23" s="7">
        <v>0</v>
      </c>
      <c r="H23"/>
      <c r="I23" s="8">
        <v>58.85</v>
      </c>
      <c r="J23" s="7">
        <v>0</v>
      </c>
      <c r="K23"/>
      <c r="L23" s="8">
        <v>57.57</v>
      </c>
      <c r="M23" s="7">
        <v>0</v>
      </c>
      <c r="N23"/>
      <c r="O23" s="8">
        <v>56.87</v>
      </c>
      <c r="P23" s="7">
        <v>0</v>
      </c>
      <c r="Q23"/>
      <c r="R23" s="8">
        <v>46.75</v>
      </c>
      <c r="S23" s="7">
        <v>0</v>
      </c>
      <c r="T23"/>
      <c r="U23" s="8">
        <v>46.75</v>
      </c>
      <c r="V23" s="7">
        <v>0</v>
      </c>
      <c r="W23"/>
      <c r="X23" s="8">
        <v>46.125</v>
      </c>
      <c r="Y23" s="7">
        <v>0</v>
      </c>
      <c r="Z23"/>
      <c r="AA23" s="8">
        <v>47.125</v>
      </c>
      <c r="AB23" s="7">
        <v>0</v>
      </c>
      <c r="AC23"/>
      <c r="AD23" s="8">
        <v>47.125</v>
      </c>
      <c r="AE23" s="7">
        <v>0</v>
      </c>
      <c r="AF23"/>
      <c r="AG23" s="8">
        <v>47.125</v>
      </c>
      <c r="AH23" s="7">
        <v>0</v>
      </c>
      <c r="AI23"/>
      <c r="AJ23" s="8">
        <v>47.125</v>
      </c>
      <c r="AK23" s="7">
        <v>0</v>
      </c>
      <c r="AL23"/>
      <c r="AM23" s="8">
        <v>47.125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13779533.205700001</v>
      </c>
      <c r="D27" s="327">
        <v>1</v>
      </c>
      <c r="E27"/>
      <c r="F27" s="326">
        <v>729589.21</v>
      </c>
      <c r="G27" s="327">
        <v>1</v>
      </c>
      <c r="H27"/>
      <c r="I27" s="326">
        <v>784271.72</v>
      </c>
      <c r="J27" s="327">
        <v>1</v>
      </c>
      <c r="K27"/>
      <c r="L27" s="326">
        <v>1096354.6599999999</v>
      </c>
      <c r="M27" s="327">
        <v>1</v>
      </c>
      <c r="N27"/>
      <c r="O27" s="326">
        <v>1160152.6100000001</v>
      </c>
      <c r="P27" s="327">
        <v>1</v>
      </c>
      <c r="Q27"/>
      <c r="R27" s="326">
        <v>1458805.7291000001</v>
      </c>
      <c r="S27" s="327">
        <v>1</v>
      </c>
      <c r="T27"/>
      <c r="U27" s="326">
        <v>1318149.9802000001</v>
      </c>
      <c r="V27" s="327">
        <v>1</v>
      </c>
      <c r="W27"/>
      <c r="X27" s="326">
        <v>1092093.9582</v>
      </c>
      <c r="Y27" s="327">
        <v>1</v>
      </c>
      <c r="Z27"/>
      <c r="AA27" s="326">
        <v>1047994.4821</v>
      </c>
      <c r="AB27" s="327">
        <v>1</v>
      </c>
      <c r="AC27"/>
      <c r="AD27" s="326">
        <v>1421675.5227000001</v>
      </c>
      <c r="AE27" s="327">
        <v>1</v>
      </c>
      <c r="AF27"/>
      <c r="AG27" s="326">
        <v>1334733.6836999999</v>
      </c>
      <c r="AH27" s="327">
        <v>1</v>
      </c>
      <c r="AI27"/>
      <c r="AJ27" s="326">
        <v>1241586.3430999999</v>
      </c>
      <c r="AK27" s="327">
        <v>1</v>
      </c>
      <c r="AL27"/>
      <c r="AM27" s="326">
        <v>1094125.3066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10446720.550000001</v>
      </c>
      <c r="D28" s="7">
        <v>0.75813311999999999</v>
      </c>
      <c r="E28"/>
      <c r="F28" s="8">
        <v>494656.46</v>
      </c>
      <c r="G28" s="7">
        <v>0.67799311000000007</v>
      </c>
      <c r="H28"/>
      <c r="I28" s="8">
        <v>534224.79</v>
      </c>
      <c r="J28" s="7">
        <v>0.68117309000000004</v>
      </c>
      <c r="K28"/>
      <c r="L28" s="8">
        <v>829121.98</v>
      </c>
      <c r="M28" s="7">
        <v>0.75625343999999994</v>
      </c>
      <c r="N28"/>
      <c r="O28" s="8">
        <v>900848.31</v>
      </c>
      <c r="P28" s="7">
        <v>0.77649122000000004</v>
      </c>
      <c r="Q28"/>
      <c r="R28" s="8">
        <v>1183839.26</v>
      </c>
      <c r="S28" s="7">
        <v>0.81151262000000002</v>
      </c>
      <c r="T28"/>
      <c r="U28" s="8">
        <v>1006969.25</v>
      </c>
      <c r="V28" s="7">
        <v>0.76392616000000002</v>
      </c>
      <c r="W28"/>
      <c r="X28" s="8">
        <v>835310</v>
      </c>
      <c r="Y28" s="7">
        <v>0.76487009000000006</v>
      </c>
      <c r="Z28"/>
      <c r="AA28" s="8">
        <v>810935</v>
      </c>
      <c r="AB28" s="7">
        <v>0.77379701000000001</v>
      </c>
      <c r="AC28"/>
      <c r="AD28" s="8">
        <v>1110296.5</v>
      </c>
      <c r="AE28" s="7">
        <v>0.78097742999999997</v>
      </c>
      <c r="AF28"/>
      <c r="AG28" s="8">
        <v>1013528</v>
      </c>
      <c r="AH28" s="7">
        <v>0.75934847999999999</v>
      </c>
      <c r="AI28"/>
      <c r="AJ28" s="8">
        <v>920011</v>
      </c>
      <c r="AK28" s="7">
        <v>0.74099638999999995</v>
      </c>
      <c r="AL28"/>
      <c r="AM28" s="8">
        <v>806980</v>
      </c>
      <c r="AN28" s="7">
        <v>0.73755719999999991</v>
      </c>
    </row>
    <row r="29" spans="2:40" s="314" customFormat="1" ht="12.75" customHeight="1" x14ac:dyDescent="0.15">
      <c r="B29" s="5" t="s">
        <v>36</v>
      </c>
      <c r="C29" s="8">
        <v>2734277.4885</v>
      </c>
      <c r="D29" s="7">
        <v>0.19843034000000001</v>
      </c>
      <c r="E29"/>
      <c r="F29" s="8">
        <v>184048.45</v>
      </c>
      <c r="G29" s="7">
        <v>0.25226312000000001</v>
      </c>
      <c r="H29"/>
      <c r="I29" s="8">
        <v>189316.99</v>
      </c>
      <c r="J29" s="7">
        <v>0.24139209</v>
      </c>
      <c r="K29"/>
      <c r="L29" s="8">
        <v>212108.59</v>
      </c>
      <c r="M29" s="7">
        <v>0.19346712999999999</v>
      </c>
      <c r="N29"/>
      <c r="O29" s="8">
        <v>205638.93</v>
      </c>
      <c r="P29" s="7">
        <v>0.17725162</v>
      </c>
      <c r="Q29"/>
      <c r="R29" s="8">
        <v>224471.47169999999</v>
      </c>
      <c r="S29" s="7">
        <v>0.15387344999999999</v>
      </c>
      <c r="T29"/>
      <c r="U29" s="8">
        <v>269113.11</v>
      </c>
      <c r="V29" s="7">
        <v>0.2041597</v>
      </c>
      <c r="W29"/>
      <c r="X29" s="8">
        <v>209328.48879999999</v>
      </c>
      <c r="Y29" s="7">
        <v>0.19167625999999999</v>
      </c>
      <c r="Z29"/>
      <c r="AA29" s="8">
        <v>186256.26</v>
      </c>
      <c r="AB29" s="7">
        <v>0.17772636999999999</v>
      </c>
      <c r="AC29"/>
      <c r="AD29" s="8">
        <v>261517.55799999999</v>
      </c>
      <c r="AE29" s="7">
        <v>0.18395023999999999</v>
      </c>
      <c r="AF29"/>
      <c r="AG29" s="8">
        <v>273087.91600000003</v>
      </c>
      <c r="AH29" s="7">
        <v>0.20460105000000001</v>
      </c>
      <c r="AI29"/>
      <c r="AJ29" s="8">
        <v>272998.68400000001</v>
      </c>
      <c r="AK29" s="7">
        <v>0.21987893999999999</v>
      </c>
      <c r="AL29"/>
      <c r="AM29" s="8">
        <v>246391.04000000001</v>
      </c>
      <c r="AN29" s="7">
        <v>0.22519454</v>
      </c>
    </row>
    <row r="30" spans="2:40" s="314" customFormat="1" ht="12.75" customHeight="1" x14ac:dyDescent="0.15">
      <c r="B30" s="5" t="s">
        <v>37</v>
      </c>
      <c r="C30" s="8">
        <v>562832.83719999995</v>
      </c>
      <c r="D30" s="7">
        <v>4.0845569999999998E-2</v>
      </c>
      <c r="E30"/>
      <c r="F30" s="8">
        <v>49372.09</v>
      </c>
      <c r="G30" s="7">
        <v>6.7671080000000008E-2</v>
      </c>
      <c r="H30"/>
      <c r="I30" s="8">
        <v>53899.16</v>
      </c>
      <c r="J30" s="7">
        <v>6.8725110000000006E-2</v>
      </c>
      <c r="K30"/>
      <c r="L30" s="8">
        <v>53405.64</v>
      </c>
      <c r="M30" s="7">
        <v>4.871201E-2</v>
      </c>
      <c r="N30"/>
      <c r="O30" s="8">
        <v>52524.480000000003</v>
      </c>
      <c r="P30" s="7">
        <v>4.5273769999999998E-2</v>
      </c>
      <c r="Q30"/>
      <c r="R30" s="8">
        <v>47994.9974</v>
      </c>
      <c r="S30" s="7">
        <v>3.2900199999999998E-2</v>
      </c>
      <c r="T30"/>
      <c r="U30" s="8">
        <v>40067.620199999998</v>
      </c>
      <c r="V30" s="7">
        <v>3.0396860000000001E-2</v>
      </c>
      <c r="W30"/>
      <c r="X30" s="8">
        <v>44955.469400000002</v>
      </c>
      <c r="Y30" s="7">
        <v>4.1164470000000002E-2</v>
      </c>
      <c r="Z30"/>
      <c r="AA30" s="8">
        <v>47803.222099999999</v>
      </c>
      <c r="AB30" s="7">
        <v>4.5614000000000002E-2</v>
      </c>
      <c r="AC30"/>
      <c r="AD30" s="8">
        <v>45861.464699999997</v>
      </c>
      <c r="AE30" s="7">
        <v>3.2258740000000001E-2</v>
      </c>
      <c r="AF30"/>
      <c r="AG30" s="8">
        <v>44617.767699999997</v>
      </c>
      <c r="AH30" s="7">
        <v>3.3428220000000002E-2</v>
      </c>
      <c r="AI30"/>
      <c r="AJ30" s="8">
        <v>44076.659099999997</v>
      </c>
      <c r="AK30" s="7">
        <v>3.5500280000000002E-2</v>
      </c>
      <c r="AL30"/>
      <c r="AM30" s="8">
        <v>38254.266600000003</v>
      </c>
      <c r="AN30" s="7">
        <v>3.4963330000000001E-2</v>
      </c>
    </row>
    <row r="31" spans="2:40" s="314" customFormat="1" ht="12.75" customHeight="1" x14ac:dyDescent="0.15">
      <c r="B31" s="5" t="s">
        <v>38</v>
      </c>
      <c r="C31" s="8">
        <v>35702.33</v>
      </c>
      <c r="D31" s="7">
        <v>2.5909700000000002E-3</v>
      </c>
      <c r="E31"/>
      <c r="F31" s="8">
        <v>1512.21</v>
      </c>
      <c r="G31" s="7">
        <v>2.0726899999999999E-3</v>
      </c>
      <c r="H31"/>
      <c r="I31" s="8">
        <v>6830.78</v>
      </c>
      <c r="J31" s="7">
        <v>8.7097100000000007E-3</v>
      </c>
      <c r="K31"/>
      <c r="L31" s="8">
        <v>1718.45</v>
      </c>
      <c r="M31" s="7">
        <v>1.5674199999999999E-3</v>
      </c>
      <c r="N31"/>
      <c r="O31" s="8">
        <v>1140.8900000000001</v>
      </c>
      <c r="P31" s="7">
        <v>9.8339999999999994E-4</v>
      </c>
      <c r="Q31"/>
      <c r="R31" s="8">
        <v>2500</v>
      </c>
      <c r="S31" s="7">
        <v>1.7137299999999999E-3</v>
      </c>
      <c r="T31"/>
      <c r="U31" s="8">
        <v>2000</v>
      </c>
      <c r="V31" s="7">
        <v>1.51728E-3</v>
      </c>
      <c r="W31"/>
      <c r="X31" s="8">
        <v>2500</v>
      </c>
      <c r="Y31" s="7">
        <v>2.28918E-3</v>
      </c>
      <c r="Z31"/>
      <c r="AA31" s="8">
        <v>3000</v>
      </c>
      <c r="AB31" s="7">
        <v>2.8626099999999998E-3</v>
      </c>
      <c r="AC31"/>
      <c r="AD31" s="8">
        <v>4000</v>
      </c>
      <c r="AE31" s="7">
        <v>2.81358E-3</v>
      </c>
      <c r="AF31"/>
      <c r="AG31" s="8">
        <v>3500</v>
      </c>
      <c r="AH31" s="7">
        <v>2.62225E-3</v>
      </c>
      <c r="AI31"/>
      <c r="AJ31" s="8">
        <v>4500</v>
      </c>
      <c r="AK31" s="7">
        <v>3.6243999999999998E-3</v>
      </c>
      <c r="AL31"/>
      <c r="AM31" s="8">
        <v>2500</v>
      </c>
      <c r="AN31" s="7">
        <v>2.2849300000000001E-3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10446720.550000001</v>
      </c>
      <c r="D34" s="327">
        <v>1</v>
      </c>
      <c r="E34"/>
      <c r="F34" s="326">
        <v>494656.46</v>
      </c>
      <c r="G34" s="327">
        <v>1</v>
      </c>
      <c r="H34"/>
      <c r="I34" s="326">
        <v>534224.79</v>
      </c>
      <c r="J34" s="327">
        <v>1</v>
      </c>
      <c r="K34"/>
      <c r="L34" s="326">
        <v>829121.98</v>
      </c>
      <c r="M34" s="327">
        <v>1</v>
      </c>
      <c r="N34"/>
      <c r="O34" s="326">
        <v>900848.31</v>
      </c>
      <c r="P34" s="327">
        <v>1</v>
      </c>
      <c r="Q34"/>
      <c r="R34" s="326">
        <v>1183839.26</v>
      </c>
      <c r="S34" s="327">
        <v>1</v>
      </c>
      <c r="T34"/>
      <c r="U34" s="326">
        <v>1006969.25</v>
      </c>
      <c r="V34" s="327">
        <v>1</v>
      </c>
      <c r="W34"/>
      <c r="X34" s="326">
        <v>835310</v>
      </c>
      <c r="Y34" s="327">
        <v>1</v>
      </c>
      <c r="Z34"/>
      <c r="AA34" s="326">
        <v>810935</v>
      </c>
      <c r="AB34" s="327">
        <v>1</v>
      </c>
      <c r="AC34"/>
      <c r="AD34" s="326">
        <v>1110296.5</v>
      </c>
      <c r="AE34" s="327">
        <v>1</v>
      </c>
      <c r="AF34"/>
      <c r="AG34" s="326">
        <v>1013528</v>
      </c>
      <c r="AH34" s="327">
        <v>1</v>
      </c>
      <c r="AI34"/>
      <c r="AJ34" s="326">
        <v>920011</v>
      </c>
      <c r="AK34" s="327">
        <v>1</v>
      </c>
      <c r="AL34"/>
      <c r="AM34" s="326">
        <v>806980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1738838.3054</v>
      </c>
      <c r="D35" s="7">
        <v>0.16644824999999999</v>
      </c>
      <c r="E35"/>
      <c r="F35" s="8">
        <v>132005</v>
      </c>
      <c r="G35" s="7">
        <v>0.26686198</v>
      </c>
      <c r="H35"/>
      <c r="I35" s="8">
        <v>134622.31</v>
      </c>
      <c r="J35" s="7">
        <v>0.25199563000000003</v>
      </c>
      <c r="K35"/>
      <c r="L35" s="8">
        <v>147303.31</v>
      </c>
      <c r="M35" s="7">
        <v>0.17766181</v>
      </c>
      <c r="N35"/>
      <c r="O35" s="8">
        <v>150836.14000000001</v>
      </c>
      <c r="P35" s="7">
        <v>0.16743789000000001</v>
      </c>
      <c r="Q35"/>
      <c r="R35" s="8">
        <v>147998.67809999999</v>
      </c>
      <c r="S35" s="7">
        <v>0.12501586000000001</v>
      </c>
      <c r="T35"/>
      <c r="U35" s="8">
        <v>150202.1128</v>
      </c>
      <c r="V35" s="7">
        <v>0.14916256</v>
      </c>
      <c r="W35"/>
      <c r="X35" s="8">
        <v>144158.78589999999</v>
      </c>
      <c r="Y35" s="7">
        <v>0.17258118</v>
      </c>
      <c r="Z35"/>
      <c r="AA35" s="8">
        <v>146631.7053</v>
      </c>
      <c r="AB35" s="7">
        <v>0.18081807</v>
      </c>
      <c r="AC35"/>
      <c r="AD35" s="8">
        <v>149604.087</v>
      </c>
      <c r="AE35" s="7">
        <v>0.13474246000000001</v>
      </c>
      <c r="AF35"/>
      <c r="AG35" s="8">
        <v>148866.8394</v>
      </c>
      <c r="AH35" s="7">
        <v>0.14687985000000001</v>
      </c>
      <c r="AI35"/>
      <c r="AJ35" s="8">
        <v>154309.82500000001</v>
      </c>
      <c r="AK35" s="7">
        <v>0.16772607</v>
      </c>
      <c r="AL35"/>
      <c r="AM35" s="8">
        <v>132299.51190000001</v>
      </c>
      <c r="AN35" s="7">
        <v>0.16394397999999999</v>
      </c>
    </row>
    <row r="36" spans="2:40" s="314" customFormat="1" ht="12.75" customHeight="1" x14ac:dyDescent="0.15">
      <c r="B36" s="5" t="s">
        <v>40</v>
      </c>
      <c r="C36" s="8">
        <v>1623935.5151</v>
      </c>
      <c r="D36" s="7">
        <v>0.15544931000000001</v>
      </c>
      <c r="E36"/>
      <c r="F36" s="8">
        <v>89679.39</v>
      </c>
      <c r="G36" s="7">
        <v>0.18129630999999999</v>
      </c>
      <c r="H36"/>
      <c r="I36" s="8">
        <v>119863.29</v>
      </c>
      <c r="J36" s="7">
        <v>0.22436864000000001</v>
      </c>
      <c r="K36"/>
      <c r="L36" s="8">
        <v>124148.36</v>
      </c>
      <c r="M36" s="7">
        <v>0.14973474000000001</v>
      </c>
      <c r="N36"/>
      <c r="O36" s="8">
        <v>151069.75</v>
      </c>
      <c r="P36" s="7">
        <v>0.16769721000000001</v>
      </c>
      <c r="Q36"/>
      <c r="R36" s="8">
        <v>163959.77230000001</v>
      </c>
      <c r="S36" s="7">
        <v>0.13849834</v>
      </c>
      <c r="T36"/>
      <c r="U36" s="8">
        <v>145276.32130000001</v>
      </c>
      <c r="V36" s="7">
        <v>0.14427086</v>
      </c>
      <c r="W36"/>
      <c r="X36" s="8">
        <v>132154.38</v>
      </c>
      <c r="Y36" s="7">
        <v>0.15820998</v>
      </c>
      <c r="Z36"/>
      <c r="AA36" s="8">
        <v>137727.41500000001</v>
      </c>
      <c r="AB36" s="7">
        <v>0.16983780000000001</v>
      </c>
      <c r="AC36"/>
      <c r="AD36" s="8">
        <v>156453.2825</v>
      </c>
      <c r="AE36" s="7">
        <v>0.14091126000000001</v>
      </c>
      <c r="AF36"/>
      <c r="AG36" s="8">
        <v>145613.38</v>
      </c>
      <c r="AH36" s="7">
        <v>0.14366981000000001</v>
      </c>
      <c r="AI36"/>
      <c r="AJ36" s="8">
        <v>134913.42499999999</v>
      </c>
      <c r="AK36" s="7">
        <v>0.14664326999999999</v>
      </c>
      <c r="AL36"/>
      <c r="AM36" s="8">
        <v>123076.749</v>
      </c>
      <c r="AN36" s="7">
        <v>0.15251524</v>
      </c>
    </row>
    <row r="37" spans="2:40" s="314" customFormat="1" ht="12.75" customHeight="1" x14ac:dyDescent="0.15">
      <c r="B37" s="325" t="s">
        <v>41</v>
      </c>
      <c r="C37" s="326">
        <v>7083946.7295000004</v>
      </c>
      <c r="D37" s="327">
        <v>0.67810243999999997</v>
      </c>
      <c r="E37"/>
      <c r="F37" s="326">
        <v>272972.07</v>
      </c>
      <c r="G37" s="327">
        <v>0.55184171999999998</v>
      </c>
      <c r="H37"/>
      <c r="I37" s="326">
        <v>279739.19</v>
      </c>
      <c r="J37" s="327">
        <v>0.52363573000000008</v>
      </c>
      <c r="K37"/>
      <c r="L37" s="326">
        <v>557670.31000000006</v>
      </c>
      <c r="M37" s="327">
        <v>0.67260345999999993</v>
      </c>
      <c r="N37"/>
      <c r="O37" s="326">
        <v>598942.42000000004</v>
      </c>
      <c r="P37" s="327">
        <v>0.66486489999999998</v>
      </c>
      <c r="Q37"/>
      <c r="R37" s="326">
        <v>871880.80960000004</v>
      </c>
      <c r="S37" s="327">
        <v>0.73648579999999997</v>
      </c>
      <c r="T37"/>
      <c r="U37" s="326">
        <v>711490.81590000005</v>
      </c>
      <c r="V37" s="327">
        <v>0.70656657999999994</v>
      </c>
      <c r="W37"/>
      <c r="X37" s="326">
        <v>558996.83409999998</v>
      </c>
      <c r="Y37" s="327">
        <v>0.66920884000000003</v>
      </c>
      <c r="Z37"/>
      <c r="AA37" s="326">
        <v>526575.87970000005</v>
      </c>
      <c r="AB37" s="327">
        <v>0.64934413000000002</v>
      </c>
      <c r="AC37"/>
      <c r="AD37" s="326">
        <v>804239.13049999997</v>
      </c>
      <c r="AE37" s="327">
        <v>0.72434627000000007</v>
      </c>
      <c r="AF37"/>
      <c r="AG37" s="326">
        <v>719047.78060000006</v>
      </c>
      <c r="AH37" s="327">
        <v>0.70945034000000007</v>
      </c>
      <c r="AI37"/>
      <c r="AJ37" s="326">
        <v>630787.75</v>
      </c>
      <c r="AK37" s="327">
        <v>0.68563066000000006</v>
      </c>
      <c r="AL37"/>
      <c r="AM37" s="326">
        <v>551603.73910000001</v>
      </c>
      <c r="AN37" s="327">
        <v>0.68354077999999996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1719271.5109999999</v>
      </c>
      <c r="D40" s="7">
        <v>0.62878458000000004</v>
      </c>
      <c r="E40"/>
      <c r="F40" s="8">
        <v>115713.14</v>
      </c>
      <c r="G40" s="7">
        <v>0.62871020999999994</v>
      </c>
      <c r="H40"/>
      <c r="I40" s="8">
        <v>116768.22</v>
      </c>
      <c r="J40" s="7">
        <v>0.61678679999999997</v>
      </c>
      <c r="K40"/>
      <c r="L40" s="8">
        <v>131397.26</v>
      </c>
      <c r="M40" s="7">
        <v>0.61948109000000007</v>
      </c>
      <c r="N40"/>
      <c r="O40" s="8">
        <v>132591.78</v>
      </c>
      <c r="P40" s="7">
        <v>0.64477957000000008</v>
      </c>
      <c r="Q40"/>
      <c r="R40" s="8">
        <v>146490.671</v>
      </c>
      <c r="S40" s="7">
        <v>0.65260262000000002</v>
      </c>
      <c r="T40"/>
      <c r="U40" s="8">
        <v>168609.3</v>
      </c>
      <c r="V40" s="7">
        <v>0.62653691999999994</v>
      </c>
      <c r="W40"/>
      <c r="X40" s="8">
        <v>135935.35</v>
      </c>
      <c r="Y40" s="7">
        <v>0.64938772</v>
      </c>
      <c r="Z40"/>
      <c r="AA40" s="8">
        <v>123476.25</v>
      </c>
      <c r="AB40" s="7">
        <v>0.66293745000000004</v>
      </c>
      <c r="AC40"/>
      <c r="AD40" s="8">
        <v>160351.54</v>
      </c>
      <c r="AE40" s="7">
        <v>0.61315783999999995</v>
      </c>
      <c r="AF40"/>
      <c r="AG40" s="8">
        <v>167167.07999999999</v>
      </c>
      <c r="AH40" s="7">
        <v>0.61213649999999997</v>
      </c>
      <c r="AI40"/>
      <c r="AJ40" s="8">
        <v>164990.92000000001</v>
      </c>
      <c r="AK40" s="7">
        <v>0.60436526000000002</v>
      </c>
      <c r="AL40"/>
      <c r="AM40" s="8">
        <v>155780</v>
      </c>
      <c r="AN40" s="7">
        <v>0.63224701999999999</v>
      </c>
    </row>
    <row r="41" spans="2:40" s="314" customFormat="1" ht="12.75" customHeight="1" x14ac:dyDescent="0.15">
      <c r="B41" s="5" t="s">
        <v>44</v>
      </c>
      <c r="C41" s="8">
        <v>764022.63749999995</v>
      </c>
      <c r="D41" s="7">
        <v>0.27942396000000003</v>
      </c>
      <c r="E41"/>
      <c r="F41" s="8">
        <v>49571.78</v>
      </c>
      <c r="G41" s="7">
        <v>0.26934092999999998</v>
      </c>
      <c r="H41"/>
      <c r="I41" s="8">
        <v>54047.12</v>
      </c>
      <c r="J41" s="7">
        <v>0.28548477999999999</v>
      </c>
      <c r="K41"/>
      <c r="L41" s="8">
        <v>58640.36</v>
      </c>
      <c r="M41" s="7">
        <v>0.27646386000000001</v>
      </c>
      <c r="N41"/>
      <c r="O41" s="8">
        <v>60719.96</v>
      </c>
      <c r="P41" s="7">
        <v>0.29527463999999998</v>
      </c>
      <c r="Q41"/>
      <c r="R41" s="8">
        <v>61940.8007</v>
      </c>
      <c r="S41" s="7">
        <v>0.27594064000000001</v>
      </c>
      <c r="T41"/>
      <c r="U41" s="8">
        <v>72463.81</v>
      </c>
      <c r="V41" s="7">
        <v>0.26926897</v>
      </c>
      <c r="W41"/>
      <c r="X41" s="8">
        <v>58353.138800000001</v>
      </c>
      <c r="Y41" s="7">
        <v>0.27876348000000001</v>
      </c>
      <c r="Z41"/>
      <c r="AA41" s="8">
        <v>56740.01</v>
      </c>
      <c r="AB41" s="7">
        <v>0.30463411000000001</v>
      </c>
      <c r="AC41"/>
      <c r="AD41" s="8">
        <v>73126.017999999996</v>
      </c>
      <c r="AE41" s="7">
        <v>0.27962183000000002</v>
      </c>
      <c r="AF41"/>
      <c r="AG41" s="8">
        <v>74880.835999999996</v>
      </c>
      <c r="AH41" s="7">
        <v>0.27420046999999997</v>
      </c>
      <c r="AI41"/>
      <c r="AJ41" s="8">
        <v>74967.763999999996</v>
      </c>
      <c r="AK41" s="7">
        <v>0.27460852000000002</v>
      </c>
      <c r="AL41"/>
      <c r="AM41" s="8">
        <v>68571.039999999994</v>
      </c>
      <c r="AN41" s="7">
        <v>0.27830168</v>
      </c>
    </row>
    <row r="42" spans="2:40" s="314" customFormat="1" ht="12.75" customHeight="1" x14ac:dyDescent="0.15">
      <c r="B42" s="5" t="s">
        <v>45</v>
      </c>
      <c r="C42" s="8">
        <v>250983.34</v>
      </c>
      <c r="D42" s="7">
        <v>9.179147E-2</v>
      </c>
      <c r="E42"/>
      <c r="F42" s="8">
        <v>18763.53</v>
      </c>
      <c r="G42" s="7">
        <v>0.10194886</v>
      </c>
      <c r="H42"/>
      <c r="I42" s="8">
        <v>18501.650000000001</v>
      </c>
      <c r="J42" s="7">
        <v>9.772842000000001E-2</v>
      </c>
      <c r="K42"/>
      <c r="L42" s="8">
        <v>22070.97</v>
      </c>
      <c r="M42" s="7">
        <v>0.10405505</v>
      </c>
      <c r="N42"/>
      <c r="O42" s="8">
        <v>12327.19</v>
      </c>
      <c r="P42" s="7">
        <v>5.99458E-2</v>
      </c>
      <c r="Q42"/>
      <c r="R42" s="8">
        <v>16040</v>
      </c>
      <c r="S42" s="7">
        <v>7.1456739999999991E-2</v>
      </c>
      <c r="T42"/>
      <c r="U42" s="8">
        <v>28040</v>
      </c>
      <c r="V42" s="7">
        <v>0.10419411000000001</v>
      </c>
      <c r="W42"/>
      <c r="X42" s="8">
        <v>15040</v>
      </c>
      <c r="Y42" s="7">
        <v>7.184879999999999E-2</v>
      </c>
      <c r="Z42"/>
      <c r="AA42" s="8">
        <v>6040</v>
      </c>
      <c r="AB42" s="7">
        <v>3.2428440000000003E-2</v>
      </c>
      <c r="AC42"/>
      <c r="AD42" s="8">
        <v>28040</v>
      </c>
      <c r="AE42" s="7">
        <v>0.10722033</v>
      </c>
      <c r="AF42"/>
      <c r="AG42" s="8">
        <v>31040</v>
      </c>
      <c r="AH42" s="7">
        <v>0.11366303</v>
      </c>
      <c r="AI42"/>
      <c r="AJ42" s="8">
        <v>33040</v>
      </c>
      <c r="AK42" s="7">
        <v>0.12102622</v>
      </c>
      <c r="AL42"/>
      <c r="AM42" s="8">
        <v>22040</v>
      </c>
      <c r="AN42" s="7">
        <v>8.9451300000000011E-2</v>
      </c>
    </row>
    <row r="43" spans="2:40" s="314" customFormat="1" ht="12.75" customHeight="1" x14ac:dyDescent="0.15">
      <c r="B43" s="325" t="s">
        <v>36</v>
      </c>
      <c r="C43" s="326">
        <v>2734277.4885</v>
      </c>
      <c r="D43" s="327">
        <v>1</v>
      </c>
      <c r="E43"/>
      <c r="F43" s="326">
        <v>184048.45</v>
      </c>
      <c r="G43" s="327">
        <v>1</v>
      </c>
      <c r="H43"/>
      <c r="I43" s="326">
        <v>189316.99</v>
      </c>
      <c r="J43" s="327">
        <v>1</v>
      </c>
      <c r="K43"/>
      <c r="L43" s="326">
        <v>212108.59</v>
      </c>
      <c r="M43" s="327">
        <v>1</v>
      </c>
      <c r="N43"/>
      <c r="O43" s="326">
        <v>205638.93</v>
      </c>
      <c r="P43" s="327">
        <v>1</v>
      </c>
      <c r="Q43"/>
      <c r="R43" s="326">
        <v>224471.47169999999</v>
      </c>
      <c r="S43" s="327">
        <v>1</v>
      </c>
      <c r="T43"/>
      <c r="U43" s="326">
        <v>269113.11</v>
      </c>
      <c r="V43" s="327">
        <v>1</v>
      </c>
      <c r="W43"/>
      <c r="X43" s="326">
        <v>209328.48879999999</v>
      </c>
      <c r="Y43" s="327">
        <v>1</v>
      </c>
      <c r="Z43"/>
      <c r="AA43" s="326">
        <v>186256.26</v>
      </c>
      <c r="AB43" s="327">
        <v>1</v>
      </c>
      <c r="AC43"/>
      <c r="AD43" s="326">
        <v>261517.55799999999</v>
      </c>
      <c r="AE43" s="327">
        <v>1</v>
      </c>
      <c r="AF43"/>
      <c r="AG43" s="326">
        <v>273087.91600000003</v>
      </c>
      <c r="AH43" s="327">
        <v>1</v>
      </c>
      <c r="AI43"/>
      <c r="AJ43" s="326">
        <v>272998.68400000001</v>
      </c>
      <c r="AK43" s="327">
        <v>1</v>
      </c>
      <c r="AL43"/>
      <c r="AM43" s="326">
        <v>246391.04000000001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469123.64889999997</v>
      </c>
      <c r="D44" s="7">
        <v>0.27286188</v>
      </c>
      <c r="E44"/>
      <c r="F44" s="8">
        <v>31763.18</v>
      </c>
      <c r="G44" s="7">
        <v>0.27449933999999998</v>
      </c>
      <c r="H44"/>
      <c r="I44" s="8">
        <v>44832.63</v>
      </c>
      <c r="J44" s="7">
        <v>0.38394548000000001</v>
      </c>
      <c r="K44"/>
      <c r="L44" s="8">
        <v>28661.040000000001</v>
      </c>
      <c r="M44" s="7">
        <v>0.21812509999999999</v>
      </c>
      <c r="N44"/>
      <c r="O44" s="8">
        <v>45938.51</v>
      </c>
      <c r="P44" s="7">
        <v>0.34646575000000002</v>
      </c>
      <c r="Q44"/>
      <c r="R44" s="8">
        <v>38087.574500000002</v>
      </c>
      <c r="S44" s="7">
        <v>0.26</v>
      </c>
      <c r="T44"/>
      <c r="U44" s="8">
        <v>43838.417999999998</v>
      </c>
      <c r="V44" s="7">
        <v>0.26</v>
      </c>
      <c r="W44"/>
      <c r="X44" s="8">
        <v>35343.190999999999</v>
      </c>
      <c r="Y44" s="7">
        <v>0.26</v>
      </c>
      <c r="Z44"/>
      <c r="AA44" s="8">
        <v>32103.825000000001</v>
      </c>
      <c r="AB44" s="7">
        <v>0.26</v>
      </c>
      <c r="AC44"/>
      <c r="AD44" s="8">
        <v>41691.400399999999</v>
      </c>
      <c r="AE44" s="7">
        <v>0.26</v>
      </c>
      <c r="AF44"/>
      <c r="AG44" s="8">
        <v>43463.440799999997</v>
      </c>
      <c r="AH44" s="7">
        <v>0.26</v>
      </c>
      <c r="AI44"/>
      <c r="AJ44" s="8">
        <v>42897.639199999998</v>
      </c>
      <c r="AK44" s="7">
        <v>0.26</v>
      </c>
      <c r="AL44"/>
      <c r="AM44" s="8">
        <v>40502.800000000003</v>
      </c>
      <c r="AN44" s="7">
        <v>0.26</v>
      </c>
    </row>
    <row r="45" spans="2:40" s="314" customFormat="1" ht="12.75" customHeight="1" x14ac:dyDescent="0.15">
      <c r="B45" s="5" t="s">
        <v>47</v>
      </c>
      <c r="C45" s="8">
        <v>172224.9976</v>
      </c>
      <c r="D45" s="7">
        <v>0.22541870999999999</v>
      </c>
      <c r="E45"/>
      <c r="F45" s="8">
        <v>11541.01</v>
      </c>
      <c r="G45" s="7">
        <v>0.23281410999999999</v>
      </c>
      <c r="H45"/>
      <c r="I45" s="8">
        <v>15046.4</v>
      </c>
      <c r="J45" s="7">
        <v>0.27839410999999997</v>
      </c>
      <c r="K45"/>
      <c r="L45" s="8">
        <v>14481.25</v>
      </c>
      <c r="M45" s="7">
        <v>0.24695022</v>
      </c>
      <c r="N45"/>
      <c r="O45" s="8">
        <v>17537.22</v>
      </c>
      <c r="P45" s="7">
        <v>0.28882133999999998</v>
      </c>
      <c r="Q45"/>
      <c r="R45" s="8">
        <v>13007.5681</v>
      </c>
      <c r="S45" s="7">
        <v>0.21</v>
      </c>
      <c r="T45"/>
      <c r="U45" s="8">
        <v>15217.400100000001</v>
      </c>
      <c r="V45" s="7">
        <v>0.21</v>
      </c>
      <c r="W45"/>
      <c r="X45" s="8">
        <v>12254.159100000001</v>
      </c>
      <c r="Y45" s="7">
        <v>0.21</v>
      </c>
      <c r="Z45"/>
      <c r="AA45" s="8">
        <v>11915.402099999999</v>
      </c>
      <c r="AB45" s="7">
        <v>0.21</v>
      </c>
      <c r="AC45"/>
      <c r="AD45" s="8">
        <v>15356.4638</v>
      </c>
      <c r="AE45" s="7">
        <v>0.21</v>
      </c>
      <c r="AF45"/>
      <c r="AG45" s="8">
        <v>15724.9756</v>
      </c>
      <c r="AH45" s="7">
        <v>0.21</v>
      </c>
      <c r="AI45"/>
      <c r="AJ45" s="8">
        <v>15743.2304</v>
      </c>
      <c r="AK45" s="7">
        <v>0.21</v>
      </c>
      <c r="AL45"/>
      <c r="AM45" s="8">
        <v>14399.9184</v>
      </c>
      <c r="AN45" s="7">
        <v>0.21</v>
      </c>
    </row>
    <row r="46" spans="2:40" s="314" customFormat="1" ht="12.75" customHeight="1" x14ac:dyDescent="0.15">
      <c r="B46" s="5" t="s">
        <v>48</v>
      </c>
      <c r="C46" s="8">
        <v>16221.67</v>
      </c>
      <c r="D46" s="7">
        <v>6.4632460000000003E-2</v>
      </c>
      <c r="E46"/>
      <c r="F46" s="8">
        <v>5474.91</v>
      </c>
      <c r="G46" s="7">
        <v>0.29178464999999998</v>
      </c>
      <c r="H46"/>
      <c r="I46" s="8">
        <v>1268.1600000000001</v>
      </c>
      <c r="J46" s="7">
        <v>6.8543079999999992E-2</v>
      </c>
      <c r="K46"/>
      <c r="L46" s="8">
        <v>3886.13</v>
      </c>
      <c r="M46" s="7">
        <v>0.17607427</v>
      </c>
      <c r="N46"/>
      <c r="O46" s="8">
        <v>292.47000000000003</v>
      </c>
      <c r="P46" s="7">
        <v>2.3725599999999999E-2</v>
      </c>
      <c r="Q46"/>
      <c r="R46" s="8">
        <v>0</v>
      </c>
      <c r="S46" s="7">
        <v>0</v>
      </c>
      <c r="T46"/>
      <c r="U46" s="8">
        <v>3500</v>
      </c>
      <c r="V46" s="7">
        <v>0.12482168</v>
      </c>
      <c r="W46"/>
      <c r="X46" s="8">
        <v>250</v>
      </c>
      <c r="Y46" s="7">
        <v>1.6622339999999999E-2</v>
      </c>
      <c r="Z46"/>
      <c r="AA46" s="8">
        <v>100</v>
      </c>
      <c r="AB46" s="7">
        <v>1.6556290000000001E-2</v>
      </c>
      <c r="AC46"/>
      <c r="AD46" s="8">
        <v>300</v>
      </c>
      <c r="AE46" s="7">
        <v>1.0699E-2</v>
      </c>
      <c r="AF46"/>
      <c r="AG46" s="8">
        <v>450</v>
      </c>
      <c r="AH46" s="7">
        <v>1.449742E-2</v>
      </c>
      <c r="AI46"/>
      <c r="AJ46" s="8">
        <v>400</v>
      </c>
      <c r="AK46" s="7">
        <v>1.2106540000000001E-2</v>
      </c>
      <c r="AL46"/>
      <c r="AM46" s="8">
        <v>300</v>
      </c>
      <c r="AN46" s="7">
        <v>1.361162E-2</v>
      </c>
    </row>
    <row r="47" spans="2:40" s="314" customFormat="1" ht="12.75" customHeight="1" x14ac:dyDescent="0.15">
      <c r="B47" s="325" t="s">
        <v>49</v>
      </c>
      <c r="C47" s="326">
        <v>657570.31649999996</v>
      </c>
      <c r="D47" s="327">
        <v>0.24049143000000001</v>
      </c>
      <c r="E47"/>
      <c r="F47" s="326">
        <v>48779.1</v>
      </c>
      <c r="G47" s="327">
        <v>0.26503401999999998</v>
      </c>
      <c r="H47"/>
      <c r="I47" s="326">
        <v>61147.19</v>
      </c>
      <c r="J47" s="327">
        <v>0.32298839000000001</v>
      </c>
      <c r="K47"/>
      <c r="L47" s="326">
        <v>47028.42</v>
      </c>
      <c r="M47" s="327">
        <v>0.22171859999999999</v>
      </c>
      <c r="N47"/>
      <c r="O47" s="326">
        <v>63768.2</v>
      </c>
      <c r="P47" s="327">
        <v>0.31009789999999998</v>
      </c>
      <c r="Q47"/>
      <c r="R47" s="326">
        <v>51095.142599999999</v>
      </c>
      <c r="S47" s="327">
        <v>0.22762421999999999</v>
      </c>
      <c r="T47"/>
      <c r="U47" s="326">
        <v>62555.818099999997</v>
      </c>
      <c r="V47" s="327">
        <v>0.23245177</v>
      </c>
      <c r="W47"/>
      <c r="X47" s="326">
        <v>47847.350100000003</v>
      </c>
      <c r="Y47" s="327">
        <v>0.22857543</v>
      </c>
      <c r="Z47"/>
      <c r="AA47" s="326">
        <v>44119.227099999996</v>
      </c>
      <c r="AB47" s="327">
        <v>0.23687379</v>
      </c>
      <c r="AC47"/>
      <c r="AD47" s="326">
        <v>57347.864200000004</v>
      </c>
      <c r="AE47" s="327">
        <v>0.21928876999999999</v>
      </c>
      <c r="AF47"/>
      <c r="AG47" s="326">
        <v>59638.416400000002</v>
      </c>
      <c r="AH47" s="327">
        <v>0.21838541</v>
      </c>
      <c r="AI47"/>
      <c r="AJ47" s="326">
        <v>59040.869599999998</v>
      </c>
      <c r="AK47" s="327">
        <v>0.21626796000000001</v>
      </c>
      <c r="AL47"/>
      <c r="AM47" s="326">
        <v>55202.718399999998</v>
      </c>
      <c r="AN47" s="327">
        <v>0.22404515</v>
      </c>
    </row>
    <row r="48" spans="2:40" s="314" customFormat="1" ht="12.75" customHeight="1" x14ac:dyDescent="0.15">
      <c r="B48" s="5" t="s">
        <v>22</v>
      </c>
      <c r="C48" s="8">
        <v>1373398.4919</v>
      </c>
      <c r="D48" s="7">
        <v>0.50228936000000002</v>
      </c>
      <c r="E48"/>
      <c r="F48" s="8">
        <v>120989.41</v>
      </c>
      <c r="G48" s="7">
        <v>0.65737804</v>
      </c>
      <c r="H48"/>
      <c r="I48" s="8">
        <v>118411.42</v>
      </c>
      <c r="J48" s="7">
        <v>0.62546641999999997</v>
      </c>
      <c r="K48"/>
      <c r="L48" s="8">
        <v>118963.62</v>
      </c>
      <c r="M48" s="7">
        <v>0.56086186999999998</v>
      </c>
      <c r="N48"/>
      <c r="O48" s="8">
        <v>116227.3</v>
      </c>
      <c r="P48" s="7">
        <v>0.56520086000000003</v>
      </c>
      <c r="Q48"/>
      <c r="R48" s="8">
        <v>112929.6961</v>
      </c>
      <c r="S48" s="7">
        <v>0.50309153000000006</v>
      </c>
      <c r="T48"/>
      <c r="U48" s="8">
        <v>112353.7934</v>
      </c>
      <c r="V48" s="7">
        <v>0.41749654000000003</v>
      </c>
      <c r="W48"/>
      <c r="X48" s="8">
        <v>104398.93640000001</v>
      </c>
      <c r="Y48" s="7">
        <v>0.49873257999999998</v>
      </c>
      <c r="Z48"/>
      <c r="AA48" s="8">
        <v>111019.0294</v>
      </c>
      <c r="AB48" s="7">
        <v>0.59605529000000002</v>
      </c>
      <c r="AC48"/>
      <c r="AD48" s="8">
        <v>114719.6801</v>
      </c>
      <c r="AE48" s="7">
        <v>0.43866913000000002</v>
      </c>
      <c r="AF48"/>
      <c r="AG48" s="8">
        <v>111320.769</v>
      </c>
      <c r="AH48" s="7">
        <v>0.40763711000000002</v>
      </c>
      <c r="AI48"/>
      <c r="AJ48" s="8">
        <v>125052.1928</v>
      </c>
      <c r="AK48" s="7">
        <v>0.45806885000000003</v>
      </c>
      <c r="AL48"/>
      <c r="AM48" s="8">
        <v>107012.6447</v>
      </c>
      <c r="AN48" s="7">
        <v>0.43432036000000002</v>
      </c>
    </row>
    <row r="49" spans="2:40" s="314" customFormat="1" ht="12.75" customHeight="1" x14ac:dyDescent="0.15">
      <c r="B49" s="5" t="s">
        <v>40</v>
      </c>
      <c r="C49" s="8">
        <v>84541.946899999995</v>
      </c>
      <c r="D49" s="7">
        <v>3.09193E-2</v>
      </c>
      <c r="E49"/>
      <c r="F49" s="8">
        <v>163.11000000000001</v>
      </c>
      <c r="G49" s="7">
        <v>8.862299999999999E-4</v>
      </c>
      <c r="H49"/>
      <c r="I49" s="8">
        <v>6492.35</v>
      </c>
      <c r="J49" s="7">
        <v>3.4293539999999997E-2</v>
      </c>
      <c r="K49"/>
      <c r="L49" s="8">
        <v>8682.48</v>
      </c>
      <c r="M49" s="7">
        <v>4.0934129999999999E-2</v>
      </c>
      <c r="N49"/>
      <c r="O49" s="8">
        <v>7142.91</v>
      </c>
      <c r="P49" s="7">
        <v>3.4735200000000001E-2</v>
      </c>
      <c r="Q49"/>
      <c r="R49" s="8">
        <v>6660.2529999999997</v>
      </c>
      <c r="S49" s="7">
        <v>2.9670820000000001E-2</v>
      </c>
      <c r="T49"/>
      <c r="U49" s="8">
        <v>6950.9453000000003</v>
      </c>
      <c r="V49" s="7">
        <v>2.5829080000000001E-2</v>
      </c>
      <c r="W49"/>
      <c r="X49" s="8">
        <v>6039</v>
      </c>
      <c r="Y49" s="7">
        <v>2.8849389999999999E-2</v>
      </c>
      <c r="Z49"/>
      <c r="AA49" s="8">
        <v>5931.3698999999997</v>
      </c>
      <c r="AB49" s="7">
        <v>3.1845209999999999E-2</v>
      </c>
      <c r="AC49"/>
      <c r="AD49" s="8">
        <v>10189</v>
      </c>
      <c r="AE49" s="7">
        <v>3.8961059999999999E-2</v>
      </c>
      <c r="AF49"/>
      <c r="AG49" s="8">
        <v>7931.7574999999997</v>
      </c>
      <c r="AH49" s="7">
        <v>2.90447E-2</v>
      </c>
      <c r="AI49"/>
      <c r="AJ49" s="8">
        <v>9006.1759999999995</v>
      </c>
      <c r="AK49" s="7">
        <v>3.2989810000000001E-2</v>
      </c>
      <c r="AL49"/>
      <c r="AM49" s="8">
        <v>9352.5951999999997</v>
      </c>
      <c r="AN49" s="7">
        <v>3.795834E-2</v>
      </c>
    </row>
    <row r="50" spans="2:40" s="314" customFormat="1" ht="12.75" customHeight="1" x14ac:dyDescent="0.15">
      <c r="B50" s="325" t="s">
        <v>41</v>
      </c>
      <c r="C50" s="326">
        <v>618766.73289999994</v>
      </c>
      <c r="D50" s="327">
        <v>0.2262999</v>
      </c>
      <c r="E50"/>
      <c r="F50" s="326">
        <v>14116.83</v>
      </c>
      <c r="G50" s="327">
        <v>7.6701709999999992E-2</v>
      </c>
      <c r="H50"/>
      <c r="I50" s="326">
        <v>3266.03</v>
      </c>
      <c r="J50" s="327">
        <v>1.725165E-2</v>
      </c>
      <c r="K50"/>
      <c r="L50" s="326">
        <v>37434.07</v>
      </c>
      <c r="M50" s="327">
        <v>0.17648539999999999</v>
      </c>
      <c r="N50"/>
      <c r="O50" s="326">
        <v>18500.52</v>
      </c>
      <c r="P50" s="327">
        <v>8.9966039999999997E-2</v>
      </c>
      <c r="Q50"/>
      <c r="R50" s="326">
        <v>53786.38</v>
      </c>
      <c r="S50" s="327">
        <v>0.23961342999999999</v>
      </c>
      <c r="T50"/>
      <c r="U50" s="326">
        <v>87252.553100000005</v>
      </c>
      <c r="V50" s="327">
        <v>0.32422260000000003</v>
      </c>
      <c r="W50"/>
      <c r="X50" s="326">
        <v>51043.2022</v>
      </c>
      <c r="Y50" s="327">
        <v>0.24384259999999999</v>
      </c>
      <c r="Z50"/>
      <c r="AA50" s="326">
        <v>25186.633600000001</v>
      </c>
      <c r="AB50" s="327">
        <v>0.1352257</v>
      </c>
      <c r="AC50"/>
      <c r="AD50" s="326">
        <v>79261.013800000001</v>
      </c>
      <c r="AE50" s="327">
        <v>0.30308104000000002</v>
      </c>
      <c r="AF50"/>
      <c r="AG50" s="326">
        <v>94196.973100000003</v>
      </c>
      <c r="AH50" s="327">
        <v>0.34493277999999988</v>
      </c>
      <c r="AI50"/>
      <c r="AJ50" s="326">
        <v>79899.445500000002</v>
      </c>
      <c r="AK50" s="327">
        <v>0.29267336999999999</v>
      </c>
      <c r="AL50"/>
      <c r="AM50" s="326">
        <v>74823.081600000005</v>
      </c>
      <c r="AN50" s="327">
        <v>0.30367614999999998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562832.83719999995</v>
      </c>
      <c r="D53" s="7">
        <v>1</v>
      </c>
      <c r="E53"/>
      <c r="F53" s="8">
        <v>49372.09</v>
      </c>
      <c r="G53" s="7">
        <v>1</v>
      </c>
      <c r="H53"/>
      <c r="I53" s="8">
        <v>53899.16</v>
      </c>
      <c r="J53" s="7">
        <v>1</v>
      </c>
      <c r="K53"/>
      <c r="L53" s="8">
        <v>53405.64</v>
      </c>
      <c r="M53" s="7">
        <v>1</v>
      </c>
      <c r="N53"/>
      <c r="O53" s="8">
        <v>52524.480000000003</v>
      </c>
      <c r="P53" s="7">
        <v>1</v>
      </c>
      <c r="Q53"/>
      <c r="R53" s="8">
        <v>47994.9974</v>
      </c>
      <c r="S53" s="7">
        <v>1</v>
      </c>
      <c r="T53"/>
      <c r="U53" s="8">
        <v>40067.620199999998</v>
      </c>
      <c r="V53" s="7">
        <v>1</v>
      </c>
      <c r="W53"/>
      <c r="X53" s="8">
        <v>44955.469400000002</v>
      </c>
      <c r="Y53" s="7">
        <v>1</v>
      </c>
      <c r="Z53"/>
      <c r="AA53" s="8">
        <v>47803.222099999999</v>
      </c>
      <c r="AB53" s="7">
        <v>1</v>
      </c>
      <c r="AC53"/>
      <c r="AD53" s="8">
        <v>45861.464699999997</v>
      </c>
      <c r="AE53" s="7">
        <v>1</v>
      </c>
      <c r="AF53"/>
      <c r="AG53" s="8">
        <v>44617.767699999997</v>
      </c>
      <c r="AH53" s="7">
        <v>1</v>
      </c>
      <c r="AI53"/>
      <c r="AJ53" s="8">
        <v>44076.659099999997</v>
      </c>
      <c r="AK53" s="7">
        <v>1</v>
      </c>
      <c r="AL53"/>
      <c r="AM53" s="8">
        <v>38254.266600000003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5633.9754000000003</v>
      </c>
      <c r="D54" s="7">
        <v>1.001003E-2</v>
      </c>
      <c r="E54"/>
      <c r="F54" s="8">
        <v>322.75</v>
      </c>
      <c r="G54" s="7">
        <v>6.5370899999999997E-3</v>
      </c>
      <c r="H54"/>
      <c r="I54" s="8">
        <v>212.88</v>
      </c>
      <c r="J54" s="7">
        <v>3.9496000000000002E-3</v>
      </c>
      <c r="K54"/>
      <c r="L54" s="8">
        <v>490.06</v>
      </c>
      <c r="M54" s="7">
        <v>9.1761800000000008E-3</v>
      </c>
      <c r="N54"/>
      <c r="O54" s="8">
        <v>524.27</v>
      </c>
      <c r="P54" s="7">
        <v>9.9814400000000011E-3</v>
      </c>
      <c r="Q54"/>
      <c r="R54" s="8">
        <v>773.15520000000004</v>
      </c>
      <c r="S54" s="7">
        <v>1.6109080000000001E-2</v>
      </c>
      <c r="T54"/>
      <c r="U54" s="8">
        <v>624.51229999999998</v>
      </c>
      <c r="V54" s="7">
        <v>1.558646E-2</v>
      </c>
      <c r="W54"/>
      <c r="X54" s="8">
        <v>579.92240000000004</v>
      </c>
      <c r="Y54" s="7">
        <v>1.289993E-2</v>
      </c>
      <c r="Z54"/>
      <c r="AA54" s="8">
        <v>532.27779999999996</v>
      </c>
      <c r="AB54" s="7">
        <v>1.113477E-2</v>
      </c>
      <c r="AC54"/>
      <c r="AD54" s="8">
        <v>575.31820000000005</v>
      </c>
      <c r="AE54" s="7">
        <v>1.2544700000000001E-2</v>
      </c>
      <c r="AF54"/>
      <c r="AG54" s="8">
        <v>415.99090000000001</v>
      </c>
      <c r="AH54" s="7">
        <v>9.3234399999999988E-3</v>
      </c>
      <c r="AI54"/>
      <c r="AJ54" s="8">
        <v>291.2371</v>
      </c>
      <c r="AK54" s="7">
        <v>6.6075099999999996E-3</v>
      </c>
      <c r="AL54"/>
      <c r="AM54" s="8">
        <v>291.60149999999999</v>
      </c>
      <c r="AN54" s="7">
        <v>7.6227199999999986E-3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0</v>
      </c>
      <c r="D56" s="7">
        <v>0</v>
      </c>
      <c r="E56"/>
      <c r="F56" s="8">
        <v>0</v>
      </c>
      <c r="G56" s="7">
        <v>0</v>
      </c>
      <c r="H56"/>
      <c r="I56" s="8">
        <v>0</v>
      </c>
      <c r="J56" s="7">
        <v>0</v>
      </c>
      <c r="K56"/>
      <c r="L56" s="8">
        <v>0</v>
      </c>
      <c r="M56" s="7">
        <v>0</v>
      </c>
      <c r="N56"/>
      <c r="O56" s="8">
        <v>0</v>
      </c>
      <c r="P56" s="7">
        <v>0</v>
      </c>
      <c r="Q56"/>
      <c r="R56" s="8">
        <v>0</v>
      </c>
      <c r="S56" s="7">
        <v>0</v>
      </c>
      <c r="T56"/>
      <c r="U56" s="8">
        <v>0</v>
      </c>
      <c r="V56" s="7">
        <v>0</v>
      </c>
      <c r="W56"/>
      <c r="X56" s="8">
        <v>0</v>
      </c>
      <c r="Y56" s="7">
        <v>0</v>
      </c>
      <c r="Z56"/>
      <c r="AA56" s="8">
        <v>0</v>
      </c>
      <c r="AB56" s="7">
        <v>0</v>
      </c>
      <c r="AC56"/>
      <c r="AD56" s="8">
        <v>0</v>
      </c>
      <c r="AE56" s="7">
        <v>0</v>
      </c>
      <c r="AF56"/>
      <c r="AG56" s="8">
        <v>0</v>
      </c>
      <c r="AH56" s="7">
        <v>0</v>
      </c>
      <c r="AI56"/>
      <c r="AJ56" s="8">
        <v>0</v>
      </c>
      <c r="AK56" s="7">
        <v>0</v>
      </c>
      <c r="AL56"/>
      <c r="AM56" s="8">
        <v>0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557198.86179999996</v>
      </c>
      <c r="D57" s="327">
        <v>0.98998997</v>
      </c>
      <c r="E57"/>
      <c r="F57" s="326">
        <v>49049.34</v>
      </c>
      <c r="G57" s="327">
        <v>0.99346290999999998</v>
      </c>
      <c r="H57"/>
      <c r="I57" s="326">
        <v>53686.28</v>
      </c>
      <c r="J57" s="327">
        <v>0.9960504</v>
      </c>
      <c r="K57"/>
      <c r="L57" s="326">
        <v>52915.58</v>
      </c>
      <c r="M57" s="327">
        <v>0.99082381999999991</v>
      </c>
      <c r="N57"/>
      <c r="O57" s="326">
        <v>52000.21</v>
      </c>
      <c r="P57" s="327">
        <v>0.99001855999999999</v>
      </c>
      <c r="Q57"/>
      <c r="R57" s="326">
        <v>47221.842199999999</v>
      </c>
      <c r="S57" s="327">
        <v>0.98389092</v>
      </c>
      <c r="T57"/>
      <c r="U57" s="326">
        <v>39443.107900000003</v>
      </c>
      <c r="V57" s="327">
        <v>0.98441354000000003</v>
      </c>
      <c r="W57"/>
      <c r="X57" s="326">
        <v>44375.546900000001</v>
      </c>
      <c r="Y57" s="327">
        <v>0.98710007</v>
      </c>
      <c r="Z57"/>
      <c r="AA57" s="326">
        <v>47270.9444</v>
      </c>
      <c r="AB57" s="327">
        <v>0.98886522999999993</v>
      </c>
      <c r="AC57"/>
      <c r="AD57" s="326">
        <v>45286.146500000003</v>
      </c>
      <c r="AE57" s="327">
        <v>0.98745530000000004</v>
      </c>
      <c r="AF57"/>
      <c r="AG57" s="326">
        <v>44201.7768</v>
      </c>
      <c r="AH57" s="327">
        <v>0.99067656000000004</v>
      </c>
      <c r="AI57"/>
      <c r="AJ57" s="326">
        <v>43785.421999999999</v>
      </c>
      <c r="AK57" s="327">
        <v>0.99339248999999996</v>
      </c>
      <c r="AL57"/>
      <c r="AM57" s="326">
        <v>37962.665099999998</v>
      </c>
      <c r="AN57" s="327">
        <v>0.99237728000000003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35702.33</v>
      </c>
      <c r="D60" s="327">
        <v>6.343327E-2</v>
      </c>
      <c r="E60"/>
      <c r="F60" s="326">
        <v>1512.21</v>
      </c>
      <c r="G60" s="327">
        <v>3.0628840000000001E-2</v>
      </c>
      <c r="H60"/>
      <c r="I60" s="326">
        <v>6830.78</v>
      </c>
      <c r="J60" s="327">
        <v>0.12673259000000001</v>
      </c>
      <c r="K60"/>
      <c r="L60" s="326">
        <v>1718.45</v>
      </c>
      <c r="M60" s="327">
        <v>3.2177310000000001E-2</v>
      </c>
      <c r="N60"/>
      <c r="O60" s="326">
        <v>1140.8900000000001</v>
      </c>
      <c r="P60" s="327">
        <v>2.1721109999999998E-2</v>
      </c>
      <c r="Q60"/>
      <c r="R60" s="326">
        <v>2500</v>
      </c>
      <c r="S60" s="327">
        <v>5.2088759999999998E-2</v>
      </c>
      <c r="T60"/>
      <c r="U60" s="326">
        <v>2000</v>
      </c>
      <c r="V60" s="327">
        <v>4.9915620000000001E-2</v>
      </c>
      <c r="W60"/>
      <c r="X60" s="326">
        <v>2500</v>
      </c>
      <c r="Y60" s="327">
        <v>5.5610590000000001E-2</v>
      </c>
      <c r="Z60"/>
      <c r="AA60" s="326">
        <v>3000</v>
      </c>
      <c r="AB60" s="327">
        <v>6.2757279999999999E-2</v>
      </c>
      <c r="AC60"/>
      <c r="AD60" s="326">
        <v>4000</v>
      </c>
      <c r="AE60" s="327">
        <v>8.7219190000000002E-2</v>
      </c>
      <c r="AF60"/>
      <c r="AG60" s="326">
        <v>3500</v>
      </c>
      <c r="AH60" s="327">
        <v>7.8444089999999994E-2</v>
      </c>
      <c r="AI60"/>
      <c r="AJ60" s="326">
        <v>4500</v>
      </c>
      <c r="AK60" s="327">
        <v>0.10209485</v>
      </c>
      <c r="AL60"/>
      <c r="AM60" s="326">
        <v>2500</v>
      </c>
      <c r="AN60" s="327">
        <v>6.5352189999999991E-2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8295614.6541999998</v>
      </c>
      <c r="D63" s="327">
        <v>0.60202436000000004</v>
      </c>
      <c r="E63"/>
      <c r="F63" s="326">
        <v>337650.45</v>
      </c>
      <c r="G63" s="327">
        <v>0.46279529000000003</v>
      </c>
      <c r="H63"/>
      <c r="I63" s="326">
        <v>343522.28</v>
      </c>
      <c r="J63" s="327">
        <v>0.43801436999999999</v>
      </c>
      <c r="K63"/>
      <c r="L63" s="326">
        <v>649738.41</v>
      </c>
      <c r="M63" s="327">
        <v>0.59263524000000001</v>
      </c>
      <c r="N63"/>
      <c r="O63" s="326">
        <v>670584.04</v>
      </c>
      <c r="P63" s="327">
        <v>0.57801364999999993</v>
      </c>
      <c r="Q63"/>
      <c r="R63" s="326">
        <v>975389.03189999994</v>
      </c>
      <c r="S63" s="327">
        <v>0.66862160999999998</v>
      </c>
      <c r="T63"/>
      <c r="U63" s="326">
        <v>840186.47690000001</v>
      </c>
      <c r="V63" s="327">
        <v>0.63739824</v>
      </c>
      <c r="W63"/>
      <c r="X63" s="326">
        <v>656915.58319999999</v>
      </c>
      <c r="Y63" s="327">
        <v>0.60151929000000004</v>
      </c>
      <c r="Z63"/>
      <c r="AA63" s="326">
        <v>602033.45759999997</v>
      </c>
      <c r="AB63" s="327">
        <v>0.57446243000000008</v>
      </c>
      <c r="AC63"/>
      <c r="AD63" s="326">
        <v>932786.29070000001</v>
      </c>
      <c r="AE63" s="327">
        <v>0.65611756999999993</v>
      </c>
      <c r="AF63"/>
      <c r="AG63" s="326">
        <v>860946.53049999999</v>
      </c>
      <c r="AH63" s="327">
        <v>0.64503243999999993</v>
      </c>
      <c r="AI63"/>
      <c r="AJ63" s="326">
        <v>758972.6176</v>
      </c>
      <c r="AK63" s="327">
        <v>0.61129266000000004</v>
      </c>
      <c r="AL63"/>
      <c r="AM63" s="326">
        <v>666889.48580000002</v>
      </c>
      <c r="AN63" s="327">
        <v>0.60951838000000003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351058.4313</v>
      </c>
      <c r="D66" s="7">
        <v>2.5476800000000001E-2</v>
      </c>
      <c r="E66"/>
      <c r="F66" s="8">
        <v>28428.57</v>
      </c>
      <c r="G66" s="7">
        <v>3.896517E-2</v>
      </c>
      <c r="H66"/>
      <c r="I66" s="8">
        <v>32947.67</v>
      </c>
      <c r="J66" s="7">
        <v>4.2010529999999997E-2</v>
      </c>
      <c r="K66"/>
      <c r="L66" s="8">
        <v>31575.31</v>
      </c>
      <c r="M66" s="7">
        <v>2.8800269999999999E-2</v>
      </c>
      <c r="N66"/>
      <c r="O66" s="8">
        <v>29300</v>
      </c>
      <c r="P66" s="7">
        <v>2.5255300000000001E-2</v>
      </c>
      <c r="Q66"/>
      <c r="R66" s="8">
        <v>23896.232199999999</v>
      </c>
      <c r="S66" s="7">
        <v>1.6380680000000002E-2</v>
      </c>
      <c r="T66"/>
      <c r="U66" s="8">
        <v>29313.953300000001</v>
      </c>
      <c r="V66" s="7">
        <v>2.2238709999999998E-2</v>
      </c>
      <c r="W66"/>
      <c r="X66" s="8">
        <v>30877.130499999999</v>
      </c>
      <c r="Y66" s="7">
        <v>2.8273329999999999E-2</v>
      </c>
      <c r="Z66"/>
      <c r="AA66" s="8">
        <v>30162.608700000001</v>
      </c>
      <c r="AB66" s="7">
        <v>2.8781270000000001E-2</v>
      </c>
      <c r="AC66"/>
      <c r="AD66" s="8">
        <v>28656.935000000001</v>
      </c>
      <c r="AE66" s="7">
        <v>2.015716E-2</v>
      </c>
      <c r="AF66"/>
      <c r="AG66" s="8">
        <v>30727.3004</v>
      </c>
      <c r="AH66" s="7">
        <v>2.3021300000000001E-2</v>
      </c>
      <c r="AI66"/>
      <c r="AJ66" s="8">
        <v>27091.817999999999</v>
      </c>
      <c r="AK66" s="7">
        <v>2.1820329999999999E-2</v>
      </c>
      <c r="AL66"/>
      <c r="AM66" s="8">
        <v>28080.903200000001</v>
      </c>
      <c r="AN66" s="7">
        <v>2.5665159999999999E-2</v>
      </c>
    </row>
    <row r="67" spans="2:40" s="314" customFormat="1" ht="12.75" customHeight="1" x14ac:dyDescent="0.15">
      <c r="B67" s="5" t="s">
        <v>40</v>
      </c>
      <c r="C67" s="8">
        <v>327344.99219999998</v>
      </c>
      <c r="D67" s="7">
        <v>2.375588E-2</v>
      </c>
      <c r="E67"/>
      <c r="F67" s="8">
        <v>17330.04</v>
      </c>
      <c r="G67" s="7">
        <v>2.3753150000000001E-2</v>
      </c>
      <c r="H67"/>
      <c r="I67" s="8">
        <v>19864.78</v>
      </c>
      <c r="J67" s="7">
        <v>2.5328949999999999E-2</v>
      </c>
      <c r="K67"/>
      <c r="L67" s="8">
        <v>23877.34</v>
      </c>
      <c r="M67" s="7">
        <v>2.1778849999999999E-2</v>
      </c>
      <c r="N67"/>
      <c r="O67" s="8">
        <v>29457.81</v>
      </c>
      <c r="P67" s="7">
        <v>2.5391319999999998E-2</v>
      </c>
      <c r="Q67"/>
      <c r="R67" s="8">
        <v>33590.203699999998</v>
      </c>
      <c r="S67" s="7">
        <v>2.3025819999999999E-2</v>
      </c>
      <c r="T67"/>
      <c r="U67" s="8">
        <v>31860.224600000001</v>
      </c>
      <c r="V67" s="7">
        <v>2.417041E-2</v>
      </c>
      <c r="W67"/>
      <c r="X67" s="8">
        <v>26652.114099999999</v>
      </c>
      <c r="Y67" s="7">
        <v>2.4404599999999999E-2</v>
      </c>
      <c r="Z67"/>
      <c r="AA67" s="8">
        <v>24611.881399999998</v>
      </c>
      <c r="AB67" s="7">
        <v>2.348474E-2</v>
      </c>
      <c r="AC67"/>
      <c r="AD67" s="8">
        <v>32646.023700000002</v>
      </c>
      <c r="AE67" s="7">
        <v>2.296306E-2</v>
      </c>
      <c r="AF67"/>
      <c r="AG67" s="8">
        <v>30776.7742</v>
      </c>
      <c r="AH67" s="7">
        <v>2.305836E-2</v>
      </c>
      <c r="AI67"/>
      <c r="AJ67" s="8">
        <v>31074.106400000001</v>
      </c>
      <c r="AK67" s="7">
        <v>2.5027750000000001E-2</v>
      </c>
      <c r="AL67"/>
      <c r="AM67" s="8">
        <v>25603.694100000001</v>
      </c>
      <c r="AN67" s="7">
        <v>2.3401060000000001E-2</v>
      </c>
    </row>
    <row r="68" spans="2:40" s="314" customFormat="1" ht="12.75" customHeight="1" x14ac:dyDescent="0.15">
      <c r="B68" s="325" t="s">
        <v>41</v>
      </c>
      <c r="C68" s="326">
        <v>-678403.42370000004</v>
      </c>
      <c r="D68" s="327">
        <v>-4.9232690000000003E-2</v>
      </c>
      <c r="E68"/>
      <c r="F68" s="326">
        <v>-45758.61</v>
      </c>
      <c r="G68" s="327">
        <v>-6.2718319999999994E-2</v>
      </c>
      <c r="H68"/>
      <c r="I68" s="326">
        <v>-52812.45</v>
      </c>
      <c r="J68" s="327">
        <v>-6.7339479999999993E-2</v>
      </c>
      <c r="K68"/>
      <c r="L68" s="326">
        <v>-55452.65</v>
      </c>
      <c r="M68" s="327">
        <v>-5.0579119999999998E-2</v>
      </c>
      <c r="N68"/>
      <c r="O68" s="326">
        <v>-58757.81</v>
      </c>
      <c r="P68" s="327">
        <v>-5.0646620000000003E-2</v>
      </c>
      <c r="Q68"/>
      <c r="R68" s="326">
        <v>-57486.436000000002</v>
      </c>
      <c r="S68" s="327">
        <v>-3.9406509999999999E-2</v>
      </c>
      <c r="T68"/>
      <c r="U68" s="326">
        <v>-61174.177900000002</v>
      </c>
      <c r="V68" s="327">
        <v>-4.6409119999999998E-2</v>
      </c>
      <c r="W68"/>
      <c r="X68" s="326">
        <v>-57529.244599999998</v>
      </c>
      <c r="Y68" s="327">
        <v>-5.2677929999999998E-2</v>
      </c>
      <c r="Z68"/>
      <c r="AA68" s="326">
        <v>-54774.490100000003</v>
      </c>
      <c r="AB68" s="327">
        <v>-5.2266009999999988E-2</v>
      </c>
      <c r="AC68"/>
      <c r="AD68" s="326">
        <v>-61302.9588</v>
      </c>
      <c r="AE68" s="327">
        <v>-4.3120220000000001E-2</v>
      </c>
      <c r="AF68"/>
      <c r="AG68" s="326">
        <v>-61504.0746</v>
      </c>
      <c r="AH68" s="327">
        <v>-4.6079660000000001E-2</v>
      </c>
      <c r="AI68"/>
      <c r="AJ68" s="326">
        <v>-58165.924400000004</v>
      </c>
      <c r="AK68" s="327">
        <v>-4.6848069999999999E-2</v>
      </c>
      <c r="AL68"/>
      <c r="AM68" s="326">
        <v>-53684.597300000001</v>
      </c>
      <c r="AN68" s="327">
        <v>-4.9066219999999987E-2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31226.89</v>
      </c>
      <c r="D71" s="7">
        <v>2.26618E-3</v>
      </c>
      <c r="E71"/>
      <c r="F71" s="8">
        <v>2450.36</v>
      </c>
      <c r="G71" s="7">
        <v>3.3585500000000001E-3</v>
      </c>
      <c r="H71"/>
      <c r="I71" s="8">
        <v>3137.1</v>
      </c>
      <c r="J71" s="7">
        <v>4.00002E-3</v>
      </c>
      <c r="K71"/>
      <c r="L71" s="8">
        <v>2576.5700000000002</v>
      </c>
      <c r="M71" s="7">
        <v>2.3501199999999998E-3</v>
      </c>
      <c r="N71"/>
      <c r="O71" s="8">
        <v>2502.86</v>
      </c>
      <c r="P71" s="7">
        <v>2.1573500000000002E-3</v>
      </c>
      <c r="Q71"/>
      <c r="R71" s="8">
        <v>2570</v>
      </c>
      <c r="S71" s="7">
        <v>1.76172E-3</v>
      </c>
      <c r="T71"/>
      <c r="U71" s="8">
        <v>2570</v>
      </c>
      <c r="V71" s="7">
        <v>1.9497E-3</v>
      </c>
      <c r="W71"/>
      <c r="X71" s="8">
        <v>2570</v>
      </c>
      <c r="Y71" s="7">
        <v>2.3532800000000001E-3</v>
      </c>
      <c r="Z71"/>
      <c r="AA71" s="8">
        <v>2570</v>
      </c>
      <c r="AB71" s="7">
        <v>2.4523000000000001E-3</v>
      </c>
      <c r="AC71"/>
      <c r="AD71" s="8">
        <v>2570</v>
      </c>
      <c r="AE71" s="7">
        <v>1.80773E-3</v>
      </c>
      <c r="AF71"/>
      <c r="AG71" s="8">
        <v>2570</v>
      </c>
      <c r="AH71" s="7">
        <v>1.92548E-3</v>
      </c>
      <c r="AI71"/>
      <c r="AJ71" s="8">
        <v>2570</v>
      </c>
      <c r="AK71" s="7">
        <v>2.0699300000000002E-3</v>
      </c>
      <c r="AL71"/>
      <c r="AM71" s="8">
        <v>2570</v>
      </c>
      <c r="AN71" s="7">
        <v>2.3489100000000001E-3</v>
      </c>
    </row>
    <row r="72" spans="2:40" s="314" customFormat="1" ht="12.75" customHeight="1" x14ac:dyDescent="0.15">
      <c r="B72" s="5" t="s">
        <v>56</v>
      </c>
      <c r="C72" s="8">
        <v>171751.64</v>
      </c>
      <c r="D72" s="7">
        <v>1.246426E-2</v>
      </c>
      <c r="E72"/>
      <c r="F72" s="8">
        <v>14022.71</v>
      </c>
      <c r="G72" s="7">
        <v>1.9220009999999999E-2</v>
      </c>
      <c r="H72"/>
      <c r="I72" s="8">
        <v>14490.78</v>
      </c>
      <c r="J72" s="7">
        <v>1.847673E-2</v>
      </c>
      <c r="K72"/>
      <c r="L72" s="8">
        <v>14918.96</v>
      </c>
      <c r="M72" s="7">
        <v>1.360779E-2</v>
      </c>
      <c r="N72"/>
      <c r="O72" s="8">
        <v>15031.19</v>
      </c>
      <c r="P72" s="7">
        <v>1.2956219999999999E-2</v>
      </c>
      <c r="Q72"/>
      <c r="R72" s="8">
        <v>14113</v>
      </c>
      <c r="S72" s="7">
        <v>9.67435E-3</v>
      </c>
      <c r="T72"/>
      <c r="U72" s="8">
        <v>14113</v>
      </c>
      <c r="V72" s="7">
        <v>1.070667E-2</v>
      </c>
      <c r="W72"/>
      <c r="X72" s="8">
        <v>14305</v>
      </c>
      <c r="Y72" s="7">
        <v>1.309869E-2</v>
      </c>
      <c r="Z72"/>
      <c r="AA72" s="8">
        <v>14113</v>
      </c>
      <c r="AB72" s="7">
        <v>1.346667E-2</v>
      </c>
      <c r="AC72"/>
      <c r="AD72" s="8">
        <v>14113</v>
      </c>
      <c r="AE72" s="7">
        <v>9.9270199999999999E-3</v>
      </c>
      <c r="AF72"/>
      <c r="AG72" s="8">
        <v>14305</v>
      </c>
      <c r="AH72" s="7">
        <v>1.071749E-2</v>
      </c>
      <c r="AI72"/>
      <c r="AJ72" s="8">
        <v>14113</v>
      </c>
      <c r="AK72" s="7">
        <v>1.1366909999999999E-2</v>
      </c>
      <c r="AL72"/>
      <c r="AM72" s="8">
        <v>14113</v>
      </c>
      <c r="AN72" s="7">
        <v>1.289889E-2</v>
      </c>
    </row>
    <row r="73" spans="2:40" s="314" customFormat="1" ht="12.75" customHeight="1" x14ac:dyDescent="0.15">
      <c r="B73" s="5" t="s">
        <v>40</v>
      </c>
      <c r="C73" s="8">
        <v>-2250.58</v>
      </c>
      <c r="D73" s="7">
        <v>-1.6333E-4</v>
      </c>
      <c r="E73"/>
      <c r="F73" s="8">
        <v>250</v>
      </c>
      <c r="G73" s="7">
        <v>3.4266E-4</v>
      </c>
      <c r="H73"/>
      <c r="I73" s="8">
        <v>-5500.58</v>
      </c>
      <c r="J73" s="7">
        <v>-7.0136200000000008E-3</v>
      </c>
      <c r="K73"/>
      <c r="L73" s="8">
        <v>750</v>
      </c>
      <c r="M73" s="7">
        <v>6.8408999999999994E-4</v>
      </c>
      <c r="N73"/>
      <c r="O73" s="8">
        <v>250</v>
      </c>
      <c r="P73" s="7">
        <v>2.1549000000000001E-4</v>
      </c>
      <c r="Q73"/>
      <c r="R73" s="8">
        <v>250</v>
      </c>
      <c r="S73" s="7">
        <v>1.7137000000000001E-4</v>
      </c>
      <c r="T73"/>
      <c r="U73" s="8">
        <v>250</v>
      </c>
      <c r="V73" s="7">
        <v>1.8966E-4</v>
      </c>
      <c r="W73"/>
      <c r="X73" s="8">
        <v>250</v>
      </c>
      <c r="Y73" s="7">
        <v>2.2892E-4</v>
      </c>
      <c r="Z73"/>
      <c r="AA73" s="8">
        <v>250</v>
      </c>
      <c r="AB73" s="7">
        <v>2.3855E-4</v>
      </c>
      <c r="AC73"/>
      <c r="AD73" s="8">
        <v>250</v>
      </c>
      <c r="AE73" s="7">
        <v>1.7584999999999999E-4</v>
      </c>
      <c r="AF73"/>
      <c r="AG73" s="8">
        <v>250</v>
      </c>
      <c r="AH73" s="7">
        <v>1.873E-4</v>
      </c>
      <c r="AI73"/>
      <c r="AJ73" s="8">
        <v>250</v>
      </c>
      <c r="AK73" s="7">
        <v>2.0136000000000001E-4</v>
      </c>
      <c r="AL73"/>
      <c r="AM73" s="8">
        <v>250</v>
      </c>
      <c r="AN73" s="7">
        <v>2.2849E-4</v>
      </c>
    </row>
    <row r="74" spans="2:40" s="314" customFormat="1" ht="12.75" customHeight="1" x14ac:dyDescent="0.15">
      <c r="B74" s="325" t="s">
        <v>41</v>
      </c>
      <c r="C74" s="326">
        <v>-200727.95</v>
      </c>
      <c r="D74" s="327">
        <v>-1.4567109999999999E-2</v>
      </c>
      <c r="E74"/>
      <c r="F74" s="326">
        <v>-16723.07</v>
      </c>
      <c r="G74" s="327">
        <v>-2.2921210000000001E-2</v>
      </c>
      <c r="H74"/>
      <c r="I74" s="326">
        <v>-12127.3</v>
      </c>
      <c r="J74" s="327">
        <v>-1.546314E-2</v>
      </c>
      <c r="K74"/>
      <c r="L74" s="326">
        <v>-18245.53</v>
      </c>
      <c r="M74" s="327">
        <v>-1.6642000000000001E-2</v>
      </c>
      <c r="N74"/>
      <c r="O74" s="326">
        <v>-17784.05</v>
      </c>
      <c r="P74" s="327">
        <v>-1.532906E-2</v>
      </c>
      <c r="Q74"/>
      <c r="R74" s="326">
        <v>-16933</v>
      </c>
      <c r="S74" s="327">
        <v>-1.160744E-2</v>
      </c>
      <c r="T74"/>
      <c r="U74" s="326">
        <v>-16933</v>
      </c>
      <c r="V74" s="327">
        <v>-1.284603E-2</v>
      </c>
      <c r="W74"/>
      <c r="X74" s="326">
        <v>-17125</v>
      </c>
      <c r="Y74" s="327">
        <v>-1.5680889999999999E-2</v>
      </c>
      <c r="Z74"/>
      <c r="AA74" s="326">
        <v>-16933</v>
      </c>
      <c r="AB74" s="327">
        <v>-1.615753E-2</v>
      </c>
      <c r="AC74"/>
      <c r="AD74" s="326">
        <v>-16933</v>
      </c>
      <c r="AE74" s="327">
        <v>-1.191059E-2</v>
      </c>
      <c r="AF74"/>
      <c r="AG74" s="326">
        <v>-17125</v>
      </c>
      <c r="AH74" s="327">
        <v>-1.283027E-2</v>
      </c>
      <c r="AI74"/>
      <c r="AJ74" s="326">
        <v>-16933</v>
      </c>
      <c r="AK74" s="327">
        <v>-1.36382E-2</v>
      </c>
      <c r="AL74"/>
      <c r="AM74" s="326">
        <v>-16933</v>
      </c>
      <c r="AN74" s="327">
        <v>-1.547629E-2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206928.91500000001</v>
      </c>
      <c r="D77" s="7">
        <v>1.501712E-2</v>
      </c>
      <c r="E77"/>
      <c r="F77" s="8">
        <v>6533.38</v>
      </c>
      <c r="G77" s="7">
        <v>8.9548700000000002E-3</v>
      </c>
      <c r="H77"/>
      <c r="I77" s="8">
        <v>16411.419999999998</v>
      </c>
      <c r="J77" s="7">
        <v>2.0925679999999999E-2</v>
      </c>
      <c r="K77"/>
      <c r="L77" s="8">
        <v>16444.59</v>
      </c>
      <c r="M77" s="7">
        <v>1.499933E-2</v>
      </c>
      <c r="N77"/>
      <c r="O77" s="8">
        <v>17402.05</v>
      </c>
      <c r="P77" s="7">
        <v>1.4999790000000001E-2</v>
      </c>
      <c r="Q77"/>
      <c r="R77" s="8">
        <v>21882.085899999998</v>
      </c>
      <c r="S77" s="7">
        <v>1.4999999999999999E-2</v>
      </c>
      <c r="T77"/>
      <c r="U77" s="8">
        <v>19772.2497</v>
      </c>
      <c r="V77" s="7">
        <v>1.4999999999999999E-2</v>
      </c>
      <c r="W77"/>
      <c r="X77" s="8">
        <v>16381.4094</v>
      </c>
      <c r="Y77" s="7">
        <v>1.4999999999999999E-2</v>
      </c>
      <c r="Z77"/>
      <c r="AA77" s="8">
        <v>15719.9172</v>
      </c>
      <c r="AB77" s="7">
        <v>1.4999999999999999E-2</v>
      </c>
      <c r="AC77"/>
      <c r="AD77" s="8">
        <v>21325.132799999999</v>
      </c>
      <c r="AE77" s="7">
        <v>1.4999999999999999E-2</v>
      </c>
      <c r="AF77"/>
      <c r="AG77" s="8">
        <v>20021.005300000001</v>
      </c>
      <c r="AH77" s="7">
        <v>1.4999999999999999E-2</v>
      </c>
      <c r="AI77"/>
      <c r="AJ77" s="8">
        <v>18623.795099999999</v>
      </c>
      <c r="AK77" s="7">
        <v>1.4999999999999999E-2</v>
      </c>
      <c r="AL77"/>
      <c r="AM77" s="8">
        <v>16411.8796</v>
      </c>
      <c r="AN77" s="7">
        <v>1.4999999999999999E-2</v>
      </c>
    </row>
    <row r="78" spans="2:40" s="314" customFormat="1" ht="12.75" customHeight="1" x14ac:dyDescent="0.15">
      <c r="B78" s="5" t="s">
        <v>40</v>
      </c>
      <c r="C78" s="8">
        <v>653301.27399999998</v>
      </c>
      <c r="D78" s="7">
        <v>4.741099E-2</v>
      </c>
      <c r="E78"/>
      <c r="F78" s="8">
        <v>30606.32</v>
      </c>
      <c r="G78" s="7">
        <v>4.1950070000000013E-2</v>
      </c>
      <c r="H78"/>
      <c r="I78" s="8">
        <v>31143.14</v>
      </c>
      <c r="J78" s="7">
        <v>3.9709630000000003E-2</v>
      </c>
      <c r="K78"/>
      <c r="L78" s="8">
        <v>48117.85</v>
      </c>
      <c r="M78" s="7">
        <v>4.3888950000000003E-2</v>
      </c>
      <c r="N78"/>
      <c r="O78" s="8">
        <v>52686.7</v>
      </c>
      <c r="P78" s="7">
        <v>4.5413589999999997E-2</v>
      </c>
      <c r="Q78"/>
      <c r="R78" s="8">
        <v>72738.246599999999</v>
      </c>
      <c r="S78" s="7">
        <v>4.9861500000000003E-2</v>
      </c>
      <c r="T78"/>
      <c r="U78" s="8">
        <v>64049.879099999998</v>
      </c>
      <c r="V78" s="7">
        <v>4.8590739999999993E-2</v>
      </c>
      <c r="W78"/>
      <c r="X78" s="8">
        <v>53924.372199999998</v>
      </c>
      <c r="Y78" s="7">
        <v>4.9377039999999997E-2</v>
      </c>
      <c r="Z78"/>
      <c r="AA78" s="8">
        <v>52235.682399999998</v>
      </c>
      <c r="AB78" s="7">
        <v>4.9843469999999987E-2</v>
      </c>
      <c r="AC78"/>
      <c r="AD78" s="8">
        <v>70064.753700000001</v>
      </c>
      <c r="AE78" s="7">
        <v>4.9283220000000003E-2</v>
      </c>
      <c r="AF78"/>
      <c r="AG78" s="8">
        <v>64879.258800000003</v>
      </c>
      <c r="AH78" s="7">
        <v>4.8608390000000001E-2</v>
      </c>
      <c r="AI78"/>
      <c r="AJ78" s="8">
        <v>59719.307699999998</v>
      </c>
      <c r="AK78" s="7">
        <v>4.8099200000000002E-2</v>
      </c>
      <c r="AL78"/>
      <c r="AM78" s="8">
        <v>53135.763500000001</v>
      </c>
      <c r="AN78" s="7">
        <v>4.8564610000000001E-2</v>
      </c>
    </row>
    <row r="79" spans="2:40" s="314" customFormat="1" ht="12.75" customHeight="1" x14ac:dyDescent="0.15">
      <c r="B79" s="325" t="s">
        <v>41</v>
      </c>
      <c r="C79" s="326">
        <v>-860230.18900000001</v>
      </c>
      <c r="D79" s="327">
        <v>-6.2428109999999988E-2</v>
      </c>
      <c r="E79"/>
      <c r="F79" s="326">
        <v>-37139.699999999997</v>
      </c>
      <c r="G79" s="327">
        <v>-5.0904949999999997E-2</v>
      </c>
      <c r="H79"/>
      <c r="I79" s="326">
        <v>-47554.559999999998</v>
      </c>
      <c r="J79" s="327">
        <v>-6.0635309999999998E-2</v>
      </c>
      <c r="K79"/>
      <c r="L79" s="326">
        <v>-64562.44</v>
      </c>
      <c r="M79" s="327">
        <v>-5.8888280000000001E-2</v>
      </c>
      <c r="N79"/>
      <c r="O79" s="326">
        <v>-70088.75</v>
      </c>
      <c r="P79" s="327">
        <v>-6.0413389999999997E-2</v>
      </c>
      <c r="Q79"/>
      <c r="R79" s="326">
        <v>-94620.332500000004</v>
      </c>
      <c r="S79" s="327">
        <v>-6.4861500000000002E-2</v>
      </c>
      <c r="T79"/>
      <c r="U79" s="326">
        <v>-83822.128800000006</v>
      </c>
      <c r="V79" s="327">
        <v>-6.3590739999999993E-2</v>
      </c>
      <c r="W79"/>
      <c r="X79" s="326">
        <v>-70305.781600000002</v>
      </c>
      <c r="Y79" s="327">
        <v>-6.4377039999999996E-2</v>
      </c>
      <c r="Z79"/>
      <c r="AA79" s="326">
        <v>-67955.599600000001</v>
      </c>
      <c r="AB79" s="327">
        <v>-6.484347E-2</v>
      </c>
      <c r="AC79"/>
      <c r="AD79" s="326">
        <v>-91389.886499999993</v>
      </c>
      <c r="AE79" s="327">
        <v>-6.4283220000000002E-2</v>
      </c>
      <c r="AF79"/>
      <c r="AG79" s="326">
        <v>-84900.2641</v>
      </c>
      <c r="AH79" s="327">
        <v>-6.3608390000000001E-2</v>
      </c>
      <c r="AI79"/>
      <c r="AJ79" s="326">
        <v>-78343.102799999993</v>
      </c>
      <c r="AK79" s="327">
        <v>-6.3099199999999994E-2</v>
      </c>
      <c r="AL79"/>
      <c r="AM79" s="326">
        <v>-69547.643100000001</v>
      </c>
      <c r="AN79" s="327">
        <v>-6.3564610000000007E-2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190909.2084</v>
      </c>
      <c r="D82" s="7">
        <v>1.385455E-2</v>
      </c>
      <c r="E82"/>
      <c r="F82" s="8">
        <v>17411.02</v>
      </c>
      <c r="G82" s="7">
        <v>2.3864139999999999E-2</v>
      </c>
      <c r="H82"/>
      <c r="I82" s="8">
        <v>18905.37</v>
      </c>
      <c r="J82" s="7">
        <v>2.4105640000000001E-2</v>
      </c>
      <c r="K82"/>
      <c r="L82" s="8">
        <v>19725.599999999999</v>
      </c>
      <c r="M82" s="7">
        <v>1.7991989999999999E-2</v>
      </c>
      <c r="N82"/>
      <c r="O82" s="8">
        <v>20523</v>
      </c>
      <c r="P82" s="7">
        <v>1.768991E-2</v>
      </c>
      <c r="Q82"/>
      <c r="R82" s="8">
        <v>14267.497600000001</v>
      </c>
      <c r="S82" s="7">
        <v>9.780259999999999E-3</v>
      </c>
      <c r="T82"/>
      <c r="U82" s="8">
        <v>14802.145500000001</v>
      </c>
      <c r="V82" s="7">
        <v>1.122949E-2</v>
      </c>
      <c r="W82"/>
      <c r="X82" s="8">
        <v>14650.7917</v>
      </c>
      <c r="Y82" s="7">
        <v>1.341532E-2</v>
      </c>
      <c r="Z82"/>
      <c r="AA82" s="8">
        <v>11949.934800000001</v>
      </c>
      <c r="AB82" s="7">
        <v>1.140267E-2</v>
      </c>
      <c r="AC82"/>
      <c r="AD82" s="8">
        <v>14461.384599999999</v>
      </c>
      <c r="AE82" s="7">
        <v>1.017207E-2</v>
      </c>
      <c r="AF82"/>
      <c r="AG82" s="8">
        <v>14107.200500000001</v>
      </c>
      <c r="AH82" s="7">
        <v>1.05693E-2</v>
      </c>
      <c r="AI82"/>
      <c r="AJ82" s="8">
        <v>16662.103299999999</v>
      </c>
      <c r="AK82" s="7">
        <v>1.342001E-2</v>
      </c>
      <c r="AL82"/>
      <c r="AM82" s="8">
        <v>13443.160400000001</v>
      </c>
      <c r="AN82" s="7">
        <v>1.228667E-2</v>
      </c>
    </row>
    <row r="83" spans="2:40" s="314" customFormat="1" ht="12.75" customHeight="1" x14ac:dyDescent="0.15">
      <c r="B83" s="5" t="s">
        <v>40</v>
      </c>
      <c r="C83" s="8">
        <v>262855.59999999998</v>
      </c>
      <c r="D83" s="7">
        <v>1.90758E-2</v>
      </c>
      <c r="E83"/>
      <c r="F83" s="8">
        <v>23119.27</v>
      </c>
      <c r="G83" s="7">
        <v>3.1688059999999997E-2</v>
      </c>
      <c r="H83"/>
      <c r="I83" s="8">
        <v>20681.47</v>
      </c>
      <c r="J83" s="7">
        <v>2.6370290000000001E-2</v>
      </c>
      <c r="K83"/>
      <c r="L83" s="8">
        <v>18132.86</v>
      </c>
      <c r="M83" s="7">
        <v>1.6539229999999999E-2</v>
      </c>
      <c r="N83"/>
      <c r="O83" s="8">
        <v>23358</v>
      </c>
      <c r="P83" s="7">
        <v>2.0133560000000002E-2</v>
      </c>
      <c r="Q83"/>
      <c r="R83" s="8">
        <v>21158</v>
      </c>
      <c r="S83" s="7">
        <v>1.450364E-2</v>
      </c>
      <c r="T83"/>
      <c r="U83" s="8">
        <v>23458</v>
      </c>
      <c r="V83" s="7">
        <v>1.779615E-2</v>
      </c>
      <c r="W83"/>
      <c r="X83" s="8">
        <v>20658</v>
      </c>
      <c r="Y83" s="7">
        <v>1.8915950000000001E-2</v>
      </c>
      <c r="Z83"/>
      <c r="AA83" s="8">
        <v>21658</v>
      </c>
      <c r="AB83" s="7">
        <v>2.066614E-2</v>
      </c>
      <c r="AC83"/>
      <c r="AD83" s="8">
        <v>22658</v>
      </c>
      <c r="AE83" s="7">
        <v>1.5937529999999998E-2</v>
      </c>
      <c r="AF83"/>
      <c r="AG83" s="8">
        <v>22658</v>
      </c>
      <c r="AH83" s="7">
        <v>1.6975670000000002E-2</v>
      </c>
      <c r="AI83"/>
      <c r="AJ83" s="8">
        <v>22658</v>
      </c>
      <c r="AK83" s="7">
        <v>1.8249230000000002E-2</v>
      </c>
      <c r="AL83"/>
      <c r="AM83" s="8">
        <v>22658</v>
      </c>
      <c r="AN83" s="7">
        <v>2.070878E-2</v>
      </c>
    </row>
    <row r="84" spans="2:40" s="314" customFormat="1" ht="12.75" customHeight="1" x14ac:dyDescent="0.15">
      <c r="B84" s="325" t="s">
        <v>41</v>
      </c>
      <c r="C84" s="326">
        <v>-453764.80839999998</v>
      </c>
      <c r="D84" s="327">
        <v>-3.2930349999999997E-2</v>
      </c>
      <c r="E84"/>
      <c r="F84" s="326">
        <v>-40530.29</v>
      </c>
      <c r="G84" s="327">
        <v>-5.5552209999999998E-2</v>
      </c>
      <c r="H84"/>
      <c r="I84" s="326">
        <v>-39586.839999999997</v>
      </c>
      <c r="J84" s="327">
        <v>-5.0475920000000001E-2</v>
      </c>
      <c r="K84"/>
      <c r="L84" s="326">
        <v>-37858.46</v>
      </c>
      <c r="M84" s="327">
        <v>-3.4531220000000001E-2</v>
      </c>
      <c r="N84"/>
      <c r="O84" s="326">
        <v>-43881</v>
      </c>
      <c r="P84" s="327">
        <v>-3.7823469999999998E-2</v>
      </c>
      <c r="Q84"/>
      <c r="R84" s="326">
        <v>-35425.497600000002</v>
      </c>
      <c r="S84" s="327">
        <v>-2.4283900000000001E-2</v>
      </c>
      <c r="T84"/>
      <c r="U84" s="326">
        <v>-38260.145499999999</v>
      </c>
      <c r="V84" s="327">
        <v>-2.9025639999999998E-2</v>
      </c>
      <c r="W84"/>
      <c r="X84" s="326">
        <v>-35308.791700000002</v>
      </c>
      <c r="Y84" s="327">
        <v>-3.2331279999999997E-2</v>
      </c>
      <c r="Z84"/>
      <c r="AA84" s="326">
        <v>-33607.934800000003</v>
      </c>
      <c r="AB84" s="327">
        <v>-3.2068810000000003E-2</v>
      </c>
      <c r="AC84"/>
      <c r="AD84" s="326">
        <v>-37119.384599999998</v>
      </c>
      <c r="AE84" s="327">
        <v>-2.61096E-2</v>
      </c>
      <c r="AF84"/>
      <c r="AG84" s="326">
        <v>-36765.200499999999</v>
      </c>
      <c r="AH84" s="327">
        <v>-2.7544969999999998E-2</v>
      </c>
      <c r="AI84"/>
      <c r="AJ84" s="326">
        <v>-39320.103300000002</v>
      </c>
      <c r="AK84" s="327">
        <v>-3.1669250000000003E-2</v>
      </c>
      <c r="AL84"/>
      <c r="AM84" s="326">
        <v>-36101.160400000001</v>
      </c>
      <c r="AN84" s="327">
        <v>-3.2995450000000003E-2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-438534.6225</v>
      </c>
      <c r="D87" s="327">
        <v>-3.1825069999999997E-2</v>
      </c>
      <c r="E87"/>
      <c r="F87" s="326">
        <v>-40533.21</v>
      </c>
      <c r="G87" s="327">
        <v>-5.5556210000000002E-2</v>
      </c>
      <c r="H87"/>
      <c r="I87" s="326">
        <v>-39538.78</v>
      </c>
      <c r="J87" s="327">
        <v>-5.0414639999999997E-2</v>
      </c>
      <c r="K87"/>
      <c r="L87" s="326">
        <v>-38881.81</v>
      </c>
      <c r="M87" s="327">
        <v>-3.5464629999999997E-2</v>
      </c>
      <c r="N87"/>
      <c r="O87" s="326">
        <v>-32853.800000000003</v>
      </c>
      <c r="P87" s="327">
        <v>-2.831852E-2</v>
      </c>
      <c r="Q87"/>
      <c r="R87" s="326">
        <v>-30244</v>
      </c>
      <c r="S87" s="327">
        <v>-2.0732029999999999E-2</v>
      </c>
      <c r="T87"/>
      <c r="U87" s="326">
        <v>-31104.191200000001</v>
      </c>
      <c r="V87" s="327">
        <v>-2.3596849999999999E-2</v>
      </c>
      <c r="W87"/>
      <c r="X87" s="326">
        <v>-30100</v>
      </c>
      <c r="Y87" s="327">
        <v>-2.756173E-2</v>
      </c>
      <c r="Z87"/>
      <c r="AA87" s="326">
        <v>-33100</v>
      </c>
      <c r="AB87" s="327">
        <v>-3.1584139999999997E-2</v>
      </c>
      <c r="AC87"/>
      <c r="AD87" s="326">
        <v>-35100</v>
      </c>
      <c r="AE87" s="327">
        <v>-2.4689180000000002E-2</v>
      </c>
      <c r="AF87"/>
      <c r="AG87" s="326">
        <v>-41100</v>
      </c>
      <c r="AH87" s="327">
        <v>-3.0792659999999999E-2</v>
      </c>
      <c r="AI87"/>
      <c r="AJ87" s="326">
        <v>-42454.983999999997</v>
      </c>
      <c r="AK87" s="327">
        <v>-3.419415E-2</v>
      </c>
      <c r="AL87"/>
      <c r="AM87" s="326">
        <v>-43523.847300000001</v>
      </c>
      <c r="AN87" s="327">
        <v>-3.9779580000000002E-2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5663953.6608999996</v>
      </c>
      <c r="D89" s="327">
        <v>0.41104104000000002</v>
      </c>
      <c r="E89"/>
      <c r="F89" s="326">
        <v>156965.57</v>
      </c>
      <c r="G89" s="327">
        <v>0.21514238999999999</v>
      </c>
      <c r="H89"/>
      <c r="I89" s="326">
        <v>151902.35</v>
      </c>
      <c r="J89" s="327">
        <v>0.19368587000000001</v>
      </c>
      <c r="K89"/>
      <c r="L89" s="326">
        <v>434737.52</v>
      </c>
      <c r="M89" s="327">
        <v>0.39653000999999999</v>
      </c>
      <c r="N89"/>
      <c r="O89" s="326">
        <v>447218.63</v>
      </c>
      <c r="P89" s="327">
        <v>0.38548259000000001</v>
      </c>
      <c r="Q89"/>
      <c r="R89" s="326">
        <v>740679.76580000005</v>
      </c>
      <c r="S89" s="327">
        <v>0.50773023000000006</v>
      </c>
      <c r="T89"/>
      <c r="U89" s="326">
        <v>608892.83360000001</v>
      </c>
      <c r="V89" s="327">
        <v>0.46192986000000003</v>
      </c>
      <c r="W89"/>
      <c r="X89" s="326">
        <v>446546.76539999997</v>
      </c>
      <c r="Y89" s="327">
        <v>0.40889043000000003</v>
      </c>
      <c r="Z89"/>
      <c r="AA89" s="326">
        <v>395662.43310000002</v>
      </c>
      <c r="AB89" s="327">
        <v>0.37754248000000001</v>
      </c>
      <c r="AC89"/>
      <c r="AD89" s="326">
        <v>690941.06079999998</v>
      </c>
      <c r="AE89" s="327">
        <v>0.48600474999999999</v>
      </c>
      <c r="AF89"/>
      <c r="AG89" s="326">
        <v>619551.99140000006</v>
      </c>
      <c r="AH89" s="327">
        <v>0.46417649</v>
      </c>
      <c r="AI89"/>
      <c r="AJ89" s="326">
        <v>523755.50309999997</v>
      </c>
      <c r="AK89" s="327">
        <v>0.42184379999999999</v>
      </c>
      <c r="AL89"/>
      <c r="AM89" s="326">
        <v>447099.2377</v>
      </c>
      <c r="AN89" s="327">
        <v>0.40863622999999999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0</v>
      </c>
      <c r="D97" s="327">
        <v>0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0</v>
      </c>
      <c r="D99" s="7">
        <v>0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0</v>
      </c>
      <c r="D101" s="327">
        <v>0</v>
      </c>
      <c r="E101"/>
      <c r="F101" s="326">
        <v>0</v>
      </c>
      <c r="G101" s="327">
        <v>0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5663953.6608999996</v>
      </c>
      <c r="D103" s="327">
        <v>0.41104104000000002</v>
      </c>
      <c r="E103"/>
      <c r="F103" s="326">
        <v>156965.57</v>
      </c>
      <c r="G103" s="327">
        <v>0.21514238999999999</v>
      </c>
      <c r="H103"/>
      <c r="I103" s="326">
        <v>151902.35</v>
      </c>
      <c r="J103" s="327">
        <v>0.19368587000000001</v>
      </c>
      <c r="K103"/>
      <c r="L103" s="326">
        <v>434737.52</v>
      </c>
      <c r="M103" s="327">
        <v>0.39653000999999999</v>
      </c>
      <c r="N103"/>
      <c r="O103" s="326">
        <v>447218.63</v>
      </c>
      <c r="P103" s="327">
        <v>0.38548259000000001</v>
      </c>
      <c r="Q103"/>
      <c r="R103" s="326">
        <v>740679.76580000005</v>
      </c>
      <c r="S103" s="327">
        <v>0.50773023000000006</v>
      </c>
      <c r="T103"/>
      <c r="U103" s="326">
        <v>608892.83360000001</v>
      </c>
      <c r="V103" s="327">
        <v>0.46192986000000003</v>
      </c>
      <c r="W103"/>
      <c r="X103" s="326">
        <v>446546.76539999997</v>
      </c>
      <c r="Y103" s="327">
        <v>0.40889043000000003</v>
      </c>
      <c r="Z103"/>
      <c r="AA103" s="326">
        <v>395662.43310000002</v>
      </c>
      <c r="AB103" s="327">
        <v>0.37754248000000001</v>
      </c>
      <c r="AC103"/>
      <c r="AD103" s="326">
        <v>690941.06079999998</v>
      </c>
      <c r="AE103" s="327">
        <v>0.48600474999999999</v>
      </c>
      <c r="AF103"/>
      <c r="AG103" s="326">
        <v>619551.99140000006</v>
      </c>
      <c r="AH103" s="327">
        <v>0.46417649</v>
      </c>
      <c r="AI103"/>
      <c r="AJ103" s="326">
        <v>523755.50309999997</v>
      </c>
      <c r="AK103" s="327">
        <v>0.42184379999999999</v>
      </c>
      <c r="AL103"/>
      <c r="AM103" s="326">
        <v>447099.2377</v>
      </c>
      <c r="AN103" s="327">
        <v>0.40863622999999999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157133.28</v>
      </c>
      <c r="D105" s="327">
        <v>1.1403379999999999E-2</v>
      </c>
      <c r="E105"/>
      <c r="F105" s="326">
        <v>4733.33</v>
      </c>
      <c r="G105" s="327">
        <v>6.4876599999999993E-3</v>
      </c>
      <c r="H105"/>
      <c r="I105" s="326">
        <v>21399.99</v>
      </c>
      <c r="J105" s="327">
        <v>2.728645E-2</v>
      </c>
      <c r="K105"/>
      <c r="L105" s="326">
        <v>13066.66</v>
      </c>
      <c r="M105" s="327">
        <v>1.191828E-2</v>
      </c>
      <c r="N105"/>
      <c r="O105" s="326">
        <v>13066.66</v>
      </c>
      <c r="P105" s="327">
        <v>1.1262879999999999E-2</v>
      </c>
      <c r="Q105"/>
      <c r="R105" s="326">
        <v>13108.33</v>
      </c>
      <c r="S105" s="327">
        <v>8.9856599999999995E-3</v>
      </c>
      <c r="T105"/>
      <c r="U105" s="326">
        <v>13108.33</v>
      </c>
      <c r="V105" s="327">
        <v>9.9444900000000003E-3</v>
      </c>
      <c r="W105"/>
      <c r="X105" s="326">
        <v>13108.33</v>
      </c>
      <c r="Y105" s="327">
        <v>1.200293E-2</v>
      </c>
      <c r="Z105"/>
      <c r="AA105" s="326">
        <v>13108.33</v>
      </c>
      <c r="AB105" s="327">
        <v>1.250801E-2</v>
      </c>
      <c r="AC105"/>
      <c r="AD105" s="326">
        <v>13108.33</v>
      </c>
      <c r="AE105" s="327">
        <v>9.2203400000000005E-3</v>
      </c>
      <c r="AF105"/>
      <c r="AG105" s="326">
        <v>13108.33</v>
      </c>
      <c r="AH105" s="327">
        <v>9.8209300000000003E-3</v>
      </c>
      <c r="AI105"/>
      <c r="AJ105" s="326">
        <v>13108.33</v>
      </c>
      <c r="AK105" s="327">
        <v>1.055773E-2</v>
      </c>
      <c r="AL105"/>
      <c r="AM105" s="326">
        <v>13108.33</v>
      </c>
      <c r="AN105" s="327">
        <v>1.1980650000000001E-2</v>
      </c>
    </row>
    <row r="106" spans="2:40" s="314" customFormat="1" ht="12.75" customHeight="1" x14ac:dyDescent="0.15">
      <c r="B106" s="5" t="s">
        <v>71</v>
      </c>
      <c r="C106" s="8">
        <v>58933.32</v>
      </c>
      <c r="D106" s="7">
        <v>4.2768699999999986E-3</v>
      </c>
      <c r="E106"/>
      <c r="F106" s="8">
        <v>4733.33</v>
      </c>
      <c r="G106" s="7">
        <v>6.4876599999999993E-3</v>
      </c>
      <c r="H106"/>
      <c r="I106" s="8">
        <v>4733.33</v>
      </c>
      <c r="J106" s="7">
        <v>6.0353199999999994E-3</v>
      </c>
      <c r="K106"/>
      <c r="L106" s="8">
        <v>4733.33</v>
      </c>
      <c r="M106" s="7">
        <v>4.3173299999999994E-3</v>
      </c>
      <c r="N106"/>
      <c r="O106" s="8">
        <v>4733.33</v>
      </c>
      <c r="P106" s="7">
        <v>4.0799199999999999E-3</v>
      </c>
      <c r="Q106"/>
      <c r="R106" s="8">
        <v>5000</v>
      </c>
      <c r="S106" s="7">
        <v>3.4274599999999998E-3</v>
      </c>
      <c r="T106"/>
      <c r="U106" s="8">
        <v>5000</v>
      </c>
      <c r="V106" s="7">
        <v>3.7932E-3</v>
      </c>
      <c r="W106"/>
      <c r="X106" s="8">
        <v>5000</v>
      </c>
      <c r="Y106" s="7">
        <v>4.5783600000000001E-3</v>
      </c>
      <c r="Z106"/>
      <c r="AA106" s="8">
        <v>5000</v>
      </c>
      <c r="AB106" s="7">
        <v>4.7710199999999999E-3</v>
      </c>
      <c r="AC106"/>
      <c r="AD106" s="8">
        <v>5000</v>
      </c>
      <c r="AE106" s="7">
        <v>3.5169799999999998E-3</v>
      </c>
      <c r="AF106"/>
      <c r="AG106" s="8">
        <v>5000</v>
      </c>
      <c r="AH106" s="7">
        <v>3.7460700000000002E-3</v>
      </c>
      <c r="AI106"/>
      <c r="AJ106" s="8">
        <v>5000</v>
      </c>
      <c r="AK106" s="7">
        <v>4.0271100000000004E-3</v>
      </c>
      <c r="AL106"/>
      <c r="AM106" s="8">
        <v>5000</v>
      </c>
      <c r="AN106" s="7">
        <v>4.5698600000000002E-3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25000</v>
      </c>
      <c r="D108" s="7">
        <v>1.8142799999999999E-3</v>
      </c>
      <c r="E108"/>
      <c r="F108" s="8">
        <v>0</v>
      </c>
      <c r="G108" s="7">
        <v>0</v>
      </c>
      <c r="H108"/>
      <c r="I108" s="8">
        <v>4500</v>
      </c>
      <c r="J108" s="7">
        <v>5.7378099999999986E-3</v>
      </c>
      <c r="K108"/>
      <c r="L108" s="8">
        <v>2250</v>
      </c>
      <c r="M108" s="7">
        <v>2.0522600000000002E-3</v>
      </c>
      <c r="N108"/>
      <c r="O108" s="8">
        <v>2250</v>
      </c>
      <c r="P108" s="7">
        <v>1.9394E-3</v>
      </c>
      <c r="Q108"/>
      <c r="R108" s="8">
        <v>2000</v>
      </c>
      <c r="S108" s="7">
        <v>1.3709799999999999E-3</v>
      </c>
      <c r="T108"/>
      <c r="U108" s="8">
        <v>2000</v>
      </c>
      <c r="V108" s="7">
        <v>1.51728E-3</v>
      </c>
      <c r="W108"/>
      <c r="X108" s="8">
        <v>2000</v>
      </c>
      <c r="Y108" s="7">
        <v>1.8313400000000001E-3</v>
      </c>
      <c r="Z108"/>
      <c r="AA108" s="8">
        <v>2000</v>
      </c>
      <c r="AB108" s="7">
        <v>1.9084099999999999E-3</v>
      </c>
      <c r="AC108"/>
      <c r="AD108" s="8">
        <v>2000</v>
      </c>
      <c r="AE108" s="7">
        <v>1.40679E-3</v>
      </c>
      <c r="AF108"/>
      <c r="AG108" s="8">
        <v>2000</v>
      </c>
      <c r="AH108" s="7">
        <v>1.49843E-3</v>
      </c>
      <c r="AI108"/>
      <c r="AJ108" s="8">
        <v>2000</v>
      </c>
      <c r="AK108" s="7">
        <v>1.6108400000000001E-3</v>
      </c>
      <c r="AL108"/>
      <c r="AM108" s="8">
        <v>2000</v>
      </c>
      <c r="AN108" s="7">
        <v>1.8279399999999999E-3</v>
      </c>
    </row>
    <row r="109" spans="2:40" s="314" customFormat="1" ht="12.75" customHeight="1" x14ac:dyDescent="0.15">
      <c r="B109" s="5" t="s">
        <v>74</v>
      </c>
      <c r="C109" s="8">
        <v>0</v>
      </c>
      <c r="D109" s="7">
        <v>0</v>
      </c>
      <c r="E109"/>
      <c r="F109" s="8">
        <v>0</v>
      </c>
      <c r="G109" s="7">
        <v>0</v>
      </c>
      <c r="H109"/>
      <c r="I109" s="8">
        <v>0</v>
      </c>
      <c r="J109" s="7">
        <v>0</v>
      </c>
      <c r="K109"/>
      <c r="L109" s="8">
        <v>0</v>
      </c>
      <c r="M109" s="7">
        <v>0</v>
      </c>
      <c r="N109"/>
      <c r="O109" s="8">
        <v>0</v>
      </c>
      <c r="P109" s="7">
        <v>0</v>
      </c>
      <c r="Q109"/>
      <c r="R109" s="8">
        <v>0</v>
      </c>
      <c r="S109" s="7">
        <v>0</v>
      </c>
      <c r="T109"/>
      <c r="U109" s="8">
        <v>0</v>
      </c>
      <c r="V109" s="7">
        <v>0</v>
      </c>
      <c r="W109"/>
      <c r="X109" s="8">
        <v>0</v>
      </c>
      <c r="Y109" s="7">
        <v>0</v>
      </c>
      <c r="Z109"/>
      <c r="AA109" s="8">
        <v>0</v>
      </c>
      <c r="AB109" s="7">
        <v>0</v>
      </c>
      <c r="AC109"/>
      <c r="AD109" s="8">
        <v>0</v>
      </c>
      <c r="AE109" s="7">
        <v>0</v>
      </c>
      <c r="AF109"/>
      <c r="AG109" s="8">
        <v>0</v>
      </c>
      <c r="AH109" s="7">
        <v>0</v>
      </c>
      <c r="AI109"/>
      <c r="AJ109" s="8">
        <v>0</v>
      </c>
      <c r="AK109" s="7">
        <v>0</v>
      </c>
      <c r="AL109"/>
      <c r="AM109" s="8">
        <v>0</v>
      </c>
      <c r="AN109" s="7">
        <v>0</v>
      </c>
    </row>
    <row r="110" spans="2:40" s="314" customFormat="1" ht="12.75" customHeight="1" x14ac:dyDescent="0.15">
      <c r="B110" s="5" t="s">
        <v>75</v>
      </c>
      <c r="C110" s="8">
        <v>73199.960000000006</v>
      </c>
      <c r="D110" s="7">
        <v>5.3122199999999986E-3</v>
      </c>
      <c r="E110"/>
      <c r="F110" s="8">
        <v>0</v>
      </c>
      <c r="G110" s="7">
        <v>0</v>
      </c>
      <c r="H110"/>
      <c r="I110" s="8">
        <v>12166.66</v>
      </c>
      <c r="J110" s="7">
        <v>1.5513320000000001E-2</v>
      </c>
      <c r="K110"/>
      <c r="L110" s="8">
        <v>6083.33</v>
      </c>
      <c r="M110" s="7">
        <v>5.5486899999999994E-3</v>
      </c>
      <c r="N110"/>
      <c r="O110" s="8">
        <v>6083.33</v>
      </c>
      <c r="P110" s="7">
        <v>5.2435600000000004E-3</v>
      </c>
      <c r="Q110"/>
      <c r="R110" s="8">
        <v>6108.33</v>
      </c>
      <c r="S110" s="7">
        <v>4.1872100000000002E-3</v>
      </c>
      <c r="T110"/>
      <c r="U110" s="8">
        <v>6108.33</v>
      </c>
      <c r="V110" s="7">
        <v>4.63402E-3</v>
      </c>
      <c r="W110"/>
      <c r="X110" s="8">
        <v>6108.33</v>
      </c>
      <c r="Y110" s="7">
        <v>5.5932300000000003E-3</v>
      </c>
      <c r="Z110"/>
      <c r="AA110" s="8">
        <v>6108.33</v>
      </c>
      <c r="AB110" s="7">
        <v>5.8285899999999998E-3</v>
      </c>
      <c r="AC110"/>
      <c r="AD110" s="8">
        <v>6108.33</v>
      </c>
      <c r="AE110" s="7">
        <v>4.2965700000000004E-3</v>
      </c>
      <c r="AF110"/>
      <c r="AG110" s="8">
        <v>6108.33</v>
      </c>
      <c r="AH110" s="7">
        <v>4.5764400000000002E-3</v>
      </c>
      <c r="AI110"/>
      <c r="AJ110" s="8">
        <v>6108.33</v>
      </c>
      <c r="AK110" s="7">
        <v>4.9197800000000003E-3</v>
      </c>
      <c r="AL110"/>
      <c r="AM110" s="8">
        <v>6108.33</v>
      </c>
      <c r="AN110" s="7">
        <v>5.5828400000000004E-3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5506820.3809000002</v>
      </c>
      <c r="D121" s="327">
        <v>0.39963766000000001</v>
      </c>
      <c r="E121"/>
      <c r="F121" s="326">
        <v>152232.24</v>
      </c>
      <c r="G121" s="327">
        <v>0.20865473000000001</v>
      </c>
      <c r="H121"/>
      <c r="I121" s="326">
        <v>130502.36</v>
      </c>
      <c r="J121" s="327">
        <v>0.16639941999999999</v>
      </c>
      <c r="K121"/>
      <c r="L121" s="326">
        <v>421670.86</v>
      </c>
      <c r="M121" s="327">
        <v>0.38461172999999999</v>
      </c>
      <c r="N121"/>
      <c r="O121" s="326">
        <v>434151.97</v>
      </c>
      <c r="P121" s="327">
        <v>0.37421970999999998</v>
      </c>
      <c r="Q121"/>
      <c r="R121" s="326">
        <v>727571.43579999998</v>
      </c>
      <c r="S121" s="327">
        <v>0.49874457</v>
      </c>
      <c r="T121"/>
      <c r="U121" s="326">
        <v>595784.50360000005</v>
      </c>
      <c r="V121" s="327">
        <v>0.45198537</v>
      </c>
      <c r="W121"/>
      <c r="X121" s="326">
        <v>433438.43540000002</v>
      </c>
      <c r="Y121" s="327">
        <v>0.3968875</v>
      </c>
      <c r="Z121"/>
      <c r="AA121" s="326">
        <v>382554.10310000001</v>
      </c>
      <c r="AB121" s="327">
        <v>0.36503445999999989</v>
      </c>
      <c r="AC121"/>
      <c r="AD121" s="326">
        <v>677832.73080000002</v>
      </c>
      <c r="AE121" s="327">
        <v>0.47678440999999999</v>
      </c>
      <c r="AF121"/>
      <c r="AG121" s="326">
        <v>606443.66139999998</v>
      </c>
      <c r="AH121" s="327">
        <v>0.45435555</v>
      </c>
      <c r="AI121"/>
      <c r="AJ121" s="326">
        <v>510647.17310000001</v>
      </c>
      <c r="AK121" s="327">
        <v>0.41128607</v>
      </c>
      <c r="AL121"/>
      <c r="AM121" s="326">
        <v>433990.90769999998</v>
      </c>
      <c r="AN121" s="327">
        <v>0.39665558000000001</v>
      </c>
    </row>
    <row r="122" spans="2:40" s="314" customFormat="1" ht="12.75" customHeight="1" x14ac:dyDescent="0.15">
      <c r="B122" s="5" t="s">
        <v>85</v>
      </c>
      <c r="C122" s="8">
        <v>150498.29939999999</v>
      </c>
      <c r="D122" s="7">
        <v>1.092187E-2</v>
      </c>
      <c r="E122"/>
      <c r="F122" s="8">
        <v>12410.42</v>
      </c>
      <c r="G122" s="7">
        <v>1.7010150000000002E-2</v>
      </c>
      <c r="H122"/>
      <c r="I122" s="8">
        <v>12410.42</v>
      </c>
      <c r="J122" s="7">
        <v>1.5824129999999999E-2</v>
      </c>
      <c r="K122"/>
      <c r="L122" s="8">
        <v>12410.42</v>
      </c>
      <c r="M122" s="7">
        <v>1.131971E-2</v>
      </c>
      <c r="N122"/>
      <c r="O122" s="8">
        <v>12410.42</v>
      </c>
      <c r="P122" s="7">
        <v>1.069723E-2</v>
      </c>
      <c r="Q122"/>
      <c r="R122" s="8">
        <v>12577.9496</v>
      </c>
      <c r="S122" s="7">
        <v>8.6220900000000007E-3</v>
      </c>
      <c r="T122"/>
      <c r="U122" s="8">
        <v>12568.598</v>
      </c>
      <c r="V122" s="7">
        <v>9.5350299999999999E-3</v>
      </c>
      <c r="W122"/>
      <c r="X122" s="8">
        <v>12447.8349</v>
      </c>
      <c r="Y122" s="7">
        <v>1.1398139999999999E-2</v>
      </c>
      <c r="Z122"/>
      <c r="AA122" s="8">
        <v>13311.2556</v>
      </c>
      <c r="AB122" s="7">
        <v>1.270165E-2</v>
      </c>
      <c r="AC122"/>
      <c r="AD122" s="8">
        <v>12622.0288</v>
      </c>
      <c r="AE122" s="7">
        <v>8.8782799999999988E-3</v>
      </c>
      <c r="AF122"/>
      <c r="AG122" s="8">
        <v>12085.2084</v>
      </c>
      <c r="AH122" s="7">
        <v>9.0544000000000006E-3</v>
      </c>
      <c r="AI122"/>
      <c r="AJ122" s="8">
        <v>12824.202799999999</v>
      </c>
      <c r="AK122" s="7">
        <v>1.032889E-2</v>
      </c>
      <c r="AL122"/>
      <c r="AM122" s="8">
        <v>12419.541300000001</v>
      </c>
      <c r="AN122" s="7">
        <v>1.1351109999999999E-2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5356322.0813999996</v>
      </c>
      <c r="D124" s="327">
        <v>0.38871578999999989</v>
      </c>
      <c r="E124"/>
      <c r="F124" s="326">
        <v>139821.82</v>
      </c>
      <c r="G124" s="327">
        <v>0.19164458000000001</v>
      </c>
      <c r="H124"/>
      <c r="I124" s="326">
        <v>118091.94</v>
      </c>
      <c r="J124" s="327">
        <v>0.15057529</v>
      </c>
      <c r="K124"/>
      <c r="L124" s="326">
        <v>409260.44</v>
      </c>
      <c r="M124" s="327">
        <v>0.37329201000000001</v>
      </c>
      <c r="N124"/>
      <c r="O124" s="326">
        <v>421741.55</v>
      </c>
      <c r="P124" s="327">
        <v>0.36352247999999998</v>
      </c>
      <c r="Q124"/>
      <c r="R124" s="326">
        <v>714993.48620000004</v>
      </c>
      <c r="S124" s="327">
        <v>0.49012248000000003</v>
      </c>
      <c r="T124"/>
      <c r="U124" s="326">
        <v>583215.90549999999</v>
      </c>
      <c r="V124" s="327">
        <v>0.44245033999999989</v>
      </c>
      <c r="W124"/>
      <c r="X124" s="326">
        <v>420990.6005</v>
      </c>
      <c r="Y124" s="327">
        <v>0.38548936</v>
      </c>
      <c r="Z124"/>
      <c r="AA124" s="326">
        <v>369242.84749999997</v>
      </c>
      <c r="AB124" s="327">
        <v>0.35233281999999999</v>
      </c>
      <c r="AC124"/>
      <c r="AD124" s="326">
        <v>665210.70200000005</v>
      </c>
      <c r="AE124" s="327">
        <v>0.46790614000000003</v>
      </c>
      <c r="AF124"/>
      <c r="AG124" s="326">
        <v>594358.45299999998</v>
      </c>
      <c r="AH124" s="327">
        <v>0.44530115999999997</v>
      </c>
      <c r="AI124"/>
      <c r="AJ124" s="326">
        <v>497822.97029999999</v>
      </c>
      <c r="AK124" s="327">
        <v>0.40095719000000002</v>
      </c>
      <c r="AL124"/>
      <c r="AM124" s="326">
        <v>421571.3664</v>
      </c>
      <c r="AN124" s="327">
        <v>0.38530447000000001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5356322.0813999996</v>
      </c>
      <c r="D127" s="327">
        <v>0.38871578999999989</v>
      </c>
      <c r="E127"/>
      <c r="F127" s="326">
        <v>139821.82</v>
      </c>
      <c r="G127" s="327">
        <v>0.19164458000000001</v>
      </c>
      <c r="H127"/>
      <c r="I127" s="326">
        <v>118091.94</v>
      </c>
      <c r="J127" s="327">
        <v>0.15057529</v>
      </c>
      <c r="K127"/>
      <c r="L127" s="326">
        <v>409260.44</v>
      </c>
      <c r="M127" s="327">
        <v>0.37329201000000001</v>
      </c>
      <c r="N127"/>
      <c r="O127" s="326">
        <v>421741.55</v>
      </c>
      <c r="P127" s="327">
        <v>0.36352247999999998</v>
      </c>
      <c r="Q127"/>
      <c r="R127" s="326">
        <v>714993.48620000004</v>
      </c>
      <c r="S127" s="327">
        <v>0.49012248000000003</v>
      </c>
      <c r="T127"/>
      <c r="U127" s="326">
        <v>583215.90549999999</v>
      </c>
      <c r="V127" s="327">
        <v>0.44245033999999989</v>
      </c>
      <c r="W127"/>
      <c r="X127" s="326">
        <v>420990.6005</v>
      </c>
      <c r="Y127" s="327">
        <v>0.38548936</v>
      </c>
      <c r="Z127"/>
      <c r="AA127" s="326">
        <v>369242.84749999997</v>
      </c>
      <c r="AB127" s="327">
        <v>0.35233281999999999</v>
      </c>
      <c r="AC127"/>
      <c r="AD127" s="326">
        <v>665210.70200000005</v>
      </c>
      <c r="AE127" s="327">
        <v>0.46790614000000003</v>
      </c>
      <c r="AF127"/>
      <c r="AG127" s="326">
        <v>594358.45299999998</v>
      </c>
      <c r="AH127" s="327">
        <v>0.44530115999999997</v>
      </c>
      <c r="AI127"/>
      <c r="AJ127" s="326">
        <v>497822.97029999999</v>
      </c>
      <c r="AK127" s="327">
        <v>0.40095719000000002</v>
      </c>
      <c r="AL127"/>
      <c r="AM127" s="326">
        <v>421571.3664</v>
      </c>
      <c r="AN127" s="327">
        <v>0.38530447000000001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413245.03019999998</v>
      </c>
      <c r="D129" s="327">
        <v>2.9989769999999999E-2</v>
      </c>
      <c r="E129"/>
      <c r="F129" s="326">
        <v>21751.65</v>
      </c>
      <c r="G129" s="327">
        <v>2.9813559999999999E-2</v>
      </c>
      <c r="H129"/>
      <c r="I129" s="326">
        <v>23525.13</v>
      </c>
      <c r="J129" s="327">
        <v>2.9996149999999999E-2</v>
      </c>
      <c r="K129"/>
      <c r="L129" s="326">
        <v>32889.19</v>
      </c>
      <c r="M129" s="327">
        <v>2.999868E-2</v>
      </c>
      <c r="N129"/>
      <c r="O129" s="326">
        <v>34804.11</v>
      </c>
      <c r="P129" s="327">
        <v>2.9999600000000001E-2</v>
      </c>
      <c r="Q129"/>
      <c r="R129" s="326">
        <v>43764.171900000001</v>
      </c>
      <c r="S129" s="327">
        <v>0.03</v>
      </c>
      <c r="T129"/>
      <c r="U129" s="326">
        <v>39544.499400000001</v>
      </c>
      <c r="V129" s="327">
        <v>0.03</v>
      </c>
      <c r="W129"/>
      <c r="X129" s="326">
        <v>32762.8187</v>
      </c>
      <c r="Y129" s="327">
        <v>0.03</v>
      </c>
      <c r="Z129"/>
      <c r="AA129" s="326">
        <v>31439.834500000001</v>
      </c>
      <c r="AB129" s="327">
        <v>0.03</v>
      </c>
      <c r="AC129"/>
      <c r="AD129" s="326">
        <v>42650.265700000004</v>
      </c>
      <c r="AE129" s="327">
        <v>0.03</v>
      </c>
      <c r="AF129"/>
      <c r="AG129" s="326">
        <v>40042.010499999997</v>
      </c>
      <c r="AH129" s="327">
        <v>0.03</v>
      </c>
      <c r="AI129"/>
      <c r="AJ129" s="326">
        <v>37247.590300000003</v>
      </c>
      <c r="AK129" s="327">
        <v>0.03</v>
      </c>
      <c r="AL129"/>
      <c r="AM129" s="326">
        <v>32823.7592</v>
      </c>
      <c r="AN129" s="327">
        <v>0.03</v>
      </c>
    </row>
    <row r="130" spans="2:40" s="314" customFormat="1" ht="12.75" customHeight="1" x14ac:dyDescent="0.15">
      <c r="B130" s="5" t="s">
        <v>90</v>
      </c>
      <c r="C130" s="8">
        <v>413245.03019999998</v>
      </c>
      <c r="D130" s="7">
        <v>2.9989769999999999E-2</v>
      </c>
      <c r="E130"/>
      <c r="F130" s="8">
        <v>21751.65</v>
      </c>
      <c r="G130" s="7">
        <v>2.9813559999999999E-2</v>
      </c>
      <c r="H130"/>
      <c r="I130" s="8">
        <v>23525.13</v>
      </c>
      <c r="J130" s="7">
        <v>2.9996149999999999E-2</v>
      </c>
      <c r="K130"/>
      <c r="L130" s="8">
        <v>32889.19</v>
      </c>
      <c r="M130" s="7">
        <v>2.999868E-2</v>
      </c>
      <c r="N130"/>
      <c r="O130" s="8">
        <v>34804.11</v>
      </c>
      <c r="P130" s="7">
        <v>2.9999600000000001E-2</v>
      </c>
      <c r="Q130"/>
      <c r="R130" s="8">
        <v>43764.171900000001</v>
      </c>
      <c r="S130" s="7">
        <v>0.03</v>
      </c>
      <c r="T130"/>
      <c r="U130" s="8">
        <v>39544.499400000001</v>
      </c>
      <c r="V130" s="7">
        <v>0.03</v>
      </c>
      <c r="W130"/>
      <c r="X130" s="8">
        <v>32762.8187</v>
      </c>
      <c r="Y130" s="7">
        <v>0.03</v>
      </c>
      <c r="Z130"/>
      <c r="AA130" s="8">
        <v>31439.834500000001</v>
      </c>
      <c r="AB130" s="7">
        <v>0.03</v>
      </c>
      <c r="AC130"/>
      <c r="AD130" s="8">
        <v>42650.265700000004</v>
      </c>
      <c r="AE130" s="7">
        <v>0.03</v>
      </c>
      <c r="AF130"/>
      <c r="AG130" s="8">
        <v>40042.010499999997</v>
      </c>
      <c r="AH130" s="7">
        <v>0.03</v>
      </c>
      <c r="AI130"/>
      <c r="AJ130" s="8">
        <v>37247.590300000003</v>
      </c>
      <c r="AK130" s="7">
        <v>0.03</v>
      </c>
      <c r="AL130"/>
      <c r="AM130" s="8">
        <v>32823.7592</v>
      </c>
      <c r="AN130" s="7">
        <v>0.03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4943077.0511999996</v>
      </c>
      <c r="D134" s="327">
        <v>0.35872601999999998</v>
      </c>
      <c r="E134"/>
      <c r="F134" s="326">
        <v>118070.17</v>
      </c>
      <c r="G134" s="327">
        <v>0.16183102999999999</v>
      </c>
      <c r="H134"/>
      <c r="I134" s="326">
        <v>94566.81</v>
      </c>
      <c r="J134" s="327">
        <v>0.12057914</v>
      </c>
      <c r="K134"/>
      <c r="L134" s="326">
        <v>376371.25</v>
      </c>
      <c r="M134" s="327">
        <v>0.34329334</v>
      </c>
      <c r="N134"/>
      <c r="O134" s="326">
        <v>386937.44</v>
      </c>
      <c r="P134" s="327">
        <v>0.33352288000000002</v>
      </c>
      <c r="Q134"/>
      <c r="R134" s="326">
        <v>671229.31429999997</v>
      </c>
      <c r="S134" s="327">
        <v>0.46012248</v>
      </c>
      <c r="T134"/>
      <c r="U134" s="326">
        <v>543671.40610000002</v>
      </c>
      <c r="V134" s="327">
        <v>0.41245034000000003</v>
      </c>
      <c r="W134"/>
      <c r="X134" s="326">
        <v>388227.78169999999</v>
      </c>
      <c r="Y134" s="327">
        <v>0.35548935999999998</v>
      </c>
      <c r="Z134"/>
      <c r="AA134" s="326">
        <v>337803.01309999998</v>
      </c>
      <c r="AB134" s="327">
        <v>0.32233282000000002</v>
      </c>
      <c r="AC134"/>
      <c r="AD134" s="326">
        <v>622560.43629999994</v>
      </c>
      <c r="AE134" s="327">
        <v>0.43790614</v>
      </c>
      <c r="AF134"/>
      <c r="AG134" s="326">
        <v>554316.4425</v>
      </c>
      <c r="AH134" s="327">
        <v>0.41530116</v>
      </c>
      <c r="AI134"/>
      <c r="AJ134" s="326">
        <v>460575.38</v>
      </c>
      <c r="AK134" s="327">
        <v>0.37095718999999999</v>
      </c>
      <c r="AL134"/>
      <c r="AM134" s="326">
        <v>388747.60720000003</v>
      </c>
      <c r="AN134" s="327">
        <v>0.35530446999999998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3469971.28</v>
      </c>
      <c r="D136" s="327">
        <v>0.25182067000000002</v>
      </c>
      <c r="E136"/>
      <c r="F136" s="326">
        <v>282912.45</v>
      </c>
      <c r="G136" s="327">
        <v>0.38776950999999998</v>
      </c>
      <c r="H136"/>
      <c r="I136" s="326">
        <v>295417.19</v>
      </c>
      <c r="J136" s="327">
        <v>0.37667708999999999</v>
      </c>
      <c r="K136"/>
      <c r="L136" s="326">
        <v>289164.82</v>
      </c>
      <c r="M136" s="327">
        <v>0.26375116999999998</v>
      </c>
      <c r="N136"/>
      <c r="O136" s="326">
        <v>289164.82</v>
      </c>
      <c r="P136" s="327">
        <v>0.24924722999999999</v>
      </c>
      <c r="Q136"/>
      <c r="R136" s="326">
        <v>289164</v>
      </c>
      <c r="S136" s="327">
        <v>0.19821968000000001</v>
      </c>
      <c r="T136"/>
      <c r="U136" s="326">
        <v>289164</v>
      </c>
      <c r="V136" s="327">
        <v>0.21937108999999999</v>
      </c>
      <c r="W136"/>
      <c r="X136" s="326">
        <v>289164</v>
      </c>
      <c r="Y136" s="327">
        <v>0.26477941999999999</v>
      </c>
      <c r="Z136"/>
      <c r="AA136" s="326">
        <v>289164</v>
      </c>
      <c r="AB136" s="327">
        <v>0.27592129999999998</v>
      </c>
      <c r="AC136"/>
      <c r="AD136" s="326">
        <v>289164</v>
      </c>
      <c r="AE136" s="327">
        <v>0.20339662</v>
      </c>
      <c r="AF136"/>
      <c r="AG136" s="326">
        <v>289164</v>
      </c>
      <c r="AH136" s="327">
        <v>0.21664547000000001</v>
      </c>
      <c r="AI136"/>
      <c r="AJ136" s="326">
        <v>289164</v>
      </c>
      <c r="AK136" s="327">
        <v>0.23289882000000001</v>
      </c>
      <c r="AL136"/>
      <c r="AM136" s="326">
        <v>289164</v>
      </c>
      <c r="AN136" s="327">
        <v>0.26428783</v>
      </c>
    </row>
    <row r="137" spans="2:40" s="314" customFormat="1" ht="12.75" customHeight="1" x14ac:dyDescent="0.15">
      <c r="B137" s="5" t="s">
        <v>95</v>
      </c>
      <c r="C137" s="8">
        <v>3469971.28</v>
      </c>
      <c r="D137" s="7">
        <v>0.25182067000000002</v>
      </c>
      <c r="E137"/>
      <c r="F137" s="8">
        <v>282912.45</v>
      </c>
      <c r="G137" s="7">
        <v>0.38776950999999998</v>
      </c>
      <c r="H137"/>
      <c r="I137" s="8">
        <v>295417.19</v>
      </c>
      <c r="J137" s="7">
        <v>0.37667708999999999</v>
      </c>
      <c r="K137"/>
      <c r="L137" s="8">
        <v>289164.82</v>
      </c>
      <c r="M137" s="7">
        <v>0.26375116999999998</v>
      </c>
      <c r="N137"/>
      <c r="O137" s="8">
        <v>289164.82</v>
      </c>
      <c r="P137" s="7">
        <v>0.24924722999999999</v>
      </c>
      <c r="Q137"/>
      <c r="R137" s="8">
        <v>289164</v>
      </c>
      <c r="S137" s="7">
        <v>0.19821968000000001</v>
      </c>
      <c r="T137"/>
      <c r="U137" s="8">
        <v>289164</v>
      </c>
      <c r="V137" s="7">
        <v>0.21937108999999999</v>
      </c>
      <c r="W137"/>
      <c r="X137" s="8">
        <v>289164</v>
      </c>
      <c r="Y137" s="7">
        <v>0.26477941999999999</v>
      </c>
      <c r="Z137"/>
      <c r="AA137" s="8">
        <v>289164</v>
      </c>
      <c r="AB137" s="7">
        <v>0.27592129999999998</v>
      </c>
      <c r="AC137"/>
      <c r="AD137" s="8">
        <v>289164</v>
      </c>
      <c r="AE137" s="7">
        <v>0.20339662</v>
      </c>
      <c r="AF137"/>
      <c r="AG137" s="8">
        <v>289164</v>
      </c>
      <c r="AH137" s="7">
        <v>0.21664547000000001</v>
      </c>
      <c r="AI137"/>
      <c r="AJ137" s="8">
        <v>289164</v>
      </c>
      <c r="AK137" s="7">
        <v>0.23289882000000001</v>
      </c>
      <c r="AL137"/>
      <c r="AM137" s="8">
        <v>289164</v>
      </c>
      <c r="AN137" s="7">
        <v>0.26428783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1473105.7712000001</v>
      </c>
      <c r="D141" s="327">
        <v>0.10690535</v>
      </c>
      <c r="E141"/>
      <c r="F141" s="326">
        <v>-164842.28</v>
      </c>
      <c r="G141" s="327">
        <v>-0.22593848</v>
      </c>
      <c r="H141"/>
      <c r="I141" s="326">
        <v>-200850.38</v>
      </c>
      <c r="J141" s="327">
        <v>-0.25609795000000002</v>
      </c>
      <c r="K141"/>
      <c r="L141" s="326">
        <v>87206.43</v>
      </c>
      <c r="M141" s="327">
        <v>7.9542169999999995E-2</v>
      </c>
      <c r="N141"/>
      <c r="O141" s="326">
        <v>97772.62</v>
      </c>
      <c r="P141" s="327">
        <v>8.4275649999999994E-2</v>
      </c>
      <c r="Q141"/>
      <c r="R141" s="326">
        <v>382065.31430000003</v>
      </c>
      <c r="S141" s="327">
        <v>0.26190280999999999</v>
      </c>
      <c r="T141"/>
      <c r="U141" s="326">
        <v>254507.40609999999</v>
      </c>
      <c r="V141" s="327">
        <v>0.19307925000000001</v>
      </c>
      <c r="W141"/>
      <c r="X141" s="326">
        <v>99063.781700000007</v>
      </c>
      <c r="Y141" s="327">
        <v>9.0709940000000003E-2</v>
      </c>
      <c r="Z141"/>
      <c r="AA141" s="326">
        <v>48639.013099999996</v>
      </c>
      <c r="AB141" s="327">
        <v>4.6411519999999998E-2</v>
      </c>
      <c r="AC141"/>
      <c r="AD141" s="326">
        <v>333396.4363</v>
      </c>
      <c r="AE141" s="327">
        <v>0.23450951</v>
      </c>
      <c r="AF141"/>
      <c r="AG141" s="326">
        <v>265152.4425</v>
      </c>
      <c r="AH141" s="327">
        <v>0.19865569</v>
      </c>
      <c r="AI141"/>
      <c r="AJ141" s="326">
        <v>171411.38</v>
      </c>
      <c r="AK141" s="327">
        <v>0.13805835999999999</v>
      </c>
      <c r="AL141"/>
      <c r="AM141" s="326">
        <v>99583.607199999999</v>
      </c>
      <c r="AN141" s="327">
        <v>9.1016639999999996E-2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1473105.7712000001</v>
      </c>
      <c r="D144" s="327">
        <v>0.10690535</v>
      </c>
      <c r="E144"/>
      <c r="F144" s="326">
        <v>-164842.28</v>
      </c>
      <c r="G144" s="327">
        <v>-0.22593848</v>
      </c>
      <c r="H144"/>
      <c r="I144" s="326">
        <v>-200850.38</v>
      </c>
      <c r="J144" s="327">
        <v>-0.25609795000000002</v>
      </c>
      <c r="K144"/>
      <c r="L144" s="326">
        <v>87206.43</v>
      </c>
      <c r="M144" s="327">
        <v>7.9542169999999995E-2</v>
      </c>
      <c r="N144"/>
      <c r="O144" s="326">
        <v>97772.62</v>
      </c>
      <c r="P144" s="327">
        <v>8.4275649999999994E-2</v>
      </c>
      <c r="Q144"/>
      <c r="R144" s="326">
        <v>382065.31430000003</v>
      </c>
      <c r="S144" s="327">
        <v>0.26190280999999999</v>
      </c>
      <c r="T144"/>
      <c r="U144" s="326">
        <v>254507.40609999999</v>
      </c>
      <c r="V144" s="327">
        <v>0.19307925000000001</v>
      </c>
      <c r="W144"/>
      <c r="X144" s="326">
        <v>99063.781700000007</v>
      </c>
      <c r="Y144" s="327">
        <v>9.0709940000000003E-2</v>
      </c>
      <c r="Z144"/>
      <c r="AA144" s="326">
        <v>48639.013099999996</v>
      </c>
      <c r="AB144" s="327">
        <v>4.6411519999999998E-2</v>
      </c>
      <c r="AC144"/>
      <c r="AD144" s="326">
        <v>333396.4363</v>
      </c>
      <c r="AE144" s="327">
        <v>0.23450951</v>
      </c>
      <c r="AF144"/>
      <c r="AG144" s="326">
        <v>265152.4425</v>
      </c>
      <c r="AH144" s="327">
        <v>0.19865569</v>
      </c>
      <c r="AI144"/>
      <c r="AJ144" s="326">
        <v>171411.38</v>
      </c>
      <c r="AK144" s="327">
        <v>0.13805835999999999</v>
      </c>
      <c r="AL144"/>
      <c r="AM144" s="326">
        <v>99583.607199999999</v>
      </c>
      <c r="AN144" s="327">
        <v>9.1016639999999996E-2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1473105.7712000001</v>
      </c>
      <c r="D147" s="327">
        <v>0.10690535</v>
      </c>
      <c r="E147"/>
      <c r="F147" s="326">
        <v>-164842.28</v>
      </c>
      <c r="G147" s="327">
        <v>-0.22593848</v>
      </c>
      <c r="H147"/>
      <c r="I147" s="326">
        <v>-200850.38</v>
      </c>
      <c r="J147" s="327">
        <v>-0.25609795000000002</v>
      </c>
      <c r="K147"/>
      <c r="L147" s="326">
        <v>87206.43</v>
      </c>
      <c r="M147" s="327">
        <v>7.9542169999999995E-2</v>
      </c>
      <c r="N147"/>
      <c r="O147" s="326">
        <v>97772.62</v>
      </c>
      <c r="P147" s="327">
        <v>8.4275649999999994E-2</v>
      </c>
      <c r="Q147"/>
      <c r="R147" s="326">
        <v>382065.31430000003</v>
      </c>
      <c r="S147" s="327">
        <v>0.26190280999999999</v>
      </c>
      <c r="T147"/>
      <c r="U147" s="326">
        <v>254507.40609999999</v>
      </c>
      <c r="V147" s="327">
        <v>0.19307925000000001</v>
      </c>
      <c r="W147"/>
      <c r="X147" s="326">
        <v>99063.781700000007</v>
      </c>
      <c r="Y147" s="327">
        <v>9.0709940000000003E-2</v>
      </c>
      <c r="Z147"/>
      <c r="AA147" s="326">
        <v>48639.013099999996</v>
      </c>
      <c r="AB147" s="327">
        <v>4.6411519999999998E-2</v>
      </c>
      <c r="AC147"/>
      <c r="AD147" s="326">
        <v>333396.4363</v>
      </c>
      <c r="AE147" s="327">
        <v>0.23450951</v>
      </c>
      <c r="AF147"/>
      <c r="AG147" s="326">
        <v>265152.4425</v>
      </c>
      <c r="AH147" s="327">
        <v>0.19865569</v>
      </c>
      <c r="AI147"/>
      <c r="AJ147" s="326">
        <v>171411.38</v>
      </c>
      <c r="AK147" s="327">
        <v>0.13805835999999999</v>
      </c>
      <c r="AL147"/>
      <c r="AM147" s="326">
        <v>99583.607199999999</v>
      </c>
      <c r="AN147" s="327">
        <v>9.1016639999999996E-2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1473105.7712000001</v>
      </c>
      <c r="D150" s="327">
        <v>0.10690535</v>
      </c>
      <c r="E150"/>
      <c r="F150" s="326">
        <v>-164842.28</v>
      </c>
      <c r="G150" s="327">
        <v>-0.22593848</v>
      </c>
      <c r="H150"/>
      <c r="I150" s="326">
        <v>-200850.38</v>
      </c>
      <c r="J150" s="327">
        <v>-0.25609795000000002</v>
      </c>
      <c r="K150"/>
      <c r="L150" s="326">
        <v>87206.43</v>
      </c>
      <c r="M150" s="327">
        <v>7.9542169999999995E-2</v>
      </c>
      <c r="N150"/>
      <c r="O150" s="326">
        <v>97772.62</v>
      </c>
      <c r="P150" s="327">
        <v>8.4275649999999994E-2</v>
      </c>
      <c r="Q150"/>
      <c r="R150" s="326">
        <v>382065.31430000003</v>
      </c>
      <c r="S150" s="327">
        <v>0.26190280999999999</v>
      </c>
      <c r="T150"/>
      <c r="U150" s="326">
        <v>254507.40609999999</v>
      </c>
      <c r="V150" s="327">
        <v>0.19307925000000001</v>
      </c>
      <c r="W150"/>
      <c r="X150" s="326">
        <v>99063.781700000007</v>
      </c>
      <c r="Y150" s="327">
        <v>9.0709940000000003E-2</v>
      </c>
      <c r="Z150"/>
      <c r="AA150" s="326">
        <v>48639.013099999996</v>
      </c>
      <c r="AB150" s="327">
        <v>4.6411519999999998E-2</v>
      </c>
      <c r="AC150"/>
      <c r="AD150" s="326">
        <v>333396.4363</v>
      </c>
      <c r="AE150" s="327">
        <v>0.23450951</v>
      </c>
      <c r="AF150"/>
      <c r="AG150" s="326">
        <v>265152.4425</v>
      </c>
      <c r="AH150" s="327">
        <v>0.19865569</v>
      </c>
      <c r="AI150"/>
      <c r="AJ150" s="326">
        <v>171411.38</v>
      </c>
      <c r="AK150" s="327">
        <v>0.13805835999999999</v>
      </c>
      <c r="AL150"/>
      <c r="AM150" s="326">
        <v>99583.607199999999</v>
      </c>
      <c r="AN150" s="327">
        <v>9.1016639999999996E-2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1498105.7712000001</v>
      </c>
      <c r="D153" s="7">
        <v>0.10871963</v>
      </c>
      <c r="E153"/>
      <c r="F153" s="8">
        <v>-164842.28</v>
      </c>
      <c r="G153" s="7">
        <v>-0.22593848</v>
      </c>
      <c r="H153"/>
      <c r="I153" s="8">
        <v>-196350.38</v>
      </c>
      <c r="J153" s="7">
        <v>-0.25036014000000001</v>
      </c>
      <c r="K153"/>
      <c r="L153" s="8">
        <v>89456.43</v>
      </c>
      <c r="M153" s="7">
        <v>8.1594429999999996E-2</v>
      </c>
      <c r="N153"/>
      <c r="O153" s="8">
        <v>100022.62</v>
      </c>
      <c r="P153" s="7">
        <v>8.6215050000000015E-2</v>
      </c>
      <c r="Q153"/>
      <c r="R153" s="8">
        <v>384065.31430000003</v>
      </c>
      <c r="S153" s="7">
        <v>0.26327379000000001</v>
      </c>
      <c r="T153"/>
      <c r="U153" s="8">
        <v>256507.40609999999</v>
      </c>
      <c r="V153" s="7">
        <v>0.19459652999999999</v>
      </c>
      <c r="W153"/>
      <c r="X153" s="8">
        <v>101063.78170000001</v>
      </c>
      <c r="Y153" s="7">
        <v>9.2541290000000012E-2</v>
      </c>
      <c r="Z153"/>
      <c r="AA153" s="8">
        <v>50639.013099999996</v>
      </c>
      <c r="AB153" s="7">
        <v>4.8319920000000002E-2</v>
      </c>
      <c r="AC153"/>
      <c r="AD153" s="8">
        <v>335396.4363</v>
      </c>
      <c r="AE153" s="7">
        <v>0.23591630999999999</v>
      </c>
      <c r="AF153"/>
      <c r="AG153" s="8">
        <v>267152.4425</v>
      </c>
      <c r="AH153" s="7">
        <v>0.20015411999999999</v>
      </c>
      <c r="AI153"/>
      <c r="AJ153" s="8">
        <v>173411.38</v>
      </c>
      <c r="AK153" s="7">
        <v>0.13966920999999999</v>
      </c>
      <c r="AL153"/>
      <c r="AM153" s="8">
        <v>101583.6072</v>
      </c>
      <c r="AN153" s="7">
        <v>9.284458000000001E-2</v>
      </c>
    </row>
    <row r="154" spans="2:40" s="314" customFormat="1" ht="12.75" customHeight="1" x14ac:dyDescent="0.15">
      <c r="B154" s="5" t="s">
        <v>107</v>
      </c>
      <c r="C154" s="6">
        <v>1473105.7712000001</v>
      </c>
      <c r="D154" s="7">
        <v>0.10690535</v>
      </c>
      <c r="E154"/>
      <c r="F154" s="8">
        <v>-164842.28</v>
      </c>
      <c r="G154" s="7">
        <v>-0.22593848</v>
      </c>
      <c r="H154"/>
      <c r="I154" s="8">
        <v>-200850.38</v>
      </c>
      <c r="J154" s="7">
        <v>-0.25609795000000002</v>
      </c>
      <c r="K154"/>
      <c r="L154" s="8">
        <v>87206.43</v>
      </c>
      <c r="M154" s="7">
        <v>7.9542169999999995E-2</v>
      </c>
      <c r="N154"/>
      <c r="O154" s="8">
        <v>97772.62</v>
      </c>
      <c r="P154" s="7">
        <v>8.4275649999999994E-2</v>
      </c>
      <c r="Q154"/>
      <c r="R154" s="8">
        <v>382065.31430000003</v>
      </c>
      <c r="S154" s="7">
        <v>0.26190280999999999</v>
      </c>
      <c r="T154"/>
      <c r="U154" s="8">
        <v>254507.40609999999</v>
      </c>
      <c r="V154" s="7">
        <v>0.19307925000000001</v>
      </c>
      <c r="W154"/>
      <c r="X154" s="8">
        <v>99063.781700000007</v>
      </c>
      <c r="Y154" s="7">
        <v>9.0709940000000003E-2</v>
      </c>
      <c r="Z154"/>
      <c r="AA154" s="8">
        <v>48639.013099999996</v>
      </c>
      <c r="AB154" s="7">
        <v>4.6411519999999998E-2</v>
      </c>
      <c r="AC154"/>
      <c r="AD154" s="8">
        <v>333396.4363</v>
      </c>
      <c r="AE154" s="7">
        <v>0.23450951</v>
      </c>
      <c r="AF154"/>
      <c r="AG154" s="8">
        <v>265152.4425</v>
      </c>
      <c r="AH154" s="7">
        <v>0.19865569</v>
      </c>
      <c r="AI154"/>
      <c r="AJ154" s="8">
        <v>171411.38</v>
      </c>
      <c r="AK154" s="7">
        <v>0.13805835999999999</v>
      </c>
      <c r="AL154"/>
      <c r="AM154" s="8">
        <v>99583.607199999999</v>
      </c>
      <c r="AN154" s="7">
        <v>9.1016639999999996E-2</v>
      </c>
    </row>
    <row r="155" spans="2:40" s="314" customFormat="1" ht="12.75" customHeight="1" x14ac:dyDescent="0.15">
      <c r="B155" s="325" t="s">
        <v>108</v>
      </c>
      <c r="C155" s="330">
        <v>688741.71030000004</v>
      </c>
      <c r="D155" s="327">
        <v>4.9982949999999998E-2</v>
      </c>
      <c r="E155"/>
      <c r="F155" s="326">
        <v>36252.75</v>
      </c>
      <c r="G155" s="327">
        <v>4.9689259999999999E-2</v>
      </c>
      <c r="H155"/>
      <c r="I155" s="326">
        <v>39208.550000000003</v>
      </c>
      <c r="J155" s="327">
        <v>4.9993580000000003E-2</v>
      </c>
      <c r="K155"/>
      <c r="L155" s="326">
        <v>54815.31</v>
      </c>
      <c r="M155" s="327">
        <v>4.999779E-2</v>
      </c>
      <c r="N155"/>
      <c r="O155" s="326">
        <v>58006.85</v>
      </c>
      <c r="P155" s="327">
        <v>4.9999330000000002E-2</v>
      </c>
      <c r="Q155"/>
      <c r="R155" s="326">
        <v>72940.286500000002</v>
      </c>
      <c r="S155" s="327">
        <v>0.05</v>
      </c>
      <c r="T155"/>
      <c r="U155" s="326">
        <v>65907.498999999996</v>
      </c>
      <c r="V155" s="327">
        <v>0.05</v>
      </c>
      <c r="W155"/>
      <c r="X155" s="326">
        <v>54604.697899999999</v>
      </c>
      <c r="Y155" s="327">
        <v>0.05</v>
      </c>
      <c r="Z155"/>
      <c r="AA155" s="326">
        <v>52399.724099999999</v>
      </c>
      <c r="AB155" s="327">
        <v>0.05</v>
      </c>
      <c r="AC155"/>
      <c r="AD155" s="326">
        <v>71083.776100000003</v>
      </c>
      <c r="AE155" s="327">
        <v>0.05</v>
      </c>
      <c r="AF155"/>
      <c r="AG155" s="326">
        <v>66736.684200000003</v>
      </c>
      <c r="AH155" s="327">
        <v>0.05</v>
      </c>
      <c r="AI155"/>
      <c r="AJ155" s="326">
        <v>62079.317199999998</v>
      </c>
      <c r="AK155" s="327">
        <v>0.05</v>
      </c>
      <c r="AL155"/>
      <c r="AM155" s="326">
        <v>54706.265299999999</v>
      </c>
      <c r="AN155" s="327">
        <v>0.05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137748.34</v>
      </c>
      <c r="D158" s="7">
        <v>9.9965899999999996E-3</v>
      </c>
      <c r="E158"/>
      <c r="F158" s="8">
        <v>7250.55</v>
      </c>
      <c r="G158" s="7">
        <v>9.9378499999999998E-3</v>
      </c>
      <c r="H158"/>
      <c r="I158" s="8">
        <v>7841.71</v>
      </c>
      <c r="J158" s="7">
        <v>9.9987199999999991E-3</v>
      </c>
      <c r="K158"/>
      <c r="L158" s="8">
        <v>10963.06</v>
      </c>
      <c r="M158" s="7">
        <v>9.9995599999999994E-3</v>
      </c>
      <c r="N158"/>
      <c r="O158" s="8">
        <v>11601.37</v>
      </c>
      <c r="P158" s="7">
        <v>9.9998699999999992E-3</v>
      </c>
      <c r="Q158"/>
      <c r="R158" s="8">
        <v>14588.0573</v>
      </c>
      <c r="S158" s="7">
        <v>0.01</v>
      </c>
      <c r="T158"/>
      <c r="U158" s="8">
        <v>13181.4998</v>
      </c>
      <c r="V158" s="7">
        <v>0.01</v>
      </c>
      <c r="W158"/>
      <c r="X158" s="8">
        <v>10920.9396</v>
      </c>
      <c r="Y158" s="7">
        <v>0.01</v>
      </c>
      <c r="Z158"/>
      <c r="AA158" s="8">
        <v>10479.944799999999</v>
      </c>
      <c r="AB158" s="7">
        <v>0.01</v>
      </c>
      <c r="AC158"/>
      <c r="AD158" s="8">
        <v>14216.7552</v>
      </c>
      <c r="AE158" s="7">
        <v>0.01</v>
      </c>
      <c r="AF158"/>
      <c r="AG158" s="8">
        <v>13347.336799999999</v>
      </c>
      <c r="AH158" s="7">
        <v>0.01</v>
      </c>
      <c r="AI158"/>
      <c r="AJ158" s="8">
        <v>12415.8634</v>
      </c>
      <c r="AK158" s="7">
        <v>0.01</v>
      </c>
      <c r="AL158"/>
      <c r="AM158" s="8">
        <v>10941.2531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113904.515</v>
      </c>
      <c r="D159" s="7">
        <v>8.2662100000000013E-3</v>
      </c>
      <c r="E159"/>
      <c r="F159" s="8">
        <v>-16777.73</v>
      </c>
      <c r="G159" s="7">
        <v>-2.299613E-2</v>
      </c>
      <c r="H159"/>
      <c r="I159" s="8">
        <v>-8457.89</v>
      </c>
      <c r="J159" s="7">
        <v>-1.078439E-2</v>
      </c>
      <c r="K159"/>
      <c r="L159" s="8">
        <v>-8814.93</v>
      </c>
      <c r="M159" s="7">
        <v>-8.0402200000000007E-3</v>
      </c>
      <c r="N159"/>
      <c r="O159" s="8">
        <v>-2182.41</v>
      </c>
      <c r="P159" s="7">
        <v>-1.8811399999999999E-3</v>
      </c>
      <c r="Q159"/>
      <c r="R159" s="8">
        <v>21882.085899999998</v>
      </c>
      <c r="S159" s="7">
        <v>1.4999999999999999E-2</v>
      </c>
      <c r="T159"/>
      <c r="U159" s="8">
        <v>19772.2497</v>
      </c>
      <c r="V159" s="7">
        <v>1.4999999999999999E-2</v>
      </c>
      <c r="W159"/>
      <c r="X159" s="8">
        <v>16381.4094</v>
      </c>
      <c r="Y159" s="7">
        <v>1.4999999999999999E-2</v>
      </c>
      <c r="Z159"/>
      <c r="AA159" s="8">
        <v>15719.9172</v>
      </c>
      <c r="AB159" s="7">
        <v>1.4999999999999999E-2</v>
      </c>
      <c r="AC159"/>
      <c r="AD159" s="8">
        <v>21325.132799999999</v>
      </c>
      <c r="AE159" s="7">
        <v>1.4999999999999999E-2</v>
      </c>
      <c r="AF159"/>
      <c r="AG159" s="8">
        <v>20021.005300000001</v>
      </c>
      <c r="AH159" s="7">
        <v>1.4999999999999999E-2</v>
      </c>
      <c r="AI159"/>
      <c r="AJ159" s="8">
        <v>18623.795099999999</v>
      </c>
      <c r="AK159" s="7">
        <v>1.4999999999999999E-2</v>
      </c>
      <c r="AL159"/>
      <c r="AM159" s="8">
        <v>16411.8796</v>
      </c>
      <c r="AN159" s="7">
        <v>1.4999999999999999E-2</v>
      </c>
    </row>
    <row r="160" spans="2:40" s="314" customFormat="1" ht="12.75" customHeight="1" x14ac:dyDescent="0.15">
      <c r="B160" s="5" t="s">
        <v>113</v>
      </c>
      <c r="C160" s="6">
        <v>413245.03019999998</v>
      </c>
      <c r="D160" s="7">
        <v>2.9989769999999999E-2</v>
      </c>
      <c r="E160"/>
      <c r="F160" s="8">
        <v>21751.65</v>
      </c>
      <c r="G160" s="7">
        <v>2.9813559999999999E-2</v>
      </c>
      <c r="H160"/>
      <c r="I160" s="8">
        <v>23525.13</v>
      </c>
      <c r="J160" s="7">
        <v>2.9996149999999999E-2</v>
      </c>
      <c r="K160"/>
      <c r="L160" s="8">
        <v>32889.19</v>
      </c>
      <c r="M160" s="7">
        <v>2.999868E-2</v>
      </c>
      <c r="N160"/>
      <c r="O160" s="8">
        <v>34804.11</v>
      </c>
      <c r="P160" s="7">
        <v>2.9999600000000001E-2</v>
      </c>
      <c r="Q160"/>
      <c r="R160" s="8">
        <v>43764.171900000001</v>
      </c>
      <c r="S160" s="7">
        <v>0.03</v>
      </c>
      <c r="T160"/>
      <c r="U160" s="8">
        <v>39544.499400000001</v>
      </c>
      <c r="V160" s="7">
        <v>0.03</v>
      </c>
      <c r="W160"/>
      <c r="X160" s="8">
        <v>32762.8187</v>
      </c>
      <c r="Y160" s="7">
        <v>0.03</v>
      </c>
      <c r="Z160"/>
      <c r="AA160" s="8">
        <v>31439.834500000001</v>
      </c>
      <c r="AB160" s="7">
        <v>0.03</v>
      </c>
      <c r="AC160"/>
      <c r="AD160" s="8">
        <v>42650.265700000004</v>
      </c>
      <c r="AE160" s="7">
        <v>0.03</v>
      </c>
      <c r="AF160"/>
      <c r="AG160" s="8">
        <v>40042.010499999997</v>
      </c>
      <c r="AH160" s="7">
        <v>0.03</v>
      </c>
      <c r="AI160"/>
      <c r="AJ160" s="8">
        <v>37247.590300000003</v>
      </c>
      <c r="AK160" s="7">
        <v>0.03</v>
      </c>
      <c r="AL160"/>
      <c r="AM160" s="8">
        <v>32823.7592</v>
      </c>
      <c r="AN160" s="7">
        <v>0.03</v>
      </c>
    </row>
    <row r="161" spans="2:40" s="314" customFormat="1" ht="12.75" customHeight="1" x14ac:dyDescent="0.15">
      <c r="B161" s="5" t="s">
        <v>114</v>
      </c>
      <c r="C161" s="6">
        <v>137748.34</v>
      </c>
      <c r="D161" s="7">
        <v>9.9965899999999996E-3</v>
      </c>
      <c r="E161"/>
      <c r="F161" s="8">
        <v>7250.55</v>
      </c>
      <c r="G161" s="7">
        <v>9.9378499999999998E-3</v>
      </c>
      <c r="H161"/>
      <c r="I161" s="8">
        <v>7841.71</v>
      </c>
      <c r="J161" s="7">
        <v>9.9987199999999991E-3</v>
      </c>
      <c r="K161"/>
      <c r="L161" s="8">
        <v>10963.06</v>
      </c>
      <c r="M161" s="7">
        <v>9.9995599999999994E-3</v>
      </c>
      <c r="N161"/>
      <c r="O161" s="8">
        <v>11601.37</v>
      </c>
      <c r="P161" s="7">
        <v>9.9998699999999992E-3</v>
      </c>
      <c r="Q161"/>
      <c r="R161" s="8">
        <v>14588.0573</v>
      </c>
      <c r="S161" s="7">
        <v>0.01</v>
      </c>
      <c r="T161"/>
      <c r="U161" s="8">
        <v>13181.4998</v>
      </c>
      <c r="V161" s="7">
        <v>0.01</v>
      </c>
      <c r="W161"/>
      <c r="X161" s="8">
        <v>10920.9396</v>
      </c>
      <c r="Y161" s="7">
        <v>0.01</v>
      </c>
      <c r="Z161"/>
      <c r="AA161" s="8">
        <v>10479.944799999999</v>
      </c>
      <c r="AB161" s="7">
        <v>0.01</v>
      </c>
      <c r="AC161"/>
      <c r="AD161" s="8">
        <v>14216.7552</v>
      </c>
      <c r="AE161" s="7">
        <v>0.01</v>
      </c>
      <c r="AF161"/>
      <c r="AG161" s="8">
        <v>13347.336799999999</v>
      </c>
      <c r="AH161" s="7">
        <v>0.01</v>
      </c>
      <c r="AI161"/>
      <c r="AJ161" s="8">
        <v>12415.8634</v>
      </c>
      <c r="AK161" s="7">
        <v>0.01</v>
      </c>
      <c r="AL161"/>
      <c r="AM161" s="8">
        <v>10941.2531</v>
      </c>
      <c r="AN161" s="7">
        <v>0.01</v>
      </c>
    </row>
    <row r="162" spans="2:40" s="314" customFormat="1" ht="12.75" customHeight="1" x14ac:dyDescent="0.15">
      <c r="B162" s="325" t="s">
        <v>115</v>
      </c>
      <c r="C162" s="330">
        <v>841810.53940000001</v>
      </c>
      <c r="D162" s="327">
        <v>6.1091369999999999E-2</v>
      </c>
      <c r="E162"/>
      <c r="F162" s="326">
        <v>42559.519999999997</v>
      </c>
      <c r="G162" s="327">
        <v>5.8333540000000003E-2</v>
      </c>
      <c r="H162"/>
      <c r="I162" s="326">
        <v>38899.339999999997</v>
      </c>
      <c r="J162" s="327">
        <v>4.9599310000000001E-2</v>
      </c>
      <c r="K162"/>
      <c r="L162" s="326">
        <v>63064.62</v>
      </c>
      <c r="M162" s="327">
        <v>5.75221E-2</v>
      </c>
      <c r="N162"/>
      <c r="O162" s="326">
        <v>73318.03</v>
      </c>
      <c r="P162" s="327">
        <v>6.3196879999999997E-2</v>
      </c>
      <c r="Q162"/>
      <c r="R162" s="326">
        <v>95220.563399999999</v>
      </c>
      <c r="S162" s="327">
        <v>6.5272959999999991E-2</v>
      </c>
      <c r="T162"/>
      <c r="U162" s="326">
        <v>81748.303100000005</v>
      </c>
      <c r="V162" s="327">
        <v>6.2017450000000002E-2</v>
      </c>
      <c r="W162"/>
      <c r="X162" s="326">
        <v>67875.282600000006</v>
      </c>
      <c r="Y162" s="327">
        <v>6.2151500000000012E-2</v>
      </c>
      <c r="Z162"/>
      <c r="AA162" s="326">
        <v>65774.462599999999</v>
      </c>
      <c r="AB162" s="327">
        <v>6.2762219999999994E-2</v>
      </c>
      <c r="AC162"/>
      <c r="AD162" s="326">
        <v>89844.376000000004</v>
      </c>
      <c r="AE162" s="327">
        <v>6.3196120000000008E-2</v>
      </c>
      <c r="AF162"/>
      <c r="AG162" s="326">
        <v>82341.402000000002</v>
      </c>
      <c r="AH162" s="327">
        <v>6.1691259999999998E-2</v>
      </c>
      <c r="AI162"/>
      <c r="AJ162" s="326">
        <v>75139.829299999998</v>
      </c>
      <c r="AK162" s="327">
        <v>6.0519209999999997E-2</v>
      </c>
      <c r="AL162"/>
      <c r="AM162" s="326">
        <v>66024.810400000002</v>
      </c>
      <c r="AN162" s="327">
        <v>6.0344830000000002E-2</v>
      </c>
    </row>
    <row r="163" spans="2:40" s="314" customFormat="1" ht="12.75" customHeight="1" x14ac:dyDescent="0.15">
      <c r="B163" s="5" t="s">
        <v>116</v>
      </c>
      <c r="C163" s="6">
        <v>372094.34539999999</v>
      </c>
      <c r="D163" s="7">
        <v>2.7003409999999999E-2</v>
      </c>
      <c r="E163"/>
      <c r="F163" s="8">
        <v>18009.34</v>
      </c>
      <c r="G163" s="7">
        <v>2.468422E-2</v>
      </c>
      <c r="H163"/>
      <c r="I163" s="8">
        <v>18386.490000000002</v>
      </c>
      <c r="J163" s="7">
        <v>2.3444030000000001E-2</v>
      </c>
      <c r="K163"/>
      <c r="L163" s="8">
        <v>29019.27</v>
      </c>
      <c r="M163" s="7">
        <v>2.6468869999999999E-2</v>
      </c>
      <c r="N163"/>
      <c r="O163" s="8">
        <v>37603.83</v>
      </c>
      <c r="P163" s="7">
        <v>3.2412829999999997E-2</v>
      </c>
      <c r="Q163"/>
      <c r="R163" s="8">
        <v>41434.374100000001</v>
      </c>
      <c r="S163" s="7">
        <v>2.8402940000000002E-2</v>
      </c>
      <c r="T163"/>
      <c r="U163" s="8">
        <v>35243.923799999997</v>
      </c>
      <c r="V163" s="7">
        <v>2.6737420000000001E-2</v>
      </c>
      <c r="W163"/>
      <c r="X163" s="8">
        <v>29235.85</v>
      </c>
      <c r="Y163" s="7">
        <v>2.6770450000000001E-2</v>
      </c>
      <c r="Z163"/>
      <c r="AA163" s="8">
        <v>28382.724999999999</v>
      </c>
      <c r="AB163" s="7">
        <v>2.70829E-2</v>
      </c>
      <c r="AC163"/>
      <c r="AD163" s="8">
        <v>38860.377500000002</v>
      </c>
      <c r="AE163" s="7">
        <v>2.7334210000000001E-2</v>
      </c>
      <c r="AF163"/>
      <c r="AG163" s="8">
        <v>35473.480000000003</v>
      </c>
      <c r="AH163" s="7">
        <v>2.6577199999999999E-2</v>
      </c>
      <c r="AI163"/>
      <c r="AJ163" s="8">
        <v>32200.384999999998</v>
      </c>
      <c r="AK163" s="7">
        <v>2.5934869999999999E-2</v>
      </c>
      <c r="AL163"/>
      <c r="AM163" s="8">
        <v>28244.3</v>
      </c>
      <c r="AN163" s="7">
        <v>2.5814500000000001E-2</v>
      </c>
    </row>
    <row r="164" spans="2:40" s="314" customFormat="1" ht="12.75" customHeight="1" x14ac:dyDescent="0.15">
      <c r="B164" s="5" t="s">
        <v>117</v>
      </c>
      <c r="C164" s="6">
        <v>251260.37530000001</v>
      </c>
      <c r="D164" s="7">
        <v>1.8234319999999998E-2</v>
      </c>
      <c r="E164"/>
      <c r="F164" s="8">
        <v>13810.87</v>
      </c>
      <c r="G164" s="7">
        <v>1.8929649999999999E-2</v>
      </c>
      <c r="H164"/>
      <c r="I164" s="8">
        <v>13276.08</v>
      </c>
      <c r="J164" s="7">
        <v>1.6927910000000001E-2</v>
      </c>
      <c r="K164"/>
      <c r="L164" s="8">
        <v>16582.439999999999</v>
      </c>
      <c r="M164" s="7">
        <v>1.5125069999999999E-2</v>
      </c>
      <c r="N164"/>
      <c r="O164" s="8">
        <v>16556.759999999998</v>
      </c>
      <c r="P164" s="7">
        <v>1.427119E-2</v>
      </c>
      <c r="Q164"/>
      <c r="R164" s="8">
        <v>29358.481500000002</v>
      </c>
      <c r="S164" s="7">
        <v>2.0125009999999999E-2</v>
      </c>
      <c r="T164"/>
      <c r="U164" s="8">
        <v>24986.731299999999</v>
      </c>
      <c r="V164" s="7">
        <v>1.8955909999999999E-2</v>
      </c>
      <c r="W164"/>
      <c r="X164" s="8">
        <v>20782.75</v>
      </c>
      <c r="Y164" s="7">
        <v>1.9030180000000001E-2</v>
      </c>
      <c r="Z164"/>
      <c r="AA164" s="8">
        <v>20173.375</v>
      </c>
      <c r="AB164" s="7">
        <v>1.9249499999999999E-2</v>
      </c>
      <c r="AC164"/>
      <c r="AD164" s="8">
        <v>27557.412499999999</v>
      </c>
      <c r="AE164" s="7">
        <v>1.938376E-2</v>
      </c>
      <c r="AF164"/>
      <c r="AG164" s="8">
        <v>25138.2</v>
      </c>
      <c r="AH164" s="7">
        <v>1.8833869999999999E-2</v>
      </c>
      <c r="AI164"/>
      <c r="AJ164" s="8">
        <v>22900.275000000001</v>
      </c>
      <c r="AK164" s="7">
        <v>1.8444370000000002E-2</v>
      </c>
      <c r="AL164"/>
      <c r="AM164" s="8">
        <v>20137</v>
      </c>
      <c r="AN164" s="7">
        <v>1.840466E-2</v>
      </c>
    </row>
    <row r="165" spans="2:40" s="314" customFormat="1" ht="12.75" customHeight="1" x14ac:dyDescent="0.15">
      <c r="B165" s="5" t="s">
        <v>118</v>
      </c>
      <c r="C165" s="6">
        <v>85535.131099999999</v>
      </c>
      <c r="D165" s="7">
        <v>6.2073999999999992E-3</v>
      </c>
      <c r="E165"/>
      <c r="F165" s="8">
        <v>3808.85</v>
      </c>
      <c r="G165" s="7">
        <v>5.2205400000000001E-3</v>
      </c>
      <c r="H165"/>
      <c r="I165" s="8">
        <v>-2019.14</v>
      </c>
      <c r="J165" s="7">
        <v>-2.5745400000000002E-3</v>
      </c>
      <c r="K165"/>
      <c r="L165" s="8">
        <v>7047.54</v>
      </c>
      <c r="M165" s="7">
        <v>6.4281599999999996E-3</v>
      </c>
      <c r="N165"/>
      <c r="O165" s="8">
        <v>7925.56</v>
      </c>
      <c r="P165" s="7">
        <v>6.83148E-3</v>
      </c>
      <c r="Q165"/>
      <c r="R165" s="8">
        <v>10569.0533</v>
      </c>
      <c r="S165" s="7">
        <v>7.2450000000000006E-3</v>
      </c>
      <c r="T165"/>
      <c r="U165" s="8">
        <v>8995.2232999999997</v>
      </c>
      <c r="V165" s="7">
        <v>6.8241300000000003E-3</v>
      </c>
      <c r="W165"/>
      <c r="X165" s="8">
        <v>7481.79</v>
      </c>
      <c r="Y165" s="7">
        <v>6.8508700000000002E-3</v>
      </c>
      <c r="Z165"/>
      <c r="AA165" s="8">
        <v>7262.415</v>
      </c>
      <c r="AB165" s="7">
        <v>6.9298199999999997E-3</v>
      </c>
      <c r="AC165"/>
      <c r="AD165" s="8">
        <v>9920.6684999999998</v>
      </c>
      <c r="AE165" s="7">
        <v>6.9781499999999998E-3</v>
      </c>
      <c r="AF165"/>
      <c r="AG165" s="8">
        <v>9049.7520000000004</v>
      </c>
      <c r="AH165" s="7">
        <v>6.7801900000000002E-3</v>
      </c>
      <c r="AI165"/>
      <c r="AJ165" s="8">
        <v>8244.0990000000002</v>
      </c>
      <c r="AK165" s="7">
        <v>6.6399699999999994E-3</v>
      </c>
      <c r="AL165"/>
      <c r="AM165" s="8">
        <v>7249.32</v>
      </c>
      <c r="AN165" s="7">
        <v>6.6256800000000001E-3</v>
      </c>
    </row>
    <row r="166" spans="2:40" s="314" customFormat="1" ht="12.75" customHeight="1" x14ac:dyDescent="0.15">
      <c r="B166" s="5" t="s">
        <v>119</v>
      </c>
      <c r="C166" s="6">
        <v>132920.6876</v>
      </c>
      <c r="D166" s="7">
        <v>9.6462400000000004E-3</v>
      </c>
      <c r="E166"/>
      <c r="F166" s="8">
        <v>6930.46</v>
      </c>
      <c r="G166" s="7">
        <v>9.4991299999999997E-3</v>
      </c>
      <c r="H166"/>
      <c r="I166" s="8">
        <v>9255.91</v>
      </c>
      <c r="J166" s="7">
        <v>1.180192E-2</v>
      </c>
      <c r="K166"/>
      <c r="L166" s="8">
        <v>10415.370000000001</v>
      </c>
      <c r="M166" s="7">
        <v>9.4999999999999998E-3</v>
      </c>
      <c r="N166"/>
      <c r="O166" s="8">
        <v>11231.88</v>
      </c>
      <c r="P166" s="7">
        <v>9.6813799999999998E-3</v>
      </c>
      <c r="Q166"/>
      <c r="R166" s="8">
        <v>13858.654399999999</v>
      </c>
      <c r="S166" s="7">
        <v>9.4999999999999998E-3</v>
      </c>
      <c r="T166"/>
      <c r="U166" s="8">
        <v>12522.424800000001</v>
      </c>
      <c r="V166" s="7">
        <v>9.4999999999999998E-3</v>
      </c>
      <c r="W166"/>
      <c r="X166" s="8">
        <v>10374.892599999999</v>
      </c>
      <c r="Y166" s="7">
        <v>9.4999999999999998E-3</v>
      </c>
      <c r="Z166"/>
      <c r="AA166" s="8">
        <v>9955.9475999999995</v>
      </c>
      <c r="AB166" s="7">
        <v>9.4999999999999998E-3</v>
      </c>
      <c r="AC166"/>
      <c r="AD166" s="8">
        <v>13505.9175</v>
      </c>
      <c r="AE166" s="7">
        <v>9.4999999999999998E-3</v>
      </c>
      <c r="AF166"/>
      <c r="AG166" s="8">
        <v>12679.97</v>
      </c>
      <c r="AH166" s="7">
        <v>9.4999999999999998E-3</v>
      </c>
      <c r="AI166"/>
      <c r="AJ166" s="8">
        <v>11795.070299999999</v>
      </c>
      <c r="AK166" s="7">
        <v>9.4999999999999998E-3</v>
      </c>
      <c r="AL166"/>
      <c r="AM166" s="8">
        <v>10394.190399999999</v>
      </c>
      <c r="AN166" s="7">
        <v>9.4999999999999998E-3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602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  <row r="169" spans="2:40" s="314" customFormat="1" ht="12.75" customHeight="1" x14ac:dyDescent="0.15"/>
    <row r="170" spans="2:40" s="314" customFormat="1" ht="12.75" customHeight="1" x14ac:dyDescent="0.15"/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E9D3-217B-4515-B7E1-59AF3FDD0A0D}">
  <sheetPr>
    <pageSetUpPr fitToPage="1"/>
  </sheetPr>
  <dimension ref="B2:O168"/>
  <sheetViews>
    <sheetView workbookViewId="0">
      <pane xSplit="2" ySplit="10" topLeftCell="C156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A170" sqref="A170:XFD178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147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Dom'!C11</f>
        <v>5913292.5954999998</v>
      </c>
      <c r="D11" s="39">
        <f>'Data entry Dom'!F11</f>
        <v>261757.68</v>
      </c>
      <c r="E11" s="39">
        <f>'Data entry Dom'!I11</f>
        <v>408619.34</v>
      </c>
      <c r="F11" s="39">
        <f>'Data entry Dom'!L11</f>
        <v>550322.54</v>
      </c>
      <c r="G11" s="39">
        <f>'Data entry Dom'!O11</f>
        <v>495861.56</v>
      </c>
      <c r="H11" s="39">
        <f>'Data entry Dom'!R11</f>
        <v>516556.47820000001</v>
      </c>
      <c r="I11" s="39">
        <f>'Data entry Dom'!U11</f>
        <v>457842.51899999997</v>
      </c>
      <c r="J11" s="39">
        <f>'Data entry Dom'!X11</f>
        <v>411388.8578</v>
      </c>
      <c r="K11" s="39">
        <f>'Data entry Dom'!AA11</f>
        <v>505518.875</v>
      </c>
      <c r="L11" s="39">
        <f>'Data entry Dom'!AD11</f>
        <v>562255.4375</v>
      </c>
      <c r="M11" s="39">
        <f>'Data entry Dom'!AG11</f>
        <v>696447.43839999998</v>
      </c>
      <c r="N11" s="39">
        <f>'Data entry Dom'!AJ11</f>
        <v>532647.5</v>
      </c>
      <c r="O11" s="39">
        <f>'Data entry Dom'!AM11</f>
        <v>514074.36959999998</v>
      </c>
    </row>
    <row r="12" spans="2:15" ht="14" x14ac:dyDescent="0.15">
      <c r="B12" s="38" t="s">
        <v>22</v>
      </c>
      <c r="C12" s="39">
        <f>'Data entry Dom'!C12</f>
        <v>1678485.9231</v>
      </c>
      <c r="D12" s="39">
        <f>'Data entry Dom'!F12</f>
        <v>119839.15</v>
      </c>
      <c r="E12" s="39">
        <f>'Data entry Dom'!I12</f>
        <v>142923.37</v>
      </c>
      <c r="F12" s="39">
        <f>'Data entry Dom'!L12</f>
        <v>135676.57</v>
      </c>
      <c r="G12" s="39">
        <f>'Data entry Dom'!O12</f>
        <v>137413.20000000001</v>
      </c>
      <c r="H12" s="39">
        <f>'Data entry Dom'!R12</f>
        <v>139848.163</v>
      </c>
      <c r="I12" s="39">
        <f>'Data entry Dom'!U12</f>
        <v>143692.21100000001</v>
      </c>
      <c r="J12" s="39">
        <f>'Data entry Dom'!X12</f>
        <v>134107.9112</v>
      </c>
      <c r="K12" s="39">
        <f>'Data entry Dom'!AA12</f>
        <v>142006.68210000001</v>
      </c>
      <c r="L12" s="39">
        <f>'Data entry Dom'!AD12</f>
        <v>144935.4278</v>
      </c>
      <c r="M12" s="39">
        <f>'Data entry Dom'!AG12</f>
        <v>143512.69630000001</v>
      </c>
      <c r="N12" s="39">
        <f>'Data entry Dom'!AJ12</f>
        <v>146828.8045</v>
      </c>
      <c r="O12" s="39">
        <f>'Data entry Dom'!AM12</f>
        <v>147701.7372</v>
      </c>
    </row>
    <row r="13" spans="2:15" ht="14" x14ac:dyDescent="0.15">
      <c r="B13" s="38" t="s">
        <v>23</v>
      </c>
      <c r="C13" s="39">
        <f>'Data entry Dom'!C13</f>
        <v>2020336.2675000001</v>
      </c>
      <c r="D13" s="39">
        <f>'Data entry Dom'!F13</f>
        <v>9836.08</v>
      </c>
      <c r="E13" s="39">
        <f>'Data entry Dom'!I13</f>
        <v>101615.37</v>
      </c>
      <c r="F13" s="39">
        <f>'Data entry Dom'!L13</f>
        <v>223683.26</v>
      </c>
      <c r="G13" s="39">
        <f>'Data entry Dom'!O13</f>
        <v>161311.78</v>
      </c>
      <c r="H13" s="39">
        <f>'Data entry Dom'!R13</f>
        <v>186068.09849999999</v>
      </c>
      <c r="I13" s="39">
        <f>'Data entry Dom'!U13</f>
        <v>141034.71090000001</v>
      </c>
      <c r="J13" s="39">
        <f>'Data entry Dom'!X13</f>
        <v>105146.74400000001</v>
      </c>
      <c r="K13" s="39">
        <f>'Data entry Dom'!AA13</f>
        <v>172307.32750000001</v>
      </c>
      <c r="L13" s="39">
        <f>'Data entry Dom'!AD13</f>
        <v>214169.60819999999</v>
      </c>
      <c r="M13" s="39">
        <f>'Data entry Dom'!AG13</f>
        <v>334239.62329999998</v>
      </c>
      <c r="N13" s="39">
        <f>'Data entry Dom'!AJ13</f>
        <v>194394.87460000001</v>
      </c>
      <c r="O13" s="39">
        <f>'Data entry Dom'!AM13</f>
        <v>176528.7905</v>
      </c>
    </row>
    <row r="14" spans="2:15" ht="14" x14ac:dyDescent="0.15">
      <c r="B14" s="38" t="s">
        <v>24</v>
      </c>
      <c r="C14" s="39">
        <f>'Data entry Dom'!C14</f>
        <v>47450</v>
      </c>
      <c r="D14" s="39">
        <f>'Data entry Dom'!F14</f>
        <v>4030</v>
      </c>
      <c r="E14" s="39">
        <f>'Data entry Dom'!I14</f>
        <v>3640</v>
      </c>
      <c r="F14" s="39">
        <f>'Data entry Dom'!L14</f>
        <v>4030</v>
      </c>
      <c r="G14" s="39">
        <f>'Data entry Dom'!O14</f>
        <v>3900</v>
      </c>
      <c r="H14" s="39">
        <f>'Data entry Dom'!R14</f>
        <v>4030</v>
      </c>
      <c r="I14" s="39">
        <f>'Data entry Dom'!U14</f>
        <v>3900</v>
      </c>
      <c r="J14" s="39">
        <f>'Data entry Dom'!X14</f>
        <v>4030</v>
      </c>
      <c r="K14" s="39">
        <f>'Data entry Dom'!AA14</f>
        <v>4030</v>
      </c>
      <c r="L14" s="39">
        <f>'Data entry Dom'!AD14</f>
        <v>3900</v>
      </c>
      <c r="M14" s="39">
        <f>'Data entry Dom'!AG14</f>
        <v>4030</v>
      </c>
      <c r="N14" s="39">
        <f>'Data entry Dom'!AJ14</f>
        <v>3900</v>
      </c>
      <c r="O14" s="39">
        <f>'Data entry Dom'!AM14</f>
        <v>4030</v>
      </c>
    </row>
    <row r="15" spans="2:15" ht="14" x14ac:dyDescent="0.15">
      <c r="B15" s="38" t="s">
        <v>25</v>
      </c>
      <c r="C15" s="39">
        <f>'Data entry Dom'!C15</f>
        <v>36884</v>
      </c>
      <c r="D15" s="39">
        <f>'Data entry Dom'!F15</f>
        <v>2173</v>
      </c>
      <c r="E15" s="39">
        <f>'Data entry Dom'!I15</f>
        <v>2724</v>
      </c>
      <c r="F15" s="39">
        <f>'Data entry Dom'!L15</f>
        <v>3061</v>
      </c>
      <c r="G15" s="39">
        <f>'Data entry Dom'!O15</f>
        <v>2985</v>
      </c>
      <c r="H15" s="39">
        <f>'Data entry Dom'!R15</f>
        <v>3225</v>
      </c>
      <c r="I15" s="39">
        <f>'Data entry Dom'!U15</f>
        <v>3026</v>
      </c>
      <c r="J15" s="39">
        <f>'Data entry Dom'!X15</f>
        <v>3150</v>
      </c>
      <c r="K15" s="39">
        <f>'Data entry Dom'!AA15</f>
        <v>3460</v>
      </c>
      <c r="L15" s="39">
        <f>'Data entry Dom'!AD15</f>
        <v>3410</v>
      </c>
      <c r="M15" s="39">
        <f>'Data entry Dom'!AG15</f>
        <v>3310</v>
      </c>
      <c r="N15" s="39">
        <f>'Data entry Dom'!AJ15</f>
        <v>3250</v>
      </c>
      <c r="O15" s="39">
        <f>'Data entry Dom'!AM15</f>
        <v>3110</v>
      </c>
    </row>
    <row r="16" spans="2:15" ht="14" x14ac:dyDescent="0.15">
      <c r="B16" s="38" t="s">
        <v>26</v>
      </c>
      <c r="C16" s="39">
        <f>'Data entry Dom'!C16</f>
        <v>77.780821917807998</v>
      </c>
      <c r="D16" s="39">
        <f>'Data entry Dom'!F16</f>
        <v>54.019851116624999</v>
      </c>
      <c r="E16" s="39">
        <f>'Data entry Dom'!I16</f>
        <v>74.945054945055006</v>
      </c>
      <c r="F16" s="39">
        <f>'Data entry Dom'!L16</f>
        <v>76.203473945409002</v>
      </c>
      <c r="G16" s="39">
        <f>'Data entry Dom'!O16</f>
        <v>76.666666666666998</v>
      </c>
      <c r="H16" s="39">
        <f>'Data entry Dom'!R16</f>
        <v>80.024813895782003</v>
      </c>
      <c r="I16" s="39">
        <f>'Data entry Dom'!U16</f>
        <v>77.589743589744003</v>
      </c>
      <c r="J16" s="39">
        <f>'Data entry Dom'!X16</f>
        <v>78.163771712159004</v>
      </c>
      <c r="K16" s="39">
        <f>'Data entry Dom'!AA16</f>
        <v>85.856079404466001</v>
      </c>
      <c r="L16" s="39">
        <f>'Data entry Dom'!AD16</f>
        <v>87.435897435897004</v>
      </c>
      <c r="M16" s="39">
        <f>'Data entry Dom'!AG16</f>
        <v>82.133995037220998</v>
      </c>
      <c r="N16" s="39">
        <f>'Data entry Dom'!AJ16</f>
        <v>83.333333333333002</v>
      </c>
      <c r="O16" s="39">
        <f>'Data entry Dom'!AM16</f>
        <v>77.171215880893001</v>
      </c>
    </row>
    <row r="17" spans="2:15" ht="14" x14ac:dyDescent="0.15">
      <c r="B17" s="38" t="s">
        <v>27</v>
      </c>
      <c r="C17" s="39">
        <f>'Data entry Dom'!C17</f>
        <v>140.23936151177</v>
      </c>
      <c r="D17" s="39">
        <f>'Data entry Dom'!F17</f>
        <v>99.735149562816005</v>
      </c>
      <c r="E17" s="39">
        <f>'Data entry Dom'!I17</f>
        <v>130.74260279001001</v>
      </c>
      <c r="F17" s="39">
        <f>'Data entry Dom'!L17</f>
        <v>158.40208101927001</v>
      </c>
      <c r="G17" s="39">
        <f>'Data entry Dom'!O17</f>
        <v>143.88526298157001</v>
      </c>
      <c r="H17" s="39">
        <f>'Data entry Dom'!R17</f>
        <v>141.80465116279001</v>
      </c>
      <c r="I17" s="39">
        <f>'Data entry Dom'!U17</f>
        <v>133.98050231328</v>
      </c>
      <c r="J17" s="39">
        <f>'Data entry Dom'!X17</f>
        <v>111.07619047619001</v>
      </c>
      <c r="K17" s="39">
        <f>'Data entry Dom'!AA17</f>
        <v>126.50289017340999</v>
      </c>
      <c r="L17" s="39">
        <f>'Data entry Dom'!AD17</f>
        <v>144.50146627565999</v>
      </c>
      <c r="M17" s="39">
        <f>'Data entry Dom'!AG17</f>
        <v>188.05135951662001</v>
      </c>
      <c r="N17" s="39">
        <f>'Data entry Dom'!AJ17</f>
        <v>144.31076923077001</v>
      </c>
      <c r="O17" s="39">
        <f>'Data entry Dom'!AM17</f>
        <v>144.95498392283</v>
      </c>
    </row>
    <row r="18" spans="2:15" ht="14" x14ac:dyDescent="0.15">
      <c r="B18" s="38" t="s">
        <v>28</v>
      </c>
      <c r="C18" s="39">
        <f>'Data entry Dom'!C18</f>
        <v>107.98143603793</v>
      </c>
      <c r="D18" s="39">
        <f>'Data entry Dom'!F18</f>
        <v>53.054543424317998</v>
      </c>
      <c r="E18" s="39">
        <f>'Data entry Dom'!I18</f>
        <v>96.748030219780006</v>
      </c>
      <c r="F18" s="39">
        <f>'Data entry Dom'!L18</f>
        <v>119.79244665012</v>
      </c>
      <c r="G18" s="39">
        <f>'Data entry Dom'!O18</f>
        <v>106.95588205128</v>
      </c>
      <c r="H18" s="39">
        <f>'Data entry Dom'!R18</f>
        <v>112.73449131514</v>
      </c>
      <c r="I18" s="39">
        <f>'Data entry Dom'!U18</f>
        <v>103.1858974359</v>
      </c>
      <c r="J18" s="39">
        <f>'Data entry Dom'!X18</f>
        <v>86.200992555830993</v>
      </c>
      <c r="K18" s="39">
        <f>'Data entry Dom'!AA18</f>
        <v>107.86600496278</v>
      </c>
      <c r="L18" s="39">
        <f>'Data entry Dom'!AD18</f>
        <v>125.0641025641</v>
      </c>
      <c r="M18" s="39">
        <f>'Data entry Dom'!AG18</f>
        <v>153.21339950372001</v>
      </c>
      <c r="N18" s="39">
        <f>'Data entry Dom'!AJ18</f>
        <v>119.48974358974</v>
      </c>
      <c r="O18" s="39">
        <f>'Data entry Dom'!AM18</f>
        <v>111.11910669975001</v>
      </c>
    </row>
    <row r="19" spans="2:15" ht="14" x14ac:dyDescent="0.15">
      <c r="B19" s="38" t="s">
        <v>29</v>
      </c>
      <c r="C19" s="39">
        <f>'Data entry Dom'!C19</f>
        <v>124.62155101159</v>
      </c>
      <c r="D19" s="39">
        <f>'Data entry Dom'!F19</f>
        <v>64.952277915633005</v>
      </c>
      <c r="E19" s="39">
        <f>'Data entry Dom'!I19</f>
        <v>112.25806043956</v>
      </c>
      <c r="F19" s="39">
        <f>'Data entry Dom'!L19</f>
        <v>136.55646153846001</v>
      </c>
      <c r="G19" s="39">
        <f>'Data entry Dom'!O19</f>
        <v>127.14398974359</v>
      </c>
      <c r="H19" s="39">
        <f>'Data entry Dom'!R19</f>
        <v>128.17778615385001</v>
      </c>
      <c r="I19" s="39">
        <f>'Data entry Dom'!U19</f>
        <v>117.39551769230999</v>
      </c>
      <c r="J19" s="39">
        <f>'Data entry Dom'!X19</f>
        <v>102.08160243176</v>
      </c>
      <c r="K19" s="39">
        <f>'Data entry Dom'!AA19</f>
        <v>125.43892679901001</v>
      </c>
      <c r="L19" s="39">
        <f>'Data entry Dom'!AD19</f>
        <v>144.16806089744</v>
      </c>
      <c r="M19" s="39">
        <f>'Data entry Dom'!AG19</f>
        <v>172.81574153846</v>
      </c>
      <c r="N19" s="39">
        <f>'Data entry Dom'!AJ19</f>
        <v>136.57628205128</v>
      </c>
      <c r="O19" s="39">
        <f>'Data entry Dom'!AM19</f>
        <v>127.56187831266</v>
      </c>
    </row>
    <row r="20" spans="2:15" ht="14" x14ac:dyDescent="0.15">
      <c r="B20" s="38" t="s">
        <v>30</v>
      </c>
      <c r="C20" s="39">
        <f>'Data entry Dom'!C20</f>
        <v>55741.39</v>
      </c>
      <c r="D20" s="39">
        <f>'Data entry Dom'!F20</f>
        <v>3029</v>
      </c>
      <c r="E20" s="39">
        <f>'Data entry Dom'!I20</f>
        <v>3696</v>
      </c>
      <c r="F20" s="39">
        <f>'Data entry Dom'!L20</f>
        <v>4223</v>
      </c>
      <c r="G20" s="39">
        <f>'Data entry Dom'!O20</f>
        <v>4492</v>
      </c>
      <c r="H20" s="39">
        <f>'Data entry Dom'!R20</f>
        <v>4676.25</v>
      </c>
      <c r="I20" s="39">
        <f>'Data entry Dom'!U20</f>
        <v>4357.4399999999996</v>
      </c>
      <c r="J20" s="39">
        <f>'Data entry Dom'!X20</f>
        <v>4819.5</v>
      </c>
      <c r="K20" s="39">
        <f>'Data entry Dom'!AA20</f>
        <v>5432.2</v>
      </c>
      <c r="L20" s="39">
        <f>'Data entry Dom'!AD20</f>
        <v>5626.5</v>
      </c>
      <c r="M20" s="39">
        <f>'Data entry Dom'!AG20</f>
        <v>5660.1</v>
      </c>
      <c r="N20" s="39">
        <f>'Data entry Dom'!AJ20</f>
        <v>4940</v>
      </c>
      <c r="O20" s="39">
        <f>'Data entry Dom'!AM20</f>
        <v>4789.3999999999996</v>
      </c>
    </row>
    <row r="21" spans="2:15" ht="14" x14ac:dyDescent="0.15">
      <c r="B21" s="38" t="s">
        <v>31</v>
      </c>
      <c r="C21" s="39">
        <f>'Data entry Dom'!C21</f>
        <v>1.5103202644485001</v>
      </c>
      <c r="D21" s="39">
        <f>'Data entry Dom'!F21</f>
        <v>1.3913642627469001</v>
      </c>
      <c r="E21" s="39">
        <f>'Data entry Dom'!I21</f>
        <v>1.3548387096773999</v>
      </c>
      <c r="F21" s="39">
        <f>'Data entry Dom'!L21</f>
        <v>1.3751221100619</v>
      </c>
      <c r="G21" s="39">
        <f>'Data entry Dom'!O21</f>
        <v>1.5023411371237001</v>
      </c>
      <c r="H21" s="39">
        <f>'Data entry Dom'!R21</f>
        <v>1.45</v>
      </c>
      <c r="I21" s="39">
        <f>'Data entry Dom'!U21</f>
        <v>1.44</v>
      </c>
      <c r="J21" s="39">
        <f>'Data entry Dom'!X21</f>
        <v>1.53</v>
      </c>
      <c r="K21" s="39">
        <f>'Data entry Dom'!AA21</f>
        <v>1.57</v>
      </c>
      <c r="L21" s="39">
        <f>'Data entry Dom'!AD21</f>
        <v>1.65</v>
      </c>
      <c r="M21" s="39">
        <f>'Data entry Dom'!AG21</f>
        <v>1.71</v>
      </c>
      <c r="N21" s="39">
        <f>'Data entry Dom'!AJ21</f>
        <v>1.52</v>
      </c>
      <c r="O21" s="39">
        <f>'Data entry Dom'!AM21</f>
        <v>1.54</v>
      </c>
    </row>
    <row r="22" spans="2:15" ht="14" x14ac:dyDescent="0.15">
      <c r="B22" s="38" t="s">
        <v>32</v>
      </c>
      <c r="C22" s="39">
        <f>'Data entry Dom'!C22</f>
        <v>30768.755499999999</v>
      </c>
      <c r="D22" s="39">
        <f>'Data entry Dom'!F22</f>
        <v>0</v>
      </c>
      <c r="E22" s="39">
        <f>'Data entry Dom'!I22</f>
        <v>0</v>
      </c>
      <c r="F22" s="39">
        <f>'Data entry Dom'!L22</f>
        <v>0</v>
      </c>
      <c r="G22" s="39">
        <f>'Data entry Dom'!O22</f>
        <v>0</v>
      </c>
      <c r="H22" s="39">
        <f>'Data entry Dom'!R22</f>
        <v>3600.7125000000001</v>
      </c>
      <c r="I22" s="39">
        <f>'Data entry Dom'!U22</f>
        <v>3050.2080000000001</v>
      </c>
      <c r="J22" s="39">
        <f>'Data entry Dom'!X22</f>
        <v>3759.21</v>
      </c>
      <c r="K22" s="39">
        <f>'Data entry Dom'!AA22</f>
        <v>4074.15</v>
      </c>
      <c r="L22" s="39">
        <f>'Data entry Dom'!AD22</f>
        <v>4219.875</v>
      </c>
      <c r="M22" s="39">
        <f>'Data entry Dom'!AG22</f>
        <v>4528.08</v>
      </c>
      <c r="N22" s="39">
        <f>'Data entry Dom'!AJ22</f>
        <v>3705</v>
      </c>
      <c r="O22" s="39">
        <f>'Data entry Dom'!AM22</f>
        <v>3831.52</v>
      </c>
    </row>
    <row r="23" spans="2:15" ht="14" x14ac:dyDescent="0.15">
      <c r="B23" s="38" t="s">
        <v>33</v>
      </c>
      <c r="C23" s="39">
        <f>'Data entry Dom'!C23</f>
        <v>24.028300000000002</v>
      </c>
      <c r="D23" s="39">
        <f>'Data entry Dom'!F23</f>
        <v>25.36</v>
      </c>
      <c r="E23" s="39">
        <f>'Data entry Dom'!I23</f>
        <v>25.36</v>
      </c>
      <c r="F23" s="39">
        <f>'Data entry Dom'!L23</f>
        <v>26.36</v>
      </c>
      <c r="G23" s="39">
        <f>'Data entry Dom'!O23</f>
        <v>26.36</v>
      </c>
      <c r="H23" s="39">
        <f>'Data entry Dom'!R23</f>
        <v>23.3</v>
      </c>
      <c r="I23" s="39">
        <f>'Data entry Dom'!U23</f>
        <v>23.3</v>
      </c>
      <c r="J23" s="39">
        <f>'Data entry Dom'!X23</f>
        <v>23.3</v>
      </c>
      <c r="K23" s="39">
        <f>'Data entry Dom'!AA23</f>
        <v>23.3</v>
      </c>
      <c r="L23" s="39">
        <f>'Data entry Dom'!AD23</f>
        <v>23.3</v>
      </c>
      <c r="M23" s="39">
        <f>'Data entry Dom'!AG23</f>
        <v>22.8</v>
      </c>
      <c r="N23" s="39">
        <f>'Data entry Dom'!AJ23</f>
        <v>22.8</v>
      </c>
      <c r="O23" s="39">
        <f>'Data entry Dom'!AM23</f>
        <v>22.8</v>
      </c>
    </row>
    <row r="24" spans="2:15" x14ac:dyDescent="0.15">
      <c r="C24" s="39">
        <f>'Data entry Dom'!C24</f>
        <v>0</v>
      </c>
      <c r="D24" s="39">
        <f>'Data entry Dom'!F24</f>
        <v>0</v>
      </c>
      <c r="E24" s="39">
        <f>'Data entry Dom'!I24</f>
        <v>0</v>
      </c>
      <c r="F24" s="39">
        <f>'Data entry Dom'!L24</f>
        <v>0</v>
      </c>
      <c r="G24" s="39">
        <f>'Data entry Dom'!O24</f>
        <v>0</v>
      </c>
      <c r="H24" s="39">
        <f>'Data entry Dom'!R24</f>
        <v>0</v>
      </c>
      <c r="I24" s="39">
        <f>'Data entry Dom'!U24</f>
        <v>0</v>
      </c>
      <c r="J24" s="39">
        <f>'Data entry Dom'!X24</f>
        <v>0</v>
      </c>
      <c r="K24" s="39">
        <f>'Data entry Dom'!AA24</f>
        <v>0</v>
      </c>
      <c r="L24" s="39">
        <f>'Data entry Dom'!AD24</f>
        <v>0</v>
      </c>
      <c r="M24" s="39">
        <f>'Data entry Dom'!AG24</f>
        <v>0</v>
      </c>
      <c r="N24" s="39">
        <f>'Data entry Dom'!AJ24</f>
        <v>0</v>
      </c>
      <c r="O24" s="39">
        <f>'Data entry Dom'!AM24</f>
        <v>0</v>
      </c>
    </row>
    <row r="25" spans="2:15" ht="14" x14ac:dyDescent="0.15">
      <c r="B25" s="38" t="s">
        <v>34</v>
      </c>
      <c r="C25" s="39">
        <f>'Data entry Dom'!C25</f>
        <v>0</v>
      </c>
      <c r="D25" s="39">
        <f>'Data entry Dom'!F25</f>
        <v>0</v>
      </c>
      <c r="E25" s="39">
        <f>'Data entry Dom'!I25</f>
        <v>0</v>
      </c>
      <c r="F25" s="39">
        <f>'Data entry Dom'!L25</f>
        <v>0</v>
      </c>
      <c r="G25" s="39">
        <f>'Data entry Dom'!O25</f>
        <v>0</v>
      </c>
      <c r="H25" s="39">
        <f>'Data entry Dom'!R25</f>
        <v>0</v>
      </c>
      <c r="I25" s="39">
        <f>'Data entry Dom'!U25</f>
        <v>0</v>
      </c>
      <c r="J25" s="39">
        <f>'Data entry Dom'!X25</f>
        <v>0</v>
      </c>
      <c r="K25" s="39">
        <f>'Data entry Dom'!AA25</f>
        <v>0</v>
      </c>
      <c r="L25" s="39">
        <f>'Data entry Dom'!AD25</f>
        <v>0</v>
      </c>
      <c r="M25" s="39">
        <f>'Data entry Dom'!AG25</f>
        <v>0</v>
      </c>
      <c r="N25" s="39">
        <f>'Data entry Dom'!AJ25</f>
        <v>0</v>
      </c>
      <c r="O25" s="39">
        <f>'Data entry Dom'!AM25</f>
        <v>0</v>
      </c>
    </row>
    <row r="26" spans="2:15" x14ac:dyDescent="0.15">
      <c r="B26" s="40"/>
      <c r="C26" s="39">
        <f>'Data entry Dom'!C26</f>
        <v>0</v>
      </c>
      <c r="D26" s="39">
        <f>'Data entry Dom'!F26</f>
        <v>0</v>
      </c>
      <c r="E26" s="39">
        <f>'Data entry Dom'!I26</f>
        <v>0</v>
      </c>
      <c r="F26" s="39">
        <f>'Data entry Dom'!L26</f>
        <v>0</v>
      </c>
      <c r="G26" s="39">
        <f>'Data entry Dom'!O26</f>
        <v>0</v>
      </c>
      <c r="H26" s="39">
        <f>'Data entry Dom'!R26</f>
        <v>0</v>
      </c>
      <c r="I26" s="39">
        <f>'Data entry Dom'!U26</f>
        <v>0</v>
      </c>
      <c r="J26" s="39">
        <f>'Data entry Dom'!X26</f>
        <v>0</v>
      </c>
      <c r="K26" s="39">
        <f>'Data entry Dom'!AA26</f>
        <v>0</v>
      </c>
      <c r="L26" s="39">
        <f>'Data entry Dom'!AD26</f>
        <v>0</v>
      </c>
      <c r="M26" s="39">
        <f>'Data entry Dom'!AG26</f>
        <v>0</v>
      </c>
      <c r="N26" s="39">
        <f>'Data entry Dom'!AJ26</f>
        <v>0</v>
      </c>
      <c r="O26" s="39">
        <f>'Data entry Dom'!AM26</f>
        <v>0</v>
      </c>
    </row>
    <row r="27" spans="2:15" ht="14" x14ac:dyDescent="0.15">
      <c r="B27" s="42" t="s">
        <v>21</v>
      </c>
      <c r="C27" s="39">
        <f>'Data entry Dom'!C27</f>
        <v>5913292.5954999998</v>
      </c>
      <c r="D27" s="39">
        <f>'Data entry Dom'!F27</f>
        <v>261757.68</v>
      </c>
      <c r="E27" s="39">
        <f>'Data entry Dom'!I27</f>
        <v>408619.34</v>
      </c>
      <c r="F27" s="39">
        <f>'Data entry Dom'!L27</f>
        <v>550322.54</v>
      </c>
      <c r="G27" s="39">
        <f>'Data entry Dom'!O27</f>
        <v>495861.56</v>
      </c>
      <c r="H27" s="39">
        <f>'Data entry Dom'!R27</f>
        <v>516556.47820000001</v>
      </c>
      <c r="I27" s="39">
        <f>'Data entry Dom'!U27</f>
        <v>457842.51899999997</v>
      </c>
      <c r="J27" s="39">
        <f>'Data entry Dom'!X27</f>
        <v>411388.8578</v>
      </c>
      <c r="K27" s="39">
        <f>'Data entry Dom'!AA27</f>
        <v>505518.875</v>
      </c>
      <c r="L27" s="39">
        <f>'Data entry Dom'!AD27</f>
        <v>562255.4375</v>
      </c>
      <c r="M27" s="39">
        <f>'Data entry Dom'!AG27</f>
        <v>696447.43839999998</v>
      </c>
      <c r="N27" s="39">
        <f>'Data entry Dom'!AJ27</f>
        <v>532647.5</v>
      </c>
      <c r="O27" s="39">
        <f>'Data entry Dom'!AM27</f>
        <v>514074.36959999998</v>
      </c>
    </row>
    <row r="28" spans="2:15" ht="14" x14ac:dyDescent="0.15">
      <c r="B28" s="38" t="s">
        <v>35</v>
      </c>
      <c r="C28" s="39">
        <f>'Data entry Dom'!C28</f>
        <v>5172588.6100000003</v>
      </c>
      <c r="D28" s="39">
        <f>'Data entry Dom'!F28</f>
        <v>216724.48000000001</v>
      </c>
      <c r="E28" s="39">
        <f>'Data entry Dom'!I28</f>
        <v>356142.85</v>
      </c>
      <c r="F28" s="39">
        <f>'Data entry Dom'!L28</f>
        <v>484868.77</v>
      </c>
      <c r="G28" s="39">
        <f>'Data entry Dom'!O28</f>
        <v>429497.51</v>
      </c>
      <c r="H28" s="39">
        <f>'Data entry Dom'!R28</f>
        <v>457320</v>
      </c>
      <c r="I28" s="39">
        <f>'Data entry Dom'!U28</f>
        <v>405425</v>
      </c>
      <c r="J28" s="39">
        <f>'Data entry Dom'!X28</f>
        <v>349890</v>
      </c>
      <c r="K28" s="39">
        <f>'Data entry Dom'!AA28</f>
        <v>437700</v>
      </c>
      <c r="L28" s="39">
        <f>'Data entry Dom'!AD28</f>
        <v>492750</v>
      </c>
      <c r="M28" s="39">
        <f>'Data entry Dom'!AG28</f>
        <v>622450</v>
      </c>
      <c r="N28" s="39">
        <f>'Data entry Dom'!AJ28</f>
        <v>469010</v>
      </c>
      <c r="O28" s="39">
        <f>'Data entry Dom'!AM28</f>
        <v>450810</v>
      </c>
    </row>
    <row r="29" spans="2:15" ht="14" x14ac:dyDescent="0.15">
      <c r="B29" s="38" t="s">
        <v>36</v>
      </c>
      <c r="C29" s="39">
        <f>'Data entry Dom'!C29</f>
        <v>533241.19200000004</v>
      </c>
      <c r="D29" s="39">
        <f>'Data entry Dom'!F29</f>
        <v>31519.29</v>
      </c>
      <c r="E29" s="39">
        <f>'Data entry Dom'!I29</f>
        <v>36020.89</v>
      </c>
      <c r="F29" s="39">
        <f>'Data entry Dom'!L29</f>
        <v>43860.72</v>
      </c>
      <c r="G29" s="39">
        <f>'Data entry Dom'!O29</f>
        <v>47076.85</v>
      </c>
      <c r="H29" s="39">
        <f>'Data entry Dom'!R29</f>
        <v>43856.6783</v>
      </c>
      <c r="I29" s="39">
        <f>'Data entry Dom'!U29</f>
        <v>37151.5334</v>
      </c>
      <c r="J29" s="39">
        <f>'Data entry Dom'!X29</f>
        <v>45787.177799999998</v>
      </c>
      <c r="K29" s="39">
        <f>'Data entry Dom'!AA29</f>
        <v>49623.146999999997</v>
      </c>
      <c r="L29" s="39">
        <f>'Data entry Dom'!AD29</f>
        <v>51398.077499999999</v>
      </c>
      <c r="M29" s="39">
        <f>'Data entry Dom'!AG29</f>
        <v>55152.0144</v>
      </c>
      <c r="N29" s="39">
        <f>'Data entry Dom'!AJ29</f>
        <v>45126.9</v>
      </c>
      <c r="O29" s="39">
        <f>'Data entry Dom'!AM29</f>
        <v>46667.9136</v>
      </c>
    </row>
    <row r="30" spans="2:15" ht="14" x14ac:dyDescent="0.15">
      <c r="B30" s="38" t="s">
        <v>37</v>
      </c>
      <c r="C30" s="39">
        <f>'Data entry Dom'!C30</f>
        <v>129486.95359999999</v>
      </c>
      <c r="D30" s="39">
        <f>'Data entry Dom'!F30</f>
        <v>11374.37</v>
      </c>
      <c r="E30" s="39">
        <f>'Data entry Dom'!I30</f>
        <v>9963.8799999999992</v>
      </c>
      <c r="F30" s="39">
        <f>'Data entry Dom'!L30</f>
        <v>12142.04</v>
      </c>
      <c r="G30" s="39">
        <f>'Data entry Dom'!O30</f>
        <v>14693.63</v>
      </c>
      <c r="H30" s="39">
        <f>'Data entry Dom'!R30</f>
        <v>10029.799999999999</v>
      </c>
      <c r="I30" s="39">
        <f>'Data entry Dom'!U30</f>
        <v>9415.9856</v>
      </c>
      <c r="J30" s="39">
        <f>'Data entry Dom'!X30</f>
        <v>9861.68</v>
      </c>
      <c r="K30" s="39">
        <f>'Data entry Dom'!AA30</f>
        <v>10845.727999999999</v>
      </c>
      <c r="L30" s="39">
        <f>'Data entry Dom'!AD30</f>
        <v>10757.36</v>
      </c>
      <c r="M30" s="39">
        <f>'Data entry Dom'!AG30</f>
        <v>10495.424000000001</v>
      </c>
      <c r="N30" s="39">
        <f>'Data entry Dom'!AJ30</f>
        <v>10160.6</v>
      </c>
      <c r="O30" s="39">
        <f>'Data entry Dom'!AM30</f>
        <v>9746.4560000000001</v>
      </c>
    </row>
    <row r="31" spans="2:15" ht="14" x14ac:dyDescent="0.15">
      <c r="B31" s="38" t="s">
        <v>38</v>
      </c>
      <c r="C31" s="39">
        <f>'Data entry Dom'!C31</f>
        <v>77975.839999999997</v>
      </c>
      <c r="D31" s="39">
        <f>'Data entry Dom'!F31</f>
        <v>2139.54</v>
      </c>
      <c r="E31" s="39">
        <f>'Data entry Dom'!I31</f>
        <v>6491.72</v>
      </c>
      <c r="F31" s="39">
        <f>'Data entry Dom'!L31</f>
        <v>9451.01</v>
      </c>
      <c r="G31" s="39">
        <f>'Data entry Dom'!O31</f>
        <v>4593.57</v>
      </c>
      <c r="H31" s="39">
        <f>'Data entry Dom'!R31</f>
        <v>5350</v>
      </c>
      <c r="I31" s="39">
        <f>'Data entry Dom'!U31</f>
        <v>5850</v>
      </c>
      <c r="J31" s="39">
        <f>'Data entry Dom'!X31</f>
        <v>5850</v>
      </c>
      <c r="K31" s="39">
        <f>'Data entry Dom'!AA31</f>
        <v>7350</v>
      </c>
      <c r="L31" s="39">
        <f>'Data entry Dom'!AD31</f>
        <v>7350</v>
      </c>
      <c r="M31" s="39">
        <f>'Data entry Dom'!AG31</f>
        <v>8350</v>
      </c>
      <c r="N31" s="39">
        <f>'Data entry Dom'!AJ31</f>
        <v>8350</v>
      </c>
      <c r="O31" s="39">
        <f>'Data entry Dom'!AM31</f>
        <v>6850</v>
      </c>
    </row>
    <row r="32" spans="2:15" x14ac:dyDescent="0.15">
      <c r="B32" s="40"/>
      <c r="C32" s="39">
        <f>'Data entry Dom'!C32</f>
        <v>0</v>
      </c>
      <c r="D32" s="39">
        <f>'Data entry Dom'!F32</f>
        <v>0</v>
      </c>
      <c r="E32" s="39">
        <f>'Data entry Dom'!I32</f>
        <v>0</v>
      </c>
      <c r="F32" s="39">
        <f>'Data entry Dom'!L32</f>
        <v>0</v>
      </c>
      <c r="G32" s="39">
        <f>'Data entry Dom'!O32</f>
        <v>0</v>
      </c>
      <c r="H32" s="39">
        <f>'Data entry Dom'!R32</f>
        <v>0</v>
      </c>
      <c r="I32" s="39">
        <f>'Data entry Dom'!U32</f>
        <v>0</v>
      </c>
      <c r="J32" s="39">
        <f>'Data entry Dom'!X32</f>
        <v>0</v>
      </c>
      <c r="K32" s="39">
        <f>'Data entry Dom'!AA32</f>
        <v>0</v>
      </c>
      <c r="L32" s="39">
        <f>'Data entry Dom'!AD32</f>
        <v>0</v>
      </c>
      <c r="M32" s="39">
        <f>'Data entry Dom'!AG32</f>
        <v>0</v>
      </c>
      <c r="N32" s="39">
        <f>'Data entry Dom'!AJ32</f>
        <v>0</v>
      </c>
      <c r="O32" s="39">
        <f>'Data entry Dom'!AM32</f>
        <v>0</v>
      </c>
    </row>
    <row r="33" spans="2:15" ht="14" x14ac:dyDescent="0.15">
      <c r="B33" s="44" t="s">
        <v>39</v>
      </c>
      <c r="C33" s="39">
        <f>'Data entry Dom'!C33</f>
        <v>0</v>
      </c>
      <c r="D33" s="39">
        <f>'Data entry Dom'!F33</f>
        <v>0</v>
      </c>
      <c r="E33" s="39">
        <f>'Data entry Dom'!I33</f>
        <v>0</v>
      </c>
      <c r="F33" s="39">
        <f>'Data entry Dom'!L33</f>
        <v>0</v>
      </c>
      <c r="G33" s="39">
        <f>'Data entry Dom'!O33</f>
        <v>0</v>
      </c>
      <c r="H33" s="39">
        <f>'Data entry Dom'!R33</f>
        <v>0</v>
      </c>
      <c r="I33" s="39">
        <f>'Data entry Dom'!U33</f>
        <v>0</v>
      </c>
      <c r="J33" s="39">
        <f>'Data entry Dom'!X33</f>
        <v>0</v>
      </c>
      <c r="K33" s="39">
        <f>'Data entry Dom'!AA33</f>
        <v>0</v>
      </c>
      <c r="L33" s="39">
        <f>'Data entry Dom'!AD33</f>
        <v>0</v>
      </c>
      <c r="M33" s="39">
        <f>'Data entry Dom'!AG33</f>
        <v>0</v>
      </c>
      <c r="N33" s="39">
        <f>'Data entry Dom'!AJ33</f>
        <v>0</v>
      </c>
      <c r="O33" s="39">
        <f>'Data entry Dom'!AM33</f>
        <v>0</v>
      </c>
    </row>
    <row r="34" spans="2:15" ht="14" x14ac:dyDescent="0.15">
      <c r="B34" s="42" t="s">
        <v>35</v>
      </c>
      <c r="C34" s="39">
        <f>'Data entry Dom'!C34</f>
        <v>5172588.6100000003</v>
      </c>
      <c r="D34" s="39">
        <f>'Data entry Dom'!F34</f>
        <v>216724.48000000001</v>
      </c>
      <c r="E34" s="39">
        <f>'Data entry Dom'!I34</f>
        <v>356142.85</v>
      </c>
      <c r="F34" s="39">
        <f>'Data entry Dom'!L34</f>
        <v>484868.77</v>
      </c>
      <c r="G34" s="39">
        <f>'Data entry Dom'!O34</f>
        <v>429497.51</v>
      </c>
      <c r="H34" s="39">
        <f>'Data entry Dom'!R34</f>
        <v>457320</v>
      </c>
      <c r="I34" s="39">
        <f>'Data entry Dom'!U34</f>
        <v>405425</v>
      </c>
      <c r="J34" s="39">
        <f>'Data entry Dom'!X34</f>
        <v>349890</v>
      </c>
      <c r="K34" s="39">
        <f>'Data entry Dom'!AA34</f>
        <v>437700</v>
      </c>
      <c r="L34" s="39">
        <f>'Data entry Dom'!AD34</f>
        <v>492750</v>
      </c>
      <c r="M34" s="39">
        <f>'Data entry Dom'!AG34</f>
        <v>622450</v>
      </c>
      <c r="N34" s="39">
        <f>'Data entry Dom'!AJ34</f>
        <v>469010</v>
      </c>
      <c r="O34" s="39">
        <f>'Data entry Dom'!AM34</f>
        <v>450810</v>
      </c>
    </row>
    <row r="35" spans="2:15" ht="14" x14ac:dyDescent="0.15">
      <c r="B35" s="38" t="s">
        <v>22</v>
      </c>
      <c r="C35" s="39">
        <f>'Data entry Dom'!C35</f>
        <v>972842.51580000005</v>
      </c>
      <c r="D35" s="39">
        <f>'Data entry Dom'!F35</f>
        <v>70072.63</v>
      </c>
      <c r="E35" s="39">
        <f>'Data entry Dom'!I35</f>
        <v>82100.509999999995</v>
      </c>
      <c r="F35" s="39">
        <f>'Data entry Dom'!L35</f>
        <v>80084.66</v>
      </c>
      <c r="G35" s="39">
        <f>'Data entry Dom'!O35</f>
        <v>82482.33</v>
      </c>
      <c r="H35" s="39">
        <f>'Data entry Dom'!R35</f>
        <v>82089.655899999998</v>
      </c>
      <c r="I35" s="39">
        <f>'Data entry Dom'!U35</f>
        <v>80396.452099999995</v>
      </c>
      <c r="J35" s="39">
        <f>'Data entry Dom'!X35</f>
        <v>77380.675499999998</v>
      </c>
      <c r="K35" s="39">
        <f>'Data entry Dom'!AA35</f>
        <v>81590.321200000006</v>
      </c>
      <c r="L35" s="39">
        <f>'Data entry Dom'!AD35</f>
        <v>83380.982300000003</v>
      </c>
      <c r="M35" s="39">
        <f>'Data entry Dom'!AG35</f>
        <v>83484.391300000003</v>
      </c>
      <c r="N35" s="39">
        <f>'Data entry Dom'!AJ35</f>
        <v>83513.371499999994</v>
      </c>
      <c r="O35" s="39">
        <f>'Data entry Dom'!AM35</f>
        <v>86266.535999999993</v>
      </c>
    </row>
    <row r="36" spans="2:15" ht="14" x14ac:dyDescent="0.15">
      <c r="B36" s="38" t="s">
        <v>40</v>
      </c>
      <c r="C36" s="39">
        <f>'Data entry Dom'!C36</f>
        <v>878205.11499999999</v>
      </c>
      <c r="D36" s="39">
        <f>'Data entry Dom'!F36</f>
        <v>48583.01</v>
      </c>
      <c r="E36" s="39">
        <f>'Data entry Dom'!I36</f>
        <v>62261.3</v>
      </c>
      <c r="F36" s="39">
        <f>'Data entry Dom'!L36</f>
        <v>73449.62</v>
      </c>
      <c r="G36" s="39">
        <f>'Data entry Dom'!O36</f>
        <v>70605.69</v>
      </c>
      <c r="H36" s="39">
        <f>'Data entry Dom'!R36</f>
        <v>73242.55</v>
      </c>
      <c r="I36" s="39">
        <f>'Data entry Dom'!U36</f>
        <v>70068.434999999998</v>
      </c>
      <c r="J36" s="39">
        <f>'Data entry Dom'!X36</f>
        <v>62549.4</v>
      </c>
      <c r="K36" s="39">
        <f>'Data entry Dom'!AA36</f>
        <v>76125.25</v>
      </c>
      <c r="L36" s="39">
        <f>'Data entry Dom'!AD36</f>
        <v>86932.25</v>
      </c>
      <c r="M36" s="39">
        <f>'Data entry Dom'!AG36</f>
        <v>95552.75</v>
      </c>
      <c r="N36" s="39">
        <f>'Data entry Dom'!AJ36</f>
        <v>79258.429999999993</v>
      </c>
      <c r="O36" s="39">
        <f>'Data entry Dom'!AM36</f>
        <v>79576.429999999993</v>
      </c>
    </row>
    <row r="37" spans="2:15" ht="14" x14ac:dyDescent="0.15">
      <c r="B37" s="42" t="s">
        <v>41</v>
      </c>
      <c r="C37" s="39">
        <f>'Data entry Dom'!C37</f>
        <v>3321540.9791999999</v>
      </c>
      <c r="D37" s="39">
        <f>'Data entry Dom'!F37</f>
        <v>98068.84</v>
      </c>
      <c r="E37" s="39">
        <f>'Data entry Dom'!I37</f>
        <v>211781.04</v>
      </c>
      <c r="F37" s="39">
        <f>'Data entry Dom'!L37</f>
        <v>331334.49</v>
      </c>
      <c r="G37" s="39">
        <f>'Data entry Dom'!O37</f>
        <v>276409.49</v>
      </c>
      <c r="H37" s="39">
        <f>'Data entry Dom'!R37</f>
        <v>301987.7941</v>
      </c>
      <c r="I37" s="39">
        <f>'Data entry Dom'!U37</f>
        <v>254960.11290000001</v>
      </c>
      <c r="J37" s="39">
        <f>'Data entry Dom'!X37</f>
        <v>209959.92449999999</v>
      </c>
      <c r="K37" s="39">
        <f>'Data entry Dom'!AA37</f>
        <v>279984.42879999999</v>
      </c>
      <c r="L37" s="39">
        <f>'Data entry Dom'!AD37</f>
        <v>322436.76770000003</v>
      </c>
      <c r="M37" s="39">
        <f>'Data entry Dom'!AG37</f>
        <v>443412.85869999998</v>
      </c>
      <c r="N37" s="39">
        <f>'Data entry Dom'!AJ37</f>
        <v>306238.1985</v>
      </c>
      <c r="O37" s="39">
        <f>'Data entry Dom'!AM37</f>
        <v>284967.03399999999</v>
      </c>
    </row>
    <row r="38" spans="2:15" x14ac:dyDescent="0.15">
      <c r="B38" s="40"/>
      <c r="C38" s="39">
        <f>'Data entry Dom'!C38</f>
        <v>0</v>
      </c>
      <c r="D38" s="39">
        <f>'Data entry Dom'!F38</f>
        <v>0</v>
      </c>
      <c r="E38" s="39">
        <f>'Data entry Dom'!I38</f>
        <v>0</v>
      </c>
      <c r="F38" s="39">
        <f>'Data entry Dom'!L38</f>
        <v>0</v>
      </c>
      <c r="G38" s="39">
        <f>'Data entry Dom'!O38</f>
        <v>0</v>
      </c>
      <c r="H38" s="39">
        <f>'Data entry Dom'!R38</f>
        <v>0</v>
      </c>
      <c r="I38" s="39">
        <f>'Data entry Dom'!U38</f>
        <v>0</v>
      </c>
      <c r="J38" s="39">
        <f>'Data entry Dom'!X38</f>
        <v>0</v>
      </c>
      <c r="K38" s="39">
        <f>'Data entry Dom'!AA38</f>
        <v>0</v>
      </c>
      <c r="L38" s="39">
        <f>'Data entry Dom'!AD38</f>
        <v>0</v>
      </c>
      <c r="M38" s="39">
        <f>'Data entry Dom'!AG38</f>
        <v>0</v>
      </c>
      <c r="N38" s="39">
        <f>'Data entry Dom'!AJ38</f>
        <v>0</v>
      </c>
      <c r="O38" s="39">
        <f>'Data entry Dom'!AM38</f>
        <v>0</v>
      </c>
    </row>
    <row r="39" spans="2:15" ht="14" x14ac:dyDescent="0.15">
      <c r="B39" s="44" t="s">
        <v>42</v>
      </c>
      <c r="C39" s="39">
        <f>'Data entry Dom'!C39</f>
        <v>0</v>
      </c>
      <c r="D39" s="39">
        <f>'Data entry Dom'!F39</f>
        <v>0</v>
      </c>
      <c r="E39" s="39">
        <f>'Data entry Dom'!I39</f>
        <v>0</v>
      </c>
      <c r="F39" s="39">
        <f>'Data entry Dom'!L39</f>
        <v>0</v>
      </c>
      <c r="G39" s="39">
        <f>'Data entry Dom'!O39</f>
        <v>0</v>
      </c>
      <c r="H39" s="39">
        <f>'Data entry Dom'!R39</f>
        <v>0</v>
      </c>
      <c r="I39" s="39">
        <f>'Data entry Dom'!U39</f>
        <v>0</v>
      </c>
      <c r="J39" s="39">
        <f>'Data entry Dom'!X39</f>
        <v>0</v>
      </c>
      <c r="K39" s="39">
        <f>'Data entry Dom'!AA39</f>
        <v>0</v>
      </c>
      <c r="L39" s="39">
        <f>'Data entry Dom'!AD39</f>
        <v>0</v>
      </c>
      <c r="M39" s="39">
        <f>'Data entry Dom'!AG39</f>
        <v>0</v>
      </c>
      <c r="N39" s="39">
        <f>'Data entry Dom'!AJ39</f>
        <v>0</v>
      </c>
      <c r="O39" s="39">
        <f>'Data entry Dom'!AM39</f>
        <v>0</v>
      </c>
    </row>
    <row r="40" spans="2:15" ht="14" x14ac:dyDescent="0.15">
      <c r="B40" s="38" t="s">
        <v>43</v>
      </c>
      <c r="C40" s="39">
        <f>'Data entry Dom'!C40</f>
        <v>451660.647</v>
      </c>
      <c r="D40" s="39">
        <f>'Data entry Dom'!F40</f>
        <v>26326.17</v>
      </c>
      <c r="E40" s="39">
        <f>'Data entry Dom'!I40</f>
        <v>30203.919999999998</v>
      </c>
      <c r="F40" s="39">
        <f>'Data entry Dom'!L40</f>
        <v>36797.26</v>
      </c>
      <c r="G40" s="39">
        <f>'Data entry Dom'!O40</f>
        <v>39568.99</v>
      </c>
      <c r="H40" s="39">
        <f>'Data entry Dom'!R40</f>
        <v>37303.381500000003</v>
      </c>
      <c r="I40" s="39">
        <f>'Data entry Dom'!U40</f>
        <v>31600.154900000001</v>
      </c>
      <c r="J40" s="39">
        <f>'Data entry Dom'!X40</f>
        <v>38945.4156</v>
      </c>
      <c r="K40" s="39">
        <f>'Data entry Dom'!AA40</f>
        <v>42208.194000000003</v>
      </c>
      <c r="L40" s="39">
        <f>'Data entry Dom'!AD40</f>
        <v>43717.904999999999</v>
      </c>
      <c r="M40" s="39">
        <f>'Data entry Dom'!AG40</f>
        <v>46910.908799999997</v>
      </c>
      <c r="N40" s="39">
        <f>'Data entry Dom'!AJ40</f>
        <v>38383.800000000003</v>
      </c>
      <c r="O40" s="39">
        <f>'Data entry Dom'!AM40</f>
        <v>39694.547200000001</v>
      </c>
    </row>
    <row r="41" spans="2:15" ht="14" x14ac:dyDescent="0.15">
      <c r="B41" s="38" t="s">
        <v>44</v>
      </c>
      <c r="C41" s="39">
        <f>'Data entry Dom'!C41</f>
        <v>81503.655100000004</v>
      </c>
      <c r="D41" s="39">
        <f>'Data entry Dom'!F41</f>
        <v>5193.12</v>
      </c>
      <c r="E41" s="39">
        <f>'Data entry Dom'!I41</f>
        <v>5751.84</v>
      </c>
      <c r="F41" s="39">
        <f>'Data entry Dom'!L41</f>
        <v>7051.7</v>
      </c>
      <c r="G41" s="39">
        <f>'Data entry Dom'!O41</f>
        <v>7507.86</v>
      </c>
      <c r="H41" s="39">
        <f>'Data entry Dom'!R41</f>
        <v>6553.2968000000001</v>
      </c>
      <c r="I41" s="39">
        <f>'Data entry Dom'!U41</f>
        <v>5551.3786</v>
      </c>
      <c r="J41" s="39">
        <f>'Data entry Dom'!X41</f>
        <v>6841.7622000000001</v>
      </c>
      <c r="K41" s="39">
        <f>'Data entry Dom'!AA41</f>
        <v>7414.9530000000004</v>
      </c>
      <c r="L41" s="39">
        <f>'Data entry Dom'!AD41</f>
        <v>7680.1724999999997</v>
      </c>
      <c r="M41" s="39">
        <f>'Data entry Dom'!AG41</f>
        <v>8241.1056000000008</v>
      </c>
      <c r="N41" s="39">
        <f>'Data entry Dom'!AJ41</f>
        <v>6743.1</v>
      </c>
      <c r="O41" s="39">
        <f>'Data entry Dom'!AM41</f>
        <v>6973.3663999999999</v>
      </c>
    </row>
    <row r="42" spans="2:15" ht="14" x14ac:dyDescent="0.15">
      <c r="B42" s="38" t="s">
        <v>45</v>
      </c>
      <c r="C42" s="39">
        <f>'Data entry Dom'!C42</f>
        <v>76.89</v>
      </c>
      <c r="D42" s="39">
        <f>'Data entry Dom'!F42</f>
        <v>0</v>
      </c>
      <c r="E42" s="39">
        <f>'Data entry Dom'!I42</f>
        <v>65.13</v>
      </c>
      <c r="F42" s="39">
        <f>'Data entry Dom'!L42</f>
        <v>11.76</v>
      </c>
      <c r="G42" s="39">
        <f>'Data entry Dom'!O42</f>
        <v>0</v>
      </c>
      <c r="H42" s="39">
        <f>'Data entry Dom'!R42</f>
        <v>0</v>
      </c>
      <c r="I42" s="39">
        <f>'Data entry Dom'!U42</f>
        <v>0</v>
      </c>
      <c r="J42" s="39">
        <f>'Data entry Dom'!X42</f>
        <v>0</v>
      </c>
      <c r="K42" s="39">
        <f>'Data entry Dom'!AA42</f>
        <v>0</v>
      </c>
      <c r="L42" s="39">
        <f>'Data entry Dom'!AD42</f>
        <v>0</v>
      </c>
      <c r="M42" s="39">
        <f>'Data entry Dom'!AG42</f>
        <v>0</v>
      </c>
      <c r="N42" s="39">
        <f>'Data entry Dom'!AJ42</f>
        <v>0</v>
      </c>
      <c r="O42" s="39">
        <f>'Data entry Dom'!AM42</f>
        <v>0</v>
      </c>
    </row>
    <row r="43" spans="2:15" ht="14" x14ac:dyDescent="0.15">
      <c r="B43" s="42" t="s">
        <v>36</v>
      </c>
      <c r="C43" s="39">
        <f>'Data entry Dom'!C43</f>
        <v>533241.19200000004</v>
      </c>
      <c r="D43" s="39">
        <f>'Data entry Dom'!F43</f>
        <v>31519.29</v>
      </c>
      <c r="E43" s="39">
        <f>'Data entry Dom'!I43</f>
        <v>36020.89</v>
      </c>
      <c r="F43" s="39">
        <f>'Data entry Dom'!L43</f>
        <v>43860.72</v>
      </c>
      <c r="G43" s="39">
        <f>'Data entry Dom'!O43</f>
        <v>47076.85</v>
      </c>
      <c r="H43" s="39">
        <f>'Data entry Dom'!R43</f>
        <v>43856.6783</v>
      </c>
      <c r="I43" s="39">
        <f>'Data entry Dom'!U43</f>
        <v>37151.5334</v>
      </c>
      <c r="J43" s="39">
        <f>'Data entry Dom'!X43</f>
        <v>45787.177799999998</v>
      </c>
      <c r="K43" s="39">
        <f>'Data entry Dom'!AA43</f>
        <v>49623.146999999997</v>
      </c>
      <c r="L43" s="39">
        <f>'Data entry Dom'!AD43</f>
        <v>51398.077499999999</v>
      </c>
      <c r="M43" s="39">
        <f>'Data entry Dom'!AG43</f>
        <v>55152.0144</v>
      </c>
      <c r="N43" s="39">
        <f>'Data entry Dom'!AJ43</f>
        <v>45126.9</v>
      </c>
      <c r="O43" s="39">
        <f>'Data entry Dom'!AM43</f>
        <v>46667.9136</v>
      </c>
    </row>
    <row r="44" spans="2:15" ht="14" x14ac:dyDescent="0.15">
      <c r="B44" s="38" t="s">
        <v>46</v>
      </c>
      <c r="C44" s="39">
        <f>'Data entry Dom'!C44</f>
        <v>159218.56659999999</v>
      </c>
      <c r="D44" s="39">
        <f>'Data entry Dom'!F44</f>
        <v>9618.59</v>
      </c>
      <c r="E44" s="39">
        <f>'Data entry Dom'!I44</f>
        <v>15448.43</v>
      </c>
      <c r="F44" s="39">
        <f>'Data entry Dom'!L44</f>
        <v>13133.73</v>
      </c>
      <c r="G44" s="39">
        <f>'Data entry Dom'!O44</f>
        <v>18092.849999999999</v>
      </c>
      <c r="H44" s="39">
        <f>'Data entry Dom'!R44</f>
        <v>11937.0821</v>
      </c>
      <c r="I44" s="39">
        <f>'Data entry Dom'!U44</f>
        <v>10428.051100000001</v>
      </c>
      <c r="J44" s="39">
        <f>'Data entry Dom'!X44</f>
        <v>13241.4413</v>
      </c>
      <c r="K44" s="39">
        <f>'Data entry Dom'!AA44</f>
        <v>14350.786</v>
      </c>
      <c r="L44" s="39">
        <f>'Data entry Dom'!AD44</f>
        <v>13115.371499999999</v>
      </c>
      <c r="M44" s="39">
        <f>'Data entry Dom'!AG44</f>
        <v>14073.2726</v>
      </c>
      <c r="N44" s="39">
        <f>'Data entry Dom'!AJ44</f>
        <v>12282.816000000001</v>
      </c>
      <c r="O44" s="39">
        <f>'Data entry Dom'!AM44</f>
        <v>13496.146000000001</v>
      </c>
    </row>
    <row r="45" spans="2:15" ht="14" x14ac:dyDescent="0.15">
      <c r="B45" s="38" t="s">
        <v>47</v>
      </c>
      <c r="C45" s="39">
        <f>'Data entry Dom'!C45</f>
        <v>20985.656999999999</v>
      </c>
      <c r="D45" s="39">
        <f>'Data entry Dom'!F45</f>
        <v>1304.3599999999999</v>
      </c>
      <c r="E45" s="39">
        <f>'Data entry Dom'!I45</f>
        <v>2174.59</v>
      </c>
      <c r="F45" s="39">
        <f>'Data entry Dom'!L45</f>
        <v>3196.54</v>
      </c>
      <c r="G45" s="39">
        <f>'Data entry Dom'!O45</f>
        <v>3110.34</v>
      </c>
      <c r="H45" s="39">
        <f>'Data entry Dom'!R45</f>
        <v>1310.6594</v>
      </c>
      <c r="I45" s="39">
        <f>'Data entry Dom'!U45</f>
        <v>1110.2756999999999</v>
      </c>
      <c r="J45" s="39">
        <f>'Data entry Dom'!X45</f>
        <v>1368.3524</v>
      </c>
      <c r="K45" s="39">
        <f>'Data entry Dom'!AA45</f>
        <v>1482.9906000000001</v>
      </c>
      <c r="L45" s="39">
        <f>'Data entry Dom'!AD45</f>
        <v>1536.0345</v>
      </c>
      <c r="M45" s="39">
        <f>'Data entry Dom'!AG45</f>
        <v>1648.2211</v>
      </c>
      <c r="N45" s="39">
        <f>'Data entry Dom'!AJ45</f>
        <v>1348.62</v>
      </c>
      <c r="O45" s="39">
        <f>'Data entry Dom'!AM45</f>
        <v>1394.6732999999999</v>
      </c>
    </row>
    <row r="46" spans="2:15" ht="14" x14ac:dyDescent="0.15">
      <c r="B46" s="38" t="s">
        <v>48</v>
      </c>
      <c r="C46" s="39">
        <f>'Data entry Dom'!C46</f>
        <v>874.4</v>
      </c>
      <c r="D46" s="39">
        <f>'Data entry Dom'!F46</f>
        <v>-163.63999999999999</v>
      </c>
      <c r="E46" s="39">
        <f>'Data entry Dom'!I46</f>
        <v>340.63</v>
      </c>
      <c r="F46" s="39">
        <f>'Data entry Dom'!L46</f>
        <v>332.5</v>
      </c>
      <c r="G46" s="39">
        <f>'Data entry Dom'!O46</f>
        <v>364.91</v>
      </c>
      <c r="H46" s="39">
        <f>'Data entry Dom'!R46</f>
        <v>0</v>
      </c>
      <c r="I46" s="39">
        <f>'Data entry Dom'!U46</f>
        <v>0</v>
      </c>
      <c r="J46" s="39">
        <f>'Data entry Dom'!X46</f>
        <v>0</v>
      </c>
      <c r="K46" s="39">
        <f>'Data entry Dom'!AA46</f>
        <v>0</v>
      </c>
      <c r="L46" s="39">
        <f>'Data entry Dom'!AD46</f>
        <v>0</v>
      </c>
      <c r="M46" s="39">
        <f>'Data entry Dom'!AG46</f>
        <v>0</v>
      </c>
      <c r="N46" s="39">
        <f>'Data entry Dom'!AJ46</f>
        <v>0</v>
      </c>
      <c r="O46" s="39">
        <f>'Data entry Dom'!AM46</f>
        <v>0</v>
      </c>
    </row>
    <row r="47" spans="2:15" ht="14" x14ac:dyDescent="0.15">
      <c r="B47" s="42" t="s">
        <v>49</v>
      </c>
      <c r="C47" s="39">
        <f>'Data entry Dom'!C47</f>
        <v>181078.62359999999</v>
      </c>
      <c r="D47" s="39">
        <f>'Data entry Dom'!F47</f>
        <v>10759.31</v>
      </c>
      <c r="E47" s="39">
        <f>'Data entry Dom'!I47</f>
        <v>17963.650000000001</v>
      </c>
      <c r="F47" s="39">
        <f>'Data entry Dom'!L47</f>
        <v>16662.77</v>
      </c>
      <c r="G47" s="39">
        <f>'Data entry Dom'!O47</f>
        <v>21568.1</v>
      </c>
      <c r="H47" s="39">
        <f>'Data entry Dom'!R47</f>
        <v>13247.741400000001</v>
      </c>
      <c r="I47" s="39">
        <f>'Data entry Dom'!U47</f>
        <v>11538.326800000001</v>
      </c>
      <c r="J47" s="39">
        <f>'Data entry Dom'!X47</f>
        <v>14609.7937</v>
      </c>
      <c r="K47" s="39">
        <f>'Data entry Dom'!AA47</f>
        <v>15833.776599999999</v>
      </c>
      <c r="L47" s="39">
        <f>'Data entry Dom'!AD47</f>
        <v>14651.406000000001</v>
      </c>
      <c r="M47" s="39">
        <f>'Data entry Dom'!AG47</f>
        <v>15721.4938</v>
      </c>
      <c r="N47" s="39">
        <f>'Data entry Dom'!AJ47</f>
        <v>13631.436</v>
      </c>
      <c r="O47" s="39">
        <f>'Data entry Dom'!AM47</f>
        <v>14890.819299999999</v>
      </c>
    </row>
    <row r="48" spans="2:15" ht="14" x14ac:dyDescent="0.15">
      <c r="B48" s="38" t="s">
        <v>22</v>
      </c>
      <c r="C48" s="39">
        <f>'Data entry Dom'!C48</f>
        <v>299097.69459999999</v>
      </c>
      <c r="D48" s="39">
        <f>'Data entry Dom'!F48</f>
        <v>25438.44</v>
      </c>
      <c r="E48" s="39">
        <f>'Data entry Dom'!I48</f>
        <v>24313.93</v>
      </c>
      <c r="F48" s="39">
        <f>'Data entry Dom'!L48</f>
        <v>22670.84</v>
      </c>
      <c r="G48" s="39">
        <f>'Data entry Dom'!O48</f>
        <v>21804.04</v>
      </c>
      <c r="H48" s="39">
        <f>'Data entry Dom'!R48</f>
        <v>22885.550200000001</v>
      </c>
      <c r="I48" s="39">
        <f>'Data entry Dom'!U48</f>
        <v>27164.2369</v>
      </c>
      <c r="J48" s="39">
        <f>'Data entry Dom'!X48</f>
        <v>26308.1486</v>
      </c>
      <c r="K48" s="39">
        <f>'Data entry Dom'!AA48</f>
        <v>26692.483199999999</v>
      </c>
      <c r="L48" s="39">
        <f>'Data entry Dom'!AD48</f>
        <v>26007.591100000001</v>
      </c>
      <c r="M48" s="39">
        <f>'Data entry Dom'!AG48</f>
        <v>24479.5016</v>
      </c>
      <c r="N48" s="39">
        <f>'Data entry Dom'!AJ48</f>
        <v>25128.900099999999</v>
      </c>
      <c r="O48" s="39">
        <f>'Data entry Dom'!AM48</f>
        <v>26204.032899999998</v>
      </c>
    </row>
    <row r="49" spans="2:15" ht="14" x14ac:dyDescent="0.15">
      <c r="B49" s="38" t="s">
        <v>40</v>
      </c>
      <c r="C49" s="39">
        <f>'Data entry Dom'!C49</f>
        <v>14088.42</v>
      </c>
      <c r="D49" s="39">
        <f>'Data entry Dom'!F49</f>
        <v>947.55</v>
      </c>
      <c r="E49" s="39">
        <f>'Data entry Dom'!I49</f>
        <v>187.68</v>
      </c>
      <c r="F49" s="39">
        <f>'Data entry Dom'!L49</f>
        <v>779.42</v>
      </c>
      <c r="G49" s="39">
        <f>'Data entry Dom'!O49</f>
        <v>3373.77</v>
      </c>
      <c r="H49" s="39">
        <f>'Data entry Dom'!R49</f>
        <v>675</v>
      </c>
      <c r="I49" s="39">
        <f>'Data entry Dom'!U49</f>
        <v>1375</v>
      </c>
      <c r="J49" s="39">
        <f>'Data entry Dom'!X49</f>
        <v>925</v>
      </c>
      <c r="K49" s="39">
        <f>'Data entry Dom'!AA49</f>
        <v>1125</v>
      </c>
      <c r="L49" s="39">
        <f>'Data entry Dom'!AD49</f>
        <v>1225</v>
      </c>
      <c r="M49" s="39">
        <f>'Data entry Dom'!AG49</f>
        <v>1125</v>
      </c>
      <c r="N49" s="39">
        <f>'Data entry Dom'!AJ49</f>
        <v>925</v>
      </c>
      <c r="O49" s="39">
        <f>'Data entry Dom'!AM49</f>
        <v>1425</v>
      </c>
    </row>
    <row r="50" spans="2:15" ht="14" x14ac:dyDescent="0.15">
      <c r="B50" s="42" t="s">
        <v>41</v>
      </c>
      <c r="C50" s="39">
        <f>'Data entry Dom'!C50</f>
        <v>38976.453699999998</v>
      </c>
      <c r="D50" s="39">
        <f>'Data entry Dom'!F50</f>
        <v>-5626.01</v>
      </c>
      <c r="E50" s="39">
        <f>'Data entry Dom'!I50</f>
        <v>-6444.37</v>
      </c>
      <c r="F50" s="39">
        <f>'Data entry Dom'!L50</f>
        <v>3747.69</v>
      </c>
      <c r="G50" s="39">
        <f>'Data entry Dom'!O50</f>
        <v>330.94</v>
      </c>
      <c r="H50" s="39">
        <f>'Data entry Dom'!R50</f>
        <v>7048.3865999999998</v>
      </c>
      <c r="I50" s="39">
        <f>'Data entry Dom'!U50</f>
        <v>-2926.0302999999999</v>
      </c>
      <c r="J50" s="39">
        <f>'Data entry Dom'!X50</f>
        <v>3944.2354</v>
      </c>
      <c r="K50" s="39">
        <f>'Data entry Dom'!AA50</f>
        <v>5971.8872000000001</v>
      </c>
      <c r="L50" s="39">
        <f>'Data entry Dom'!AD50</f>
        <v>9514.0804000000007</v>
      </c>
      <c r="M50" s="39">
        <f>'Data entry Dom'!AG50</f>
        <v>13826.0191</v>
      </c>
      <c r="N50" s="39">
        <f>'Data entry Dom'!AJ50</f>
        <v>5441.5639000000001</v>
      </c>
      <c r="O50" s="39">
        <f>'Data entry Dom'!AM50</f>
        <v>4148.0613999999996</v>
      </c>
    </row>
    <row r="51" spans="2:15" x14ac:dyDescent="0.15">
      <c r="B51" s="40"/>
      <c r="C51" s="39">
        <f>'Data entry Dom'!C51</f>
        <v>0</v>
      </c>
      <c r="D51" s="39">
        <f>'Data entry Dom'!F51</f>
        <v>0</v>
      </c>
      <c r="E51" s="39">
        <f>'Data entry Dom'!I51</f>
        <v>0</v>
      </c>
      <c r="F51" s="39">
        <f>'Data entry Dom'!L51</f>
        <v>0</v>
      </c>
      <c r="G51" s="39">
        <f>'Data entry Dom'!O51</f>
        <v>0</v>
      </c>
      <c r="H51" s="39">
        <f>'Data entry Dom'!R51</f>
        <v>0</v>
      </c>
      <c r="I51" s="39">
        <f>'Data entry Dom'!U51</f>
        <v>0</v>
      </c>
      <c r="J51" s="39">
        <f>'Data entry Dom'!X51</f>
        <v>0</v>
      </c>
      <c r="K51" s="39">
        <f>'Data entry Dom'!AA51</f>
        <v>0</v>
      </c>
      <c r="L51" s="39">
        <f>'Data entry Dom'!AD51</f>
        <v>0</v>
      </c>
      <c r="M51" s="39">
        <f>'Data entry Dom'!AG51</f>
        <v>0</v>
      </c>
      <c r="N51" s="39">
        <f>'Data entry Dom'!AJ51</f>
        <v>0</v>
      </c>
      <c r="O51" s="39">
        <f>'Data entry Dom'!AM51</f>
        <v>0</v>
      </c>
    </row>
    <row r="52" spans="2:15" ht="14" x14ac:dyDescent="0.15">
      <c r="B52" s="44" t="s">
        <v>50</v>
      </c>
      <c r="C52" s="39">
        <f>'Data entry Dom'!C52</f>
        <v>0</v>
      </c>
      <c r="D52" s="39">
        <f>'Data entry Dom'!F52</f>
        <v>0</v>
      </c>
      <c r="E52" s="39">
        <f>'Data entry Dom'!I52</f>
        <v>0</v>
      </c>
      <c r="F52" s="39">
        <f>'Data entry Dom'!L52</f>
        <v>0</v>
      </c>
      <c r="G52" s="39">
        <f>'Data entry Dom'!O52</f>
        <v>0</v>
      </c>
      <c r="H52" s="39">
        <f>'Data entry Dom'!R52</f>
        <v>0</v>
      </c>
      <c r="I52" s="39">
        <f>'Data entry Dom'!U52</f>
        <v>0</v>
      </c>
      <c r="J52" s="39">
        <f>'Data entry Dom'!X52</f>
        <v>0</v>
      </c>
      <c r="K52" s="39">
        <f>'Data entry Dom'!AA52</f>
        <v>0</v>
      </c>
      <c r="L52" s="39">
        <f>'Data entry Dom'!AD52</f>
        <v>0</v>
      </c>
      <c r="M52" s="39">
        <f>'Data entry Dom'!AG52</f>
        <v>0</v>
      </c>
      <c r="N52" s="39">
        <f>'Data entry Dom'!AJ52</f>
        <v>0</v>
      </c>
      <c r="O52" s="39">
        <f>'Data entry Dom'!AM52</f>
        <v>0</v>
      </c>
    </row>
    <row r="53" spans="2:15" ht="14" x14ac:dyDescent="0.15">
      <c r="B53" s="38" t="s">
        <v>37</v>
      </c>
      <c r="C53" s="39">
        <f>'Data entry Dom'!C53</f>
        <v>129486.95359999999</v>
      </c>
      <c r="D53" s="39">
        <f>'Data entry Dom'!F53</f>
        <v>11374.37</v>
      </c>
      <c r="E53" s="39">
        <f>'Data entry Dom'!I53</f>
        <v>9963.8799999999992</v>
      </c>
      <c r="F53" s="39">
        <f>'Data entry Dom'!L53</f>
        <v>12142.04</v>
      </c>
      <c r="G53" s="39">
        <f>'Data entry Dom'!O53</f>
        <v>14693.63</v>
      </c>
      <c r="H53" s="39">
        <f>'Data entry Dom'!R53</f>
        <v>10029.799999999999</v>
      </c>
      <c r="I53" s="39">
        <f>'Data entry Dom'!U53</f>
        <v>9415.9856</v>
      </c>
      <c r="J53" s="39">
        <f>'Data entry Dom'!X53</f>
        <v>9861.68</v>
      </c>
      <c r="K53" s="39">
        <f>'Data entry Dom'!AA53</f>
        <v>10845.727999999999</v>
      </c>
      <c r="L53" s="39">
        <f>'Data entry Dom'!AD53</f>
        <v>10757.36</v>
      </c>
      <c r="M53" s="39">
        <f>'Data entry Dom'!AG53</f>
        <v>10495.424000000001</v>
      </c>
      <c r="N53" s="39">
        <f>'Data entry Dom'!AJ53</f>
        <v>10160.6</v>
      </c>
      <c r="O53" s="39">
        <f>'Data entry Dom'!AM53</f>
        <v>9746.4560000000001</v>
      </c>
    </row>
    <row r="54" spans="2:15" ht="14" x14ac:dyDescent="0.15">
      <c r="B54" s="38" t="s">
        <v>49</v>
      </c>
      <c r="C54" s="39">
        <f>'Data entry Dom'!C54</f>
        <v>97964.943299999999</v>
      </c>
      <c r="D54" s="39">
        <f>'Data entry Dom'!F54</f>
        <v>4805.38</v>
      </c>
      <c r="E54" s="39">
        <f>'Data entry Dom'!I54</f>
        <v>6493.8</v>
      </c>
      <c r="F54" s="39">
        <f>'Data entry Dom'!L54</f>
        <v>6927.74</v>
      </c>
      <c r="G54" s="39">
        <f>'Data entry Dom'!O54</f>
        <v>6570.02</v>
      </c>
      <c r="H54" s="39">
        <f>'Data entry Dom'!R54</f>
        <v>9074.1448999999993</v>
      </c>
      <c r="I54" s="39">
        <f>'Data entry Dom'!U54</f>
        <v>8515.643</v>
      </c>
      <c r="J54" s="39">
        <f>'Data entry Dom'!X54</f>
        <v>8881.3549999999996</v>
      </c>
      <c r="K54" s="39">
        <f>'Data entry Dom'!AA54</f>
        <v>9759.1825000000008</v>
      </c>
      <c r="L54" s="39">
        <f>'Data entry Dom'!AD54</f>
        <v>9637.2952000000005</v>
      </c>
      <c r="M54" s="39">
        <f>'Data entry Dom'!AG54</f>
        <v>9369.6648000000005</v>
      </c>
      <c r="N54" s="39">
        <f>'Data entry Dom'!AJ54</f>
        <v>9159.3410000000003</v>
      </c>
      <c r="O54" s="39">
        <f>'Data entry Dom'!AM54</f>
        <v>8771.3768999999993</v>
      </c>
    </row>
    <row r="55" spans="2:15" ht="14" x14ac:dyDescent="0.15">
      <c r="B55" s="38" t="s">
        <v>22</v>
      </c>
      <c r="C55" s="39">
        <f>'Data entry Dom'!C55</f>
        <v>0</v>
      </c>
      <c r="D55" s="39">
        <f>'Data entry Dom'!F55</f>
        <v>0</v>
      </c>
      <c r="E55" s="39">
        <f>'Data entry Dom'!I55</f>
        <v>0</v>
      </c>
      <c r="F55" s="39">
        <f>'Data entry Dom'!L55</f>
        <v>0</v>
      </c>
      <c r="G55" s="39">
        <f>'Data entry Dom'!O55</f>
        <v>0</v>
      </c>
      <c r="H55" s="39">
        <f>'Data entry Dom'!R55</f>
        <v>0</v>
      </c>
      <c r="I55" s="39">
        <f>'Data entry Dom'!U55</f>
        <v>0</v>
      </c>
      <c r="J55" s="39">
        <f>'Data entry Dom'!X55</f>
        <v>0</v>
      </c>
      <c r="K55" s="39">
        <f>'Data entry Dom'!AA55</f>
        <v>0</v>
      </c>
      <c r="L55" s="39">
        <f>'Data entry Dom'!AD55</f>
        <v>0</v>
      </c>
      <c r="M55" s="39">
        <f>'Data entry Dom'!AG55</f>
        <v>0</v>
      </c>
      <c r="N55" s="39">
        <f>'Data entry Dom'!AJ55</f>
        <v>0</v>
      </c>
      <c r="O55" s="39">
        <f>'Data entry Dom'!AM55</f>
        <v>0</v>
      </c>
    </row>
    <row r="56" spans="2:15" ht="14" x14ac:dyDescent="0.15">
      <c r="B56" s="38" t="s">
        <v>40</v>
      </c>
      <c r="C56" s="39">
        <f>'Data entry Dom'!C56</f>
        <v>-46.2</v>
      </c>
      <c r="D56" s="39">
        <f>'Data entry Dom'!F56</f>
        <v>0</v>
      </c>
      <c r="E56" s="39">
        <f>'Data entry Dom'!I56</f>
        <v>-46.2</v>
      </c>
      <c r="F56" s="39">
        <f>'Data entry Dom'!L56</f>
        <v>0</v>
      </c>
      <c r="G56" s="39">
        <f>'Data entry Dom'!O56</f>
        <v>0</v>
      </c>
      <c r="H56" s="39">
        <f>'Data entry Dom'!R56</f>
        <v>0</v>
      </c>
      <c r="I56" s="39">
        <f>'Data entry Dom'!U56</f>
        <v>0</v>
      </c>
      <c r="J56" s="39">
        <f>'Data entry Dom'!X56</f>
        <v>0</v>
      </c>
      <c r="K56" s="39">
        <f>'Data entry Dom'!AA56</f>
        <v>0</v>
      </c>
      <c r="L56" s="39">
        <f>'Data entry Dom'!AD56</f>
        <v>0</v>
      </c>
      <c r="M56" s="39">
        <f>'Data entry Dom'!AG56</f>
        <v>0</v>
      </c>
      <c r="N56" s="39">
        <f>'Data entry Dom'!AJ56</f>
        <v>0</v>
      </c>
      <c r="O56" s="39">
        <f>'Data entry Dom'!AM56</f>
        <v>0</v>
      </c>
    </row>
    <row r="57" spans="2:15" ht="14" x14ac:dyDescent="0.15">
      <c r="B57" s="42" t="s">
        <v>41</v>
      </c>
      <c r="C57" s="39">
        <f>'Data entry Dom'!C57</f>
        <v>31568.210299999999</v>
      </c>
      <c r="D57" s="39">
        <f>'Data entry Dom'!F57</f>
        <v>6568.99</v>
      </c>
      <c r="E57" s="39">
        <f>'Data entry Dom'!I57</f>
        <v>3516.28</v>
      </c>
      <c r="F57" s="39">
        <f>'Data entry Dom'!L57</f>
        <v>5214.3</v>
      </c>
      <c r="G57" s="39">
        <f>'Data entry Dom'!O57</f>
        <v>8123.61</v>
      </c>
      <c r="H57" s="39">
        <f>'Data entry Dom'!R57</f>
        <v>955.65509999999995</v>
      </c>
      <c r="I57" s="39">
        <f>'Data entry Dom'!U57</f>
        <v>900.34259999999995</v>
      </c>
      <c r="J57" s="39">
        <f>'Data entry Dom'!X57</f>
        <v>980.32500000000005</v>
      </c>
      <c r="K57" s="39">
        <f>'Data entry Dom'!AA57</f>
        <v>1086.5454999999999</v>
      </c>
      <c r="L57" s="39">
        <f>'Data entry Dom'!AD57</f>
        <v>1120.0648000000001</v>
      </c>
      <c r="M57" s="39">
        <f>'Data entry Dom'!AG57</f>
        <v>1125.7592</v>
      </c>
      <c r="N57" s="39">
        <f>'Data entry Dom'!AJ57</f>
        <v>1001.259</v>
      </c>
      <c r="O57" s="39">
        <f>'Data entry Dom'!AM57</f>
        <v>975.07910000000004</v>
      </c>
    </row>
    <row r="58" spans="2:15" x14ac:dyDescent="0.15">
      <c r="B58" s="40"/>
      <c r="C58" s="39">
        <f>'Data entry Dom'!C58</f>
        <v>0</v>
      </c>
      <c r="D58" s="39">
        <f>'Data entry Dom'!F58</f>
        <v>0</v>
      </c>
      <c r="E58" s="39">
        <f>'Data entry Dom'!I58</f>
        <v>0</v>
      </c>
      <c r="F58" s="39">
        <f>'Data entry Dom'!L58</f>
        <v>0</v>
      </c>
      <c r="G58" s="39">
        <f>'Data entry Dom'!O58</f>
        <v>0</v>
      </c>
      <c r="H58" s="39">
        <f>'Data entry Dom'!R58</f>
        <v>0</v>
      </c>
      <c r="I58" s="39">
        <f>'Data entry Dom'!U58</f>
        <v>0</v>
      </c>
      <c r="J58" s="39">
        <f>'Data entry Dom'!X58</f>
        <v>0</v>
      </c>
      <c r="K58" s="39">
        <f>'Data entry Dom'!AA58</f>
        <v>0</v>
      </c>
      <c r="L58" s="39">
        <f>'Data entry Dom'!AD58</f>
        <v>0</v>
      </c>
      <c r="M58" s="39">
        <f>'Data entry Dom'!AG58</f>
        <v>0</v>
      </c>
      <c r="N58" s="39">
        <f>'Data entry Dom'!AJ58</f>
        <v>0</v>
      </c>
      <c r="O58" s="39">
        <f>'Data entry Dom'!AM58</f>
        <v>0</v>
      </c>
    </row>
    <row r="59" spans="2:15" ht="14" x14ac:dyDescent="0.15">
      <c r="B59" s="44" t="s">
        <v>38</v>
      </c>
      <c r="C59" s="39">
        <f>'Data entry Dom'!C59</f>
        <v>0</v>
      </c>
      <c r="D59" s="39">
        <f>'Data entry Dom'!F59</f>
        <v>0</v>
      </c>
      <c r="E59" s="39">
        <f>'Data entry Dom'!I59</f>
        <v>0</v>
      </c>
      <c r="F59" s="39">
        <f>'Data entry Dom'!L59</f>
        <v>0</v>
      </c>
      <c r="G59" s="39">
        <f>'Data entry Dom'!O59</f>
        <v>0</v>
      </c>
      <c r="H59" s="39">
        <f>'Data entry Dom'!R59</f>
        <v>0</v>
      </c>
      <c r="I59" s="39">
        <f>'Data entry Dom'!U59</f>
        <v>0</v>
      </c>
      <c r="J59" s="39">
        <f>'Data entry Dom'!X59</f>
        <v>0</v>
      </c>
      <c r="K59" s="39">
        <f>'Data entry Dom'!AA59</f>
        <v>0</v>
      </c>
      <c r="L59" s="39">
        <f>'Data entry Dom'!AD59</f>
        <v>0</v>
      </c>
      <c r="M59" s="39">
        <f>'Data entry Dom'!AG59</f>
        <v>0</v>
      </c>
      <c r="N59" s="39">
        <f>'Data entry Dom'!AJ59</f>
        <v>0</v>
      </c>
      <c r="O59" s="39">
        <f>'Data entry Dom'!AM59</f>
        <v>0</v>
      </c>
    </row>
    <row r="60" spans="2:15" ht="14" x14ac:dyDescent="0.15">
      <c r="B60" s="42" t="s">
        <v>38</v>
      </c>
      <c r="C60" s="39">
        <f>'Data entry Dom'!C60</f>
        <v>77975.839999999997</v>
      </c>
      <c r="D60" s="39">
        <f>'Data entry Dom'!F60</f>
        <v>2139.54</v>
      </c>
      <c r="E60" s="39">
        <f>'Data entry Dom'!I60</f>
        <v>6491.72</v>
      </c>
      <c r="F60" s="39">
        <f>'Data entry Dom'!L60</f>
        <v>9451.01</v>
      </c>
      <c r="G60" s="39">
        <f>'Data entry Dom'!O60</f>
        <v>4593.57</v>
      </c>
      <c r="H60" s="39">
        <f>'Data entry Dom'!R60</f>
        <v>5350</v>
      </c>
      <c r="I60" s="39">
        <f>'Data entry Dom'!U60</f>
        <v>5850</v>
      </c>
      <c r="J60" s="39">
        <f>'Data entry Dom'!X60</f>
        <v>5850</v>
      </c>
      <c r="K60" s="39">
        <f>'Data entry Dom'!AA60</f>
        <v>7350</v>
      </c>
      <c r="L60" s="39">
        <f>'Data entry Dom'!AD60</f>
        <v>7350</v>
      </c>
      <c r="M60" s="39">
        <f>'Data entry Dom'!AG60</f>
        <v>8350</v>
      </c>
      <c r="N60" s="39">
        <f>'Data entry Dom'!AJ60</f>
        <v>8350</v>
      </c>
      <c r="O60" s="39">
        <f>'Data entry Dom'!AM60</f>
        <v>6850</v>
      </c>
    </row>
    <row r="61" spans="2:15" x14ac:dyDescent="0.15">
      <c r="B61" s="40"/>
      <c r="C61" s="39">
        <f>'Data entry Dom'!C61</f>
        <v>0</v>
      </c>
      <c r="D61" s="39">
        <f>'Data entry Dom'!F61</f>
        <v>0</v>
      </c>
      <c r="E61" s="39">
        <f>'Data entry Dom'!I61</f>
        <v>0</v>
      </c>
      <c r="F61" s="39">
        <f>'Data entry Dom'!L61</f>
        <v>0</v>
      </c>
      <c r="G61" s="39">
        <f>'Data entry Dom'!O61</f>
        <v>0</v>
      </c>
      <c r="H61" s="39">
        <f>'Data entry Dom'!R61</f>
        <v>0</v>
      </c>
      <c r="I61" s="39">
        <f>'Data entry Dom'!U61</f>
        <v>0</v>
      </c>
      <c r="J61" s="39">
        <f>'Data entry Dom'!X61</f>
        <v>0</v>
      </c>
      <c r="K61" s="39">
        <f>'Data entry Dom'!AA61</f>
        <v>0</v>
      </c>
      <c r="L61" s="39">
        <f>'Data entry Dom'!AD61</f>
        <v>0</v>
      </c>
      <c r="M61" s="39">
        <f>'Data entry Dom'!AG61</f>
        <v>0</v>
      </c>
      <c r="N61" s="39">
        <f>'Data entry Dom'!AJ61</f>
        <v>0</v>
      </c>
      <c r="O61" s="39">
        <f>'Data entry Dom'!AM61</f>
        <v>0</v>
      </c>
    </row>
    <row r="62" spans="2:15" ht="14" x14ac:dyDescent="0.15">
      <c r="B62" s="44" t="s">
        <v>51</v>
      </c>
      <c r="C62" s="39">
        <f>'Data entry Dom'!C62</f>
        <v>0</v>
      </c>
      <c r="D62" s="39">
        <f>'Data entry Dom'!F62</f>
        <v>0</v>
      </c>
      <c r="E62" s="39">
        <f>'Data entry Dom'!I62</f>
        <v>0</v>
      </c>
      <c r="F62" s="39">
        <f>'Data entry Dom'!L62</f>
        <v>0</v>
      </c>
      <c r="G62" s="39">
        <f>'Data entry Dom'!O62</f>
        <v>0</v>
      </c>
      <c r="H62" s="39">
        <f>'Data entry Dom'!R62</f>
        <v>0</v>
      </c>
      <c r="I62" s="39">
        <f>'Data entry Dom'!U62</f>
        <v>0</v>
      </c>
      <c r="J62" s="39">
        <f>'Data entry Dom'!X62</f>
        <v>0</v>
      </c>
      <c r="K62" s="39">
        <f>'Data entry Dom'!AA62</f>
        <v>0</v>
      </c>
      <c r="L62" s="39">
        <f>'Data entry Dom'!AD62</f>
        <v>0</v>
      </c>
      <c r="M62" s="39">
        <f>'Data entry Dom'!AG62</f>
        <v>0</v>
      </c>
      <c r="N62" s="39">
        <f>'Data entry Dom'!AJ62</f>
        <v>0</v>
      </c>
      <c r="O62" s="39">
        <f>'Data entry Dom'!AM62</f>
        <v>0</v>
      </c>
    </row>
    <row r="63" spans="2:15" ht="14" x14ac:dyDescent="0.15">
      <c r="B63" s="42" t="s">
        <v>52</v>
      </c>
      <c r="C63" s="39">
        <f>'Data entry Dom'!C63</f>
        <v>3470061.4835000001</v>
      </c>
      <c r="D63" s="39">
        <f>'Data entry Dom'!F63</f>
        <v>101151.36</v>
      </c>
      <c r="E63" s="39">
        <f>'Data entry Dom'!I63</f>
        <v>215344.67</v>
      </c>
      <c r="F63" s="39">
        <f>'Data entry Dom'!L63</f>
        <v>349747.49</v>
      </c>
      <c r="G63" s="39">
        <f>'Data entry Dom'!O63</f>
        <v>289457.61</v>
      </c>
      <c r="H63" s="39">
        <f>'Data entry Dom'!R63</f>
        <v>315341.8358</v>
      </c>
      <c r="I63" s="39">
        <f>'Data entry Dom'!U63</f>
        <v>258784.4253</v>
      </c>
      <c r="J63" s="39">
        <f>'Data entry Dom'!X63</f>
        <v>220734.48499999999</v>
      </c>
      <c r="K63" s="39">
        <f>'Data entry Dom'!AA63</f>
        <v>294392.8615</v>
      </c>
      <c r="L63" s="39">
        <f>'Data entry Dom'!AD63</f>
        <v>340420.9129</v>
      </c>
      <c r="M63" s="39">
        <f>'Data entry Dom'!AG63</f>
        <v>466714.63709999999</v>
      </c>
      <c r="N63" s="39">
        <f>'Data entry Dom'!AJ63</f>
        <v>321031.02140000003</v>
      </c>
      <c r="O63" s="39">
        <f>'Data entry Dom'!AM63</f>
        <v>296940.17450000002</v>
      </c>
    </row>
    <row r="64" spans="2:15" x14ac:dyDescent="0.15">
      <c r="B64" s="40"/>
      <c r="C64" s="39">
        <f>'Data entry Dom'!C64</f>
        <v>0</v>
      </c>
      <c r="D64" s="39">
        <f>'Data entry Dom'!F64</f>
        <v>0</v>
      </c>
      <c r="E64" s="39">
        <f>'Data entry Dom'!I64</f>
        <v>0</v>
      </c>
      <c r="F64" s="39">
        <f>'Data entry Dom'!L64</f>
        <v>0</v>
      </c>
      <c r="G64" s="39">
        <f>'Data entry Dom'!O64</f>
        <v>0</v>
      </c>
      <c r="H64" s="39">
        <f>'Data entry Dom'!R64</f>
        <v>0</v>
      </c>
      <c r="I64" s="39">
        <f>'Data entry Dom'!U64</f>
        <v>0</v>
      </c>
      <c r="J64" s="39">
        <f>'Data entry Dom'!X64</f>
        <v>0</v>
      </c>
      <c r="K64" s="39">
        <f>'Data entry Dom'!AA64</f>
        <v>0</v>
      </c>
      <c r="L64" s="39">
        <f>'Data entry Dom'!AD64</f>
        <v>0</v>
      </c>
      <c r="M64" s="39">
        <f>'Data entry Dom'!AG64</f>
        <v>0</v>
      </c>
      <c r="N64" s="39">
        <f>'Data entry Dom'!AJ64</f>
        <v>0</v>
      </c>
      <c r="O64" s="39">
        <f>'Data entry Dom'!AM64</f>
        <v>0</v>
      </c>
    </row>
    <row r="65" spans="2:15" ht="14" x14ac:dyDescent="0.15">
      <c r="B65" s="44" t="s">
        <v>53</v>
      </c>
      <c r="C65" s="39">
        <f>'Data entry Dom'!C65</f>
        <v>0</v>
      </c>
      <c r="D65" s="39">
        <f>'Data entry Dom'!F65</f>
        <v>0</v>
      </c>
      <c r="E65" s="39">
        <f>'Data entry Dom'!I65</f>
        <v>0</v>
      </c>
      <c r="F65" s="39">
        <f>'Data entry Dom'!L65</f>
        <v>0</v>
      </c>
      <c r="G65" s="39">
        <f>'Data entry Dom'!O65</f>
        <v>0</v>
      </c>
      <c r="H65" s="39">
        <f>'Data entry Dom'!R65</f>
        <v>0</v>
      </c>
      <c r="I65" s="39">
        <f>'Data entry Dom'!U65</f>
        <v>0</v>
      </c>
      <c r="J65" s="39">
        <f>'Data entry Dom'!X65</f>
        <v>0</v>
      </c>
      <c r="K65" s="39">
        <f>'Data entry Dom'!AA65</f>
        <v>0</v>
      </c>
      <c r="L65" s="39">
        <f>'Data entry Dom'!AD65</f>
        <v>0</v>
      </c>
      <c r="M65" s="39">
        <f>'Data entry Dom'!AG65</f>
        <v>0</v>
      </c>
      <c r="N65" s="39">
        <f>'Data entry Dom'!AJ65</f>
        <v>0</v>
      </c>
      <c r="O65" s="39">
        <f>'Data entry Dom'!AM65</f>
        <v>0</v>
      </c>
    </row>
    <row r="66" spans="2:15" ht="14" x14ac:dyDescent="0.15">
      <c r="B66" s="38" t="s">
        <v>22</v>
      </c>
      <c r="C66" s="39">
        <f>'Data entry Dom'!C66</f>
        <v>290990.3236</v>
      </c>
      <c r="D66" s="39">
        <f>'Data entry Dom'!F66</f>
        <v>19700.12</v>
      </c>
      <c r="E66" s="39">
        <f>'Data entry Dom'!I66</f>
        <v>30889.52</v>
      </c>
      <c r="F66" s="39">
        <f>'Data entry Dom'!L66</f>
        <v>22793.1</v>
      </c>
      <c r="G66" s="39">
        <f>'Data entry Dom'!O66</f>
        <v>23184.3</v>
      </c>
      <c r="H66" s="39">
        <f>'Data entry Dom'!R66</f>
        <v>25172.957200000001</v>
      </c>
      <c r="I66" s="39">
        <f>'Data entry Dom'!U66</f>
        <v>26487.904900000001</v>
      </c>
      <c r="J66" s="39">
        <f>'Data entry Dom'!X66</f>
        <v>22016.899099999999</v>
      </c>
      <c r="K66" s="39">
        <f>'Data entry Dom'!AA66</f>
        <v>23914.254000000001</v>
      </c>
      <c r="L66" s="39">
        <f>'Data entry Dom'!AD66</f>
        <v>26102.135999999999</v>
      </c>
      <c r="M66" s="39">
        <f>'Data entry Dom'!AG66</f>
        <v>21433.998200000002</v>
      </c>
      <c r="N66" s="39">
        <f>'Data entry Dom'!AJ66</f>
        <v>26331.240900000001</v>
      </c>
      <c r="O66" s="39">
        <f>'Data entry Dom'!AM66</f>
        <v>22963.8933</v>
      </c>
    </row>
    <row r="67" spans="2:15" ht="14" x14ac:dyDescent="0.15">
      <c r="B67" s="38" t="s">
        <v>40</v>
      </c>
      <c r="C67" s="39">
        <f>'Data entry Dom'!C67</f>
        <v>175545.5209</v>
      </c>
      <c r="D67" s="39">
        <f>'Data entry Dom'!F67</f>
        <v>7611.93</v>
      </c>
      <c r="E67" s="39">
        <f>'Data entry Dom'!I67</f>
        <v>15024.26</v>
      </c>
      <c r="F67" s="39">
        <f>'Data entry Dom'!L67</f>
        <v>13098.12</v>
      </c>
      <c r="G67" s="39">
        <f>'Data entry Dom'!O67</f>
        <v>11808.21</v>
      </c>
      <c r="H67" s="39">
        <f>'Data entry Dom'!R67</f>
        <v>15331.5888</v>
      </c>
      <c r="I67" s="39">
        <f>'Data entry Dom'!U67</f>
        <v>14209.4352</v>
      </c>
      <c r="J67" s="39">
        <f>'Data entry Dom'!X67</f>
        <v>13468.436600000001</v>
      </c>
      <c r="K67" s="39">
        <f>'Data entry Dom'!AA67</f>
        <v>15562.228800000001</v>
      </c>
      <c r="L67" s="39">
        <f>'Data entry Dom'!AD67</f>
        <v>16979.8544</v>
      </c>
      <c r="M67" s="39">
        <f>'Data entry Dom'!AG67</f>
        <v>19233.814399999999</v>
      </c>
      <c r="N67" s="39">
        <f>'Data entry Dom'!AJ67</f>
        <v>17896.807000000001</v>
      </c>
      <c r="O67" s="39">
        <f>'Data entry Dom'!AM67</f>
        <v>15320.8357</v>
      </c>
    </row>
    <row r="68" spans="2:15" ht="14" x14ac:dyDescent="0.15">
      <c r="B68" s="42" t="s">
        <v>41</v>
      </c>
      <c r="C68" s="39">
        <f>'Data entry Dom'!C68</f>
        <v>-466535.8443</v>
      </c>
      <c r="D68" s="39">
        <f>'Data entry Dom'!F68</f>
        <v>-27312.05</v>
      </c>
      <c r="E68" s="39">
        <f>'Data entry Dom'!I68</f>
        <v>-45913.78</v>
      </c>
      <c r="F68" s="39">
        <f>'Data entry Dom'!L68</f>
        <v>-35891.22</v>
      </c>
      <c r="G68" s="39">
        <f>'Data entry Dom'!O68</f>
        <v>-34992.51</v>
      </c>
      <c r="H68" s="39">
        <f>'Data entry Dom'!R68</f>
        <v>-40504.546000000002</v>
      </c>
      <c r="I68" s="39">
        <f>'Data entry Dom'!U68</f>
        <v>-40697.340100000001</v>
      </c>
      <c r="J68" s="39">
        <f>'Data entry Dom'!X68</f>
        <v>-35485.335700000003</v>
      </c>
      <c r="K68" s="39">
        <f>'Data entry Dom'!AA68</f>
        <v>-39476.4827</v>
      </c>
      <c r="L68" s="39">
        <f>'Data entry Dom'!AD68</f>
        <v>-43081.990299999998</v>
      </c>
      <c r="M68" s="39">
        <f>'Data entry Dom'!AG68</f>
        <v>-40667.812599999997</v>
      </c>
      <c r="N68" s="39">
        <f>'Data entry Dom'!AJ68</f>
        <v>-44228.047899999998</v>
      </c>
      <c r="O68" s="39">
        <f>'Data entry Dom'!AM68</f>
        <v>-38284.728999999999</v>
      </c>
    </row>
    <row r="69" spans="2:15" x14ac:dyDescent="0.15">
      <c r="B69" s="40"/>
      <c r="C69" s="39">
        <f>'Data entry Dom'!C69</f>
        <v>0</v>
      </c>
      <c r="D69" s="39">
        <f>'Data entry Dom'!F69</f>
        <v>0</v>
      </c>
      <c r="E69" s="39">
        <f>'Data entry Dom'!I69</f>
        <v>0</v>
      </c>
      <c r="F69" s="39">
        <f>'Data entry Dom'!L69</f>
        <v>0</v>
      </c>
      <c r="G69" s="39">
        <f>'Data entry Dom'!O69</f>
        <v>0</v>
      </c>
      <c r="H69" s="39">
        <f>'Data entry Dom'!R69</f>
        <v>0</v>
      </c>
      <c r="I69" s="39">
        <f>'Data entry Dom'!U69</f>
        <v>0</v>
      </c>
      <c r="J69" s="39">
        <f>'Data entry Dom'!X69</f>
        <v>0</v>
      </c>
      <c r="K69" s="39">
        <f>'Data entry Dom'!AA69</f>
        <v>0</v>
      </c>
      <c r="L69" s="39">
        <f>'Data entry Dom'!AD69</f>
        <v>0</v>
      </c>
      <c r="M69" s="39">
        <f>'Data entry Dom'!AG69</f>
        <v>0</v>
      </c>
      <c r="N69" s="39">
        <f>'Data entry Dom'!AJ69</f>
        <v>0</v>
      </c>
      <c r="O69" s="39">
        <f>'Data entry Dom'!AM69</f>
        <v>0</v>
      </c>
    </row>
    <row r="70" spans="2:15" ht="14" x14ac:dyDescent="0.15">
      <c r="B70" s="44" t="s">
        <v>54</v>
      </c>
      <c r="C70" s="39">
        <f>'Data entry Dom'!C70</f>
        <v>0</v>
      </c>
      <c r="D70" s="39">
        <f>'Data entry Dom'!F70</f>
        <v>0</v>
      </c>
      <c r="E70" s="39">
        <f>'Data entry Dom'!I70</f>
        <v>0</v>
      </c>
      <c r="F70" s="39">
        <f>'Data entry Dom'!L70</f>
        <v>0</v>
      </c>
      <c r="G70" s="39">
        <f>'Data entry Dom'!O70</f>
        <v>0</v>
      </c>
      <c r="H70" s="39">
        <f>'Data entry Dom'!R70</f>
        <v>0</v>
      </c>
      <c r="I70" s="39">
        <f>'Data entry Dom'!U70</f>
        <v>0</v>
      </c>
      <c r="J70" s="39">
        <f>'Data entry Dom'!X70</f>
        <v>0</v>
      </c>
      <c r="K70" s="39">
        <f>'Data entry Dom'!AA70</f>
        <v>0</v>
      </c>
      <c r="L70" s="39">
        <f>'Data entry Dom'!AD70</f>
        <v>0</v>
      </c>
      <c r="M70" s="39">
        <f>'Data entry Dom'!AG70</f>
        <v>0</v>
      </c>
      <c r="N70" s="39">
        <f>'Data entry Dom'!AJ70</f>
        <v>0</v>
      </c>
      <c r="O70" s="39">
        <f>'Data entry Dom'!AM70</f>
        <v>0</v>
      </c>
    </row>
    <row r="71" spans="2:15" ht="14" x14ac:dyDescent="0.15">
      <c r="B71" s="38" t="s">
        <v>55</v>
      </c>
      <c r="C71" s="39">
        <f>'Data entry Dom'!C71</f>
        <v>33833.9</v>
      </c>
      <c r="D71" s="39">
        <f>'Data entry Dom'!F71</f>
        <v>2477.88</v>
      </c>
      <c r="E71" s="39">
        <f>'Data entry Dom'!I71</f>
        <v>2431.6799999999998</v>
      </c>
      <c r="F71" s="39">
        <f>'Data entry Dom'!L71</f>
        <v>1297.06</v>
      </c>
      <c r="G71" s="39">
        <f>'Data entry Dom'!O71</f>
        <v>2883.28</v>
      </c>
      <c r="H71" s="39">
        <f>'Data entry Dom'!R71</f>
        <v>3093</v>
      </c>
      <c r="I71" s="39">
        <f>'Data entry Dom'!U71</f>
        <v>3093</v>
      </c>
      <c r="J71" s="39">
        <f>'Data entry Dom'!X71</f>
        <v>3093</v>
      </c>
      <c r="K71" s="39">
        <f>'Data entry Dom'!AA71</f>
        <v>3093</v>
      </c>
      <c r="L71" s="39">
        <f>'Data entry Dom'!AD71</f>
        <v>3093</v>
      </c>
      <c r="M71" s="39">
        <f>'Data entry Dom'!AG71</f>
        <v>3093</v>
      </c>
      <c r="N71" s="39">
        <f>'Data entry Dom'!AJ71</f>
        <v>3093</v>
      </c>
      <c r="O71" s="39">
        <f>'Data entry Dom'!AM71</f>
        <v>3093</v>
      </c>
    </row>
    <row r="72" spans="2:15" ht="14" x14ac:dyDescent="0.15">
      <c r="B72" s="38" t="s">
        <v>56</v>
      </c>
      <c r="C72" s="39">
        <f>'Data entry Dom'!C72</f>
        <v>109834.5052</v>
      </c>
      <c r="D72" s="39">
        <f>'Data entry Dom'!F72</f>
        <v>8261.5</v>
      </c>
      <c r="E72" s="39">
        <f>'Data entry Dom'!I72</f>
        <v>7347.65</v>
      </c>
      <c r="F72" s="39">
        <f>'Data entry Dom'!L72</f>
        <v>9001.42</v>
      </c>
      <c r="G72" s="39">
        <f>'Data entry Dom'!O72</f>
        <v>6618.54</v>
      </c>
      <c r="H72" s="39">
        <f>'Data entry Dom'!R72</f>
        <v>9831.9243999999999</v>
      </c>
      <c r="I72" s="39">
        <f>'Data entry Dom'!U72</f>
        <v>9831.9243999999999</v>
      </c>
      <c r="J72" s="39">
        <f>'Data entry Dom'!X72</f>
        <v>9831.9243999999999</v>
      </c>
      <c r="K72" s="39">
        <f>'Data entry Dom'!AA72</f>
        <v>9831.9243999999999</v>
      </c>
      <c r="L72" s="39">
        <f>'Data entry Dom'!AD72</f>
        <v>9831.9243999999999</v>
      </c>
      <c r="M72" s="39">
        <f>'Data entry Dom'!AG72</f>
        <v>9831.9243999999999</v>
      </c>
      <c r="N72" s="39">
        <f>'Data entry Dom'!AJ72</f>
        <v>9831.9243999999999</v>
      </c>
      <c r="O72" s="39">
        <f>'Data entry Dom'!AM72</f>
        <v>9781.9243999999999</v>
      </c>
    </row>
    <row r="73" spans="2:15" ht="14" x14ac:dyDescent="0.15">
      <c r="B73" s="38" t="s">
        <v>40</v>
      </c>
      <c r="C73" s="39">
        <f>'Data entry Dom'!C73</f>
        <v>2160</v>
      </c>
      <c r="D73" s="39">
        <f>'Data entry Dom'!F73</f>
        <v>0</v>
      </c>
      <c r="E73" s="39">
        <f>'Data entry Dom'!I73</f>
        <v>0</v>
      </c>
      <c r="F73" s="39">
        <f>'Data entry Dom'!L73</f>
        <v>0</v>
      </c>
      <c r="G73" s="39">
        <f>'Data entry Dom'!O73</f>
        <v>0</v>
      </c>
      <c r="H73" s="39">
        <f>'Data entry Dom'!R73</f>
        <v>270</v>
      </c>
      <c r="I73" s="39">
        <f>'Data entry Dom'!U73</f>
        <v>270</v>
      </c>
      <c r="J73" s="39">
        <f>'Data entry Dom'!X73</f>
        <v>270</v>
      </c>
      <c r="K73" s="39">
        <f>'Data entry Dom'!AA73</f>
        <v>270</v>
      </c>
      <c r="L73" s="39">
        <f>'Data entry Dom'!AD73</f>
        <v>270</v>
      </c>
      <c r="M73" s="39">
        <f>'Data entry Dom'!AG73</f>
        <v>270</v>
      </c>
      <c r="N73" s="39">
        <f>'Data entry Dom'!AJ73</f>
        <v>270</v>
      </c>
      <c r="O73" s="39">
        <f>'Data entry Dom'!AM73</f>
        <v>270</v>
      </c>
    </row>
    <row r="74" spans="2:15" ht="14" x14ac:dyDescent="0.15">
      <c r="B74" s="42" t="s">
        <v>41</v>
      </c>
      <c r="C74" s="39">
        <f>'Data entry Dom'!C74</f>
        <v>-146116.40520000001</v>
      </c>
      <c r="D74" s="39">
        <f>'Data entry Dom'!F74</f>
        <v>-10739.38</v>
      </c>
      <c r="E74" s="39">
        <f>'Data entry Dom'!I74</f>
        <v>-9779.33</v>
      </c>
      <c r="F74" s="39">
        <f>'Data entry Dom'!L74</f>
        <v>-10298.48</v>
      </c>
      <c r="G74" s="39">
        <f>'Data entry Dom'!O74</f>
        <v>-9501.82</v>
      </c>
      <c r="H74" s="39">
        <f>'Data entry Dom'!R74</f>
        <v>-13230.9244</v>
      </c>
      <c r="I74" s="39">
        <f>'Data entry Dom'!U74</f>
        <v>-13230.9244</v>
      </c>
      <c r="J74" s="39">
        <f>'Data entry Dom'!X74</f>
        <v>-13230.9244</v>
      </c>
      <c r="K74" s="39">
        <f>'Data entry Dom'!AA74</f>
        <v>-13230.9244</v>
      </c>
      <c r="L74" s="39">
        <f>'Data entry Dom'!AD74</f>
        <v>-13230.9244</v>
      </c>
      <c r="M74" s="39">
        <f>'Data entry Dom'!AG74</f>
        <v>-13230.9244</v>
      </c>
      <c r="N74" s="39">
        <f>'Data entry Dom'!AJ74</f>
        <v>-13230.9244</v>
      </c>
      <c r="O74" s="39">
        <f>'Data entry Dom'!AM74</f>
        <v>-13180.9244</v>
      </c>
    </row>
    <row r="75" spans="2:15" x14ac:dyDescent="0.15">
      <c r="B75" s="40"/>
      <c r="C75" s="39">
        <f>'Data entry Dom'!C75</f>
        <v>0</v>
      </c>
      <c r="D75" s="39">
        <f>'Data entry Dom'!F75</f>
        <v>0</v>
      </c>
      <c r="E75" s="39">
        <f>'Data entry Dom'!I75</f>
        <v>0</v>
      </c>
      <c r="F75" s="39">
        <f>'Data entry Dom'!L75</f>
        <v>0</v>
      </c>
      <c r="G75" s="39">
        <f>'Data entry Dom'!O75</f>
        <v>0</v>
      </c>
      <c r="H75" s="39">
        <f>'Data entry Dom'!R75</f>
        <v>0</v>
      </c>
      <c r="I75" s="39">
        <f>'Data entry Dom'!U75</f>
        <v>0</v>
      </c>
      <c r="J75" s="39">
        <f>'Data entry Dom'!X75</f>
        <v>0</v>
      </c>
      <c r="K75" s="39">
        <f>'Data entry Dom'!AA75</f>
        <v>0</v>
      </c>
      <c r="L75" s="39">
        <f>'Data entry Dom'!AD75</f>
        <v>0</v>
      </c>
      <c r="M75" s="39">
        <f>'Data entry Dom'!AG75</f>
        <v>0</v>
      </c>
      <c r="N75" s="39">
        <f>'Data entry Dom'!AJ75</f>
        <v>0</v>
      </c>
      <c r="O75" s="39">
        <f>'Data entry Dom'!AM75</f>
        <v>0</v>
      </c>
    </row>
    <row r="76" spans="2:15" ht="14" x14ac:dyDescent="0.15">
      <c r="B76" s="44" t="s">
        <v>57</v>
      </c>
      <c r="C76" s="39">
        <f>'Data entry Dom'!C76</f>
        <v>0</v>
      </c>
      <c r="D76" s="39">
        <f>'Data entry Dom'!F76</f>
        <v>0</v>
      </c>
      <c r="E76" s="39">
        <f>'Data entry Dom'!I76</f>
        <v>0</v>
      </c>
      <c r="F76" s="39">
        <f>'Data entry Dom'!L76</f>
        <v>0</v>
      </c>
      <c r="G76" s="39">
        <f>'Data entry Dom'!O76</f>
        <v>0</v>
      </c>
      <c r="H76" s="39">
        <f>'Data entry Dom'!R76</f>
        <v>0</v>
      </c>
      <c r="I76" s="39">
        <f>'Data entry Dom'!U76</f>
        <v>0</v>
      </c>
      <c r="J76" s="39">
        <f>'Data entry Dom'!X76</f>
        <v>0</v>
      </c>
      <c r="K76" s="39">
        <f>'Data entry Dom'!AA76</f>
        <v>0</v>
      </c>
      <c r="L76" s="39">
        <f>'Data entry Dom'!AD76</f>
        <v>0</v>
      </c>
      <c r="M76" s="39">
        <f>'Data entry Dom'!AG76</f>
        <v>0</v>
      </c>
      <c r="N76" s="39">
        <f>'Data entry Dom'!AJ76</f>
        <v>0</v>
      </c>
      <c r="O76" s="39">
        <f>'Data entry Dom'!AM76</f>
        <v>0</v>
      </c>
    </row>
    <row r="77" spans="2:15" ht="14" x14ac:dyDescent="0.15">
      <c r="B77" s="38" t="s">
        <v>22</v>
      </c>
      <c r="C77" s="39">
        <f>'Data entry Dom'!C77</f>
        <v>60424.5049</v>
      </c>
      <c r="D77" s="39">
        <f>'Data entry Dom'!F77</f>
        <v>3926.37</v>
      </c>
      <c r="E77" s="39">
        <f>'Data entry Dom'!I77</f>
        <v>4079.4</v>
      </c>
      <c r="F77" s="39">
        <f>'Data entry Dom'!L77</f>
        <v>5493.47</v>
      </c>
      <c r="G77" s="39">
        <f>'Data entry Dom'!O77</f>
        <v>4957.95</v>
      </c>
      <c r="H77" s="39">
        <f>'Data entry Dom'!R77</f>
        <v>5165.5648000000001</v>
      </c>
      <c r="I77" s="39">
        <f>'Data entry Dom'!U77</f>
        <v>4578.4251999999997</v>
      </c>
      <c r="J77" s="39">
        <f>'Data entry Dom'!X77</f>
        <v>4113.8886000000002</v>
      </c>
      <c r="K77" s="39">
        <f>'Data entry Dom'!AA77</f>
        <v>5055.1887999999999</v>
      </c>
      <c r="L77" s="39">
        <f>'Data entry Dom'!AD77</f>
        <v>5622.5544</v>
      </c>
      <c r="M77" s="39">
        <f>'Data entry Dom'!AG77</f>
        <v>6964.4744000000001</v>
      </c>
      <c r="N77" s="39">
        <f>'Data entry Dom'!AJ77</f>
        <v>5326.4750000000004</v>
      </c>
      <c r="O77" s="39">
        <f>'Data entry Dom'!AM77</f>
        <v>5140.7437</v>
      </c>
    </row>
    <row r="78" spans="2:15" ht="14" x14ac:dyDescent="0.15">
      <c r="B78" s="38" t="s">
        <v>40</v>
      </c>
      <c r="C78" s="39">
        <f>'Data entry Dom'!C78</f>
        <v>255828.02720000001</v>
      </c>
      <c r="D78" s="39">
        <f>'Data entry Dom'!F78</f>
        <v>15166.41</v>
      </c>
      <c r="E78" s="39">
        <f>'Data entry Dom'!I78</f>
        <v>8247.2999999999993</v>
      </c>
      <c r="F78" s="39">
        <f>'Data entry Dom'!L78</f>
        <v>23137.77</v>
      </c>
      <c r="G78" s="39">
        <f>'Data entry Dom'!O78</f>
        <v>19879.2</v>
      </c>
      <c r="H78" s="39">
        <f>'Data entry Dom'!R78</f>
        <v>23481.3472</v>
      </c>
      <c r="I78" s="39">
        <f>'Data entry Dom'!U78</f>
        <v>21303.2628</v>
      </c>
      <c r="J78" s="39">
        <f>'Data entry Dom'!X78</f>
        <v>19230.582900000001</v>
      </c>
      <c r="K78" s="39">
        <f>'Data entry Dom'!AA78</f>
        <v>22825.283100000001</v>
      </c>
      <c r="L78" s="39">
        <f>'Data entry Dom'!AD78</f>
        <v>25002.581600000001</v>
      </c>
      <c r="M78" s="39">
        <f>'Data entry Dom'!AG78</f>
        <v>30257.961599999999</v>
      </c>
      <c r="N78" s="39">
        <f>'Data entry Dom'!AJ78</f>
        <v>24014.962500000001</v>
      </c>
      <c r="O78" s="39">
        <f>'Data entry Dom'!AM78</f>
        <v>23281.3655</v>
      </c>
    </row>
    <row r="79" spans="2:15" ht="14" x14ac:dyDescent="0.15">
      <c r="B79" s="42" t="s">
        <v>41</v>
      </c>
      <c r="C79" s="39">
        <f>'Data entry Dom'!C79</f>
        <v>-316252.5319</v>
      </c>
      <c r="D79" s="39">
        <f>'Data entry Dom'!F79</f>
        <v>-19092.78</v>
      </c>
      <c r="E79" s="39">
        <f>'Data entry Dom'!I79</f>
        <v>-12326.7</v>
      </c>
      <c r="F79" s="39">
        <f>'Data entry Dom'!L79</f>
        <v>-28631.24</v>
      </c>
      <c r="G79" s="39">
        <f>'Data entry Dom'!O79</f>
        <v>-24837.15</v>
      </c>
      <c r="H79" s="39">
        <f>'Data entry Dom'!R79</f>
        <v>-28646.912</v>
      </c>
      <c r="I79" s="39">
        <f>'Data entry Dom'!U79</f>
        <v>-25881.687999999998</v>
      </c>
      <c r="J79" s="39">
        <f>'Data entry Dom'!X79</f>
        <v>-23344.471399999999</v>
      </c>
      <c r="K79" s="39">
        <f>'Data entry Dom'!AA79</f>
        <v>-27880.4719</v>
      </c>
      <c r="L79" s="39">
        <f>'Data entry Dom'!AD79</f>
        <v>-30625.135900000001</v>
      </c>
      <c r="M79" s="39">
        <f>'Data entry Dom'!AG79</f>
        <v>-37222.436000000002</v>
      </c>
      <c r="N79" s="39">
        <f>'Data entry Dom'!AJ79</f>
        <v>-29341.4375</v>
      </c>
      <c r="O79" s="39">
        <f>'Data entry Dom'!AM79</f>
        <v>-28422.109199999999</v>
      </c>
    </row>
    <row r="80" spans="2:15" x14ac:dyDescent="0.15">
      <c r="B80" s="40"/>
      <c r="C80" s="39">
        <f>'Data entry Dom'!C80</f>
        <v>0</v>
      </c>
      <c r="D80" s="39">
        <f>'Data entry Dom'!F80</f>
        <v>0</v>
      </c>
      <c r="E80" s="39">
        <f>'Data entry Dom'!I80</f>
        <v>0</v>
      </c>
      <c r="F80" s="39">
        <f>'Data entry Dom'!L80</f>
        <v>0</v>
      </c>
      <c r="G80" s="39">
        <f>'Data entry Dom'!O80</f>
        <v>0</v>
      </c>
      <c r="H80" s="39">
        <f>'Data entry Dom'!R80</f>
        <v>0</v>
      </c>
      <c r="I80" s="39">
        <f>'Data entry Dom'!U80</f>
        <v>0</v>
      </c>
      <c r="J80" s="39">
        <f>'Data entry Dom'!X80</f>
        <v>0</v>
      </c>
      <c r="K80" s="39">
        <f>'Data entry Dom'!AA80</f>
        <v>0</v>
      </c>
      <c r="L80" s="39">
        <f>'Data entry Dom'!AD80</f>
        <v>0</v>
      </c>
      <c r="M80" s="39">
        <f>'Data entry Dom'!AG80</f>
        <v>0</v>
      </c>
      <c r="N80" s="39">
        <f>'Data entry Dom'!AJ80</f>
        <v>0</v>
      </c>
      <c r="O80" s="39">
        <f>'Data entry Dom'!AM80</f>
        <v>0</v>
      </c>
    </row>
    <row r="81" spans="2:15" ht="14" x14ac:dyDescent="0.15">
      <c r="B81" s="44" t="s">
        <v>58</v>
      </c>
      <c r="C81" s="39">
        <f>'Data entry Dom'!C81</f>
        <v>0</v>
      </c>
      <c r="D81" s="39">
        <f>'Data entry Dom'!F81</f>
        <v>0</v>
      </c>
      <c r="E81" s="39">
        <f>'Data entry Dom'!I81</f>
        <v>0</v>
      </c>
      <c r="F81" s="39">
        <f>'Data entry Dom'!L81</f>
        <v>0</v>
      </c>
      <c r="G81" s="39">
        <f>'Data entry Dom'!O81</f>
        <v>0</v>
      </c>
      <c r="H81" s="39">
        <f>'Data entry Dom'!R81</f>
        <v>0</v>
      </c>
      <c r="I81" s="39">
        <f>'Data entry Dom'!U81</f>
        <v>0</v>
      </c>
      <c r="J81" s="39">
        <f>'Data entry Dom'!X81</f>
        <v>0</v>
      </c>
      <c r="K81" s="39">
        <f>'Data entry Dom'!AA81</f>
        <v>0</v>
      </c>
      <c r="L81" s="39">
        <f>'Data entry Dom'!AD81</f>
        <v>0</v>
      </c>
      <c r="M81" s="39">
        <f>'Data entry Dom'!AG81</f>
        <v>0</v>
      </c>
      <c r="N81" s="39">
        <f>'Data entry Dom'!AJ81</f>
        <v>0</v>
      </c>
      <c r="O81" s="39">
        <f>'Data entry Dom'!AM81</f>
        <v>0</v>
      </c>
    </row>
    <row r="82" spans="2:15" ht="14" x14ac:dyDescent="0.15">
      <c r="B82" s="38" t="s">
        <v>22</v>
      </c>
      <c r="C82" s="39">
        <f>'Data entry Dom'!C82</f>
        <v>55130.8845</v>
      </c>
      <c r="D82" s="39">
        <f>'Data entry Dom'!F82</f>
        <v>701.59</v>
      </c>
      <c r="E82" s="39">
        <f>'Data entry Dom'!I82</f>
        <v>1540.01</v>
      </c>
      <c r="F82" s="39">
        <f>'Data entry Dom'!L82</f>
        <v>4634.5</v>
      </c>
      <c r="G82" s="39">
        <f>'Data entry Dom'!O82</f>
        <v>4984.58</v>
      </c>
      <c r="H82" s="39">
        <f>'Data entry Dom'!R82</f>
        <v>4534.4350000000004</v>
      </c>
      <c r="I82" s="39">
        <f>'Data entry Dom'!U82</f>
        <v>5065.1918999999998</v>
      </c>
      <c r="J82" s="39">
        <f>'Data entry Dom'!X82</f>
        <v>4288.2995000000001</v>
      </c>
      <c r="K82" s="39">
        <f>'Data entry Dom'!AA82</f>
        <v>4754.4350000000004</v>
      </c>
      <c r="L82" s="39">
        <f>'Data entry Dom'!AD82</f>
        <v>3822.1640000000002</v>
      </c>
      <c r="M82" s="39">
        <f>'Data entry Dom'!AG82</f>
        <v>7150.3308999999999</v>
      </c>
      <c r="N82" s="39">
        <f>'Data entry Dom'!AJ82</f>
        <v>6528.8168999999998</v>
      </c>
      <c r="O82" s="39">
        <f>'Data entry Dom'!AM82</f>
        <v>7126.5312999999996</v>
      </c>
    </row>
    <row r="83" spans="2:15" ht="14" x14ac:dyDescent="0.15">
      <c r="B83" s="38" t="s">
        <v>40</v>
      </c>
      <c r="C83" s="39">
        <f>'Data entry Dom'!C83</f>
        <v>206571.86</v>
      </c>
      <c r="D83" s="39">
        <f>'Data entry Dom'!F83</f>
        <v>12070.9</v>
      </c>
      <c r="E83" s="39">
        <f>'Data entry Dom'!I83</f>
        <v>26871.93</v>
      </c>
      <c r="F83" s="39">
        <f>'Data entry Dom'!L83</f>
        <v>24384.92</v>
      </c>
      <c r="G83" s="39">
        <f>'Data entry Dom'!O83</f>
        <v>33057.06</v>
      </c>
      <c r="H83" s="39">
        <f>'Data entry Dom'!R83</f>
        <v>22909.42</v>
      </c>
      <c r="I83" s="39">
        <f>'Data entry Dom'!U83</f>
        <v>11627.79</v>
      </c>
      <c r="J83" s="39">
        <f>'Data entry Dom'!X83</f>
        <v>17244.21</v>
      </c>
      <c r="K83" s="39">
        <f>'Data entry Dom'!AA83</f>
        <v>12879.42</v>
      </c>
      <c r="L83" s="39">
        <f>'Data entry Dom'!AD83</f>
        <v>11928.79</v>
      </c>
      <c r="M83" s="39">
        <f>'Data entry Dom'!AG83</f>
        <v>11244.21</v>
      </c>
      <c r="N83" s="39">
        <f>'Data entry Dom'!AJ83</f>
        <v>10709.42</v>
      </c>
      <c r="O83" s="39">
        <f>'Data entry Dom'!AM83</f>
        <v>11643.79</v>
      </c>
    </row>
    <row r="84" spans="2:15" ht="14" x14ac:dyDescent="0.15">
      <c r="B84" s="42" t="s">
        <v>41</v>
      </c>
      <c r="C84" s="39">
        <f>'Data entry Dom'!C84</f>
        <v>-261702.7445</v>
      </c>
      <c r="D84" s="39">
        <f>'Data entry Dom'!F84</f>
        <v>-12772.49</v>
      </c>
      <c r="E84" s="39">
        <f>'Data entry Dom'!I84</f>
        <v>-28411.94</v>
      </c>
      <c r="F84" s="39">
        <f>'Data entry Dom'!L84</f>
        <v>-29019.42</v>
      </c>
      <c r="G84" s="39">
        <f>'Data entry Dom'!O84</f>
        <v>-38041.64</v>
      </c>
      <c r="H84" s="39">
        <f>'Data entry Dom'!R84</f>
        <v>-27443.855</v>
      </c>
      <c r="I84" s="39">
        <f>'Data entry Dom'!U84</f>
        <v>-16692.981899999999</v>
      </c>
      <c r="J84" s="39">
        <f>'Data entry Dom'!X84</f>
        <v>-21532.5095</v>
      </c>
      <c r="K84" s="39">
        <f>'Data entry Dom'!AA84</f>
        <v>-17633.855</v>
      </c>
      <c r="L84" s="39">
        <f>'Data entry Dom'!AD84</f>
        <v>-15750.954</v>
      </c>
      <c r="M84" s="39">
        <f>'Data entry Dom'!AG84</f>
        <v>-18394.5409</v>
      </c>
      <c r="N84" s="39">
        <f>'Data entry Dom'!AJ84</f>
        <v>-17238.2369</v>
      </c>
      <c r="O84" s="39">
        <f>'Data entry Dom'!AM84</f>
        <v>-18770.3213</v>
      </c>
    </row>
    <row r="85" spans="2:15" x14ac:dyDescent="0.15">
      <c r="B85" s="40"/>
      <c r="C85" s="39">
        <f>'Data entry Dom'!C85</f>
        <v>0</v>
      </c>
      <c r="D85" s="39">
        <f>'Data entry Dom'!F85</f>
        <v>0</v>
      </c>
      <c r="E85" s="39">
        <f>'Data entry Dom'!I85</f>
        <v>0</v>
      </c>
      <c r="F85" s="39">
        <f>'Data entry Dom'!L85</f>
        <v>0</v>
      </c>
      <c r="G85" s="39">
        <f>'Data entry Dom'!O85</f>
        <v>0</v>
      </c>
      <c r="H85" s="39">
        <f>'Data entry Dom'!R85</f>
        <v>0</v>
      </c>
      <c r="I85" s="39">
        <f>'Data entry Dom'!U85</f>
        <v>0</v>
      </c>
      <c r="J85" s="39">
        <f>'Data entry Dom'!X85</f>
        <v>0</v>
      </c>
      <c r="K85" s="39">
        <f>'Data entry Dom'!AA85</f>
        <v>0</v>
      </c>
      <c r="L85" s="39">
        <f>'Data entry Dom'!AD85</f>
        <v>0</v>
      </c>
      <c r="M85" s="39">
        <f>'Data entry Dom'!AG85</f>
        <v>0</v>
      </c>
      <c r="N85" s="39">
        <f>'Data entry Dom'!AJ85</f>
        <v>0</v>
      </c>
      <c r="O85" s="39">
        <f>'Data entry Dom'!AM85</f>
        <v>0</v>
      </c>
    </row>
    <row r="86" spans="2:15" ht="14" x14ac:dyDescent="0.15">
      <c r="B86" s="44" t="s">
        <v>59</v>
      </c>
      <c r="C86" s="39">
        <f>'Data entry Dom'!C86</f>
        <v>0</v>
      </c>
      <c r="D86" s="39">
        <f>'Data entry Dom'!F86</f>
        <v>0</v>
      </c>
      <c r="E86" s="39">
        <f>'Data entry Dom'!I86</f>
        <v>0</v>
      </c>
      <c r="F86" s="39">
        <f>'Data entry Dom'!L86</f>
        <v>0</v>
      </c>
      <c r="G86" s="39">
        <f>'Data entry Dom'!O86</f>
        <v>0</v>
      </c>
      <c r="H86" s="39">
        <f>'Data entry Dom'!R86</f>
        <v>0</v>
      </c>
      <c r="I86" s="39">
        <f>'Data entry Dom'!U86</f>
        <v>0</v>
      </c>
      <c r="J86" s="39">
        <f>'Data entry Dom'!X86</f>
        <v>0</v>
      </c>
      <c r="K86" s="39">
        <f>'Data entry Dom'!AA86</f>
        <v>0</v>
      </c>
      <c r="L86" s="39">
        <f>'Data entry Dom'!AD86</f>
        <v>0</v>
      </c>
      <c r="M86" s="39">
        <f>'Data entry Dom'!AG86</f>
        <v>0</v>
      </c>
      <c r="N86" s="39">
        <f>'Data entry Dom'!AJ86</f>
        <v>0</v>
      </c>
      <c r="O86" s="39">
        <f>'Data entry Dom'!AM86</f>
        <v>0</v>
      </c>
    </row>
    <row r="87" spans="2:15" ht="14" x14ac:dyDescent="0.15">
      <c r="B87" s="42" t="s">
        <v>41</v>
      </c>
      <c r="C87" s="39">
        <f>'Data entry Dom'!C87</f>
        <v>-259117.69</v>
      </c>
      <c r="D87" s="39">
        <f>'Data entry Dom'!F87</f>
        <v>-21398.58</v>
      </c>
      <c r="E87" s="39">
        <f>'Data entry Dom'!I87</f>
        <v>-17297.55</v>
      </c>
      <c r="F87" s="39">
        <f>'Data entry Dom'!L87</f>
        <v>-22223.87</v>
      </c>
      <c r="G87" s="39">
        <f>'Data entry Dom'!O87</f>
        <v>-20772.71</v>
      </c>
      <c r="H87" s="39">
        <f>'Data entry Dom'!R87</f>
        <v>-19447.5</v>
      </c>
      <c r="I87" s="39">
        <f>'Data entry Dom'!U87</f>
        <v>-21246.78</v>
      </c>
      <c r="J87" s="39">
        <f>'Data entry Dom'!X87</f>
        <v>-21994.5</v>
      </c>
      <c r="K87" s="39">
        <f>'Data entry Dom'!AA87</f>
        <v>-23863.8</v>
      </c>
      <c r="L87" s="39">
        <f>'Data entry Dom'!AD87</f>
        <v>-23562.3</v>
      </c>
      <c r="M87" s="39">
        <f>'Data entry Dom'!AG87</f>
        <v>-22959.3</v>
      </c>
      <c r="N87" s="39">
        <f>'Data entry Dom'!AJ87</f>
        <v>-22597.5</v>
      </c>
      <c r="O87" s="39">
        <f>'Data entry Dom'!AM87</f>
        <v>-21753.3</v>
      </c>
    </row>
    <row r="88" spans="2:15" x14ac:dyDescent="0.15">
      <c r="B88" s="40"/>
      <c r="C88" s="39">
        <f>'Data entry Dom'!C88</f>
        <v>0</v>
      </c>
      <c r="D88" s="39">
        <f>'Data entry Dom'!F88</f>
        <v>0</v>
      </c>
      <c r="E88" s="39">
        <f>'Data entry Dom'!I88</f>
        <v>0</v>
      </c>
      <c r="F88" s="39">
        <f>'Data entry Dom'!L88</f>
        <v>0</v>
      </c>
      <c r="G88" s="39">
        <f>'Data entry Dom'!O88</f>
        <v>0</v>
      </c>
      <c r="H88" s="39">
        <f>'Data entry Dom'!R88</f>
        <v>0</v>
      </c>
      <c r="I88" s="39">
        <f>'Data entry Dom'!U88</f>
        <v>0</v>
      </c>
      <c r="J88" s="39">
        <f>'Data entry Dom'!X88</f>
        <v>0</v>
      </c>
      <c r="K88" s="39">
        <f>'Data entry Dom'!AA88</f>
        <v>0</v>
      </c>
      <c r="L88" s="39">
        <f>'Data entry Dom'!AD88</f>
        <v>0</v>
      </c>
      <c r="M88" s="39">
        <f>'Data entry Dom'!AG88</f>
        <v>0</v>
      </c>
      <c r="N88" s="39">
        <f>'Data entry Dom'!AJ88</f>
        <v>0</v>
      </c>
      <c r="O88" s="39">
        <f>'Data entry Dom'!AM88</f>
        <v>0</v>
      </c>
    </row>
    <row r="89" spans="2:15" ht="14" x14ac:dyDescent="0.15">
      <c r="B89" s="42" t="s">
        <v>23</v>
      </c>
      <c r="C89" s="39">
        <f>'Data entry Dom'!C89</f>
        <v>2020336.2675000001</v>
      </c>
      <c r="D89" s="39">
        <f>'Data entry Dom'!F89</f>
        <v>9836.08</v>
      </c>
      <c r="E89" s="39">
        <f>'Data entry Dom'!I89</f>
        <v>101615.37</v>
      </c>
      <c r="F89" s="39">
        <f>'Data entry Dom'!L89</f>
        <v>223683.26</v>
      </c>
      <c r="G89" s="39">
        <f>'Data entry Dom'!O89</f>
        <v>161311.78</v>
      </c>
      <c r="H89" s="39">
        <f>'Data entry Dom'!R89</f>
        <v>186068.09849999999</v>
      </c>
      <c r="I89" s="39">
        <f>'Data entry Dom'!U89</f>
        <v>141034.71090000001</v>
      </c>
      <c r="J89" s="39">
        <f>'Data entry Dom'!X89</f>
        <v>105146.74400000001</v>
      </c>
      <c r="K89" s="39">
        <f>'Data entry Dom'!AA89</f>
        <v>172307.32750000001</v>
      </c>
      <c r="L89" s="39">
        <f>'Data entry Dom'!AD89</f>
        <v>214169.60819999999</v>
      </c>
      <c r="M89" s="39">
        <f>'Data entry Dom'!AG89</f>
        <v>334239.62329999998</v>
      </c>
      <c r="N89" s="39">
        <f>'Data entry Dom'!AJ89</f>
        <v>194394.87460000001</v>
      </c>
      <c r="O89" s="39">
        <f>'Data entry Dom'!AM89</f>
        <v>176528.7905</v>
      </c>
    </row>
    <row r="90" spans="2:15" x14ac:dyDescent="0.15">
      <c r="B90" s="40"/>
      <c r="C90" s="39">
        <f>'Data entry Dom'!C90</f>
        <v>0</v>
      </c>
      <c r="D90" s="39">
        <f>'Data entry Dom'!F90</f>
        <v>0</v>
      </c>
      <c r="E90" s="39">
        <f>'Data entry Dom'!I90</f>
        <v>0</v>
      </c>
      <c r="F90" s="39">
        <f>'Data entry Dom'!L90</f>
        <v>0</v>
      </c>
      <c r="G90" s="39">
        <f>'Data entry Dom'!O90</f>
        <v>0</v>
      </c>
      <c r="H90" s="39">
        <f>'Data entry Dom'!R90</f>
        <v>0</v>
      </c>
      <c r="I90" s="39">
        <f>'Data entry Dom'!U90</f>
        <v>0</v>
      </c>
      <c r="J90" s="39">
        <f>'Data entry Dom'!X90</f>
        <v>0</v>
      </c>
      <c r="K90" s="39">
        <f>'Data entry Dom'!AA90</f>
        <v>0</v>
      </c>
      <c r="L90" s="39">
        <f>'Data entry Dom'!AD90</f>
        <v>0</v>
      </c>
      <c r="M90" s="39">
        <f>'Data entry Dom'!AG90</f>
        <v>0</v>
      </c>
      <c r="N90" s="39">
        <f>'Data entry Dom'!AJ90</f>
        <v>0</v>
      </c>
      <c r="O90" s="39">
        <f>'Data entry Dom'!AM90</f>
        <v>0</v>
      </c>
    </row>
    <row r="91" spans="2:15" ht="14" x14ac:dyDescent="0.15">
      <c r="B91" s="42" t="s">
        <v>60</v>
      </c>
      <c r="C91" s="39">
        <f>'Data entry Dom'!C91</f>
        <v>0</v>
      </c>
      <c r="D91" s="39">
        <f>'Data entry Dom'!F91</f>
        <v>0</v>
      </c>
      <c r="E91" s="39">
        <f>'Data entry Dom'!I91</f>
        <v>0</v>
      </c>
      <c r="F91" s="39">
        <f>'Data entry Dom'!L91</f>
        <v>0</v>
      </c>
      <c r="G91" s="39">
        <f>'Data entry Dom'!O91</f>
        <v>0</v>
      </c>
      <c r="H91" s="39">
        <f>'Data entry Dom'!R91</f>
        <v>0</v>
      </c>
      <c r="I91" s="39">
        <f>'Data entry Dom'!U91</f>
        <v>0</v>
      </c>
      <c r="J91" s="39">
        <f>'Data entry Dom'!X91</f>
        <v>0</v>
      </c>
      <c r="K91" s="39">
        <f>'Data entry Dom'!AA91</f>
        <v>0</v>
      </c>
      <c r="L91" s="39">
        <f>'Data entry Dom'!AD91</f>
        <v>0</v>
      </c>
      <c r="M91" s="39">
        <f>'Data entry Dom'!AG91</f>
        <v>0</v>
      </c>
      <c r="N91" s="39">
        <f>'Data entry Dom'!AJ91</f>
        <v>0</v>
      </c>
      <c r="O91" s="39">
        <f>'Data entry Dom'!AM91</f>
        <v>0</v>
      </c>
    </row>
    <row r="92" spans="2:15" ht="14" x14ac:dyDescent="0.15">
      <c r="B92" s="38" t="s">
        <v>61</v>
      </c>
      <c r="C92" s="39">
        <f>'Data entry Dom'!C92</f>
        <v>0</v>
      </c>
      <c r="D92" s="39">
        <f>'Data entry Dom'!F92</f>
        <v>0</v>
      </c>
      <c r="E92" s="39">
        <f>'Data entry Dom'!I92</f>
        <v>0</v>
      </c>
      <c r="F92" s="39">
        <f>'Data entry Dom'!L92</f>
        <v>0</v>
      </c>
      <c r="G92" s="39">
        <f>'Data entry Dom'!O92</f>
        <v>0</v>
      </c>
      <c r="H92" s="39">
        <f>'Data entry Dom'!R92</f>
        <v>0</v>
      </c>
      <c r="I92" s="39">
        <f>'Data entry Dom'!U92</f>
        <v>0</v>
      </c>
      <c r="J92" s="39">
        <f>'Data entry Dom'!X92</f>
        <v>0</v>
      </c>
      <c r="K92" s="39">
        <f>'Data entry Dom'!AA92</f>
        <v>0</v>
      </c>
      <c r="L92" s="39">
        <f>'Data entry Dom'!AD92</f>
        <v>0</v>
      </c>
      <c r="M92" s="39">
        <f>'Data entry Dom'!AG92</f>
        <v>0</v>
      </c>
      <c r="N92" s="39">
        <f>'Data entry Dom'!AJ92</f>
        <v>0</v>
      </c>
      <c r="O92" s="39">
        <f>'Data entry Dom'!AM92</f>
        <v>0</v>
      </c>
    </row>
    <row r="93" spans="2:15" ht="14" x14ac:dyDescent="0.15">
      <c r="B93" s="38" t="s">
        <v>62</v>
      </c>
      <c r="C93" s="39">
        <f>'Data entry Dom'!C93</f>
        <v>0</v>
      </c>
      <c r="D93" s="39">
        <f>'Data entry Dom'!F93</f>
        <v>0</v>
      </c>
      <c r="E93" s="39">
        <f>'Data entry Dom'!I93</f>
        <v>0</v>
      </c>
      <c r="F93" s="39">
        <f>'Data entry Dom'!L93</f>
        <v>0</v>
      </c>
      <c r="G93" s="39">
        <f>'Data entry Dom'!O93</f>
        <v>0</v>
      </c>
      <c r="H93" s="39">
        <f>'Data entry Dom'!R93</f>
        <v>0</v>
      </c>
      <c r="I93" s="39">
        <f>'Data entry Dom'!U93</f>
        <v>0</v>
      </c>
      <c r="J93" s="39">
        <f>'Data entry Dom'!X93</f>
        <v>0</v>
      </c>
      <c r="K93" s="39">
        <f>'Data entry Dom'!AA93</f>
        <v>0</v>
      </c>
      <c r="L93" s="39">
        <f>'Data entry Dom'!AD93</f>
        <v>0</v>
      </c>
      <c r="M93" s="39">
        <f>'Data entry Dom'!AG93</f>
        <v>0</v>
      </c>
      <c r="N93" s="39">
        <f>'Data entry Dom'!AJ93</f>
        <v>0</v>
      </c>
      <c r="O93" s="39">
        <f>'Data entry Dom'!AM93</f>
        <v>0</v>
      </c>
    </row>
    <row r="94" spans="2:15" ht="14" x14ac:dyDescent="0.15">
      <c r="B94" s="38" t="s">
        <v>63</v>
      </c>
      <c r="C94" s="39">
        <f>'Data entry Dom'!C94</f>
        <v>0</v>
      </c>
      <c r="D94" s="39">
        <f>'Data entry Dom'!F94</f>
        <v>0</v>
      </c>
      <c r="E94" s="39">
        <f>'Data entry Dom'!I94</f>
        <v>0</v>
      </c>
      <c r="F94" s="39">
        <f>'Data entry Dom'!L94</f>
        <v>0</v>
      </c>
      <c r="G94" s="39">
        <f>'Data entry Dom'!O94</f>
        <v>0</v>
      </c>
      <c r="H94" s="39">
        <f>'Data entry Dom'!R94</f>
        <v>0</v>
      </c>
      <c r="I94" s="39">
        <f>'Data entry Dom'!U94</f>
        <v>0</v>
      </c>
      <c r="J94" s="39">
        <f>'Data entry Dom'!X94</f>
        <v>0</v>
      </c>
      <c r="K94" s="39">
        <f>'Data entry Dom'!AA94</f>
        <v>0</v>
      </c>
      <c r="L94" s="39">
        <f>'Data entry Dom'!AD94</f>
        <v>0</v>
      </c>
      <c r="M94" s="39">
        <f>'Data entry Dom'!AG94</f>
        <v>0</v>
      </c>
      <c r="N94" s="39">
        <f>'Data entry Dom'!AJ94</f>
        <v>0</v>
      </c>
      <c r="O94" s="39">
        <f>'Data entry Dom'!AM94</f>
        <v>0</v>
      </c>
    </row>
    <row r="95" spans="2:15" ht="14" x14ac:dyDescent="0.15">
      <c r="B95" s="38" t="s">
        <v>64</v>
      </c>
      <c r="C95" s="39">
        <f>'Data entry Dom'!C95</f>
        <v>0</v>
      </c>
      <c r="D95" s="39">
        <f>'Data entry Dom'!F95</f>
        <v>0</v>
      </c>
      <c r="E95" s="39">
        <f>'Data entry Dom'!I95</f>
        <v>0</v>
      </c>
      <c r="F95" s="39">
        <f>'Data entry Dom'!L95</f>
        <v>0</v>
      </c>
      <c r="G95" s="39">
        <f>'Data entry Dom'!O95</f>
        <v>0</v>
      </c>
      <c r="H95" s="39">
        <f>'Data entry Dom'!R95</f>
        <v>0</v>
      </c>
      <c r="I95" s="39">
        <f>'Data entry Dom'!U95</f>
        <v>0</v>
      </c>
      <c r="J95" s="39">
        <f>'Data entry Dom'!X95</f>
        <v>0</v>
      </c>
      <c r="K95" s="39">
        <f>'Data entry Dom'!AA95</f>
        <v>0</v>
      </c>
      <c r="L95" s="39">
        <f>'Data entry Dom'!AD95</f>
        <v>0</v>
      </c>
      <c r="M95" s="39">
        <f>'Data entry Dom'!AG95</f>
        <v>0</v>
      </c>
      <c r="N95" s="39">
        <f>'Data entry Dom'!AJ95</f>
        <v>0</v>
      </c>
      <c r="O95" s="39">
        <f>'Data entry Dom'!AM95</f>
        <v>0</v>
      </c>
    </row>
    <row r="96" spans="2:15" x14ac:dyDescent="0.15">
      <c r="B96" s="40"/>
      <c r="C96" s="39">
        <f>'Data entry Dom'!C96</f>
        <v>0</v>
      </c>
      <c r="D96" s="39">
        <f>'Data entry Dom'!F96</f>
        <v>0</v>
      </c>
      <c r="E96" s="39">
        <f>'Data entry Dom'!I96</f>
        <v>0</v>
      </c>
      <c r="F96" s="39">
        <f>'Data entry Dom'!L96</f>
        <v>0</v>
      </c>
      <c r="G96" s="39">
        <f>'Data entry Dom'!O96</f>
        <v>0</v>
      </c>
      <c r="H96" s="39">
        <f>'Data entry Dom'!R96</f>
        <v>0</v>
      </c>
      <c r="I96" s="39">
        <f>'Data entry Dom'!U96</f>
        <v>0</v>
      </c>
      <c r="J96" s="39">
        <f>'Data entry Dom'!X96</f>
        <v>0</v>
      </c>
      <c r="K96" s="39">
        <f>'Data entry Dom'!AA96</f>
        <v>0</v>
      </c>
      <c r="L96" s="39">
        <f>'Data entry Dom'!AD96</f>
        <v>0</v>
      </c>
      <c r="M96" s="39">
        <f>'Data entry Dom'!AG96</f>
        <v>0</v>
      </c>
      <c r="N96" s="39">
        <f>'Data entry Dom'!AJ96</f>
        <v>0</v>
      </c>
      <c r="O96" s="39">
        <f>'Data entry Dom'!AM96</f>
        <v>0</v>
      </c>
    </row>
    <row r="97" spans="2:15" ht="14" x14ac:dyDescent="0.15">
      <c r="B97" s="42" t="s">
        <v>65</v>
      </c>
      <c r="C97" s="39">
        <f>'Data entry Dom'!C97</f>
        <v>0</v>
      </c>
      <c r="D97" s="39">
        <f>'Data entry Dom'!F97</f>
        <v>0</v>
      </c>
      <c r="E97" s="39">
        <f>'Data entry Dom'!I97</f>
        <v>0</v>
      </c>
      <c r="F97" s="39">
        <f>'Data entry Dom'!L97</f>
        <v>0</v>
      </c>
      <c r="G97" s="39">
        <f>'Data entry Dom'!O97</f>
        <v>0</v>
      </c>
      <c r="H97" s="39">
        <f>'Data entry Dom'!R97</f>
        <v>0</v>
      </c>
      <c r="I97" s="39">
        <f>'Data entry Dom'!U97</f>
        <v>0</v>
      </c>
      <c r="J97" s="39">
        <f>'Data entry Dom'!X97</f>
        <v>0</v>
      </c>
      <c r="K97" s="39">
        <f>'Data entry Dom'!AA97</f>
        <v>0</v>
      </c>
      <c r="L97" s="39">
        <f>'Data entry Dom'!AD97</f>
        <v>0</v>
      </c>
      <c r="M97" s="39">
        <f>'Data entry Dom'!AG97</f>
        <v>0</v>
      </c>
      <c r="N97" s="39">
        <f>'Data entry Dom'!AJ97</f>
        <v>0</v>
      </c>
      <c r="O97" s="39">
        <f>'Data entry Dom'!AM97</f>
        <v>0</v>
      </c>
    </row>
    <row r="98" spans="2:15" ht="14" x14ac:dyDescent="0.15">
      <c r="B98" s="38" t="s">
        <v>66</v>
      </c>
      <c r="C98" s="39">
        <f>'Data entry Dom'!C98</f>
        <v>0</v>
      </c>
      <c r="D98" s="39">
        <f>'Data entry Dom'!F98</f>
        <v>0</v>
      </c>
      <c r="E98" s="39">
        <f>'Data entry Dom'!I98</f>
        <v>0</v>
      </c>
      <c r="F98" s="39">
        <f>'Data entry Dom'!L98</f>
        <v>0</v>
      </c>
      <c r="G98" s="39">
        <f>'Data entry Dom'!O98</f>
        <v>0</v>
      </c>
      <c r="H98" s="39">
        <f>'Data entry Dom'!R98</f>
        <v>0</v>
      </c>
      <c r="I98" s="39">
        <f>'Data entry Dom'!U98</f>
        <v>0</v>
      </c>
      <c r="J98" s="39">
        <f>'Data entry Dom'!X98</f>
        <v>0</v>
      </c>
      <c r="K98" s="39">
        <f>'Data entry Dom'!AA98</f>
        <v>0</v>
      </c>
      <c r="L98" s="39">
        <f>'Data entry Dom'!AD98</f>
        <v>0</v>
      </c>
      <c r="M98" s="39">
        <f>'Data entry Dom'!AG98</f>
        <v>0</v>
      </c>
      <c r="N98" s="39">
        <f>'Data entry Dom'!AJ98</f>
        <v>0</v>
      </c>
      <c r="O98" s="39">
        <f>'Data entry Dom'!AM98</f>
        <v>0</v>
      </c>
    </row>
    <row r="99" spans="2:15" ht="14" x14ac:dyDescent="0.15">
      <c r="B99" s="38" t="s">
        <v>67</v>
      </c>
      <c r="C99" s="39">
        <f>'Data entry Dom'!C99</f>
        <v>0</v>
      </c>
      <c r="D99" s="39">
        <f>'Data entry Dom'!F99</f>
        <v>0</v>
      </c>
      <c r="E99" s="39">
        <f>'Data entry Dom'!I99</f>
        <v>0</v>
      </c>
      <c r="F99" s="39">
        <f>'Data entry Dom'!L99</f>
        <v>0</v>
      </c>
      <c r="G99" s="39">
        <f>'Data entry Dom'!O99</f>
        <v>0</v>
      </c>
      <c r="H99" s="39">
        <f>'Data entry Dom'!R99</f>
        <v>0</v>
      </c>
      <c r="I99" s="39">
        <f>'Data entry Dom'!U99</f>
        <v>0</v>
      </c>
      <c r="J99" s="39">
        <f>'Data entry Dom'!X99</f>
        <v>0</v>
      </c>
      <c r="K99" s="39">
        <f>'Data entry Dom'!AA99</f>
        <v>0</v>
      </c>
      <c r="L99" s="39">
        <f>'Data entry Dom'!AD99</f>
        <v>0</v>
      </c>
      <c r="M99" s="39">
        <f>'Data entry Dom'!AG99</f>
        <v>0</v>
      </c>
      <c r="N99" s="39">
        <f>'Data entry Dom'!AJ99</f>
        <v>0</v>
      </c>
      <c r="O99" s="39">
        <f>'Data entry Dom'!AM99</f>
        <v>0</v>
      </c>
    </row>
    <row r="100" spans="2:15" x14ac:dyDescent="0.15">
      <c r="B100" s="40"/>
      <c r="C100" s="39">
        <f>'Data entry Dom'!C100</f>
        <v>0</v>
      </c>
      <c r="D100" s="39">
        <f>'Data entry Dom'!F100</f>
        <v>0</v>
      </c>
      <c r="E100" s="39">
        <f>'Data entry Dom'!I100</f>
        <v>0</v>
      </c>
      <c r="F100" s="39">
        <f>'Data entry Dom'!L100</f>
        <v>0</v>
      </c>
      <c r="G100" s="39">
        <f>'Data entry Dom'!O100</f>
        <v>0</v>
      </c>
      <c r="H100" s="39">
        <f>'Data entry Dom'!R100</f>
        <v>0</v>
      </c>
      <c r="I100" s="39">
        <f>'Data entry Dom'!U100</f>
        <v>0</v>
      </c>
      <c r="J100" s="39">
        <f>'Data entry Dom'!X100</f>
        <v>0</v>
      </c>
      <c r="K100" s="39">
        <f>'Data entry Dom'!AA100</f>
        <v>0</v>
      </c>
      <c r="L100" s="39">
        <f>'Data entry Dom'!AD100</f>
        <v>0</v>
      </c>
      <c r="M100" s="39">
        <f>'Data entry Dom'!AG100</f>
        <v>0</v>
      </c>
      <c r="N100" s="39">
        <f>'Data entry Dom'!AJ100</f>
        <v>0</v>
      </c>
      <c r="O100" s="39">
        <f>'Data entry Dom'!AM100</f>
        <v>0</v>
      </c>
    </row>
    <row r="101" spans="2:15" ht="28" x14ac:dyDescent="0.15">
      <c r="B101" s="42" t="s">
        <v>68</v>
      </c>
      <c r="C101" s="39">
        <f>'Data entry Dom'!C101</f>
        <v>0</v>
      </c>
      <c r="D101" s="39">
        <f>'Data entry Dom'!F101</f>
        <v>0</v>
      </c>
      <c r="E101" s="39">
        <f>'Data entry Dom'!I101</f>
        <v>0</v>
      </c>
      <c r="F101" s="39">
        <f>'Data entry Dom'!L101</f>
        <v>0</v>
      </c>
      <c r="G101" s="39">
        <f>'Data entry Dom'!O101</f>
        <v>0</v>
      </c>
      <c r="H101" s="39">
        <f>'Data entry Dom'!R101</f>
        <v>0</v>
      </c>
      <c r="I101" s="39">
        <f>'Data entry Dom'!U101</f>
        <v>0</v>
      </c>
      <c r="J101" s="39">
        <f>'Data entry Dom'!X101</f>
        <v>0</v>
      </c>
      <c r="K101" s="39">
        <f>'Data entry Dom'!AA101</f>
        <v>0</v>
      </c>
      <c r="L101" s="39">
        <f>'Data entry Dom'!AD101</f>
        <v>0</v>
      </c>
      <c r="M101" s="39">
        <f>'Data entry Dom'!AG101</f>
        <v>0</v>
      </c>
      <c r="N101" s="39">
        <f>'Data entry Dom'!AJ101</f>
        <v>0</v>
      </c>
      <c r="O101" s="39">
        <f>'Data entry Dom'!AM101</f>
        <v>0</v>
      </c>
    </row>
    <row r="102" spans="2:15" x14ac:dyDescent="0.15">
      <c r="B102" s="40"/>
      <c r="C102" s="39">
        <f>'Data entry Dom'!C102</f>
        <v>0</v>
      </c>
      <c r="D102" s="39">
        <f>'Data entry Dom'!F102</f>
        <v>0</v>
      </c>
      <c r="E102" s="39">
        <f>'Data entry Dom'!I102</f>
        <v>0</v>
      </c>
      <c r="F102" s="39">
        <f>'Data entry Dom'!L102</f>
        <v>0</v>
      </c>
      <c r="G102" s="39">
        <f>'Data entry Dom'!O102</f>
        <v>0</v>
      </c>
      <c r="H102" s="39">
        <f>'Data entry Dom'!R102</f>
        <v>0</v>
      </c>
      <c r="I102" s="39">
        <f>'Data entry Dom'!U102</f>
        <v>0</v>
      </c>
      <c r="J102" s="39">
        <f>'Data entry Dom'!X102</f>
        <v>0</v>
      </c>
      <c r="K102" s="39">
        <f>'Data entry Dom'!AA102</f>
        <v>0</v>
      </c>
      <c r="L102" s="39">
        <f>'Data entry Dom'!AD102</f>
        <v>0</v>
      </c>
      <c r="M102" s="39">
        <f>'Data entry Dom'!AG102</f>
        <v>0</v>
      </c>
      <c r="N102" s="39">
        <f>'Data entry Dom'!AJ102</f>
        <v>0</v>
      </c>
      <c r="O102" s="39">
        <f>'Data entry Dom'!AM102</f>
        <v>0</v>
      </c>
    </row>
    <row r="103" spans="2:15" ht="14" x14ac:dyDescent="0.15">
      <c r="B103" s="42" t="s">
        <v>69</v>
      </c>
      <c r="C103" s="39">
        <f>'Data entry Dom'!C103</f>
        <v>2020336.2675000001</v>
      </c>
      <c r="D103" s="39">
        <f>'Data entry Dom'!F103</f>
        <v>9836.08</v>
      </c>
      <c r="E103" s="39">
        <f>'Data entry Dom'!I103</f>
        <v>101615.37</v>
      </c>
      <c r="F103" s="39">
        <f>'Data entry Dom'!L103</f>
        <v>223683.26</v>
      </c>
      <c r="G103" s="39">
        <f>'Data entry Dom'!O103</f>
        <v>161311.78</v>
      </c>
      <c r="H103" s="39">
        <f>'Data entry Dom'!R103</f>
        <v>186068.09849999999</v>
      </c>
      <c r="I103" s="39">
        <f>'Data entry Dom'!U103</f>
        <v>141034.71090000001</v>
      </c>
      <c r="J103" s="39">
        <f>'Data entry Dom'!X103</f>
        <v>105146.74400000001</v>
      </c>
      <c r="K103" s="39">
        <f>'Data entry Dom'!AA103</f>
        <v>172307.32750000001</v>
      </c>
      <c r="L103" s="39">
        <f>'Data entry Dom'!AD103</f>
        <v>214169.60819999999</v>
      </c>
      <c r="M103" s="39">
        <f>'Data entry Dom'!AG103</f>
        <v>334239.62329999998</v>
      </c>
      <c r="N103" s="39">
        <f>'Data entry Dom'!AJ103</f>
        <v>194394.87460000001</v>
      </c>
      <c r="O103" s="39">
        <f>'Data entry Dom'!AM103</f>
        <v>176528.7905</v>
      </c>
    </row>
    <row r="104" spans="2:15" x14ac:dyDescent="0.15">
      <c r="B104" s="40"/>
      <c r="C104" s="39">
        <f>'Data entry Dom'!C104</f>
        <v>0</v>
      </c>
      <c r="D104" s="39">
        <f>'Data entry Dom'!F104</f>
        <v>0</v>
      </c>
      <c r="E104" s="39">
        <f>'Data entry Dom'!I104</f>
        <v>0</v>
      </c>
      <c r="F104" s="39">
        <f>'Data entry Dom'!L104</f>
        <v>0</v>
      </c>
      <c r="G104" s="39">
        <f>'Data entry Dom'!O104</f>
        <v>0</v>
      </c>
      <c r="H104" s="39">
        <f>'Data entry Dom'!R104</f>
        <v>0</v>
      </c>
      <c r="I104" s="39">
        <f>'Data entry Dom'!U104</f>
        <v>0</v>
      </c>
      <c r="J104" s="39">
        <f>'Data entry Dom'!X104</f>
        <v>0</v>
      </c>
      <c r="K104" s="39">
        <f>'Data entry Dom'!AA104</f>
        <v>0</v>
      </c>
      <c r="L104" s="39">
        <f>'Data entry Dom'!AD104</f>
        <v>0</v>
      </c>
      <c r="M104" s="39">
        <f>'Data entry Dom'!AG104</f>
        <v>0</v>
      </c>
      <c r="N104" s="39">
        <f>'Data entry Dom'!AJ104</f>
        <v>0</v>
      </c>
      <c r="O104" s="39">
        <f>'Data entry Dom'!AM104</f>
        <v>0</v>
      </c>
    </row>
    <row r="105" spans="2:15" ht="14" x14ac:dyDescent="0.15">
      <c r="B105" s="42" t="s">
        <v>70</v>
      </c>
      <c r="C105" s="39">
        <f>'Data entry Dom'!C105</f>
        <v>71585.8</v>
      </c>
      <c r="D105" s="39">
        <f>'Data entry Dom'!F105</f>
        <v>6028.35</v>
      </c>
      <c r="E105" s="39">
        <f>'Data entry Dom'!I105</f>
        <v>6028.35</v>
      </c>
      <c r="F105" s="39">
        <f>'Data entry Dom'!L105</f>
        <v>6028.35</v>
      </c>
      <c r="G105" s="39">
        <f>'Data entry Dom'!O105</f>
        <v>6028.35</v>
      </c>
      <c r="H105" s="39">
        <f>'Data entry Dom'!R105</f>
        <v>5934.05</v>
      </c>
      <c r="I105" s="39">
        <f>'Data entry Dom'!U105</f>
        <v>5934.05</v>
      </c>
      <c r="J105" s="39">
        <f>'Data entry Dom'!X105</f>
        <v>5934.05</v>
      </c>
      <c r="K105" s="39">
        <f>'Data entry Dom'!AA105</f>
        <v>5934.05</v>
      </c>
      <c r="L105" s="39">
        <f>'Data entry Dom'!AD105</f>
        <v>5934.05</v>
      </c>
      <c r="M105" s="39">
        <f>'Data entry Dom'!AG105</f>
        <v>5934.05</v>
      </c>
      <c r="N105" s="39">
        <f>'Data entry Dom'!AJ105</f>
        <v>5934.05</v>
      </c>
      <c r="O105" s="39">
        <f>'Data entry Dom'!AM105</f>
        <v>5934.05</v>
      </c>
    </row>
    <row r="106" spans="2:15" ht="14" x14ac:dyDescent="0.15">
      <c r="B106" s="38" t="s">
        <v>71</v>
      </c>
      <c r="C106" s="39">
        <f>'Data entry Dom'!C106</f>
        <v>23597.200000000001</v>
      </c>
      <c r="D106" s="39">
        <f>'Data entry Dom'!F106</f>
        <v>2029.3</v>
      </c>
      <c r="E106" s="39">
        <f>'Data entry Dom'!I106</f>
        <v>2029.3</v>
      </c>
      <c r="F106" s="39">
        <f>'Data entry Dom'!L106</f>
        <v>2029.3</v>
      </c>
      <c r="G106" s="39">
        <f>'Data entry Dom'!O106</f>
        <v>2029.3</v>
      </c>
      <c r="H106" s="39">
        <f>'Data entry Dom'!R106</f>
        <v>1935</v>
      </c>
      <c r="I106" s="39">
        <f>'Data entry Dom'!U106</f>
        <v>1935</v>
      </c>
      <c r="J106" s="39">
        <f>'Data entry Dom'!X106</f>
        <v>1935</v>
      </c>
      <c r="K106" s="39">
        <f>'Data entry Dom'!AA106</f>
        <v>1935</v>
      </c>
      <c r="L106" s="39">
        <f>'Data entry Dom'!AD106</f>
        <v>1935</v>
      </c>
      <c r="M106" s="39">
        <f>'Data entry Dom'!AG106</f>
        <v>1935</v>
      </c>
      <c r="N106" s="39">
        <f>'Data entry Dom'!AJ106</f>
        <v>1935</v>
      </c>
      <c r="O106" s="39">
        <f>'Data entry Dom'!AM106</f>
        <v>1935</v>
      </c>
    </row>
    <row r="107" spans="2:15" ht="14" x14ac:dyDescent="0.15">
      <c r="B107" s="38" t="s">
        <v>72</v>
      </c>
      <c r="C107" s="39">
        <f>'Data entry Dom'!C107</f>
        <v>0</v>
      </c>
      <c r="D107" s="39">
        <f>'Data entry Dom'!F107</f>
        <v>0</v>
      </c>
      <c r="E107" s="39">
        <f>'Data entry Dom'!I107</f>
        <v>0</v>
      </c>
      <c r="F107" s="39">
        <f>'Data entry Dom'!L107</f>
        <v>0</v>
      </c>
      <c r="G107" s="39">
        <f>'Data entry Dom'!O107</f>
        <v>0</v>
      </c>
      <c r="H107" s="39">
        <f>'Data entry Dom'!R107</f>
        <v>0</v>
      </c>
      <c r="I107" s="39">
        <f>'Data entry Dom'!U107</f>
        <v>0</v>
      </c>
      <c r="J107" s="39">
        <f>'Data entry Dom'!X107</f>
        <v>0</v>
      </c>
      <c r="K107" s="39">
        <f>'Data entry Dom'!AA107</f>
        <v>0</v>
      </c>
      <c r="L107" s="39">
        <f>'Data entry Dom'!AD107</f>
        <v>0</v>
      </c>
      <c r="M107" s="39">
        <f>'Data entry Dom'!AG107</f>
        <v>0</v>
      </c>
      <c r="N107" s="39">
        <f>'Data entry Dom'!AJ107</f>
        <v>0</v>
      </c>
      <c r="O107" s="39">
        <f>'Data entry Dom'!AM107</f>
        <v>0</v>
      </c>
    </row>
    <row r="108" spans="2:15" ht="14" x14ac:dyDescent="0.15">
      <c r="B108" s="38" t="s">
        <v>73</v>
      </c>
      <c r="C108" s="39">
        <f>'Data entry Dom'!C108</f>
        <v>12000</v>
      </c>
      <c r="D108" s="39">
        <f>'Data entry Dom'!F108</f>
        <v>1000</v>
      </c>
      <c r="E108" s="39">
        <f>'Data entry Dom'!I108</f>
        <v>1000</v>
      </c>
      <c r="F108" s="39">
        <f>'Data entry Dom'!L108</f>
        <v>1000</v>
      </c>
      <c r="G108" s="39">
        <f>'Data entry Dom'!O108</f>
        <v>1000</v>
      </c>
      <c r="H108" s="39">
        <f>'Data entry Dom'!R108</f>
        <v>1000</v>
      </c>
      <c r="I108" s="39">
        <f>'Data entry Dom'!U108</f>
        <v>1000</v>
      </c>
      <c r="J108" s="39">
        <f>'Data entry Dom'!X108</f>
        <v>1000</v>
      </c>
      <c r="K108" s="39">
        <f>'Data entry Dom'!AA108</f>
        <v>1000</v>
      </c>
      <c r="L108" s="39">
        <f>'Data entry Dom'!AD108</f>
        <v>1000</v>
      </c>
      <c r="M108" s="39">
        <f>'Data entry Dom'!AG108</f>
        <v>1000</v>
      </c>
      <c r="N108" s="39">
        <f>'Data entry Dom'!AJ108</f>
        <v>1000</v>
      </c>
      <c r="O108" s="39">
        <f>'Data entry Dom'!AM108</f>
        <v>1000</v>
      </c>
    </row>
    <row r="109" spans="2:15" ht="14" x14ac:dyDescent="0.15">
      <c r="B109" s="38" t="s">
        <v>74</v>
      </c>
      <c r="C109" s="39">
        <f>'Data entry Dom'!C109</f>
        <v>0</v>
      </c>
      <c r="D109" s="39">
        <f>'Data entry Dom'!F109</f>
        <v>0</v>
      </c>
      <c r="E109" s="39">
        <f>'Data entry Dom'!I109</f>
        <v>0</v>
      </c>
      <c r="F109" s="39">
        <f>'Data entry Dom'!L109</f>
        <v>0</v>
      </c>
      <c r="G109" s="39">
        <f>'Data entry Dom'!O109</f>
        <v>0</v>
      </c>
      <c r="H109" s="39">
        <f>'Data entry Dom'!R109</f>
        <v>0</v>
      </c>
      <c r="I109" s="39">
        <f>'Data entry Dom'!U109</f>
        <v>0</v>
      </c>
      <c r="J109" s="39">
        <f>'Data entry Dom'!X109</f>
        <v>0</v>
      </c>
      <c r="K109" s="39">
        <f>'Data entry Dom'!AA109</f>
        <v>0</v>
      </c>
      <c r="L109" s="39">
        <f>'Data entry Dom'!AD109</f>
        <v>0</v>
      </c>
      <c r="M109" s="39">
        <f>'Data entry Dom'!AG109</f>
        <v>0</v>
      </c>
      <c r="N109" s="39">
        <f>'Data entry Dom'!AJ109</f>
        <v>0</v>
      </c>
      <c r="O109" s="39">
        <f>'Data entry Dom'!AM109</f>
        <v>0</v>
      </c>
    </row>
    <row r="110" spans="2:15" ht="14" x14ac:dyDescent="0.15">
      <c r="B110" s="38" t="s">
        <v>75</v>
      </c>
      <c r="C110" s="39">
        <f>'Data entry Dom'!C110</f>
        <v>28152</v>
      </c>
      <c r="D110" s="39">
        <f>'Data entry Dom'!F110</f>
        <v>2346</v>
      </c>
      <c r="E110" s="39">
        <f>'Data entry Dom'!I110</f>
        <v>2346</v>
      </c>
      <c r="F110" s="39">
        <f>'Data entry Dom'!L110</f>
        <v>2346</v>
      </c>
      <c r="G110" s="39">
        <f>'Data entry Dom'!O110</f>
        <v>2346</v>
      </c>
      <c r="H110" s="39">
        <f>'Data entry Dom'!R110</f>
        <v>2346</v>
      </c>
      <c r="I110" s="39">
        <f>'Data entry Dom'!U110</f>
        <v>2346</v>
      </c>
      <c r="J110" s="39">
        <f>'Data entry Dom'!X110</f>
        <v>2346</v>
      </c>
      <c r="K110" s="39">
        <f>'Data entry Dom'!AA110</f>
        <v>2346</v>
      </c>
      <c r="L110" s="39">
        <f>'Data entry Dom'!AD110</f>
        <v>2346</v>
      </c>
      <c r="M110" s="39">
        <f>'Data entry Dom'!AG110</f>
        <v>2346</v>
      </c>
      <c r="N110" s="39">
        <f>'Data entry Dom'!AJ110</f>
        <v>2346</v>
      </c>
      <c r="O110" s="39">
        <f>'Data entry Dom'!AM110</f>
        <v>2346</v>
      </c>
    </row>
    <row r="111" spans="2:15" ht="14" x14ac:dyDescent="0.15">
      <c r="B111" s="38" t="s">
        <v>76</v>
      </c>
      <c r="C111" s="39">
        <f>'Data entry Dom'!C111</f>
        <v>7836.6</v>
      </c>
      <c r="D111" s="39">
        <f>'Data entry Dom'!F111</f>
        <v>653.04999999999995</v>
      </c>
      <c r="E111" s="39">
        <f>'Data entry Dom'!I111</f>
        <v>653.04999999999995</v>
      </c>
      <c r="F111" s="39">
        <f>'Data entry Dom'!L111</f>
        <v>653.04999999999995</v>
      </c>
      <c r="G111" s="39">
        <f>'Data entry Dom'!O111</f>
        <v>653.04999999999995</v>
      </c>
      <c r="H111" s="39">
        <f>'Data entry Dom'!R111</f>
        <v>653.04999999999995</v>
      </c>
      <c r="I111" s="39">
        <f>'Data entry Dom'!U111</f>
        <v>653.04999999999995</v>
      </c>
      <c r="J111" s="39">
        <f>'Data entry Dom'!X111</f>
        <v>653.04999999999995</v>
      </c>
      <c r="K111" s="39">
        <f>'Data entry Dom'!AA111</f>
        <v>653.04999999999995</v>
      </c>
      <c r="L111" s="39">
        <f>'Data entry Dom'!AD111</f>
        <v>653.04999999999995</v>
      </c>
      <c r="M111" s="39">
        <f>'Data entry Dom'!AG111</f>
        <v>653.04999999999995</v>
      </c>
      <c r="N111" s="39">
        <f>'Data entry Dom'!AJ111</f>
        <v>653.04999999999995</v>
      </c>
      <c r="O111" s="39">
        <f>'Data entry Dom'!AM111</f>
        <v>653.04999999999995</v>
      </c>
    </row>
    <row r="112" spans="2:15" ht="14" x14ac:dyDescent="0.15">
      <c r="B112" s="38" t="s">
        <v>77</v>
      </c>
      <c r="C112" s="39">
        <f>'Data entry Dom'!C112</f>
        <v>0</v>
      </c>
      <c r="D112" s="39">
        <f>'Data entry Dom'!F112</f>
        <v>0</v>
      </c>
      <c r="E112" s="39">
        <f>'Data entry Dom'!I112</f>
        <v>0</v>
      </c>
      <c r="F112" s="39">
        <f>'Data entry Dom'!L112</f>
        <v>0</v>
      </c>
      <c r="G112" s="39">
        <f>'Data entry Dom'!O112</f>
        <v>0</v>
      </c>
      <c r="H112" s="39">
        <f>'Data entry Dom'!R112</f>
        <v>0</v>
      </c>
      <c r="I112" s="39">
        <f>'Data entry Dom'!U112</f>
        <v>0</v>
      </c>
      <c r="J112" s="39">
        <f>'Data entry Dom'!X112</f>
        <v>0</v>
      </c>
      <c r="K112" s="39">
        <f>'Data entry Dom'!AA112</f>
        <v>0</v>
      </c>
      <c r="L112" s="39">
        <f>'Data entry Dom'!AD112</f>
        <v>0</v>
      </c>
      <c r="M112" s="39">
        <f>'Data entry Dom'!AG112</f>
        <v>0</v>
      </c>
      <c r="N112" s="39">
        <f>'Data entry Dom'!AJ112</f>
        <v>0</v>
      </c>
      <c r="O112" s="39">
        <f>'Data entry Dom'!AM112</f>
        <v>0</v>
      </c>
    </row>
    <row r="113" spans="2:15" ht="14" x14ac:dyDescent="0.15">
      <c r="B113" s="38" t="s">
        <v>78</v>
      </c>
      <c r="C113" s="39">
        <f>'Data entry Dom'!C113</f>
        <v>0</v>
      </c>
      <c r="D113" s="39">
        <f>'Data entry Dom'!F113</f>
        <v>0</v>
      </c>
      <c r="E113" s="39">
        <f>'Data entry Dom'!I113</f>
        <v>0</v>
      </c>
      <c r="F113" s="39">
        <f>'Data entry Dom'!L113</f>
        <v>0</v>
      </c>
      <c r="G113" s="39">
        <f>'Data entry Dom'!O113</f>
        <v>0</v>
      </c>
      <c r="H113" s="39">
        <f>'Data entry Dom'!R113</f>
        <v>0</v>
      </c>
      <c r="I113" s="39">
        <f>'Data entry Dom'!U113</f>
        <v>0</v>
      </c>
      <c r="J113" s="39">
        <f>'Data entry Dom'!X113</f>
        <v>0</v>
      </c>
      <c r="K113" s="39">
        <f>'Data entry Dom'!AA113</f>
        <v>0</v>
      </c>
      <c r="L113" s="39">
        <f>'Data entry Dom'!AD113</f>
        <v>0</v>
      </c>
      <c r="M113" s="39">
        <f>'Data entry Dom'!AG113</f>
        <v>0</v>
      </c>
      <c r="N113" s="39">
        <f>'Data entry Dom'!AJ113</f>
        <v>0</v>
      </c>
      <c r="O113" s="39">
        <f>'Data entry Dom'!AM113</f>
        <v>0</v>
      </c>
    </row>
    <row r="114" spans="2:15" ht="14" x14ac:dyDescent="0.15">
      <c r="B114" s="38" t="s">
        <v>79</v>
      </c>
      <c r="C114" s="39">
        <f>'Data entry Dom'!C114</f>
        <v>0</v>
      </c>
      <c r="D114" s="39">
        <f>'Data entry Dom'!F114</f>
        <v>0</v>
      </c>
      <c r="E114" s="39">
        <f>'Data entry Dom'!I114</f>
        <v>0</v>
      </c>
      <c r="F114" s="39">
        <f>'Data entry Dom'!L114</f>
        <v>0</v>
      </c>
      <c r="G114" s="39">
        <f>'Data entry Dom'!O114</f>
        <v>0</v>
      </c>
      <c r="H114" s="39">
        <f>'Data entry Dom'!R114</f>
        <v>0</v>
      </c>
      <c r="I114" s="39">
        <f>'Data entry Dom'!U114</f>
        <v>0</v>
      </c>
      <c r="J114" s="39">
        <f>'Data entry Dom'!X114</f>
        <v>0</v>
      </c>
      <c r="K114" s="39">
        <f>'Data entry Dom'!AA114</f>
        <v>0</v>
      </c>
      <c r="L114" s="39">
        <f>'Data entry Dom'!AD114</f>
        <v>0</v>
      </c>
      <c r="M114" s="39">
        <f>'Data entry Dom'!AG114</f>
        <v>0</v>
      </c>
      <c r="N114" s="39">
        <f>'Data entry Dom'!AJ114</f>
        <v>0</v>
      </c>
      <c r="O114" s="39">
        <f>'Data entry Dom'!AM114</f>
        <v>0</v>
      </c>
    </row>
    <row r="115" spans="2:15" ht="14" x14ac:dyDescent="0.15">
      <c r="B115" s="38" t="s">
        <v>80</v>
      </c>
      <c r="C115" s="39">
        <f>'Data entry Dom'!C115</f>
        <v>0</v>
      </c>
      <c r="D115" s="39">
        <f>'Data entry Dom'!F115</f>
        <v>0</v>
      </c>
      <c r="E115" s="39">
        <f>'Data entry Dom'!I115</f>
        <v>0</v>
      </c>
      <c r="F115" s="39">
        <f>'Data entry Dom'!L115</f>
        <v>0</v>
      </c>
      <c r="G115" s="39">
        <f>'Data entry Dom'!O115</f>
        <v>0</v>
      </c>
      <c r="H115" s="39">
        <f>'Data entry Dom'!R115</f>
        <v>0</v>
      </c>
      <c r="I115" s="39">
        <f>'Data entry Dom'!U115</f>
        <v>0</v>
      </c>
      <c r="J115" s="39">
        <f>'Data entry Dom'!X115</f>
        <v>0</v>
      </c>
      <c r="K115" s="39">
        <f>'Data entry Dom'!AA115</f>
        <v>0</v>
      </c>
      <c r="L115" s="39">
        <f>'Data entry Dom'!AD115</f>
        <v>0</v>
      </c>
      <c r="M115" s="39">
        <f>'Data entry Dom'!AG115</f>
        <v>0</v>
      </c>
      <c r="N115" s="39">
        <f>'Data entry Dom'!AJ115</f>
        <v>0</v>
      </c>
      <c r="O115" s="39">
        <f>'Data entry Dom'!AM115</f>
        <v>0</v>
      </c>
    </row>
    <row r="116" spans="2:15" x14ac:dyDescent="0.15">
      <c r="B116" s="40"/>
      <c r="C116" s="39">
        <f>'Data entry Dom'!C116</f>
        <v>0</v>
      </c>
      <c r="D116" s="39">
        <f>'Data entry Dom'!F116</f>
        <v>0</v>
      </c>
      <c r="E116" s="39">
        <f>'Data entry Dom'!I116</f>
        <v>0</v>
      </c>
      <c r="F116" s="39">
        <f>'Data entry Dom'!L116</f>
        <v>0</v>
      </c>
      <c r="G116" s="39">
        <f>'Data entry Dom'!O116</f>
        <v>0</v>
      </c>
      <c r="H116" s="39">
        <f>'Data entry Dom'!R116</f>
        <v>0</v>
      </c>
      <c r="I116" s="39">
        <f>'Data entry Dom'!U116</f>
        <v>0</v>
      </c>
      <c r="J116" s="39">
        <f>'Data entry Dom'!X116</f>
        <v>0</v>
      </c>
      <c r="K116" s="39">
        <f>'Data entry Dom'!AA116</f>
        <v>0</v>
      </c>
      <c r="L116" s="39">
        <f>'Data entry Dom'!AD116</f>
        <v>0</v>
      </c>
      <c r="M116" s="39">
        <f>'Data entry Dom'!AG116</f>
        <v>0</v>
      </c>
      <c r="N116" s="39">
        <f>'Data entry Dom'!AJ116</f>
        <v>0</v>
      </c>
      <c r="O116" s="39">
        <f>'Data entry Dom'!AM116</f>
        <v>0</v>
      </c>
    </row>
    <row r="117" spans="2:15" ht="14" x14ac:dyDescent="0.15">
      <c r="B117" s="42" t="s">
        <v>81</v>
      </c>
      <c r="C117" s="39">
        <f>'Data entry Dom'!C117</f>
        <v>0</v>
      </c>
      <c r="D117" s="39">
        <f>'Data entry Dom'!F117</f>
        <v>0</v>
      </c>
      <c r="E117" s="39">
        <f>'Data entry Dom'!I117</f>
        <v>0</v>
      </c>
      <c r="F117" s="39">
        <f>'Data entry Dom'!L117</f>
        <v>0</v>
      </c>
      <c r="G117" s="39">
        <f>'Data entry Dom'!O117</f>
        <v>0</v>
      </c>
      <c r="H117" s="39">
        <f>'Data entry Dom'!R117</f>
        <v>0</v>
      </c>
      <c r="I117" s="39">
        <f>'Data entry Dom'!U117</f>
        <v>0</v>
      </c>
      <c r="J117" s="39">
        <f>'Data entry Dom'!X117</f>
        <v>0</v>
      </c>
      <c r="K117" s="39">
        <f>'Data entry Dom'!AA117</f>
        <v>0</v>
      </c>
      <c r="L117" s="39">
        <f>'Data entry Dom'!AD117</f>
        <v>0</v>
      </c>
      <c r="M117" s="39">
        <f>'Data entry Dom'!AG117</f>
        <v>0</v>
      </c>
      <c r="N117" s="39">
        <f>'Data entry Dom'!AJ117</f>
        <v>0</v>
      </c>
      <c r="O117" s="39">
        <f>'Data entry Dom'!AM117</f>
        <v>0</v>
      </c>
    </row>
    <row r="118" spans="2:15" ht="14" x14ac:dyDescent="0.15">
      <c r="B118" s="38" t="s">
        <v>82</v>
      </c>
      <c r="C118" s="39">
        <f>'Data entry Dom'!C118</f>
        <v>0</v>
      </c>
      <c r="D118" s="39">
        <f>'Data entry Dom'!F118</f>
        <v>0</v>
      </c>
      <c r="E118" s="39">
        <f>'Data entry Dom'!I118</f>
        <v>0</v>
      </c>
      <c r="F118" s="39">
        <f>'Data entry Dom'!L118</f>
        <v>0</v>
      </c>
      <c r="G118" s="39">
        <f>'Data entry Dom'!O118</f>
        <v>0</v>
      </c>
      <c r="H118" s="39">
        <f>'Data entry Dom'!R118</f>
        <v>0</v>
      </c>
      <c r="I118" s="39">
        <f>'Data entry Dom'!U118</f>
        <v>0</v>
      </c>
      <c r="J118" s="39">
        <f>'Data entry Dom'!X118</f>
        <v>0</v>
      </c>
      <c r="K118" s="39">
        <f>'Data entry Dom'!AA118</f>
        <v>0</v>
      </c>
      <c r="L118" s="39">
        <f>'Data entry Dom'!AD118</f>
        <v>0</v>
      </c>
      <c r="M118" s="39">
        <f>'Data entry Dom'!AG118</f>
        <v>0</v>
      </c>
      <c r="N118" s="39">
        <f>'Data entry Dom'!AJ118</f>
        <v>0</v>
      </c>
      <c r="O118" s="39">
        <f>'Data entry Dom'!AM118</f>
        <v>0</v>
      </c>
    </row>
    <row r="119" spans="2:15" ht="14" x14ac:dyDescent="0.15">
      <c r="B119" s="38" t="s">
        <v>83</v>
      </c>
      <c r="C119" s="39">
        <f>'Data entry Dom'!C119</f>
        <v>0</v>
      </c>
      <c r="D119" s="39">
        <f>'Data entry Dom'!F119</f>
        <v>0</v>
      </c>
      <c r="E119" s="39">
        <f>'Data entry Dom'!I119</f>
        <v>0</v>
      </c>
      <c r="F119" s="39">
        <f>'Data entry Dom'!L119</f>
        <v>0</v>
      </c>
      <c r="G119" s="39">
        <f>'Data entry Dom'!O119</f>
        <v>0</v>
      </c>
      <c r="H119" s="39">
        <f>'Data entry Dom'!R119</f>
        <v>0</v>
      </c>
      <c r="I119" s="39">
        <f>'Data entry Dom'!U119</f>
        <v>0</v>
      </c>
      <c r="J119" s="39">
        <f>'Data entry Dom'!X119</f>
        <v>0</v>
      </c>
      <c r="K119" s="39">
        <f>'Data entry Dom'!AA119</f>
        <v>0</v>
      </c>
      <c r="L119" s="39">
        <f>'Data entry Dom'!AD119</f>
        <v>0</v>
      </c>
      <c r="M119" s="39">
        <f>'Data entry Dom'!AG119</f>
        <v>0</v>
      </c>
      <c r="N119" s="39">
        <f>'Data entry Dom'!AJ119</f>
        <v>0</v>
      </c>
      <c r="O119" s="39">
        <f>'Data entry Dom'!AM119</f>
        <v>0</v>
      </c>
    </row>
    <row r="120" spans="2:15" x14ac:dyDescent="0.15">
      <c r="B120" s="40"/>
      <c r="C120" s="39">
        <f>'Data entry Dom'!C120</f>
        <v>0</v>
      </c>
      <c r="D120" s="39">
        <f>'Data entry Dom'!F120</f>
        <v>0</v>
      </c>
      <c r="E120" s="39">
        <f>'Data entry Dom'!I120</f>
        <v>0</v>
      </c>
      <c r="F120" s="39">
        <f>'Data entry Dom'!L120</f>
        <v>0</v>
      </c>
      <c r="G120" s="39">
        <f>'Data entry Dom'!O120</f>
        <v>0</v>
      </c>
      <c r="H120" s="39">
        <f>'Data entry Dom'!R120</f>
        <v>0</v>
      </c>
      <c r="I120" s="39">
        <f>'Data entry Dom'!U120</f>
        <v>0</v>
      </c>
      <c r="J120" s="39">
        <f>'Data entry Dom'!X120</f>
        <v>0</v>
      </c>
      <c r="K120" s="39">
        <f>'Data entry Dom'!AA120</f>
        <v>0</v>
      </c>
      <c r="L120" s="39">
        <f>'Data entry Dom'!AD120</f>
        <v>0</v>
      </c>
      <c r="M120" s="39">
        <f>'Data entry Dom'!AG120</f>
        <v>0</v>
      </c>
      <c r="N120" s="39">
        <f>'Data entry Dom'!AJ120</f>
        <v>0</v>
      </c>
      <c r="O120" s="39">
        <f>'Data entry Dom'!AM120</f>
        <v>0</v>
      </c>
    </row>
    <row r="121" spans="2:15" ht="14" x14ac:dyDescent="0.15">
      <c r="B121" s="42" t="s">
        <v>84</v>
      </c>
      <c r="C121" s="39">
        <f>'Data entry Dom'!C121</f>
        <v>1948750.4675</v>
      </c>
      <c r="D121" s="39">
        <f>'Data entry Dom'!F121</f>
        <v>3807.73</v>
      </c>
      <c r="E121" s="39">
        <f>'Data entry Dom'!I121</f>
        <v>95587.02</v>
      </c>
      <c r="F121" s="39">
        <f>'Data entry Dom'!L121</f>
        <v>217654.91</v>
      </c>
      <c r="G121" s="39">
        <f>'Data entry Dom'!O121</f>
        <v>155283.43</v>
      </c>
      <c r="H121" s="39">
        <f>'Data entry Dom'!R121</f>
        <v>180134.0485</v>
      </c>
      <c r="I121" s="39">
        <f>'Data entry Dom'!U121</f>
        <v>135100.66089999999</v>
      </c>
      <c r="J121" s="39">
        <f>'Data entry Dom'!X121</f>
        <v>99212.694000000003</v>
      </c>
      <c r="K121" s="39">
        <f>'Data entry Dom'!AA121</f>
        <v>166373.2775</v>
      </c>
      <c r="L121" s="39">
        <f>'Data entry Dom'!AD121</f>
        <v>208235.5582</v>
      </c>
      <c r="M121" s="39">
        <f>'Data entry Dom'!AG121</f>
        <v>328305.57329999999</v>
      </c>
      <c r="N121" s="39">
        <f>'Data entry Dom'!AJ121</f>
        <v>188460.82459999999</v>
      </c>
      <c r="O121" s="39">
        <f>'Data entry Dom'!AM121</f>
        <v>170594.74050000001</v>
      </c>
    </row>
    <row r="122" spans="2:15" ht="14" x14ac:dyDescent="0.15">
      <c r="B122" s="38" t="s">
        <v>85</v>
      </c>
      <c r="C122" s="39">
        <f>'Data entry Dom'!C122</f>
        <v>74247.953299999994</v>
      </c>
      <c r="D122" s="39">
        <f>'Data entry Dom'!F122</f>
        <v>6277</v>
      </c>
      <c r="E122" s="39">
        <f>'Data entry Dom'!I122</f>
        <v>6277</v>
      </c>
      <c r="F122" s="39">
        <f>'Data entry Dom'!L122</f>
        <v>6277</v>
      </c>
      <c r="G122" s="39">
        <f>'Data entry Dom'!O122</f>
        <v>6277</v>
      </c>
      <c r="H122" s="39">
        <f>'Data entry Dom'!R122</f>
        <v>5668.9105</v>
      </c>
      <c r="I122" s="39">
        <f>'Data entry Dom'!U122</f>
        <v>5968.5542999999998</v>
      </c>
      <c r="J122" s="39">
        <f>'Data entry Dom'!X122</f>
        <v>5866.9022999999997</v>
      </c>
      <c r="K122" s="39">
        <f>'Data entry Dom'!AA122</f>
        <v>6277</v>
      </c>
      <c r="L122" s="39">
        <f>'Data entry Dom'!AD122</f>
        <v>6277</v>
      </c>
      <c r="M122" s="39">
        <f>'Data entry Dom'!AG122</f>
        <v>6443.5361000000003</v>
      </c>
      <c r="N122" s="39">
        <f>'Data entry Dom'!AJ122</f>
        <v>6361.0501000000004</v>
      </c>
      <c r="O122" s="39">
        <f>'Data entry Dom'!AM122</f>
        <v>6277</v>
      </c>
    </row>
    <row r="123" spans="2:15" x14ac:dyDescent="0.15">
      <c r="B123" s="40"/>
      <c r="C123" s="39">
        <f>'Data entry Dom'!C123</f>
        <v>0</v>
      </c>
      <c r="D123" s="39">
        <f>'Data entry Dom'!F123</f>
        <v>0</v>
      </c>
      <c r="E123" s="39">
        <f>'Data entry Dom'!I123</f>
        <v>0</v>
      </c>
      <c r="F123" s="39">
        <f>'Data entry Dom'!L123</f>
        <v>0</v>
      </c>
      <c r="G123" s="39">
        <f>'Data entry Dom'!O123</f>
        <v>0</v>
      </c>
      <c r="H123" s="39">
        <f>'Data entry Dom'!R123</f>
        <v>0</v>
      </c>
      <c r="I123" s="39">
        <f>'Data entry Dom'!U123</f>
        <v>0</v>
      </c>
      <c r="J123" s="39">
        <f>'Data entry Dom'!X123</f>
        <v>0</v>
      </c>
      <c r="K123" s="39">
        <f>'Data entry Dom'!AA123</f>
        <v>0</v>
      </c>
      <c r="L123" s="39">
        <f>'Data entry Dom'!AD123</f>
        <v>0</v>
      </c>
      <c r="M123" s="39">
        <f>'Data entry Dom'!AG123</f>
        <v>0</v>
      </c>
      <c r="N123" s="39">
        <f>'Data entry Dom'!AJ123</f>
        <v>0</v>
      </c>
      <c r="O123" s="39">
        <f>'Data entry Dom'!AM123</f>
        <v>0</v>
      </c>
    </row>
    <row r="124" spans="2:15" ht="14" x14ac:dyDescent="0.15">
      <c r="B124" s="42" t="s">
        <v>86</v>
      </c>
      <c r="C124" s="39">
        <f>'Data entry Dom'!C124</f>
        <v>1874502.5142999999</v>
      </c>
      <c r="D124" s="39">
        <f>'Data entry Dom'!F124</f>
        <v>-2469.27</v>
      </c>
      <c r="E124" s="39">
        <f>'Data entry Dom'!I124</f>
        <v>89310.02</v>
      </c>
      <c r="F124" s="39">
        <f>'Data entry Dom'!L124</f>
        <v>211377.91</v>
      </c>
      <c r="G124" s="39">
        <f>'Data entry Dom'!O124</f>
        <v>149006.43</v>
      </c>
      <c r="H124" s="39">
        <f>'Data entry Dom'!R124</f>
        <v>174465.13810000001</v>
      </c>
      <c r="I124" s="39">
        <f>'Data entry Dom'!U124</f>
        <v>129132.1066</v>
      </c>
      <c r="J124" s="39">
        <f>'Data entry Dom'!X124</f>
        <v>93345.791700000002</v>
      </c>
      <c r="K124" s="39">
        <f>'Data entry Dom'!AA124</f>
        <v>160096.2775</v>
      </c>
      <c r="L124" s="39">
        <f>'Data entry Dom'!AD124</f>
        <v>201958.55809999999</v>
      </c>
      <c r="M124" s="39">
        <f>'Data entry Dom'!AG124</f>
        <v>321862.03720000002</v>
      </c>
      <c r="N124" s="39">
        <f>'Data entry Dom'!AJ124</f>
        <v>182099.7746</v>
      </c>
      <c r="O124" s="39">
        <f>'Data entry Dom'!AM124</f>
        <v>164317.74050000001</v>
      </c>
    </row>
    <row r="125" spans="2:15" ht="14" x14ac:dyDescent="0.15">
      <c r="B125" s="38" t="s">
        <v>87</v>
      </c>
      <c r="C125" s="39">
        <f>'Data entry Dom'!C125</f>
        <v>0</v>
      </c>
      <c r="D125" s="39">
        <f>'Data entry Dom'!F125</f>
        <v>0</v>
      </c>
      <c r="E125" s="39">
        <f>'Data entry Dom'!I125</f>
        <v>0</v>
      </c>
      <c r="F125" s="39">
        <f>'Data entry Dom'!L125</f>
        <v>0</v>
      </c>
      <c r="G125" s="39">
        <f>'Data entry Dom'!O125</f>
        <v>0</v>
      </c>
      <c r="H125" s="39">
        <f>'Data entry Dom'!R125</f>
        <v>0</v>
      </c>
      <c r="I125" s="39">
        <f>'Data entry Dom'!U125</f>
        <v>0</v>
      </c>
      <c r="J125" s="39">
        <f>'Data entry Dom'!X125</f>
        <v>0</v>
      </c>
      <c r="K125" s="39">
        <f>'Data entry Dom'!AA125</f>
        <v>0</v>
      </c>
      <c r="L125" s="39">
        <f>'Data entry Dom'!AD125</f>
        <v>0</v>
      </c>
      <c r="M125" s="39">
        <f>'Data entry Dom'!AG125</f>
        <v>0</v>
      </c>
      <c r="N125" s="39">
        <f>'Data entry Dom'!AJ125</f>
        <v>0</v>
      </c>
      <c r="O125" s="39">
        <f>'Data entry Dom'!AM125</f>
        <v>0</v>
      </c>
    </row>
    <row r="126" spans="2:15" x14ac:dyDescent="0.15">
      <c r="B126" s="40"/>
      <c r="C126" s="39">
        <f>'Data entry Dom'!C126</f>
        <v>0</v>
      </c>
      <c r="D126" s="39">
        <f>'Data entry Dom'!F126</f>
        <v>0</v>
      </c>
      <c r="E126" s="39">
        <f>'Data entry Dom'!I126</f>
        <v>0</v>
      </c>
      <c r="F126" s="39">
        <f>'Data entry Dom'!L126</f>
        <v>0</v>
      </c>
      <c r="G126" s="39">
        <f>'Data entry Dom'!O126</f>
        <v>0</v>
      </c>
      <c r="H126" s="39">
        <f>'Data entry Dom'!R126</f>
        <v>0</v>
      </c>
      <c r="I126" s="39">
        <f>'Data entry Dom'!U126</f>
        <v>0</v>
      </c>
      <c r="J126" s="39">
        <f>'Data entry Dom'!X126</f>
        <v>0</v>
      </c>
      <c r="K126" s="39">
        <f>'Data entry Dom'!AA126</f>
        <v>0</v>
      </c>
      <c r="L126" s="39">
        <f>'Data entry Dom'!AD126</f>
        <v>0</v>
      </c>
      <c r="M126" s="39">
        <f>'Data entry Dom'!AG126</f>
        <v>0</v>
      </c>
      <c r="N126" s="39">
        <f>'Data entry Dom'!AJ126</f>
        <v>0</v>
      </c>
      <c r="O126" s="39">
        <f>'Data entry Dom'!AM126</f>
        <v>0</v>
      </c>
    </row>
    <row r="127" spans="2:15" ht="14" x14ac:dyDescent="0.15">
      <c r="B127" s="42" t="s">
        <v>88</v>
      </c>
      <c r="C127" s="39">
        <f>'Data entry Dom'!C127</f>
        <v>1874502.5142999999</v>
      </c>
      <c r="D127" s="39">
        <f>'Data entry Dom'!F127</f>
        <v>-2469.27</v>
      </c>
      <c r="E127" s="39">
        <f>'Data entry Dom'!I127</f>
        <v>89310.02</v>
      </c>
      <c r="F127" s="39">
        <f>'Data entry Dom'!L127</f>
        <v>211377.91</v>
      </c>
      <c r="G127" s="39">
        <f>'Data entry Dom'!O127</f>
        <v>149006.43</v>
      </c>
      <c r="H127" s="39">
        <f>'Data entry Dom'!R127</f>
        <v>174465.13810000001</v>
      </c>
      <c r="I127" s="39">
        <f>'Data entry Dom'!U127</f>
        <v>129132.1066</v>
      </c>
      <c r="J127" s="39">
        <f>'Data entry Dom'!X127</f>
        <v>93345.791700000002</v>
      </c>
      <c r="K127" s="39">
        <f>'Data entry Dom'!AA127</f>
        <v>160096.2775</v>
      </c>
      <c r="L127" s="39">
        <f>'Data entry Dom'!AD127</f>
        <v>201958.55809999999</v>
      </c>
      <c r="M127" s="39">
        <f>'Data entry Dom'!AG127</f>
        <v>321862.03720000002</v>
      </c>
      <c r="N127" s="39">
        <f>'Data entry Dom'!AJ127</f>
        <v>182099.7746</v>
      </c>
      <c r="O127" s="39">
        <f>'Data entry Dom'!AM127</f>
        <v>164317.74050000001</v>
      </c>
    </row>
    <row r="128" spans="2:15" x14ac:dyDescent="0.15">
      <c r="B128" s="40"/>
      <c r="C128" s="39">
        <f>'Data entry Dom'!C128</f>
        <v>0</v>
      </c>
      <c r="D128" s="39">
        <f>'Data entry Dom'!F128</f>
        <v>0</v>
      </c>
      <c r="E128" s="39">
        <f>'Data entry Dom'!I128</f>
        <v>0</v>
      </c>
      <c r="F128" s="39">
        <f>'Data entry Dom'!L128</f>
        <v>0</v>
      </c>
      <c r="G128" s="39">
        <f>'Data entry Dom'!O128</f>
        <v>0</v>
      </c>
      <c r="H128" s="39">
        <f>'Data entry Dom'!R128</f>
        <v>0</v>
      </c>
      <c r="I128" s="39">
        <f>'Data entry Dom'!U128</f>
        <v>0</v>
      </c>
      <c r="J128" s="39">
        <f>'Data entry Dom'!X128</f>
        <v>0</v>
      </c>
      <c r="K128" s="39">
        <f>'Data entry Dom'!AA128</f>
        <v>0</v>
      </c>
      <c r="L128" s="39">
        <f>'Data entry Dom'!AD128</f>
        <v>0</v>
      </c>
      <c r="M128" s="39">
        <f>'Data entry Dom'!AG128</f>
        <v>0</v>
      </c>
      <c r="N128" s="39">
        <f>'Data entry Dom'!AJ128</f>
        <v>0</v>
      </c>
      <c r="O128" s="39">
        <f>'Data entry Dom'!AM128</f>
        <v>0</v>
      </c>
    </row>
    <row r="129" spans="2:15" ht="14" x14ac:dyDescent="0.15">
      <c r="B129" s="42" t="s">
        <v>89</v>
      </c>
      <c r="C129" s="39">
        <f>'Data entry Dom'!C129</f>
        <v>177327.3743</v>
      </c>
      <c r="D129" s="39">
        <f>'Data entry Dom'!F129</f>
        <v>7832.99</v>
      </c>
      <c r="E129" s="39">
        <f>'Data entry Dom'!I129</f>
        <v>12238.19</v>
      </c>
      <c r="F129" s="39">
        <f>'Data entry Dom'!L129</f>
        <v>16480.400000000001</v>
      </c>
      <c r="G129" s="39">
        <f>'Data entry Dom'!O129</f>
        <v>14873.85</v>
      </c>
      <c r="H129" s="39">
        <f>'Data entry Dom'!R129</f>
        <v>15496.694299999999</v>
      </c>
      <c r="I129" s="39">
        <f>'Data entry Dom'!U129</f>
        <v>13735.275600000001</v>
      </c>
      <c r="J129" s="39">
        <f>'Data entry Dom'!X129</f>
        <v>12341.6657</v>
      </c>
      <c r="K129" s="39">
        <f>'Data entry Dom'!AA129</f>
        <v>15165.5663</v>
      </c>
      <c r="L129" s="39">
        <f>'Data entry Dom'!AD129</f>
        <v>16867.663100000002</v>
      </c>
      <c r="M129" s="39">
        <f>'Data entry Dom'!AG129</f>
        <v>20893.423200000001</v>
      </c>
      <c r="N129" s="39">
        <f>'Data entry Dom'!AJ129</f>
        <v>15979.424999999999</v>
      </c>
      <c r="O129" s="39">
        <f>'Data entry Dom'!AM129</f>
        <v>15422.231100000001</v>
      </c>
    </row>
    <row r="130" spans="2:15" ht="14" x14ac:dyDescent="0.15">
      <c r="B130" s="38" t="s">
        <v>90</v>
      </c>
      <c r="C130" s="39">
        <f>'Data entry Dom'!C130</f>
        <v>177327.3743</v>
      </c>
      <c r="D130" s="39">
        <f>'Data entry Dom'!F130</f>
        <v>7832.99</v>
      </c>
      <c r="E130" s="39">
        <f>'Data entry Dom'!I130</f>
        <v>12238.19</v>
      </c>
      <c r="F130" s="39">
        <f>'Data entry Dom'!L130</f>
        <v>16480.400000000001</v>
      </c>
      <c r="G130" s="39">
        <f>'Data entry Dom'!O130</f>
        <v>14873.85</v>
      </c>
      <c r="H130" s="39">
        <f>'Data entry Dom'!R130</f>
        <v>15496.694299999999</v>
      </c>
      <c r="I130" s="39">
        <f>'Data entry Dom'!U130</f>
        <v>13735.275600000001</v>
      </c>
      <c r="J130" s="39">
        <f>'Data entry Dom'!X130</f>
        <v>12341.6657</v>
      </c>
      <c r="K130" s="39">
        <f>'Data entry Dom'!AA130</f>
        <v>15165.5663</v>
      </c>
      <c r="L130" s="39">
        <f>'Data entry Dom'!AD130</f>
        <v>16867.663100000002</v>
      </c>
      <c r="M130" s="39">
        <f>'Data entry Dom'!AG130</f>
        <v>20893.423200000001</v>
      </c>
      <c r="N130" s="39">
        <f>'Data entry Dom'!AJ130</f>
        <v>15979.424999999999</v>
      </c>
      <c r="O130" s="39">
        <f>'Data entry Dom'!AM130</f>
        <v>15422.231100000001</v>
      </c>
    </row>
    <row r="131" spans="2:15" ht="14" x14ac:dyDescent="0.15">
      <c r="B131" s="38" t="s">
        <v>91</v>
      </c>
      <c r="C131" s="39">
        <f>'Data entry Dom'!C131</f>
        <v>0</v>
      </c>
      <c r="D131" s="39">
        <f>'Data entry Dom'!F131</f>
        <v>0</v>
      </c>
      <c r="E131" s="39">
        <f>'Data entry Dom'!I131</f>
        <v>0</v>
      </c>
      <c r="F131" s="39">
        <f>'Data entry Dom'!L131</f>
        <v>0</v>
      </c>
      <c r="G131" s="39">
        <f>'Data entry Dom'!O131</f>
        <v>0</v>
      </c>
      <c r="H131" s="39">
        <f>'Data entry Dom'!R131</f>
        <v>0</v>
      </c>
      <c r="I131" s="39">
        <f>'Data entry Dom'!U131</f>
        <v>0</v>
      </c>
      <c r="J131" s="39">
        <f>'Data entry Dom'!X131</f>
        <v>0</v>
      </c>
      <c r="K131" s="39">
        <f>'Data entry Dom'!AA131</f>
        <v>0</v>
      </c>
      <c r="L131" s="39">
        <f>'Data entry Dom'!AD131</f>
        <v>0</v>
      </c>
      <c r="M131" s="39">
        <f>'Data entry Dom'!AG131</f>
        <v>0</v>
      </c>
      <c r="N131" s="39">
        <f>'Data entry Dom'!AJ131</f>
        <v>0</v>
      </c>
      <c r="O131" s="39">
        <f>'Data entry Dom'!AM131</f>
        <v>0</v>
      </c>
    </row>
    <row r="132" spans="2:15" ht="14" x14ac:dyDescent="0.15">
      <c r="B132" s="38" t="s">
        <v>92</v>
      </c>
      <c r="C132" s="39">
        <f>'Data entry Dom'!C132</f>
        <v>0</v>
      </c>
      <c r="D132" s="39">
        <f>'Data entry Dom'!F132</f>
        <v>0</v>
      </c>
      <c r="E132" s="39">
        <f>'Data entry Dom'!I132</f>
        <v>0</v>
      </c>
      <c r="F132" s="39">
        <f>'Data entry Dom'!L132</f>
        <v>0</v>
      </c>
      <c r="G132" s="39">
        <f>'Data entry Dom'!O132</f>
        <v>0</v>
      </c>
      <c r="H132" s="39">
        <f>'Data entry Dom'!R132</f>
        <v>0</v>
      </c>
      <c r="I132" s="39">
        <f>'Data entry Dom'!U132</f>
        <v>0</v>
      </c>
      <c r="J132" s="39">
        <f>'Data entry Dom'!X132</f>
        <v>0</v>
      </c>
      <c r="K132" s="39">
        <f>'Data entry Dom'!AA132</f>
        <v>0</v>
      </c>
      <c r="L132" s="39">
        <f>'Data entry Dom'!AD132</f>
        <v>0</v>
      </c>
      <c r="M132" s="39">
        <f>'Data entry Dom'!AG132</f>
        <v>0</v>
      </c>
      <c r="N132" s="39">
        <f>'Data entry Dom'!AJ132</f>
        <v>0</v>
      </c>
      <c r="O132" s="39">
        <f>'Data entry Dom'!AM132</f>
        <v>0</v>
      </c>
    </row>
    <row r="133" spans="2:15" x14ac:dyDescent="0.15">
      <c r="B133" s="40"/>
      <c r="C133" s="39">
        <f>'Data entry Dom'!C133</f>
        <v>0</v>
      </c>
      <c r="D133" s="39">
        <f>'Data entry Dom'!F133</f>
        <v>0</v>
      </c>
      <c r="E133" s="39">
        <f>'Data entry Dom'!I133</f>
        <v>0</v>
      </c>
      <c r="F133" s="39">
        <f>'Data entry Dom'!L133</f>
        <v>0</v>
      </c>
      <c r="G133" s="39">
        <f>'Data entry Dom'!O133</f>
        <v>0</v>
      </c>
      <c r="H133" s="39">
        <f>'Data entry Dom'!R133</f>
        <v>0</v>
      </c>
      <c r="I133" s="39">
        <f>'Data entry Dom'!U133</f>
        <v>0</v>
      </c>
      <c r="J133" s="39">
        <f>'Data entry Dom'!X133</f>
        <v>0</v>
      </c>
      <c r="K133" s="39">
        <f>'Data entry Dom'!AA133</f>
        <v>0</v>
      </c>
      <c r="L133" s="39">
        <f>'Data entry Dom'!AD133</f>
        <v>0</v>
      </c>
      <c r="M133" s="39">
        <f>'Data entry Dom'!AG133</f>
        <v>0</v>
      </c>
      <c r="N133" s="39">
        <f>'Data entry Dom'!AJ133</f>
        <v>0</v>
      </c>
      <c r="O133" s="39">
        <f>'Data entry Dom'!AM133</f>
        <v>0</v>
      </c>
    </row>
    <row r="134" spans="2:15" ht="14" x14ac:dyDescent="0.15">
      <c r="B134" s="42" t="s">
        <v>93</v>
      </c>
      <c r="C134" s="39">
        <f>'Data entry Dom'!C134</f>
        <v>1697175.14</v>
      </c>
      <c r="D134" s="39">
        <f>'Data entry Dom'!F134</f>
        <v>-10302.26</v>
      </c>
      <c r="E134" s="39">
        <f>'Data entry Dom'!I134</f>
        <v>77071.83</v>
      </c>
      <c r="F134" s="39">
        <f>'Data entry Dom'!L134</f>
        <v>194897.51</v>
      </c>
      <c r="G134" s="39">
        <f>'Data entry Dom'!O134</f>
        <v>134132.57999999999</v>
      </c>
      <c r="H134" s="39">
        <f>'Data entry Dom'!R134</f>
        <v>158968.4437</v>
      </c>
      <c r="I134" s="39">
        <f>'Data entry Dom'!U134</f>
        <v>115396.83100000001</v>
      </c>
      <c r="J134" s="39">
        <f>'Data entry Dom'!X134</f>
        <v>81004.126000000004</v>
      </c>
      <c r="K134" s="39">
        <f>'Data entry Dom'!AA134</f>
        <v>144930.7113</v>
      </c>
      <c r="L134" s="39">
        <f>'Data entry Dom'!AD134</f>
        <v>185090.89499999999</v>
      </c>
      <c r="M134" s="39">
        <f>'Data entry Dom'!AG134</f>
        <v>300968.614</v>
      </c>
      <c r="N134" s="39">
        <f>'Data entry Dom'!AJ134</f>
        <v>166120.34959999999</v>
      </c>
      <c r="O134" s="39">
        <f>'Data entry Dom'!AM134</f>
        <v>148895.50940000001</v>
      </c>
    </row>
    <row r="135" spans="2:15" x14ac:dyDescent="0.15">
      <c r="B135" s="40"/>
      <c r="C135" s="39">
        <f>'Data entry Dom'!C135</f>
        <v>0</v>
      </c>
      <c r="D135" s="39">
        <f>'Data entry Dom'!F135</f>
        <v>0</v>
      </c>
      <c r="E135" s="39">
        <f>'Data entry Dom'!I135</f>
        <v>0</v>
      </c>
      <c r="F135" s="39">
        <f>'Data entry Dom'!L135</f>
        <v>0</v>
      </c>
      <c r="G135" s="39">
        <f>'Data entry Dom'!O135</f>
        <v>0</v>
      </c>
      <c r="H135" s="39">
        <f>'Data entry Dom'!R135</f>
        <v>0</v>
      </c>
      <c r="I135" s="39">
        <f>'Data entry Dom'!U135</f>
        <v>0</v>
      </c>
      <c r="J135" s="39">
        <f>'Data entry Dom'!X135</f>
        <v>0</v>
      </c>
      <c r="K135" s="39">
        <f>'Data entry Dom'!AA135</f>
        <v>0</v>
      </c>
      <c r="L135" s="39">
        <f>'Data entry Dom'!AD135</f>
        <v>0</v>
      </c>
      <c r="M135" s="39">
        <f>'Data entry Dom'!AG135</f>
        <v>0</v>
      </c>
      <c r="N135" s="39">
        <f>'Data entry Dom'!AJ135</f>
        <v>0</v>
      </c>
      <c r="O135" s="39">
        <f>'Data entry Dom'!AM135</f>
        <v>0</v>
      </c>
    </row>
    <row r="136" spans="2:15" ht="14" x14ac:dyDescent="0.15">
      <c r="B136" s="42" t="s">
        <v>94</v>
      </c>
      <c r="C136" s="39">
        <f>'Data entry Dom'!C136</f>
        <v>1596725.6126000001</v>
      </c>
      <c r="D136" s="39">
        <f>'Data entry Dom'!F136</f>
        <v>117482.94</v>
      </c>
      <c r="E136" s="39">
        <f>'Data entry Dom'!I136</f>
        <v>117482.94</v>
      </c>
      <c r="F136" s="39">
        <f>'Data entry Dom'!L136</f>
        <v>117482.94</v>
      </c>
      <c r="G136" s="39">
        <f>'Data entry Dom'!O136</f>
        <v>117482.94</v>
      </c>
      <c r="H136" s="39">
        <f>'Data entry Dom'!R136</f>
        <v>138711.9332</v>
      </c>
      <c r="I136" s="39">
        <f>'Data entry Dom'!U136</f>
        <v>123094.02009999999</v>
      </c>
      <c r="J136" s="39">
        <f>'Data entry Dom'!X136</f>
        <v>110737.3462</v>
      </c>
      <c r="K136" s="39">
        <f>'Data entry Dom'!AA136</f>
        <v>135775.9308</v>
      </c>
      <c r="L136" s="39">
        <f>'Data entry Dom'!AD136</f>
        <v>150867.85639999999</v>
      </c>
      <c r="M136" s="39">
        <f>'Data entry Dom'!AG136</f>
        <v>186562.92860000001</v>
      </c>
      <c r="N136" s="39">
        <f>'Data entry Dom'!AJ136</f>
        <v>142992.14499999999</v>
      </c>
      <c r="O136" s="39">
        <f>'Data entry Dom'!AM136</f>
        <v>138051.6923</v>
      </c>
    </row>
    <row r="137" spans="2:15" ht="14" x14ac:dyDescent="0.15">
      <c r="B137" s="38" t="s">
        <v>95</v>
      </c>
      <c r="C137" s="39">
        <f>'Data entry Dom'!C137</f>
        <v>480395.04</v>
      </c>
      <c r="D137" s="39">
        <f>'Data entry Dom'!F137</f>
        <v>117482.94</v>
      </c>
      <c r="E137" s="39">
        <f>'Data entry Dom'!I137</f>
        <v>117482.94</v>
      </c>
      <c r="F137" s="39">
        <f>'Data entry Dom'!L137</f>
        <v>117482.94</v>
      </c>
      <c r="G137" s="39">
        <f>'Data entry Dom'!O137</f>
        <v>117482.94</v>
      </c>
      <c r="H137" s="39">
        <f>'Data entry Dom'!R137</f>
        <v>1307.9100000000001</v>
      </c>
      <c r="I137" s="39">
        <f>'Data entry Dom'!U137</f>
        <v>1307.9100000000001</v>
      </c>
      <c r="J137" s="39">
        <f>'Data entry Dom'!X137</f>
        <v>1307.9100000000001</v>
      </c>
      <c r="K137" s="39">
        <f>'Data entry Dom'!AA137</f>
        <v>1307.9100000000001</v>
      </c>
      <c r="L137" s="39">
        <f>'Data entry Dom'!AD137</f>
        <v>1307.9100000000001</v>
      </c>
      <c r="M137" s="39">
        <f>'Data entry Dom'!AG137</f>
        <v>1307.9100000000001</v>
      </c>
      <c r="N137" s="39">
        <f>'Data entry Dom'!AJ137</f>
        <v>1307.9100000000001</v>
      </c>
      <c r="O137" s="39">
        <f>'Data entry Dom'!AM137</f>
        <v>1307.9100000000001</v>
      </c>
    </row>
    <row r="138" spans="2:15" ht="14" x14ac:dyDescent="0.15">
      <c r="B138" s="38" t="s">
        <v>96</v>
      </c>
      <c r="C138" s="39">
        <f>'Data entry Dom'!C138</f>
        <v>1116330.5726000001</v>
      </c>
      <c r="D138" s="39">
        <f>'Data entry Dom'!F138</f>
        <v>0</v>
      </c>
      <c r="E138" s="39">
        <f>'Data entry Dom'!I138</f>
        <v>0</v>
      </c>
      <c r="F138" s="39">
        <f>'Data entry Dom'!L138</f>
        <v>0</v>
      </c>
      <c r="G138" s="39">
        <f>'Data entry Dom'!O138</f>
        <v>0</v>
      </c>
      <c r="H138" s="39">
        <f>'Data entry Dom'!R138</f>
        <v>137404.0232</v>
      </c>
      <c r="I138" s="39">
        <f>'Data entry Dom'!U138</f>
        <v>121786.11010000001</v>
      </c>
      <c r="J138" s="39">
        <f>'Data entry Dom'!X138</f>
        <v>109429.4362</v>
      </c>
      <c r="K138" s="39">
        <f>'Data entry Dom'!AA138</f>
        <v>134468.0208</v>
      </c>
      <c r="L138" s="39">
        <f>'Data entry Dom'!AD138</f>
        <v>149559.94639999999</v>
      </c>
      <c r="M138" s="39">
        <f>'Data entry Dom'!AG138</f>
        <v>185255.01860000001</v>
      </c>
      <c r="N138" s="39">
        <f>'Data entry Dom'!AJ138</f>
        <v>141684.23499999999</v>
      </c>
      <c r="O138" s="39">
        <f>'Data entry Dom'!AM138</f>
        <v>136743.78229999999</v>
      </c>
    </row>
    <row r="139" spans="2:15" ht="14" x14ac:dyDescent="0.15">
      <c r="B139" s="38" t="s">
        <v>97</v>
      </c>
      <c r="C139" s="39">
        <f>'Data entry Dom'!C139</f>
        <v>0</v>
      </c>
      <c r="D139" s="39">
        <f>'Data entry Dom'!F139</f>
        <v>0</v>
      </c>
      <c r="E139" s="39">
        <f>'Data entry Dom'!I139</f>
        <v>0</v>
      </c>
      <c r="F139" s="39">
        <f>'Data entry Dom'!L139</f>
        <v>0</v>
      </c>
      <c r="G139" s="39">
        <f>'Data entry Dom'!O139</f>
        <v>0</v>
      </c>
      <c r="H139" s="39">
        <f>'Data entry Dom'!R139</f>
        <v>0</v>
      </c>
      <c r="I139" s="39">
        <f>'Data entry Dom'!U139</f>
        <v>0</v>
      </c>
      <c r="J139" s="39">
        <f>'Data entry Dom'!X139</f>
        <v>0</v>
      </c>
      <c r="K139" s="39">
        <f>'Data entry Dom'!AA139</f>
        <v>0</v>
      </c>
      <c r="L139" s="39">
        <f>'Data entry Dom'!AD139</f>
        <v>0</v>
      </c>
      <c r="M139" s="39">
        <f>'Data entry Dom'!AG139</f>
        <v>0</v>
      </c>
      <c r="N139" s="39">
        <f>'Data entry Dom'!AJ139</f>
        <v>0</v>
      </c>
      <c r="O139" s="39">
        <f>'Data entry Dom'!AM139</f>
        <v>0</v>
      </c>
    </row>
    <row r="140" spans="2:15" x14ac:dyDescent="0.15">
      <c r="B140" s="40"/>
      <c r="C140" s="39">
        <f>'Data entry Dom'!C140</f>
        <v>0</v>
      </c>
      <c r="D140" s="39">
        <f>'Data entry Dom'!F140</f>
        <v>0</v>
      </c>
      <c r="E140" s="39">
        <f>'Data entry Dom'!I140</f>
        <v>0</v>
      </c>
      <c r="F140" s="39">
        <f>'Data entry Dom'!L140</f>
        <v>0</v>
      </c>
      <c r="G140" s="39">
        <f>'Data entry Dom'!O140</f>
        <v>0</v>
      </c>
      <c r="H140" s="39">
        <f>'Data entry Dom'!R140</f>
        <v>0</v>
      </c>
      <c r="I140" s="39">
        <f>'Data entry Dom'!U140</f>
        <v>0</v>
      </c>
      <c r="J140" s="39">
        <f>'Data entry Dom'!X140</f>
        <v>0</v>
      </c>
      <c r="K140" s="39">
        <f>'Data entry Dom'!AA140</f>
        <v>0</v>
      </c>
      <c r="L140" s="39">
        <f>'Data entry Dom'!AD140</f>
        <v>0</v>
      </c>
      <c r="M140" s="39">
        <f>'Data entry Dom'!AG140</f>
        <v>0</v>
      </c>
      <c r="N140" s="39">
        <f>'Data entry Dom'!AJ140</f>
        <v>0</v>
      </c>
      <c r="O140" s="39">
        <f>'Data entry Dom'!AM140</f>
        <v>0</v>
      </c>
    </row>
    <row r="141" spans="2:15" ht="28" x14ac:dyDescent="0.15">
      <c r="B141" s="42" t="s">
        <v>98</v>
      </c>
      <c r="C141" s="39">
        <f>'Data entry Dom'!C141</f>
        <v>100449.52740000001</v>
      </c>
      <c r="D141" s="39">
        <f>'Data entry Dom'!F141</f>
        <v>-127785.2</v>
      </c>
      <c r="E141" s="39">
        <f>'Data entry Dom'!I141</f>
        <v>-40411.11</v>
      </c>
      <c r="F141" s="39">
        <f>'Data entry Dom'!L141</f>
        <v>77414.570000000007</v>
      </c>
      <c r="G141" s="39">
        <f>'Data entry Dom'!O141</f>
        <v>16649.64</v>
      </c>
      <c r="H141" s="39">
        <f>'Data entry Dom'!R141</f>
        <v>20256.5105</v>
      </c>
      <c r="I141" s="39">
        <f>'Data entry Dom'!U141</f>
        <v>-7697.1890999999996</v>
      </c>
      <c r="J141" s="39">
        <f>'Data entry Dom'!X141</f>
        <v>-29733.2202</v>
      </c>
      <c r="K141" s="39">
        <f>'Data entry Dom'!AA141</f>
        <v>9154.7805000000008</v>
      </c>
      <c r="L141" s="39">
        <f>'Data entry Dom'!AD141</f>
        <v>34223.0386</v>
      </c>
      <c r="M141" s="39">
        <f>'Data entry Dom'!AG141</f>
        <v>114405.6854</v>
      </c>
      <c r="N141" s="39">
        <f>'Data entry Dom'!AJ141</f>
        <v>23128.204600000001</v>
      </c>
      <c r="O141" s="39">
        <f>'Data entry Dom'!AM141</f>
        <v>10843.8171</v>
      </c>
    </row>
    <row r="142" spans="2:15" ht="14" x14ac:dyDescent="0.15">
      <c r="B142" s="38" t="s">
        <v>99</v>
      </c>
      <c r="C142" s="39">
        <f>'Data entry Dom'!C142</f>
        <v>0</v>
      </c>
      <c r="D142" s="39">
        <f>'Data entry Dom'!F142</f>
        <v>0</v>
      </c>
      <c r="E142" s="39">
        <f>'Data entry Dom'!I142</f>
        <v>0</v>
      </c>
      <c r="F142" s="39">
        <f>'Data entry Dom'!L142</f>
        <v>0</v>
      </c>
      <c r="G142" s="39">
        <f>'Data entry Dom'!O142</f>
        <v>0</v>
      </c>
      <c r="H142" s="39">
        <f>'Data entry Dom'!R142</f>
        <v>0</v>
      </c>
      <c r="I142" s="39">
        <f>'Data entry Dom'!U142</f>
        <v>0</v>
      </c>
      <c r="J142" s="39">
        <f>'Data entry Dom'!X142</f>
        <v>0</v>
      </c>
      <c r="K142" s="39">
        <f>'Data entry Dom'!AA142</f>
        <v>0</v>
      </c>
      <c r="L142" s="39">
        <f>'Data entry Dom'!AD142</f>
        <v>0</v>
      </c>
      <c r="M142" s="39">
        <f>'Data entry Dom'!AG142</f>
        <v>0</v>
      </c>
      <c r="N142" s="39">
        <f>'Data entry Dom'!AJ142</f>
        <v>0</v>
      </c>
      <c r="O142" s="39">
        <f>'Data entry Dom'!AM142</f>
        <v>0</v>
      </c>
    </row>
    <row r="143" spans="2:15" x14ac:dyDescent="0.15">
      <c r="B143" s="40"/>
      <c r="C143" s="39">
        <f>'Data entry Dom'!C143</f>
        <v>0</v>
      </c>
      <c r="D143" s="39">
        <f>'Data entry Dom'!F143</f>
        <v>0</v>
      </c>
      <c r="E143" s="39">
        <f>'Data entry Dom'!I143</f>
        <v>0</v>
      </c>
      <c r="F143" s="39">
        <f>'Data entry Dom'!L143</f>
        <v>0</v>
      </c>
      <c r="G143" s="39">
        <f>'Data entry Dom'!O143</f>
        <v>0</v>
      </c>
      <c r="H143" s="39">
        <f>'Data entry Dom'!R143</f>
        <v>0</v>
      </c>
      <c r="I143" s="39">
        <f>'Data entry Dom'!U143</f>
        <v>0</v>
      </c>
      <c r="J143" s="39">
        <f>'Data entry Dom'!X143</f>
        <v>0</v>
      </c>
      <c r="K143" s="39">
        <f>'Data entry Dom'!AA143</f>
        <v>0</v>
      </c>
      <c r="L143" s="39">
        <f>'Data entry Dom'!AD143</f>
        <v>0</v>
      </c>
      <c r="M143" s="39">
        <f>'Data entry Dom'!AG143</f>
        <v>0</v>
      </c>
      <c r="N143" s="39">
        <f>'Data entry Dom'!AJ143</f>
        <v>0</v>
      </c>
      <c r="O143" s="39">
        <f>'Data entry Dom'!AM143</f>
        <v>0</v>
      </c>
    </row>
    <row r="144" spans="2:15" ht="14" x14ac:dyDescent="0.15">
      <c r="B144" s="42" t="s">
        <v>100</v>
      </c>
      <c r="C144" s="39">
        <f>'Data entry Dom'!C144</f>
        <v>100449.52740000001</v>
      </c>
      <c r="D144" s="39">
        <f>'Data entry Dom'!F144</f>
        <v>-127785.2</v>
      </c>
      <c r="E144" s="39">
        <f>'Data entry Dom'!I144</f>
        <v>-40411.11</v>
      </c>
      <c r="F144" s="39">
        <f>'Data entry Dom'!L144</f>
        <v>77414.570000000007</v>
      </c>
      <c r="G144" s="39">
        <f>'Data entry Dom'!O144</f>
        <v>16649.64</v>
      </c>
      <c r="H144" s="39">
        <f>'Data entry Dom'!R144</f>
        <v>20256.5105</v>
      </c>
      <c r="I144" s="39">
        <f>'Data entry Dom'!U144</f>
        <v>-7697.1890999999996</v>
      </c>
      <c r="J144" s="39">
        <f>'Data entry Dom'!X144</f>
        <v>-29733.2202</v>
      </c>
      <c r="K144" s="39">
        <f>'Data entry Dom'!AA144</f>
        <v>9154.7805000000008</v>
      </c>
      <c r="L144" s="39">
        <f>'Data entry Dom'!AD144</f>
        <v>34223.0386</v>
      </c>
      <c r="M144" s="39">
        <f>'Data entry Dom'!AG144</f>
        <v>114405.6854</v>
      </c>
      <c r="N144" s="39">
        <f>'Data entry Dom'!AJ144</f>
        <v>23128.204600000001</v>
      </c>
      <c r="O144" s="39">
        <f>'Data entry Dom'!AM144</f>
        <v>10843.8171</v>
      </c>
    </row>
    <row r="145" spans="2:15" ht="14" x14ac:dyDescent="0.15">
      <c r="B145" s="38" t="s">
        <v>101</v>
      </c>
      <c r="C145" s="39">
        <f>'Data entry Dom'!C145</f>
        <v>0</v>
      </c>
      <c r="D145" s="39">
        <f>'Data entry Dom'!F145</f>
        <v>0</v>
      </c>
      <c r="E145" s="39">
        <f>'Data entry Dom'!I145</f>
        <v>0</v>
      </c>
      <c r="F145" s="39">
        <f>'Data entry Dom'!L145</f>
        <v>0</v>
      </c>
      <c r="G145" s="39">
        <f>'Data entry Dom'!O145</f>
        <v>0</v>
      </c>
      <c r="H145" s="39">
        <f>'Data entry Dom'!R145</f>
        <v>0</v>
      </c>
      <c r="I145" s="39">
        <f>'Data entry Dom'!U145</f>
        <v>0</v>
      </c>
      <c r="J145" s="39">
        <f>'Data entry Dom'!X145</f>
        <v>0</v>
      </c>
      <c r="K145" s="39">
        <f>'Data entry Dom'!AA145</f>
        <v>0</v>
      </c>
      <c r="L145" s="39">
        <f>'Data entry Dom'!AD145</f>
        <v>0</v>
      </c>
      <c r="M145" s="39">
        <f>'Data entry Dom'!AG145</f>
        <v>0</v>
      </c>
      <c r="N145" s="39">
        <f>'Data entry Dom'!AJ145</f>
        <v>0</v>
      </c>
      <c r="O145" s="39">
        <f>'Data entry Dom'!AM145</f>
        <v>0</v>
      </c>
    </row>
    <row r="146" spans="2:15" x14ac:dyDescent="0.15">
      <c r="B146" s="40"/>
      <c r="C146" s="39">
        <f>'Data entry Dom'!C146</f>
        <v>0</v>
      </c>
      <c r="D146" s="39">
        <f>'Data entry Dom'!F146</f>
        <v>0</v>
      </c>
      <c r="E146" s="39">
        <f>'Data entry Dom'!I146</f>
        <v>0</v>
      </c>
      <c r="F146" s="39">
        <f>'Data entry Dom'!L146</f>
        <v>0</v>
      </c>
      <c r="G146" s="39">
        <f>'Data entry Dom'!O146</f>
        <v>0</v>
      </c>
      <c r="H146" s="39">
        <f>'Data entry Dom'!R146</f>
        <v>0</v>
      </c>
      <c r="I146" s="39">
        <f>'Data entry Dom'!U146</f>
        <v>0</v>
      </c>
      <c r="J146" s="39">
        <f>'Data entry Dom'!X146</f>
        <v>0</v>
      </c>
      <c r="K146" s="39">
        <f>'Data entry Dom'!AA146</f>
        <v>0</v>
      </c>
      <c r="L146" s="39">
        <f>'Data entry Dom'!AD146</f>
        <v>0</v>
      </c>
      <c r="M146" s="39">
        <f>'Data entry Dom'!AG146</f>
        <v>0</v>
      </c>
      <c r="N146" s="39">
        <f>'Data entry Dom'!AJ146</f>
        <v>0</v>
      </c>
      <c r="O146" s="39">
        <f>'Data entry Dom'!AM146</f>
        <v>0</v>
      </c>
    </row>
    <row r="147" spans="2:15" ht="28" x14ac:dyDescent="0.15">
      <c r="B147" s="42" t="s">
        <v>102</v>
      </c>
      <c r="C147" s="39">
        <f>'Data entry Dom'!C147</f>
        <v>100449.52740000001</v>
      </c>
      <c r="D147" s="39">
        <f>'Data entry Dom'!F147</f>
        <v>-127785.2</v>
      </c>
      <c r="E147" s="39">
        <f>'Data entry Dom'!I147</f>
        <v>-40411.11</v>
      </c>
      <c r="F147" s="39">
        <f>'Data entry Dom'!L147</f>
        <v>77414.570000000007</v>
      </c>
      <c r="G147" s="39">
        <f>'Data entry Dom'!O147</f>
        <v>16649.64</v>
      </c>
      <c r="H147" s="39">
        <f>'Data entry Dom'!R147</f>
        <v>20256.5105</v>
      </c>
      <c r="I147" s="39">
        <f>'Data entry Dom'!U147</f>
        <v>-7697.1890999999996</v>
      </c>
      <c r="J147" s="39">
        <f>'Data entry Dom'!X147</f>
        <v>-29733.2202</v>
      </c>
      <c r="K147" s="39">
        <f>'Data entry Dom'!AA147</f>
        <v>9154.7805000000008</v>
      </c>
      <c r="L147" s="39">
        <f>'Data entry Dom'!AD147</f>
        <v>34223.0386</v>
      </c>
      <c r="M147" s="39">
        <f>'Data entry Dom'!AG147</f>
        <v>114405.6854</v>
      </c>
      <c r="N147" s="39">
        <f>'Data entry Dom'!AJ147</f>
        <v>23128.204600000001</v>
      </c>
      <c r="O147" s="39">
        <f>'Data entry Dom'!AM147</f>
        <v>10843.8171</v>
      </c>
    </row>
    <row r="148" spans="2:15" ht="14" x14ac:dyDescent="0.15">
      <c r="B148" s="38" t="s">
        <v>103</v>
      </c>
      <c r="C148" s="39">
        <f>'Data entry Dom'!C148</f>
        <v>0</v>
      </c>
      <c r="D148" s="39">
        <f>'Data entry Dom'!F148</f>
        <v>0</v>
      </c>
      <c r="E148" s="39">
        <f>'Data entry Dom'!I148</f>
        <v>0</v>
      </c>
      <c r="F148" s="39">
        <f>'Data entry Dom'!L148</f>
        <v>0</v>
      </c>
      <c r="G148" s="39">
        <f>'Data entry Dom'!O148</f>
        <v>0</v>
      </c>
      <c r="H148" s="39">
        <f>'Data entry Dom'!R148</f>
        <v>0</v>
      </c>
      <c r="I148" s="39">
        <f>'Data entry Dom'!U148</f>
        <v>0</v>
      </c>
      <c r="J148" s="39">
        <f>'Data entry Dom'!X148</f>
        <v>0</v>
      </c>
      <c r="K148" s="39">
        <f>'Data entry Dom'!AA148</f>
        <v>0</v>
      </c>
      <c r="L148" s="39">
        <f>'Data entry Dom'!AD148</f>
        <v>0</v>
      </c>
      <c r="M148" s="39">
        <f>'Data entry Dom'!AG148</f>
        <v>0</v>
      </c>
      <c r="N148" s="39">
        <f>'Data entry Dom'!AJ148</f>
        <v>0</v>
      </c>
      <c r="O148" s="39">
        <f>'Data entry Dom'!AM148</f>
        <v>0</v>
      </c>
    </row>
    <row r="149" spans="2:15" x14ac:dyDescent="0.15">
      <c r="B149" s="40"/>
      <c r="C149" s="39">
        <f>'Data entry Dom'!C149</f>
        <v>0</v>
      </c>
      <c r="D149" s="39">
        <f>'Data entry Dom'!F149</f>
        <v>0</v>
      </c>
      <c r="E149" s="39">
        <f>'Data entry Dom'!I149</f>
        <v>0</v>
      </c>
      <c r="F149" s="39">
        <f>'Data entry Dom'!L149</f>
        <v>0</v>
      </c>
      <c r="G149" s="39">
        <f>'Data entry Dom'!O149</f>
        <v>0</v>
      </c>
      <c r="H149" s="39">
        <f>'Data entry Dom'!R149</f>
        <v>0</v>
      </c>
      <c r="I149" s="39">
        <f>'Data entry Dom'!U149</f>
        <v>0</v>
      </c>
      <c r="J149" s="39">
        <f>'Data entry Dom'!X149</f>
        <v>0</v>
      </c>
      <c r="K149" s="39">
        <f>'Data entry Dom'!AA149</f>
        <v>0</v>
      </c>
      <c r="L149" s="39">
        <f>'Data entry Dom'!AD149</f>
        <v>0</v>
      </c>
      <c r="M149" s="39">
        <f>'Data entry Dom'!AG149</f>
        <v>0</v>
      </c>
      <c r="N149" s="39">
        <f>'Data entry Dom'!AJ149</f>
        <v>0</v>
      </c>
      <c r="O149" s="39">
        <f>'Data entry Dom'!AM149</f>
        <v>0</v>
      </c>
    </row>
    <row r="150" spans="2:15" ht="14" x14ac:dyDescent="0.15">
      <c r="B150" s="42" t="s">
        <v>104</v>
      </c>
      <c r="C150" s="39">
        <f>'Data entry Dom'!C150</f>
        <v>100449.52740000001</v>
      </c>
      <c r="D150" s="39">
        <f>'Data entry Dom'!F150</f>
        <v>-127785.2</v>
      </c>
      <c r="E150" s="39">
        <f>'Data entry Dom'!I150</f>
        <v>-40411.11</v>
      </c>
      <c r="F150" s="39">
        <f>'Data entry Dom'!L150</f>
        <v>77414.570000000007</v>
      </c>
      <c r="G150" s="39">
        <f>'Data entry Dom'!O150</f>
        <v>16649.64</v>
      </c>
      <c r="H150" s="39">
        <f>'Data entry Dom'!R150</f>
        <v>20256.5105</v>
      </c>
      <c r="I150" s="39">
        <f>'Data entry Dom'!U150</f>
        <v>-7697.1890999999996</v>
      </c>
      <c r="J150" s="39">
        <f>'Data entry Dom'!X150</f>
        <v>-29733.2202</v>
      </c>
      <c r="K150" s="39">
        <f>'Data entry Dom'!AA150</f>
        <v>9154.7805000000008</v>
      </c>
      <c r="L150" s="39">
        <f>'Data entry Dom'!AD150</f>
        <v>34223.0386</v>
      </c>
      <c r="M150" s="39">
        <f>'Data entry Dom'!AG150</f>
        <v>114405.6854</v>
      </c>
      <c r="N150" s="39">
        <f>'Data entry Dom'!AJ150</f>
        <v>23128.204600000001</v>
      </c>
      <c r="O150" s="39">
        <f>'Data entry Dom'!AM150</f>
        <v>10843.8171</v>
      </c>
    </row>
    <row r="151" spans="2:15" x14ac:dyDescent="0.15">
      <c r="B151" s="40"/>
      <c r="C151" s="39">
        <f>'Data entry Dom'!C151</f>
        <v>0</v>
      </c>
      <c r="D151" s="39">
        <f>'Data entry Dom'!F151</f>
        <v>0</v>
      </c>
      <c r="E151" s="39">
        <f>'Data entry Dom'!I151</f>
        <v>0</v>
      </c>
      <c r="F151" s="39">
        <f>'Data entry Dom'!L151</f>
        <v>0</v>
      </c>
      <c r="G151" s="39">
        <f>'Data entry Dom'!O151</f>
        <v>0</v>
      </c>
      <c r="H151" s="39">
        <f>'Data entry Dom'!R151</f>
        <v>0</v>
      </c>
      <c r="I151" s="39">
        <f>'Data entry Dom'!U151</f>
        <v>0</v>
      </c>
      <c r="J151" s="39">
        <f>'Data entry Dom'!X151</f>
        <v>0</v>
      </c>
      <c r="K151" s="39">
        <f>'Data entry Dom'!AA151</f>
        <v>0</v>
      </c>
      <c r="L151" s="39">
        <f>'Data entry Dom'!AD151</f>
        <v>0</v>
      </c>
      <c r="M151" s="39">
        <f>'Data entry Dom'!AG151</f>
        <v>0</v>
      </c>
      <c r="N151" s="39">
        <f>'Data entry Dom'!AJ151</f>
        <v>0</v>
      </c>
      <c r="O151" s="39">
        <f>'Data entry Dom'!AM151</f>
        <v>0</v>
      </c>
    </row>
    <row r="152" spans="2:15" ht="14" x14ac:dyDescent="0.15">
      <c r="B152" s="44" t="s">
        <v>105</v>
      </c>
      <c r="C152" s="39">
        <f>'Data entry Dom'!C152</f>
        <v>0</v>
      </c>
      <c r="D152" s="39">
        <f>'Data entry Dom'!F152</f>
        <v>0</v>
      </c>
      <c r="E152" s="39">
        <f>'Data entry Dom'!I152</f>
        <v>0</v>
      </c>
      <c r="F152" s="39">
        <f>'Data entry Dom'!L152</f>
        <v>0</v>
      </c>
      <c r="G152" s="39">
        <f>'Data entry Dom'!O152</f>
        <v>0</v>
      </c>
      <c r="H152" s="39">
        <f>'Data entry Dom'!R152</f>
        <v>0</v>
      </c>
      <c r="I152" s="39">
        <f>'Data entry Dom'!U152</f>
        <v>0</v>
      </c>
      <c r="J152" s="39">
        <f>'Data entry Dom'!X152</f>
        <v>0</v>
      </c>
      <c r="K152" s="39">
        <f>'Data entry Dom'!AA152</f>
        <v>0</v>
      </c>
      <c r="L152" s="39">
        <f>'Data entry Dom'!AD152</f>
        <v>0</v>
      </c>
      <c r="M152" s="39">
        <f>'Data entry Dom'!AG152</f>
        <v>0</v>
      </c>
      <c r="N152" s="39">
        <f>'Data entry Dom'!AJ152</f>
        <v>0</v>
      </c>
      <c r="O152" s="39">
        <f>'Data entry Dom'!AM152</f>
        <v>0</v>
      </c>
    </row>
    <row r="153" spans="2:15" ht="14" x14ac:dyDescent="0.15">
      <c r="B153" s="38" t="s">
        <v>106</v>
      </c>
      <c r="C153" s="39">
        <f>'Data entry Dom'!C153</f>
        <v>120286.1274</v>
      </c>
      <c r="D153" s="39">
        <f>'Data entry Dom'!F153</f>
        <v>-126132.15</v>
      </c>
      <c r="E153" s="39">
        <f>'Data entry Dom'!I153</f>
        <v>-38758.06</v>
      </c>
      <c r="F153" s="39">
        <f>'Data entry Dom'!L153</f>
        <v>79067.62</v>
      </c>
      <c r="G153" s="39">
        <f>'Data entry Dom'!O153</f>
        <v>18302.689999999999</v>
      </c>
      <c r="H153" s="39">
        <f>'Data entry Dom'!R153</f>
        <v>21909.5605</v>
      </c>
      <c r="I153" s="39">
        <f>'Data entry Dom'!U153</f>
        <v>-6044.1391000000003</v>
      </c>
      <c r="J153" s="39">
        <f>'Data entry Dom'!X153</f>
        <v>-28080.1702</v>
      </c>
      <c r="K153" s="39">
        <f>'Data entry Dom'!AA153</f>
        <v>10807.8305</v>
      </c>
      <c r="L153" s="39">
        <f>'Data entry Dom'!AD153</f>
        <v>35876.088600000003</v>
      </c>
      <c r="M153" s="39">
        <f>'Data entry Dom'!AG153</f>
        <v>116058.73540000001</v>
      </c>
      <c r="N153" s="39">
        <f>'Data entry Dom'!AJ153</f>
        <v>24781.2546</v>
      </c>
      <c r="O153" s="39">
        <f>'Data entry Dom'!AM153</f>
        <v>12496.867099999999</v>
      </c>
    </row>
    <row r="154" spans="2:15" ht="14" x14ac:dyDescent="0.15">
      <c r="B154" s="38" t="s">
        <v>107</v>
      </c>
      <c r="C154" s="39">
        <f>'Data entry Dom'!C154</f>
        <v>108286.1274</v>
      </c>
      <c r="D154" s="39">
        <f>'Data entry Dom'!F154</f>
        <v>-127132.15</v>
      </c>
      <c r="E154" s="39">
        <f>'Data entry Dom'!I154</f>
        <v>-39758.06</v>
      </c>
      <c r="F154" s="39">
        <f>'Data entry Dom'!L154</f>
        <v>78067.62</v>
      </c>
      <c r="G154" s="39">
        <f>'Data entry Dom'!O154</f>
        <v>17302.689999999999</v>
      </c>
      <c r="H154" s="39">
        <f>'Data entry Dom'!R154</f>
        <v>20909.5605</v>
      </c>
      <c r="I154" s="39">
        <f>'Data entry Dom'!U154</f>
        <v>-7044.1391000000003</v>
      </c>
      <c r="J154" s="39">
        <f>'Data entry Dom'!X154</f>
        <v>-29080.1702</v>
      </c>
      <c r="K154" s="39">
        <f>'Data entry Dom'!AA154</f>
        <v>9807.8305</v>
      </c>
      <c r="L154" s="39">
        <f>'Data entry Dom'!AD154</f>
        <v>34876.088600000003</v>
      </c>
      <c r="M154" s="39">
        <f>'Data entry Dom'!AG154</f>
        <v>115058.73540000001</v>
      </c>
      <c r="N154" s="39">
        <f>'Data entry Dom'!AJ154</f>
        <v>23781.2546</v>
      </c>
      <c r="O154" s="39">
        <f>'Data entry Dom'!AM154</f>
        <v>11496.867099999999</v>
      </c>
    </row>
    <row r="155" spans="2:15" ht="14" x14ac:dyDescent="0.15">
      <c r="B155" s="42" t="s">
        <v>108</v>
      </c>
      <c r="C155" s="39">
        <f>'Data entry Dom'!C155</f>
        <v>255578.329</v>
      </c>
      <c r="D155" s="39">
        <f>'Data entry Dom'!F155</f>
        <v>13054.99</v>
      </c>
      <c r="E155" s="39">
        <f>'Data entry Dom'!I155</f>
        <v>20396.990000000002</v>
      </c>
      <c r="F155" s="39">
        <f>'Data entry Dom'!L155</f>
        <v>27467.34</v>
      </c>
      <c r="G155" s="39">
        <f>'Data entry Dom'!O155</f>
        <v>24789.75</v>
      </c>
      <c r="H155" s="39">
        <f>'Data entry Dom'!R155</f>
        <v>20912.259099999999</v>
      </c>
      <c r="I155" s="39">
        <f>'Data entry Dom'!U155</f>
        <v>18563.700799999999</v>
      </c>
      <c r="J155" s="39">
        <f>'Data entry Dom'!X155</f>
        <v>16705.5543</v>
      </c>
      <c r="K155" s="39">
        <f>'Data entry Dom'!AA155</f>
        <v>20470.755000000001</v>
      </c>
      <c r="L155" s="39">
        <f>'Data entry Dom'!AD155</f>
        <v>22740.217499999999</v>
      </c>
      <c r="M155" s="39">
        <f>'Data entry Dom'!AG155</f>
        <v>28107.897499999999</v>
      </c>
      <c r="N155" s="39">
        <f>'Data entry Dom'!AJ155</f>
        <v>21555.9</v>
      </c>
      <c r="O155" s="39">
        <f>'Data entry Dom'!AM155</f>
        <v>20812.9748</v>
      </c>
    </row>
    <row r="156" spans="2:15" ht="14" x14ac:dyDescent="0.15">
      <c r="B156" s="38" t="s">
        <v>109</v>
      </c>
      <c r="C156" s="39">
        <f>'Data entry Dom'!C156</f>
        <v>0</v>
      </c>
      <c r="D156" s="39">
        <f>'Data entry Dom'!F156</f>
        <v>0</v>
      </c>
      <c r="E156" s="39">
        <f>'Data entry Dom'!I156</f>
        <v>0</v>
      </c>
      <c r="F156" s="39">
        <f>'Data entry Dom'!L156</f>
        <v>0</v>
      </c>
      <c r="G156" s="39">
        <f>'Data entry Dom'!O156</f>
        <v>0</v>
      </c>
      <c r="H156" s="39">
        <f>'Data entry Dom'!R156</f>
        <v>0</v>
      </c>
      <c r="I156" s="39">
        <f>'Data entry Dom'!U156</f>
        <v>0</v>
      </c>
      <c r="J156" s="39">
        <f>'Data entry Dom'!X156</f>
        <v>0</v>
      </c>
      <c r="K156" s="39">
        <f>'Data entry Dom'!AA156</f>
        <v>0</v>
      </c>
      <c r="L156" s="39">
        <f>'Data entry Dom'!AD156</f>
        <v>0</v>
      </c>
      <c r="M156" s="39">
        <f>'Data entry Dom'!AG156</f>
        <v>0</v>
      </c>
      <c r="N156" s="39">
        <f>'Data entry Dom'!AJ156</f>
        <v>0</v>
      </c>
      <c r="O156" s="39">
        <f>'Data entry Dom'!AM156</f>
        <v>0</v>
      </c>
    </row>
    <row r="157" spans="2:15" ht="14" x14ac:dyDescent="0.15">
      <c r="B157" s="38" t="s">
        <v>110</v>
      </c>
      <c r="C157" s="39">
        <f>'Data entry Dom'!C157</f>
        <v>0</v>
      </c>
      <c r="D157" s="39">
        <f>'Data entry Dom'!F157</f>
        <v>0</v>
      </c>
      <c r="E157" s="39">
        <f>'Data entry Dom'!I157</f>
        <v>0</v>
      </c>
      <c r="F157" s="39">
        <f>'Data entry Dom'!L157</f>
        <v>0</v>
      </c>
      <c r="G157" s="39">
        <f>'Data entry Dom'!O157</f>
        <v>0</v>
      </c>
      <c r="H157" s="39">
        <f>'Data entry Dom'!R157</f>
        <v>0</v>
      </c>
      <c r="I157" s="39">
        <f>'Data entry Dom'!U157</f>
        <v>0</v>
      </c>
      <c r="J157" s="39">
        <f>'Data entry Dom'!X157</f>
        <v>0</v>
      </c>
      <c r="K157" s="39">
        <f>'Data entry Dom'!AA157</f>
        <v>0</v>
      </c>
      <c r="L157" s="39">
        <f>'Data entry Dom'!AD157</f>
        <v>0</v>
      </c>
      <c r="M157" s="39">
        <f>'Data entry Dom'!AG157</f>
        <v>0</v>
      </c>
      <c r="N157" s="39">
        <f>'Data entry Dom'!AJ157</f>
        <v>0</v>
      </c>
      <c r="O157" s="39">
        <f>'Data entry Dom'!AM157</f>
        <v>0</v>
      </c>
    </row>
    <row r="158" spans="2:15" ht="14" x14ac:dyDescent="0.15">
      <c r="B158" s="38" t="s">
        <v>111</v>
      </c>
      <c r="C158" s="39">
        <f>'Data entry Dom'!C158</f>
        <v>61109.134899999997</v>
      </c>
      <c r="D158" s="39">
        <f>'Data entry Dom'!F158</f>
        <v>2611</v>
      </c>
      <c r="E158" s="39">
        <f>'Data entry Dom'!I158</f>
        <v>4079.4</v>
      </c>
      <c r="F158" s="39">
        <f>'Data entry Dom'!L158</f>
        <v>5493.47</v>
      </c>
      <c r="G158" s="39">
        <f>'Data entry Dom'!O158</f>
        <v>4957.95</v>
      </c>
      <c r="H158" s="39">
        <f>'Data entry Dom'!R158</f>
        <v>5415.5648000000001</v>
      </c>
      <c r="I158" s="39">
        <f>'Data entry Dom'!U158</f>
        <v>4828.4251999999997</v>
      </c>
      <c r="J158" s="39">
        <f>'Data entry Dom'!X158</f>
        <v>4363.8886000000002</v>
      </c>
      <c r="K158" s="39">
        <f>'Data entry Dom'!AA158</f>
        <v>5305.1887999999999</v>
      </c>
      <c r="L158" s="39">
        <f>'Data entry Dom'!AD158</f>
        <v>5872.5544</v>
      </c>
      <c r="M158" s="39">
        <f>'Data entry Dom'!AG158</f>
        <v>7214.4744000000001</v>
      </c>
      <c r="N158" s="39">
        <f>'Data entry Dom'!AJ158</f>
        <v>5576.4750000000004</v>
      </c>
      <c r="O158" s="39">
        <f>'Data entry Dom'!AM158</f>
        <v>5390.7437</v>
      </c>
    </row>
    <row r="159" spans="2:15" ht="14" x14ac:dyDescent="0.15">
      <c r="B159" s="38" t="s">
        <v>112</v>
      </c>
      <c r="C159" s="39">
        <f>'Data entry Dom'!C159</f>
        <v>102391.81969999999</v>
      </c>
      <c r="D159" s="39">
        <f>'Data entry Dom'!F159</f>
        <v>3926.37</v>
      </c>
      <c r="E159" s="39">
        <f>'Data entry Dom'!I159</f>
        <v>4079.4</v>
      </c>
      <c r="F159" s="39">
        <f>'Data entry Dom'!L159</f>
        <v>5493.47</v>
      </c>
      <c r="G159" s="39">
        <f>'Data entry Dom'!O159</f>
        <v>4957.95</v>
      </c>
      <c r="H159" s="39">
        <f>'Data entry Dom'!R159</f>
        <v>10331.1296</v>
      </c>
      <c r="I159" s="39">
        <f>'Data entry Dom'!U159</f>
        <v>9156.8503999999994</v>
      </c>
      <c r="J159" s="39">
        <f>'Data entry Dom'!X159</f>
        <v>8227.7772000000004</v>
      </c>
      <c r="K159" s="39">
        <f>'Data entry Dom'!AA159</f>
        <v>10110.377500000001</v>
      </c>
      <c r="L159" s="39">
        <f>'Data entry Dom'!AD159</f>
        <v>11245.1088</v>
      </c>
      <c r="M159" s="39">
        <f>'Data entry Dom'!AG159</f>
        <v>13928.9488</v>
      </c>
      <c r="N159" s="39">
        <f>'Data entry Dom'!AJ159</f>
        <v>10652.95</v>
      </c>
      <c r="O159" s="39">
        <f>'Data entry Dom'!AM159</f>
        <v>10281.4874</v>
      </c>
    </row>
    <row r="160" spans="2:15" ht="14" x14ac:dyDescent="0.15">
      <c r="B160" s="38" t="s">
        <v>113</v>
      </c>
      <c r="C160" s="39">
        <f>'Data entry Dom'!C160</f>
        <v>177327.3743</v>
      </c>
      <c r="D160" s="39">
        <f>'Data entry Dom'!F160</f>
        <v>7832.99</v>
      </c>
      <c r="E160" s="39">
        <f>'Data entry Dom'!I160</f>
        <v>12238.19</v>
      </c>
      <c r="F160" s="39">
        <f>'Data entry Dom'!L160</f>
        <v>16480.400000000001</v>
      </c>
      <c r="G160" s="39">
        <f>'Data entry Dom'!O160</f>
        <v>14873.85</v>
      </c>
      <c r="H160" s="39">
        <f>'Data entry Dom'!R160</f>
        <v>15496.694299999999</v>
      </c>
      <c r="I160" s="39">
        <f>'Data entry Dom'!U160</f>
        <v>13735.275600000001</v>
      </c>
      <c r="J160" s="39">
        <f>'Data entry Dom'!X160</f>
        <v>12341.6657</v>
      </c>
      <c r="K160" s="39">
        <f>'Data entry Dom'!AA160</f>
        <v>15165.5663</v>
      </c>
      <c r="L160" s="39">
        <f>'Data entry Dom'!AD160</f>
        <v>16867.663100000002</v>
      </c>
      <c r="M160" s="39">
        <f>'Data entry Dom'!AG160</f>
        <v>20893.423200000001</v>
      </c>
      <c r="N160" s="39">
        <f>'Data entry Dom'!AJ160</f>
        <v>15979.424999999999</v>
      </c>
      <c r="O160" s="39">
        <f>'Data entry Dom'!AM160</f>
        <v>15422.231100000001</v>
      </c>
    </row>
    <row r="161" spans="2:15" ht="14" x14ac:dyDescent="0.15">
      <c r="B161" s="38" t="s">
        <v>114</v>
      </c>
      <c r="C161" s="39">
        <f>'Data entry Dom'!C161</f>
        <v>17141.82</v>
      </c>
      <c r="D161" s="39">
        <f>'Data entry Dom'!F161</f>
        <v>2611</v>
      </c>
      <c r="E161" s="39">
        <f>'Data entry Dom'!I161</f>
        <v>4079.4</v>
      </c>
      <c r="F161" s="39">
        <f>'Data entry Dom'!L161</f>
        <v>5493.47</v>
      </c>
      <c r="G161" s="39">
        <f>'Data entry Dom'!O161</f>
        <v>4957.95</v>
      </c>
      <c r="H161" s="39">
        <f>'Data entry Dom'!R161</f>
        <v>0</v>
      </c>
      <c r="I161" s="39">
        <f>'Data entry Dom'!U161</f>
        <v>0</v>
      </c>
      <c r="J161" s="39">
        <f>'Data entry Dom'!X161</f>
        <v>0</v>
      </c>
      <c r="K161" s="39">
        <f>'Data entry Dom'!AA161</f>
        <v>0</v>
      </c>
      <c r="L161" s="39">
        <f>'Data entry Dom'!AD161</f>
        <v>0</v>
      </c>
      <c r="M161" s="39">
        <f>'Data entry Dom'!AG161</f>
        <v>0</v>
      </c>
      <c r="N161" s="39">
        <f>'Data entry Dom'!AJ161</f>
        <v>0</v>
      </c>
      <c r="O161" s="39">
        <f>'Data entry Dom'!AM161</f>
        <v>0</v>
      </c>
    </row>
    <row r="162" spans="2:15" ht="14" x14ac:dyDescent="0.15">
      <c r="B162" s="42" t="s">
        <v>115</v>
      </c>
      <c r="C162" s="39">
        <f>'Data entry Dom'!C162</f>
        <v>372370.73739999998</v>
      </c>
      <c r="D162" s="39">
        <f>'Data entry Dom'!F162</f>
        <v>20103.080000000002</v>
      </c>
      <c r="E162" s="39">
        <f>'Data entry Dom'!I162</f>
        <v>20916.86</v>
      </c>
      <c r="F162" s="39">
        <f>'Data entry Dom'!L162</f>
        <v>34512</v>
      </c>
      <c r="G162" s="39">
        <f>'Data entry Dom'!O162</f>
        <v>25973.34</v>
      </c>
      <c r="H162" s="39">
        <f>'Data entry Dom'!R162</f>
        <v>33627.982400000001</v>
      </c>
      <c r="I162" s="39">
        <f>'Data entry Dom'!U162</f>
        <v>30220.712599999999</v>
      </c>
      <c r="J162" s="39">
        <f>'Data entry Dom'!X162</f>
        <v>26668.844300000001</v>
      </c>
      <c r="K162" s="39">
        <f>'Data entry Dom'!AA162</f>
        <v>32395.594400000002</v>
      </c>
      <c r="L162" s="39">
        <f>'Data entry Dom'!AD162</f>
        <v>35932.277199999997</v>
      </c>
      <c r="M162" s="39">
        <f>'Data entry Dom'!AG162</f>
        <v>44385.237200000003</v>
      </c>
      <c r="N162" s="39">
        <f>'Data entry Dom'!AJ162</f>
        <v>34409.837500000001</v>
      </c>
      <c r="O162" s="39">
        <f>'Data entry Dom'!AM162</f>
        <v>33224.971799999999</v>
      </c>
    </row>
    <row r="163" spans="2:15" ht="14" x14ac:dyDescent="0.15">
      <c r="B163" s="38" t="s">
        <v>116</v>
      </c>
      <c r="C163" s="39">
        <f>'Data entry Dom'!C163</f>
        <v>175681.535</v>
      </c>
      <c r="D163" s="39">
        <f>'Data entry Dom'!F163</f>
        <v>9000</v>
      </c>
      <c r="E163" s="39">
        <f>'Data entry Dom'!I163</f>
        <v>9163.4599999999991</v>
      </c>
      <c r="F163" s="39">
        <f>'Data entry Dom'!L163</f>
        <v>17000</v>
      </c>
      <c r="G163" s="39">
        <f>'Data entry Dom'!O163</f>
        <v>11530.65</v>
      </c>
      <c r="H163" s="39">
        <f>'Data entry Dom'!R163</f>
        <v>16006.2</v>
      </c>
      <c r="I163" s="39">
        <f>'Data entry Dom'!U163</f>
        <v>14189.875</v>
      </c>
      <c r="J163" s="39">
        <f>'Data entry Dom'!X163</f>
        <v>12246.15</v>
      </c>
      <c r="K163" s="39">
        <f>'Data entry Dom'!AA163</f>
        <v>15319.5</v>
      </c>
      <c r="L163" s="39">
        <f>'Data entry Dom'!AD163</f>
        <v>17246.25</v>
      </c>
      <c r="M163" s="39">
        <f>'Data entry Dom'!AG163</f>
        <v>21785.75</v>
      </c>
      <c r="N163" s="39">
        <f>'Data entry Dom'!AJ163</f>
        <v>16415.349999999999</v>
      </c>
      <c r="O163" s="39">
        <f>'Data entry Dom'!AM163</f>
        <v>15778.35</v>
      </c>
    </row>
    <row r="164" spans="2:15" ht="14" x14ac:dyDescent="0.15">
      <c r="B164" s="38" t="s">
        <v>117</v>
      </c>
      <c r="C164" s="39">
        <f>'Data entry Dom'!C164</f>
        <v>124305.13499999999</v>
      </c>
      <c r="D164" s="39">
        <f>'Data entry Dom'!F164</f>
        <v>6000</v>
      </c>
      <c r="E164" s="39">
        <f>'Data entry Dom'!I164</f>
        <v>6527.63</v>
      </c>
      <c r="F164" s="39">
        <f>'Data entry Dom'!L164</f>
        <v>11500</v>
      </c>
      <c r="G164" s="39">
        <f>'Data entry Dom'!O164</f>
        <v>8831.1299999999992</v>
      </c>
      <c r="H164" s="39">
        <f>'Data entry Dom'!R164</f>
        <v>11358</v>
      </c>
      <c r="I164" s="39">
        <f>'Data entry Dom'!U164</f>
        <v>10060.625</v>
      </c>
      <c r="J164" s="39">
        <f>'Data entry Dom'!X164</f>
        <v>8684.75</v>
      </c>
      <c r="K164" s="39">
        <f>'Data entry Dom'!AA164</f>
        <v>10867.5</v>
      </c>
      <c r="L164" s="39">
        <f>'Data entry Dom'!AD164</f>
        <v>12193.75</v>
      </c>
      <c r="M164" s="39">
        <f>'Data entry Dom'!AG164</f>
        <v>15436.25</v>
      </c>
      <c r="N164" s="39">
        <f>'Data entry Dom'!AJ164</f>
        <v>11650.25</v>
      </c>
      <c r="O164" s="39">
        <f>'Data entry Dom'!AM164</f>
        <v>11195.25</v>
      </c>
    </row>
    <row r="165" spans="2:15" ht="14" x14ac:dyDescent="0.15">
      <c r="B165" s="38" t="s">
        <v>118</v>
      </c>
      <c r="C165" s="39">
        <f>'Data entry Dom'!C165</f>
        <v>44236.03</v>
      </c>
      <c r="D165" s="39">
        <f>'Data entry Dom'!F165</f>
        <v>3603.08</v>
      </c>
      <c r="E165" s="39">
        <f>'Data entry Dom'!I165</f>
        <v>4107.2</v>
      </c>
      <c r="F165" s="39">
        <f>'Data entry Dom'!L165</f>
        <v>3512</v>
      </c>
      <c r="G165" s="39">
        <f>'Data entry Dom'!O165</f>
        <v>3565.75</v>
      </c>
      <c r="H165" s="39">
        <f>'Data entry Dom'!R165</f>
        <v>3681</v>
      </c>
      <c r="I165" s="39">
        <f>'Data entry Dom'!U165</f>
        <v>3681</v>
      </c>
      <c r="J165" s="39">
        <f>'Data entry Dom'!X165</f>
        <v>3681</v>
      </c>
      <c r="K165" s="39">
        <f>'Data entry Dom'!AA165</f>
        <v>3681</v>
      </c>
      <c r="L165" s="39">
        <f>'Data entry Dom'!AD165</f>
        <v>3681</v>
      </c>
      <c r="M165" s="39">
        <f>'Data entry Dom'!AG165</f>
        <v>3681</v>
      </c>
      <c r="N165" s="39">
        <f>'Data entry Dom'!AJ165</f>
        <v>3681</v>
      </c>
      <c r="O165" s="39">
        <f>'Data entry Dom'!AM165</f>
        <v>3681</v>
      </c>
    </row>
    <row r="166" spans="2:15" ht="14" x14ac:dyDescent="0.15">
      <c r="B166" s="38" t="s">
        <v>119</v>
      </c>
      <c r="C166" s="39">
        <f>'Data entry Dom'!C166</f>
        <v>28148.037400000001</v>
      </c>
      <c r="D166" s="39">
        <f>'Data entry Dom'!F166</f>
        <v>1500</v>
      </c>
      <c r="E166" s="39">
        <f>'Data entry Dom'!I166</f>
        <v>1118.57</v>
      </c>
      <c r="F166" s="39">
        <f>'Data entry Dom'!L166</f>
        <v>2500</v>
      </c>
      <c r="G166" s="39">
        <f>'Data entry Dom'!O166</f>
        <v>2045.81</v>
      </c>
      <c r="H166" s="39">
        <f>'Data entry Dom'!R166</f>
        <v>2582.7824000000001</v>
      </c>
      <c r="I166" s="39">
        <f>'Data entry Dom'!U166</f>
        <v>2289.2125999999998</v>
      </c>
      <c r="J166" s="39">
        <f>'Data entry Dom'!X166</f>
        <v>2056.9443000000001</v>
      </c>
      <c r="K166" s="39">
        <f>'Data entry Dom'!AA166</f>
        <v>2527.5944</v>
      </c>
      <c r="L166" s="39">
        <f>'Data entry Dom'!AD166</f>
        <v>2811.2772</v>
      </c>
      <c r="M166" s="39">
        <f>'Data entry Dom'!AG166</f>
        <v>3482.2372</v>
      </c>
      <c r="N166" s="39">
        <f>'Data entry Dom'!AJ166</f>
        <v>2663.2375000000002</v>
      </c>
      <c r="O166" s="39">
        <f>'Data entry Dom'!AM166</f>
        <v>2570.3717999999999</v>
      </c>
    </row>
    <row r="168" spans="2:15" ht="14" x14ac:dyDescent="0.15">
      <c r="B168" s="33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F5B0-4DE6-4F61-9DAD-9440D515135F}">
  <sheetPr>
    <pageSetUpPr fitToPage="1"/>
  </sheetPr>
  <dimension ref="B2:AN172"/>
  <sheetViews>
    <sheetView workbookViewId="0">
      <pane xSplit="2" ySplit="10" topLeftCell="X11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147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5913292.5954999998</v>
      </c>
      <c r="D11" s="7">
        <v>1</v>
      </c>
      <c r="E11"/>
      <c r="F11" s="6">
        <v>261757.68</v>
      </c>
      <c r="G11" s="7">
        <v>1</v>
      </c>
      <c r="H11"/>
      <c r="I11" s="6">
        <v>408619.34</v>
      </c>
      <c r="J11" s="7">
        <v>1</v>
      </c>
      <c r="K11"/>
      <c r="L11" s="6">
        <v>550322.54</v>
      </c>
      <c r="M11" s="7">
        <v>1</v>
      </c>
      <c r="N11"/>
      <c r="O11" s="6">
        <v>495861.56</v>
      </c>
      <c r="P11" s="7">
        <v>1</v>
      </c>
      <c r="Q11"/>
      <c r="R11" s="6">
        <v>516556.47820000001</v>
      </c>
      <c r="S11" s="7">
        <v>1</v>
      </c>
      <c r="T11"/>
      <c r="U11" s="6">
        <v>457842.51899999997</v>
      </c>
      <c r="V11" s="7">
        <v>1</v>
      </c>
      <c r="W11"/>
      <c r="X11" s="6">
        <v>411388.8578</v>
      </c>
      <c r="Y11" s="7">
        <v>1</v>
      </c>
      <c r="Z11"/>
      <c r="AA11" s="6">
        <v>505518.875</v>
      </c>
      <c r="AB11" s="7">
        <v>1</v>
      </c>
      <c r="AC11"/>
      <c r="AD11" s="6">
        <v>562255.4375</v>
      </c>
      <c r="AE11" s="7">
        <v>1</v>
      </c>
      <c r="AF11"/>
      <c r="AG11" s="6">
        <v>696447.43839999998</v>
      </c>
      <c r="AH11" s="7">
        <v>1</v>
      </c>
      <c r="AI11"/>
      <c r="AJ11" s="6">
        <v>532647.5</v>
      </c>
      <c r="AK11" s="7">
        <v>1</v>
      </c>
      <c r="AL11"/>
      <c r="AM11" s="6">
        <v>514074.36959999998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1678485.9231</v>
      </c>
      <c r="D12" s="7">
        <v>0.28384963000000002</v>
      </c>
      <c r="E12"/>
      <c r="F12" s="6">
        <v>119839.15</v>
      </c>
      <c r="G12" s="7">
        <v>0.45782476999999999</v>
      </c>
      <c r="H12"/>
      <c r="I12" s="6">
        <v>142923.37</v>
      </c>
      <c r="J12" s="7">
        <v>0.34977142999999999</v>
      </c>
      <c r="K12"/>
      <c r="L12" s="6">
        <v>135676.57</v>
      </c>
      <c r="M12" s="7">
        <v>0.24654008999999999</v>
      </c>
      <c r="N12"/>
      <c r="O12" s="6">
        <v>137413.20000000001</v>
      </c>
      <c r="P12" s="7">
        <v>0.27712008999999999</v>
      </c>
      <c r="Q12"/>
      <c r="R12" s="6">
        <v>139848.163</v>
      </c>
      <c r="S12" s="7">
        <v>0.27073160000000002</v>
      </c>
      <c r="T12"/>
      <c r="U12" s="6">
        <v>143692.21100000001</v>
      </c>
      <c r="V12" s="7">
        <v>0.31384636999999999</v>
      </c>
      <c r="W12"/>
      <c r="X12" s="6">
        <v>134107.9112</v>
      </c>
      <c r="Y12" s="7">
        <v>0.32598820000000012</v>
      </c>
      <c r="Z12"/>
      <c r="AA12" s="6">
        <v>142006.68210000001</v>
      </c>
      <c r="AB12" s="7">
        <v>0.28091272</v>
      </c>
      <c r="AC12"/>
      <c r="AD12" s="6">
        <v>144935.4278</v>
      </c>
      <c r="AE12" s="7">
        <v>0.25777506</v>
      </c>
      <c r="AF12"/>
      <c r="AG12" s="6">
        <v>143512.69630000001</v>
      </c>
      <c r="AH12" s="7">
        <v>0.20606393000000001</v>
      </c>
      <c r="AI12"/>
      <c r="AJ12" s="6">
        <v>146828.8045</v>
      </c>
      <c r="AK12" s="7">
        <v>0.27565848999999998</v>
      </c>
      <c r="AL12"/>
      <c r="AM12" s="6">
        <v>147701.7372</v>
      </c>
      <c r="AN12" s="7">
        <v>0.28731589000000002</v>
      </c>
    </row>
    <row r="13" spans="2:40" s="314" customFormat="1" ht="12.75" customHeight="1" x14ac:dyDescent="0.15">
      <c r="B13" s="5" t="s">
        <v>23</v>
      </c>
      <c r="C13" s="6">
        <v>2020336.2675000001</v>
      </c>
      <c r="D13" s="7">
        <v>0</v>
      </c>
      <c r="E13"/>
      <c r="F13" s="6">
        <v>9836.08</v>
      </c>
      <c r="G13" s="7">
        <v>0</v>
      </c>
      <c r="H13"/>
      <c r="I13" s="6">
        <v>101615.37</v>
      </c>
      <c r="J13" s="7">
        <v>0</v>
      </c>
      <c r="K13"/>
      <c r="L13" s="6">
        <v>223683.26</v>
      </c>
      <c r="M13" s="7">
        <v>0</v>
      </c>
      <c r="N13"/>
      <c r="O13" s="6">
        <v>161311.78</v>
      </c>
      <c r="P13" s="7">
        <v>0</v>
      </c>
      <c r="Q13"/>
      <c r="R13" s="6">
        <v>186068.09849999999</v>
      </c>
      <c r="S13" s="7">
        <v>0</v>
      </c>
      <c r="T13"/>
      <c r="U13" s="6">
        <v>141034.71090000001</v>
      </c>
      <c r="V13" s="7">
        <v>0</v>
      </c>
      <c r="W13"/>
      <c r="X13" s="6">
        <v>105146.74400000001</v>
      </c>
      <c r="Y13" s="7">
        <v>0</v>
      </c>
      <c r="Z13"/>
      <c r="AA13" s="6">
        <v>172307.32750000001</v>
      </c>
      <c r="AB13" s="7">
        <v>0</v>
      </c>
      <c r="AC13"/>
      <c r="AD13" s="6">
        <v>214169.60819999999</v>
      </c>
      <c r="AE13" s="7">
        <v>0</v>
      </c>
      <c r="AF13"/>
      <c r="AG13" s="6">
        <v>334239.62329999998</v>
      </c>
      <c r="AH13" s="7">
        <v>0</v>
      </c>
      <c r="AI13"/>
      <c r="AJ13" s="6">
        <v>194394.87460000001</v>
      </c>
      <c r="AK13" s="7">
        <v>0</v>
      </c>
      <c r="AL13"/>
      <c r="AM13" s="6">
        <v>176528.7905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47450</v>
      </c>
      <c r="D14" s="7">
        <v>0</v>
      </c>
      <c r="E14"/>
      <c r="F14" s="8">
        <v>4030</v>
      </c>
      <c r="G14" s="7">
        <v>0</v>
      </c>
      <c r="H14"/>
      <c r="I14" s="8">
        <v>3640</v>
      </c>
      <c r="J14" s="7">
        <v>0</v>
      </c>
      <c r="K14"/>
      <c r="L14" s="8">
        <v>4030</v>
      </c>
      <c r="M14" s="7">
        <v>0</v>
      </c>
      <c r="N14"/>
      <c r="O14" s="8">
        <v>3900</v>
      </c>
      <c r="P14" s="7">
        <v>0</v>
      </c>
      <c r="Q14"/>
      <c r="R14" s="8">
        <v>4030</v>
      </c>
      <c r="S14" s="7">
        <v>0</v>
      </c>
      <c r="T14"/>
      <c r="U14" s="8">
        <v>3900</v>
      </c>
      <c r="V14" s="7">
        <v>0</v>
      </c>
      <c r="W14"/>
      <c r="X14" s="8">
        <v>4030</v>
      </c>
      <c r="Y14" s="7">
        <v>0</v>
      </c>
      <c r="Z14"/>
      <c r="AA14" s="8">
        <v>4030</v>
      </c>
      <c r="AB14" s="7">
        <v>0</v>
      </c>
      <c r="AC14"/>
      <c r="AD14" s="8">
        <v>3900</v>
      </c>
      <c r="AE14" s="7">
        <v>0</v>
      </c>
      <c r="AF14"/>
      <c r="AG14" s="8">
        <v>4030</v>
      </c>
      <c r="AH14" s="7">
        <v>0</v>
      </c>
      <c r="AI14"/>
      <c r="AJ14" s="8">
        <v>3900</v>
      </c>
      <c r="AK14" s="7">
        <v>0</v>
      </c>
      <c r="AL14"/>
      <c r="AM14" s="8">
        <v>4030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36884</v>
      </c>
      <c r="D15" s="7">
        <v>0</v>
      </c>
      <c r="E15"/>
      <c r="F15" s="9">
        <v>2173</v>
      </c>
      <c r="G15" s="7">
        <v>0</v>
      </c>
      <c r="H15"/>
      <c r="I15" s="9">
        <v>2724</v>
      </c>
      <c r="J15" s="7">
        <v>0</v>
      </c>
      <c r="K15"/>
      <c r="L15" s="9">
        <v>3061</v>
      </c>
      <c r="M15" s="7">
        <v>0</v>
      </c>
      <c r="N15"/>
      <c r="O15" s="9">
        <v>2985</v>
      </c>
      <c r="P15" s="7">
        <v>0</v>
      </c>
      <c r="Q15"/>
      <c r="R15" s="9">
        <v>3225</v>
      </c>
      <c r="S15" s="7">
        <v>0</v>
      </c>
      <c r="T15"/>
      <c r="U15" s="9">
        <v>3026</v>
      </c>
      <c r="V15" s="7">
        <v>0</v>
      </c>
      <c r="W15"/>
      <c r="X15" s="9">
        <v>3150</v>
      </c>
      <c r="Y15" s="7">
        <v>0</v>
      </c>
      <c r="Z15"/>
      <c r="AA15" s="9">
        <v>3460</v>
      </c>
      <c r="AB15" s="7">
        <v>0</v>
      </c>
      <c r="AC15"/>
      <c r="AD15" s="9">
        <v>3410</v>
      </c>
      <c r="AE15" s="7">
        <v>0</v>
      </c>
      <c r="AF15"/>
      <c r="AG15" s="9">
        <v>3310</v>
      </c>
      <c r="AH15" s="7">
        <v>0</v>
      </c>
      <c r="AI15"/>
      <c r="AJ15" s="9">
        <v>3250</v>
      </c>
      <c r="AK15" s="7">
        <v>0</v>
      </c>
      <c r="AL15"/>
      <c r="AM15" s="9">
        <v>3110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77.780821917807998</v>
      </c>
      <c r="D16" s="7">
        <v>0</v>
      </c>
      <c r="E16"/>
      <c r="F16" s="8">
        <v>54.019851116624999</v>
      </c>
      <c r="G16" s="7">
        <v>0</v>
      </c>
      <c r="H16"/>
      <c r="I16" s="8">
        <v>74.945054945055006</v>
      </c>
      <c r="J16" s="7">
        <v>0</v>
      </c>
      <c r="K16"/>
      <c r="L16" s="8">
        <v>76.203473945409002</v>
      </c>
      <c r="M16" s="7">
        <v>0</v>
      </c>
      <c r="N16"/>
      <c r="O16" s="8">
        <v>76.666666666666998</v>
      </c>
      <c r="P16" s="7">
        <v>0</v>
      </c>
      <c r="Q16"/>
      <c r="R16" s="8">
        <v>80.024813895782003</v>
      </c>
      <c r="S16" s="7">
        <v>0</v>
      </c>
      <c r="T16"/>
      <c r="U16" s="8">
        <v>77.589743589744003</v>
      </c>
      <c r="V16" s="7">
        <v>0</v>
      </c>
      <c r="W16"/>
      <c r="X16" s="8">
        <v>78.163771712159004</v>
      </c>
      <c r="Y16" s="7">
        <v>0</v>
      </c>
      <c r="Z16"/>
      <c r="AA16" s="8">
        <v>85.856079404466001</v>
      </c>
      <c r="AB16" s="7">
        <v>0</v>
      </c>
      <c r="AC16"/>
      <c r="AD16" s="8">
        <v>87.435897435897004</v>
      </c>
      <c r="AE16" s="7">
        <v>0</v>
      </c>
      <c r="AF16"/>
      <c r="AG16" s="8">
        <v>82.133995037220998</v>
      </c>
      <c r="AH16" s="7">
        <v>0</v>
      </c>
      <c r="AI16"/>
      <c r="AJ16" s="8">
        <v>83.333333333333002</v>
      </c>
      <c r="AK16" s="7">
        <v>0</v>
      </c>
      <c r="AL16"/>
      <c r="AM16" s="8">
        <v>77.171215880893001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140.23936151177</v>
      </c>
      <c r="D17" s="7">
        <v>0</v>
      </c>
      <c r="E17"/>
      <c r="F17" s="9">
        <v>99.735149562816005</v>
      </c>
      <c r="G17" s="7">
        <v>0</v>
      </c>
      <c r="H17"/>
      <c r="I17" s="9">
        <v>130.74260279001001</v>
      </c>
      <c r="J17" s="7">
        <v>0</v>
      </c>
      <c r="K17"/>
      <c r="L17" s="9">
        <v>158.40208101927001</v>
      </c>
      <c r="M17" s="7">
        <v>0</v>
      </c>
      <c r="N17"/>
      <c r="O17" s="9">
        <v>143.88526298157001</v>
      </c>
      <c r="P17" s="7">
        <v>0</v>
      </c>
      <c r="Q17"/>
      <c r="R17" s="9">
        <v>141.80465116279001</v>
      </c>
      <c r="S17" s="7">
        <v>0</v>
      </c>
      <c r="T17"/>
      <c r="U17" s="9">
        <v>133.98050231328</v>
      </c>
      <c r="V17" s="7">
        <v>0</v>
      </c>
      <c r="W17"/>
      <c r="X17" s="9">
        <v>111.07619047619001</v>
      </c>
      <c r="Y17" s="7">
        <v>0</v>
      </c>
      <c r="Z17"/>
      <c r="AA17" s="9">
        <v>126.50289017340999</v>
      </c>
      <c r="AB17" s="7">
        <v>0</v>
      </c>
      <c r="AC17"/>
      <c r="AD17" s="9">
        <v>144.50146627565999</v>
      </c>
      <c r="AE17" s="7">
        <v>0</v>
      </c>
      <c r="AF17"/>
      <c r="AG17" s="9">
        <v>188.05135951662001</v>
      </c>
      <c r="AH17" s="7">
        <v>0</v>
      </c>
      <c r="AI17"/>
      <c r="AJ17" s="9">
        <v>144.31076923077001</v>
      </c>
      <c r="AK17" s="7">
        <v>0</v>
      </c>
      <c r="AL17"/>
      <c r="AM17" s="9">
        <v>144.95498392283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107.98143603793</v>
      </c>
      <c r="D18" s="7">
        <v>0</v>
      </c>
      <c r="E18"/>
      <c r="F18" s="6">
        <v>53.054543424317998</v>
      </c>
      <c r="G18" s="7">
        <v>0</v>
      </c>
      <c r="H18"/>
      <c r="I18" s="6">
        <v>96.748030219780006</v>
      </c>
      <c r="J18" s="7">
        <v>0</v>
      </c>
      <c r="K18"/>
      <c r="L18" s="6">
        <v>119.79244665012</v>
      </c>
      <c r="M18" s="7">
        <v>0</v>
      </c>
      <c r="N18"/>
      <c r="O18" s="6">
        <v>106.95588205128</v>
      </c>
      <c r="P18" s="7">
        <v>0</v>
      </c>
      <c r="Q18"/>
      <c r="R18" s="6">
        <v>112.73449131514</v>
      </c>
      <c r="S18" s="7">
        <v>0</v>
      </c>
      <c r="T18"/>
      <c r="U18" s="6">
        <v>103.1858974359</v>
      </c>
      <c r="V18" s="7">
        <v>0</v>
      </c>
      <c r="W18"/>
      <c r="X18" s="6">
        <v>86.200992555830993</v>
      </c>
      <c r="Y18" s="7">
        <v>0</v>
      </c>
      <c r="Z18"/>
      <c r="AA18" s="6">
        <v>107.86600496278</v>
      </c>
      <c r="AB18" s="7">
        <v>0</v>
      </c>
      <c r="AC18"/>
      <c r="AD18" s="6">
        <v>125.0641025641</v>
      </c>
      <c r="AE18" s="7">
        <v>0</v>
      </c>
      <c r="AF18"/>
      <c r="AG18" s="6">
        <v>153.21339950372001</v>
      </c>
      <c r="AH18" s="7">
        <v>0</v>
      </c>
      <c r="AI18"/>
      <c r="AJ18" s="6">
        <v>119.48974358974</v>
      </c>
      <c r="AK18" s="7">
        <v>0</v>
      </c>
      <c r="AL18"/>
      <c r="AM18" s="6">
        <v>111.11910669975001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124.62155101159</v>
      </c>
      <c r="D19" s="7">
        <v>0</v>
      </c>
      <c r="E19"/>
      <c r="F19" s="9">
        <v>64.952277915633005</v>
      </c>
      <c r="G19" s="7">
        <v>0</v>
      </c>
      <c r="H19"/>
      <c r="I19" s="9">
        <v>112.25806043956</v>
      </c>
      <c r="J19" s="7">
        <v>0</v>
      </c>
      <c r="K19"/>
      <c r="L19" s="9">
        <v>136.55646153846001</v>
      </c>
      <c r="M19" s="7">
        <v>0</v>
      </c>
      <c r="N19"/>
      <c r="O19" s="9">
        <v>127.14398974359</v>
      </c>
      <c r="P19" s="7">
        <v>0</v>
      </c>
      <c r="Q19"/>
      <c r="R19" s="9">
        <v>128.17778615385001</v>
      </c>
      <c r="S19" s="7">
        <v>0</v>
      </c>
      <c r="T19"/>
      <c r="U19" s="9">
        <v>117.39551769230999</v>
      </c>
      <c r="V19" s="7">
        <v>0</v>
      </c>
      <c r="W19"/>
      <c r="X19" s="9">
        <v>102.08160243176</v>
      </c>
      <c r="Y19" s="7">
        <v>0</v>
      </c>
      <c r="Z19"/>
      <c r="AA19" s="9">
        <v>125.43892679901001</v>
      </c>
      <c r="AB19" s="7">
        <v>0</v>
      </c>
      <c r="AC19"/>
      <c r="AD19" s="9">
        <v>144.16806089744</v>
      </c>
      <c r="AE19" s="7">
        <v>0</v>
      </c>
      <c r="AF19"/>
      <c r="AG19" s="9">
        <v>172.81574153846</v>
      </c>
      <c r="AH19" s="7">
        <v>0</v>
      </c>
      <c r="AI19"/>
      <c r="AJ19" s="9">
        <v>136.57628205128</v>
      </c>
      <c r="AK19" s="7">
        <v>0</v>
      </c>
      <c r="AL19"/>
      <c r="AM19" s="9">
        <v>127.56187831266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55741.39</v>
      </c>
      <c r="D20" s="7">
        <v>0</v>
      </c>
      <c r="E20"/>
      <c r="F20" s="8">
        <v>3029</v>
      </c>
      <c r="G20" s="7">
        <v>0</v>
      </c>
      <c r="H20"/>
      <c r="I20" s="8">
        <v>3696</v>
      </c>
      <c r="J20" s="7">
        <v>0</v>
      </c>
      <c r="K20"/>
      <c r="L20" s="8">
        <v>4223</v>
      </c>
      <c r="M20" s="7">
        <v>0</v>
      </c>
      <c r="N20"/>
      <c r="O20" s="8">
        <v>4492</v>
      </c>
      <c r="P20" s="7">
        <v>0</v>
      </c>
      <c r="Q20"/>
      <c r="R20" s="8">
        <v>4676.25</v>
      </c>
      <c r="S20" s="7">
        <v>0</v>
      </c>
      <c r="T20"/>
      <c r="U20" s="8">
        <v>4357.4399999999996</v>
      </c>
      <c r="V20" s="7">
        <v>0</v>
      </c>
      <c r="W20"/>
      <c r="X20" s="8">
        <v>4819.5</v>
      </c>
      <c r="Y20" s="7">
        <v>0</v>
      </c>
      <c r="Z20"/>
      <c r="AA20" s="8">
        <v>5432.2</v>
      </c>
      <c r="AB20" s="7">
        <v>0</v>
      </c>
      <c r="AC20"/>
      <c r="AD20" s="8">
        <v>5626.5</v>
      </c>
      <c r="AE20" s="7">
        <v>0</v>
      </c>
      <c r="AF20"/>
      <c r="AG20" s="8">
        <v>5660.1</v>
      </c>
      <c r="AH20" s="7">
        <v>0</v>
      </c>
      <c r="AI20"/>
      <c r="AJ20" s="8">
        <v>4940</v>
      </c>
      <c r="AK20" s="7">
        <v>0</v>
      </c>
      <c r="AL20"/>
      <c r="AM20" s="8">
        <v>4789.3999999999996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1.5103202644485001</v>
      </c>
      <c r="D21" s="7">
        <v>0</v>
      </c>
      <c r="E21"/>
      <c r="F21" s="9">
        <v>1.3913642627469001</v>
      </c>
      <c r="G21" s="7">
        <v>0</v>
      </c>
      <c r="H21"/>
      <c r="I21" s="9">
        <v>1.3548387096773999</v>
      </c>
      <c r="J21" s="7">
        <v>0</v>
      </c>
      <c r="K21"/>
      <c r="L21" s="9">
        <v>1.3751221100619</v>
      </c>
      <c r="M21" s="7">
        <v>0</v>
      </c>
      <c r="N21"/>
      <c r="O21" s="9">
        <v>1.5023411371237001</v>
      </c>
      <c r="P21" s="7">
        <v>0</v>
      </c>
      <c r="Q21"/>
      <c r="R21" s="9">
        <v>1.45</v>
      </c>
      <c r="S21" s="7">
        <v>0</v>
      </c>
      <c r="T21"/>
      <c r="U21" s="9">
        <v>1.44</v>
      </c>
      <c r="V21" s="7">
        <v>0</v>
      </c>
      <c r="W21"/>
      <c r="X21" s="9">
        <v>1.53</v>
      </c>
      <c r="Y21" s="7">
        <v>0</v>
      </c>
      <c r="Z21"/>
      <c r="AA21" s="9">
        <v>1.57</v>
      </c>
      <c r="AB21" s="7">
        <v>0</v>
      </c>
      <c r="AC21"/>
      <c r="AD21" s="9">
        <v>1.65</v>
      </c>
      <c r="AE21" s="7">
        <v>0</v>
      </c>
      <c r="AF21"/>
      <c r="AG21" s="9">
        <v>1.71</v>
      </c>
      <c r="AH21" s="7">
        <v>0</v>
      </c>
      <c r="AI21"/>
      <c r="AJ21" s="9">
        <v>1.52</v>
      </c>
      <c r="AK21" s="7">
        <v>0</v>
      </c>
      <c r="AL21"/>
      <c r="AM21" s="9">
        <v>1.54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30768.755499999999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3600.7125000000001</v>
      </c>
      <c r="S22" s="7">
        <v>0</v>
      </c>
      <c r="T22"/>
      <c r="U22" s="8">
        <v>3050.2080000000001</v>
      </c>
      <c r="V22" s="7">
        <v>0</v>
      </c>
      <c r="W22"/>
      <c r="X22" s="8">
        <v>3759.21</v>
      </c>
      <c r="Y22" s="7">
        <v>0</v>
      </c>
      <c r="Z22"/>
      <c r="AA22" s="8">
        <v>4074.15</v>
      </c>
      <c r="AB22" s="7">
        <v>0</v>
      </c>
      <c r="AC22"/>
      <c r="AD22" s="8">
        <v>4219.875</v>
      </c>
      <c r="AE22" s="7">
        <v>0</v>
      </c>
      <c r="AF22"/>
      <c r="AG22" s="8">
        <v>4528.08</v>
      </c>
      <c r="AH22" s="7">
        <v>0</v>
      </c>
      <c r="AI22"/>
      <c r="AJ22" s="8">
        <v>3705</v>
      </c>
      <c r="AK22" s="7">
        <v>0</v>
      </c>
      <c r="AL22"/>
      <c r="AM22" s="8">
        <v>3831.52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24.028300000000002</v>
      </c>
      <c r="D23" s="7">
        <v>0</v>
      </c>
      <c r="E23"/>
      <c r="F23" s="8">
        <v>25.36</v>
      </c>
      <c r="G23" s="7">
        <v>0</v>
      </c>
      <c r="H23"/>
      <c r="I23" s="8">
        <v>25.36</v>
      </c>
      <c r="J23" s="7">
        <v>0</v>
      </c>
      <c r="K23"/>
      <c r="L23" s="8">
        <v>26.36</v>
      </c>
      <c r="M23" s="7">
        <v>0</v>
      </c>
      <c r="N23"/>
      <c r="O23" s="8">
        <v>26.36</v>
      </c>
      <c r="P23" s="7">
        <v>0</v>
      </c>
      <c r="Q23"/>
      <c r="R23" s="8">
        <v>23.3</v>
      </c>
      <c r="S23" s="7">
        <v>0</v>
      </c>
      <c r="T23"/>
      <c r="U23" s="8">
        <v>23.3</v>
      </c>
      <c r="V23" s="7">
        <v>0</v>
      </c>
      <c r="W23"/>
      <c r="X23" s="8">
        <v>23.3</v>
      </c>
      <c r="Y23" s="7">
        <v>0</v>
      </c>
      <c r="Z23"/>
      <c r="AA23" s="8">
        <v>23.3</v>
      </c>
      <c r="AB23" s="7">
        <v>0</v>
      </c>
      <c r="AC23"/>
      <c r="AD23" s="8">
        <v>23.3</v>
      </c>
      <c r="AE23" s="7">
        <v>0</v>
      </c>
      <c r="AF23"/>
      <c r="AG23" s="8">
        <v>22.8</v>
      </c>
      <c r="AH23" s="7">
        <v>0</v>
      </c>
      <c r="AI23"/>
      <c r="AJ23" s="8">
        <v>22.8</v>
      </c>
      <c r="AK23" s="7">
        <v>0</v>
      </c>
      <c r="AL23"/>
      <c r="AM23" s="8">
        <v>22.8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5913292.5954999998</v>
      </c>
      <c r="D27" s="327">
        <v>1</v>
      </c>
      <c r="E27"/>
      <c r="F27" s="326">
        <v>261757.68</v>
      </c>
      <c r="G27" s="327">
        <v>1</v>
      </c>
      <c r="H27"/>
      <c r="I27" s="326">
        <v>408619.34</v>
      </c>
      <c r="J27" s="327">
        <v>1</v>
      </c>
      <c r="K27"/>
      <c r="L27" s="326">
        <v>550322.54</v>
      </c>
      <c r="M27" s="327">
        <v>1</v>
      </c>
      <c r="N27"/>
      <c r="O27" s="326">
        <v>495861.56</v>
      </c>
      <c r="P27" s="327">
        <v>1</v>
      </c>
      <c r="Q27"/>
      <c r="R27" s="326">
        <v>516556.47820000001</v>
      </c>
      <c r="S27" s="327">
        <v>1</v>
      </c>
      <c r="T27"/>
      <c r="U27" s="326">
        <v>457842.51899999997</v>
      </c>
      <c r="V27" s="327">
        <v>1</v>
      </c>
      <c r="W27"/>
      <c r="X27" s="326">
        <v>411388.8578</v>
      </c>
      <c r="Y27" s="327">
        <v>1</v>
      </c>
      <c r="Z27"/>
      <c r="AA27" s="326">
        <v>505518.875</v>
      </c>
      <c r="AB27" s="327">
        <v>1</v>
      </c>
      <c r="AC27"/>
      <c r="AD27" s="326">
        <v>562255.4375</v>
      </c>
      <c r="AE27" s="327">
        <v>1</v>
      </c>
      <c r="AF27"/>
      <c r="AG27" s="326">
        <v>696447.43839999998</v>
      </c>
      <c r="AH27" s="327">
        <v>1</v>
      </c>
      <c r="AI27"/>
      <c r="AJ27" s="326">
        <v>532647.5</v>
      </c>
      <c r="AK27" s="327">
        <v>1</v>
      </c>
      <c r="AL27"/>
      <c r="AM27" s="326">
        <v>514074.36959999998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5172588.6100000003</v>
      </c>
      <c r="D28" s="7">
        <v>0.87473916000000007</v>
      </c>
      <c r="E28"/>
      <c r="F28" s="8">
        <v>216724.48000000001</v>
      </c>
      <c r="G28" s="7">
        <v>0.82795844000000007</v>
      </c>
      <c r="H28"/>
      <c r="I28" s="8">
        <v>356142.85</v>
      </c>
      <c r="J28" s="7">
        <v>0.87157610000000008</v>
      </c>
      <c r="K28"/>
      <c r="L28" s="8">
        <v>484868.77</v>
      </c>
      <c r="M28" s="7">
        <v>0.88106289000000004</v>
      </c>
      <c r="N28"/>
      <c r="O28" s="8">
        <v>429497.51</v>
      </c>
      <c r="P28" s="7">
        <v>0.86616415999999996</v>
      </c>
      <c r="Q28"/>
      <c r="R28" s="8">
        <v>457320</v>
      </c>
      <c r="S28" s="7">
        <v>0.88532430000000006</v>
      </c>
      <c r="T28"/>
      <c r="U28" s="8">
        <v>405425</v>
      </c>
      <c r="V28" s="7">
        <v>0.88551190000000002</v>
      </c>
      <c r="W28"/>
      <c r="X28" s="8">
        <v>349890</v>
      </c>
      <c r="Y28" s="7">
        <v>0.85050917999999998</v>
      </c>
      <c r="Z28"/>
      <c r="AA28" s="8">
        <v>437700</v>
      </c>
      <c r="AB28" s="7">
        <v>0.86584304000000001</v>
      </c>
      <c r="AC28"/>
      <c r="AD28" s="8">
        <v>492750</v>
      </c>
      <c r="AE28" s="7">
        <v>0.87638103000000001</v>
      </c>
      <c r="AF28"/>
      <c r="AG28" s="8">
        <v>622450</v>
      </c>
      <c r="AH28" s="7">
        <v>0.89375015000000002</v>
      </c>
      <c r="AI28"/>
      <c r="AJ28" s="8">
        <v>469010</v>
      </c>
      <c r="AK28" s="7">
        <v>0.88052604999999995</v>
      </c>
      <c r="AL28"/>
      <c r="AM28" s="8">
        <v>450810</v>
      </c>
      <c r="AN28" s="7">
        <v>0.8769353700000001</v>
      </c>
    </row>
    <row r="29" spans="2:40" s="314" customFormat="1" ht="12.75" customHeight="1" x14ac:dyDescent="0.15">
      <c r="B29" s="5" t="s">
        <v>36</v>
      </c>
      <c r="C29" s="8">
        <v>533241.19200000004</v>
      </c>
      <c r="D29" s="7">
        <v>9.0176700000000012E-2</v>
      </c>
      <c r="E29"/>
      <c r="F29" s="8">
        <v>31519.29</v>
      </c>
      <c r="G29" s="7">
        <v>0.12041399999999999</v>
      </c>
      <c r="H29"/>
      <c r="I29" s="8">
        <v>36020.89</v>
      </c>
      <c r="J29" s="7">
        <v>8.8152679999999997E-2</v>
      </c>
      <c r="K29"/>
      <c r="L29" s="8">
        <v>43860.72</v>
      </c>
      <c r="M29" s="7">
        <v>7.9700019999999996E-2</v>
      </c>
      <c r="N29"/>
      <c r="O29" s="8">
        <v>47076.85</v>
      </c>
      <c r="P29" s="7">
        <v>9.4939499999999996E-2</v>
      </c>
      <c r="Q29"/>
      <c r="R29" s="8">
        <v>43856.6783</v>
      </c>
      <c r="S29" s="7">
        <v>8.4901999999999991E-2</v>
      </c>
      <c r="T29"/>
      <c r="U29" s="8">
        <v>37151.5334</v>
      </c>
      <c r="V29" s="7">
        <v>8.1144789999999994E-2</v>
      </c>
      <c r="W29"/>
      <c r="X29" s="8">
        <v>45787.177799999998</v>
      </c>
      <c r="Y29" s="7">
        <v>0.11129902</v>
      </c>
      <c r="Z29"/>
      <c r="AA29" s="8">
        <v>49623.146999999997</v>
      </c>
      <c r="AB29" s="7">
        <v>9.8162800000000008E-2</v>
      </c>
      <c r="AC29"/>
      <c r="AD29" s="8">
        <v>51398.077499999999</v>
      </c>
      <c r="AE29" s="7">
        <v>9.1414099999999998E-2</v>
      </c>
      <c r="AF29"/>
      <c r="AG29" s="8">
        <v>55152.0144</v>
      </c>
      <c r="AH29" s="7">
        <v>7.9190490000000002E-2</v>
      </c>
      <c r="AI29"/>
      <c r="AJ29" s="8">
        <v>45126.9</v>
      </c>
      <c r="AK29" s="7">
        <v>8.4721879999999986E-2</v>
      </c>
      <c r="AL29"/>
      <c r="AM29" s="8">
        <v>46667.9136</v>
      </c>
      <c r="AN29" s="7">
        <v>9.0780470000000002E-2</v>
      </c>
    </row>
    <row r="30" spans="2:40" s="314" customFormat="1" ht="12.75" customHeight="1" x14ac:dyDescent="0.15">
      <c r="B30" s="5" t="s">
        <v>37</v>
      </c>
      <c r="C30" s="8">
        <v>129486.95359999999</v>
      </c>
      <c r="D30" s="7">
        <v>2.1897610000000001E-2</v>
      </c>
      <c r="E30"/>
      <c r="F30" s="8">
        <v>11374.37</v>
      </c>
      <c r="G30" s="7">
        <v>4.3453819999999997E-2</v>
      </c>
      <c r="H30"/>
      <c r="I30" s="8">
        <v>9963.8799999999992</v>
      </c>
      <c r="J30" s="7">
        <v>2.4384260000000001E-2</v>
      </c>
      <c r="K30"/>
      <c r="L30" s="8">
        <v>12142.04</v>
      </c>
      <c r="M30" s="7">
        <v>2.20635E-2</v>
      </c>
      <c r="N30"/>
      <c r="O30" s="8">
        <v>14693.63</v>
      </c>
      <c r="P30" s="7">
        <v>2.9632519999999999E-2</v>
      </c>
      <c r="Q30"/>
      <c r="R30" s="8">
        <v>10029.799999999999</v>
      </c>
      <c r="S30" s="7">
        <v>1.9416659999999999E-2</v>
      </c>
      <c r="T30"/>
      <c r="U30" s="8">
        <v>9415.9856</v>
      </c>
      <c r="V30" s="7">
        <v>2.0565989999999999E-2</v>
      </c>
      <c r="W30"/>
      <c r="X30" s="8">
        <v>9861.68</v>
      </c>
      <c r="Y30" s="7">
        <v>2.3971679999999999E-2</v>
      </c>
      <c r="Z30"/>
      <c r="AA30" s="8">
        <v>10845.727999999999</v>
      </c>
      <c r="AB30" s="7">
        <v>2.1454640000000001E-2</v>
      </c>
      <c r="AC30"/>
      <c r="AD30" s="8">
        <v>10757.36</v>
      </c>
      <c r="AE30" s="7">
        <v>1.9132509999999998E-2</v>
      </c>
      <c r="AF30"/>
      <c r="AG30" s="8">
        <v>10495.424000000001</v>
      </c>
      <c r="AH30" s="7">
        <v>1.506994E-2</v>
      </c>
      <c r="AI30"/>
      <c r="AJ30" s="8">
        <v>10160.6</v>
      </c>
      <c r="AK30" s="7">
        <v>1.9075660000000001E-2</v>
      </c>
      <c r="AL30"/>
      <c r="AM30" s="8">
        <v>9746.4560000000001</v>
      </c>
      <c r="AN30" s="7">
        <v>1.8959230000000001E-2</v>
      </c>
    </row>
    <row r="31" spans="2:40" s="314" customFormat="1" ht="12.75" customHeight="1" x14ac:dyDescent="0.15">
      <c r="B31" s="5" t="s">
        <v>38</v>
      </c>
      <c r="C31" s="8">
        <v>77975.839999999997</v>
      </c>
      <c r="D31" s="7">
        <v>1.318654E-2</v>
      </c>
      <c r="E31"/>
      <c r="F31" s="8">
        <v>2139.54</v>
      </c>
      <c r="G31" s="7">
        <v>8.1737400000000005E-3</v>
      </c>
      <c r="H31"/>
      <c r="I31" s="8">
        <v>6491.72</v>
      </c>
      <c r="J31" s="7">
        <v>1.5886959999999999E-2</v>
      </c>
      <c r="K31"/>
      <c r="L31" s="8">
        <v>9451.01</v>
      </c>
      <c r="M31" s="7">
        <v>1.7173580000000001E-2</v>
      </c>
      <c r="N31"/>
      <c r="O31" s="8">
        <v>4593.57</v>
      </c>
      <c r="P31" s="7">
        <v>9.2638200000000007E-3</v>
      </c>
      <c r="Q31"/>
      <c r="R31" s="8">
        <v>5350</v>
      </c>
      <c r="S31" s="7">
        <v>1.035705E-2</v>
      </c>
      <c r="T31"/>
      <c r="U31" s="8">
        <v>5850</v>
      </c>
      <c r="V31" s="7">
        <v>1.277732E-2</v>
      </c>
      <c r="W31"/>
      <c r="X31" s="8">
        <v>5850</v>
      </c>
      <c r="Y31" s="7">
        <v>1.4220119999999999E-2</v>
      </c>
      <c r="Z31"/>
      <c r="AA31" s="8">
        <v>7350</v>
      </c>
      <c r="AB31" s="7">
        <v>1.453952E-2</v>
      </c>
      <c r="AC31"/>
      <c r="AD31" s="8">
        <v>7350</v>
      </c>
      <c r="AE31" s="7">
        <v>1.307235E-2</v>
      </c>
      <c r="AF31"/>
      <c r="AG31" s="8">
        <v>8350</v>
      </c>
      <c r="AH31" s="7">
        <v>1.1989420000000001E-2</v>
      </c>
      <c r="AI31"/>
      <c r="AJ31" s="8">
        <v>8350</v>
      </c>
      <c r="AK31" s="7">
        <v>1.5676410000000002E-2</v>
      </c>
      <c r="AL31"/>
      <c r="AM31" s="8">
        <v>6850</v>
      </c>
      <c r="AN31" s="7">
        <v>1.3324920000000001E-2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5172588.6100000003</v>
      </c>
      <c r="D34" s="327">
        <v>1</v>
      </c>
      <c r="E34"/>
      <c r="F34" s="326">
        <v>216724.48000000001</v>
      </c>
      <c r="G34" s="327">
        <v>1</v>
      </c>
      <c r="H34"/>
      <c r="I34" s="326">
        <v>356142.85</v>
      </c>
      <c r="J34" s="327">
        <v>1</v>
      </c>
      <c r="K34"/>
      <c r="L34" s="326">
        <v>484868.77</v>
      </c>
      <c r="M34" s="327">
        <v>1</v>
      </c>
      <c r="N34"/>
      <c r="O34" s="326">
        <v>429497.51</v>
      </c>
      <c r="P34" s="327">
        <v>1</v>
      </c>
      <c r="Q34"/>
      <c r="R34" s="326">
        <v>457320</v>
      </c>
      <c r="S34" s="327">
        <v>1</v>
      </c>
      <c r="T34"/>
      <c r="U34" s="326">
        <v>405425</v>
      </c>
      <c r="V34" s="327">
        <v>1</v>
      </c>
      <c r="W34"/>
      <c r="X34" s="326">
        <v>349890</v>
      </c>
      <c r="Y34" s="327">
        <v>1</v>
      </c>
      <c r="Z34"/>
      <c r="AA34" s="326">
        <v>437700</v>
      </c>
      <c r="AB34" s="327">
        <v>1</v>
      </c>
      <c r="AC34"/>
      <c r="AD34" s="326">
        <v>492750</v>
      </c>
      <c r="AE34" s="327">
        <v>1</v>
      </c>
      <c r="AF34"/>
      <c r="AG34" s="326">
        <v>622450</v>
      </c>
      <c r="AH34" s="327">
        <v>1</v>
      </c>
      <c r="AI34"/>
      <c r="AJ34" s="326">
        <v>469010</v>
      </c>
      <c r="AK34" s="327">
        <v>1</v>
      </c>
      <c r="AL34"/>
      <c r="AM34" s="326">
        <v>450810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972842.51580000005</v>
      </c>
      <c r="D35" s="7">
        <v>0.18807652999999999</v>
      </c>
      <c r="E35"/>
      <c r="F35" s="8">
        <v>70072.63</v>
      </c>
      <c r="G35" s="7">
        <v>0.32332587000000002</v>
      </c>
      <c r="H35"/>
      <c r="I35" s="8">
        <v>82100.509999999995</v>
      </c>
      <c r="J35" s="7">
        <v>0.23052691</v>
      </c>
      <c r="K35"/>
      <c r="L35" s="8">
        <v>80084.66</v>
      </c>
      <c r="M35" s="7">
        <v>0.1651677</v>
      </c>
      <c r="N35"/>
      <c r="O35" s="8">
        <v>82482.33</v>
      </c>
      <c r="P35" s="7">
        <v>0.19204378999999999</v>
      </c>
      <c r="Q35"/>
      <c r="R35" s="8">
        <v>82089.655899999998</v>
      </c>
      <c r="S35" s="7">
        <v>0.17950157</v>
      </c>
      <c r="T35"/>
      <c r="U35" s="8">
        <v>80396.452099999995</v>
      </c>
      <c r="V35" s="7">
        <v>0.19830165999999999</v>
      </c>
      <c r="W35"/>
      <c r="X35" s="8">
        <v>77380.675499999998</v>
      </c>
      <c r="Y35" s="7">
        <v>0.22115715</v>
      </c>
      <c r="Z35"/>
      <c r="AA35" s="8">
        <v>81590.321200000006</v>
      </c>
      <c r="AB35" s="7">
        <v>0.18640694999999999</v>
      </c>
      <c r="AC35"/>
      <c r="AD35" s="8">
        <v>83380.982300000003</v>
      </c>
      <c r="AE35" s="7">
        <v>0.16921559</v>
      </c>
      <c r="AF35"/>
      <c r="AG35" s="8">
        <v>83484.391300000003</v>
      </c>
      <c r="AH35" s="7">
        <v>0.13412224</v>
      </c>
      <c r="AI35"/>
      <c r="AJ35" s="8">
        <v>83513.371499999994</v>
      </c>
      <c r="AK35" s="7">
        <v>0.17806309000000001</v>
      </c>
      <c r="AL35"/>
      <c r="AM35" s="8">
        <v>86266.535999999993</v>
      </c>
      <c r="AN35" s="7">
        <v>0.19135896999999999</v>
      </c>
    </row>
    <row r="36" spans="2:40" s="314" customFormat="1" ht="12.75" customHeight="1" x14ac:dyDescent="0.15">
      <c r="B36" s="5" t="s">
        <v>40</v>
      </c>
      <c r="C36" s="8">
        <v>878205.11499999999</v>
      </c>
      <c r="D36" s="7">
        <v>0.16978057999999999</v>
      </c>
      <c r="E36"/>
      <c r="F36" s="8">
        <v>48583.01</v>
      </c>
      <c r="G36" s="7">
        <v>0.22416945999999999</v>
      </c>
      <c r="H36"/>
      <c r="I36" s="8">
        <v>62261.3</v>
      </c>
      <c r="J36" s="7">
        <v>0.17482114000000001</v>
      </c>
      <c r="K36"/>
      <c r="L36" s="8">
        <v>73449.62</v>
      </c>
      <c r="M36" s="7">
        <v>0.15148349999999999</v>
      </c>
      <c r="N36"/>
      <c r="O36" s="8">
        <v>70605.69</v>
      </c>
      <c r="P36" s="7">
        <v>0.16439138</v>
      </c>
      <c r="Q36"/>
      <c r="R36" s="8">
        <v>73242.55</v>
      </c>
      <c r="S36" s="7">
        <v>0.16015602000000001</v>
      </c>
      <c r="T36"/>
      <c r="U36" s="8">
        <v>70068.434999999998</v>
      </c>
      <c r="V36" s="7">
        <v>0.17282712</v>
      </c>
      <c r="W36"/>
      <c r="X36" s="8">
        <v>62549.4</v>
      </c>
      <c r="Y36" s="7">
        <v>0.17876876</v>
      </c>
      <c r="Z36"/>
      <c r="AA36" s="8">
        <v>76125.25</v>
      </c>
      <c r="AB36" s="7">
        <v>0.17392105999999999</v>
      </c>
      <c r="AC36"/>
      <c r="AD36" s="8">
        <v>86932.25</v>
      </c>
      <c r="AE36" s="7">
        <v>0.17642263</v>
      </c>
      <c r="AF36"/>
      <c r="AG36" s="8">
        <v>95552.75</v>
      </c>
      <c r="AH36" s="7">
        <v>0.15351071999999999</v>
      </c>
      <c r="AI36"/>
      <c r="AJ36" s="8">
        <v>79258.429999999993</v>
      </c>
      <c r="AK36" s="7">
        <v>0.16899091999999999</v>
      </c>
      <c r="AL36"/>
      <c r="AM36" s="8">
        <v>79576.429999999993</v>
      </c>
      <c r="AN36" s="7">
        <v>0.17651877999999999</v>
      </c>
    </row>
    <row r="37" spans="2:40" s="314" customFormat="1" ht="12.75" customHeight="1" x14ac:dyDescent="0.15">
      <c r="B37" s="325" t="s">
        <v>41</v>
      </c>
      <c r="C37" s="326">
        <v>3321540.9791999999</v>
      </c>
      <c r="D37" s="327">
        <v>0.64214288999999991</v>
      </c>
      <c r="E37"/>
      <c r="F37" s="326">
        <v>98068.84</v>
      </c>
      <c r="G37" s="327">
        <v>0.45250467</v>
      </c>
      <c r="H37"/>
      <c r="I37" s="326">
        <v>211781.04</v>
      </c>
      <c r="J37" s="327">
        <v>0.59465195000000004</v>
      </c>
      <c r="K37"/>
      <c r="L37" s="326">
        <v>331334.49</v>
      </c>
      <c r="M37" s="327">
        <v>0.68334879999999998</v>
      </c>
      <c r="N37"/>
      <c r="O37" s="326">
        <v>276409.49</v>
      </c>
      <c r="P37" s="327">
        <v>0.64356482999999998</v>
      </c>
      <c r="Q37"/>
      <c r="R37" s="326">
        <v>301987.7941</v>
      </c>
      <c r="S37" s="327">
        <v>0.6603424200000001</v>
      </c>
      <c r="T37"/>
      <c r="U37" s="326">
        <v>254960.11290000001</v>
      </c>
      <c r="V37" s="327">
        <v>0.62887121999999995</v>
      </c>
      <c r="W37"/>
      <c r="X37" s="326">
        <v>209959.92449999999</v>
      </c>
      <c r="Y37" s="327">
        <v>0.60007409</v>
      </c>
      <c r="Z37"/>
      <c r="AA37" s="326">
        <v>279984.42879999999</v>
      </c>
      <c r="AB37" s="327">
        <v>0.63967198999999997</v>
      </c>
      <c r="AC37"/>
      <c r="AD37" s="326">
        <v>322436.76770000003</v>
      </c>
      <c r="AE37" s="327">
        <v>0.65436178</v>
      </c>
      <c r="AF37"/>
      <c r="AG37" s="326">
        <v>443412.85869999998</v>
      </c>
      <c r="AH37" s="327">
        <v>0.71236703000000001</v>
      </c>
      <c r="AI37"/>
      <c r="AJ37" s="326">
        <v>306238.1985</v>
      </c>
      <c r="AK37" s="327">
        <v>0.65294599000000009</v>
      </c>
      <c r="AL37"/>
      <c r="AM37" s="326">
        <v>284967.03399999999</v>
      </c>
      <c r="AN37" s="327">
        <v>0.63212226000000005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451660.647</v>
      </c>
      <c r="D40" s="7">
        <v>0.84701004999999996</v>
      </c>
      <c r="E40"/>
      <c r="F40" s="8">
        <v>26326.17</v>
      </c>
      <c r="G40" s="7">
        <v>0.83523994000000001</v>
      </c>
      <c r="H40"/>
      <c r="I40" s="8">
        <v>30203.919999999998</v>
      </c>
      <c r="J40" s="7">
        <v>0.83851121000000006</v>
      </c>
      <c r="K40"/>
      <c r="L40" s="8">
        <v>36797.26</v>
      </c>
      <c r="M40" s="7">
        <v>0.83895703999999993</v>
      </c>
      <c r="N40"/>
      <c r="O40" s="8">
        <v>39568.99</v>
      </c>
      <c r="P40" s="7">
        <v>0.84051907000000003</v>
      </c>
      <c r="Q40"/>
      <c r="R40" s="8">
        <v>37303.381500000003</v>
      </c>
      <c r="S40" s="7">
        <v>0.85057471000000007</v>
      </c>
      <c r="T40"/>
      <c r="U40" s="8">
        <v>31600.154900000001</v>
      </c>
      <c r="V40" s="7">
        <v>0.85057471000000007</v>
      </c>
      <c r="W40"/>
      <c r="X40" s="8">
        <v>38945.4156</v>
      </c>
      <c r="Y40" s="7">
        <v>0.85057471000000007</v>
      </c>
      <c r="Z40"/>
      <c r="AA40" s="8">
        <v>42208.194000000003</v>
      </c>
      <c r="AB40" s="7">
        <v>0.85057471000000007</v>
      </c>
      <c r="AC40"/>
      <c r="AD40" s="8">
        <v>43717.904999999999</v>
      </c>
      <c r="AE40" s="7">
        <v>0.85057471000000007</v>
      </c>
      <c r="AF40"/>
      <c r="AG40" s="8">
        <v>46910.908799999997</v>
      </c>
      <c r="AH40" s="7">
        <v>0.85057471000000007</v>
      </c>
      <c r="AI40"/>
      <c r="AJ40" s="8">
        <v>38383.800000000003</v>
      </c>
      <c r="AK40" s="7">
        <v>0.85057471000000007</v>
      </c>
      <c r="AL40"/>
      <c r="AM40" s="8">
        <v>39694.547200000001</v>
      </c>
      <c r="AN40" s="7">
        <v>0.85057471000000007</v>
      </c>
    </row>
    <row r="41" spans="2:40" s="314" customFormat="1" ht="12.75" customHeight="1" x14ac:dyDescent="0.15">
      <c r="B41" s="5" t="s">
        <v>44</v>
      </c>
      <c r="C41" s="8">
        <v>81503.655100000004</v>
      </c>
      <c r="D41" s="7">
        <v>0.15284576</v>
      </c>
      <c r="E41"/>
      <c r="F41" s="8">
        <v>5193.12</v>
      </c>
      <c r="G41" s="7">
        <v>0.16476006000000001</v>
      </c>
      <c r="H41"/>
      <c r="I41" s="8">
        <v>5751.84</v>
      </c>
      <c r="J41" s="7">
        <v>0.15968067</v>
      </c>
      <c r="K41"/>
      <c r="L41" s="8">
        <v>7051.7</v>
      </c>
      <c r="M41" s="7">
        <v>0.16077483000000001</v>
      </c>
      <c r="N41"/>
      <c r="O41" s="8">
        <v>7507.86</v>
      </c>
      <c r="P41" s="7">
        <v>0.15948092999999999</v>
      </c>
      <c r="Q41"/>
      <c r="R41" s="8">
        <v>6553.2968000000001</v>
      </c>
      <c r="S41" s="7">
        <v>0.14942528999999999</v>
      </c>
      <c r="T41"/>
      <c r="U41" s="8">
        <v>5551.3786</v>
      </c>
      <c r="V41" s="7">
        <v>0.14942528999999999</v>
      </c>
      <c r="W41"/>
      <c r="X41" s="8">
        <v>6841.7622000000001</v>
      </c>
      <c r="Y41" s="7">
        <v>0.14942528999999999</v>
      </c>
      <c r="Z41"/>
      <c r="AA41" s="8">
        <v>7414.9530000000004</v>
      </c>
      <c r="AB41" s="7">
        <v>0.14942528999999999</v>
      </c>
      <c r="AC41"/>
      <c r="AD41" s="8">
        <v>7680.1724999999997</v>
      </c>
      <c r="AE41" s="7">
        <v>0.14942528999999999</v>
      </c>
      <c r="AF41"/>
      <c r="AG41" s="8">
        <v>8241.1056000000008</v>
      </c>
      <c r="AH41" s="7">
        <v>0.14942528999999999</v>
      </c>
      <c r="AI41"/>
      <c r="AJ41" s="8">
        <v>6743.1</v>
      </c>
      <c r="AK41" s="7">
        <v>0.14942528999999999</v>
      </c>
      <c r="AL41"/>
      <c r="AM41" s="8">
        <v>6973.3663999999999</v>
      </c>
      <c r="AN41" s="7">
        <v>0.14942528999999999</v>
      </c>
    </row>
    <row r="42" spans="2:40" s="314" customFormat="1" ht="12.75" customHeight="1" x14ac:dyDescent="0.15">
      <c r="B42" s="5" t="s">
        <v>45</v>
      </c>
      <c r="C42" s="8">
        <v>76.89</v>
      </c>
      <c r="D42" s="7">
        <v>1.4418999999999999E-4</v>
      </c>
      <c r="E42"/>
      <c r="F42" s="8">
        <v>0</v>
      </c>
      <c r="G42" s="7">
        <v>0</v>
      </c>
      <c r="H42"/>
      <c r="I42" s="8">
        <v>65.13</v>
      </c>
      <c r="J42" s="7">
        <v>1.8081200000000001E-3</v>
      </c>
      <c r="K42"/>
      <c r="L42" s="8">
        <v>11.76</v>
      </c>
      <c r="M42" s="7">
        <v>2.6812E-4</v>
      </c>
      <c r="N42"/>
      <c r="O42" s="8">
        <v>0</v>
      </c>
      <c r="P42" s="7">
        <v>0</v>
      </c>
      <c r="Q42"/>
      <c r="R42" s="8">
        <v>0</v>
      </c>
      <c r="S42" s="7">
        <v>0</v>
      </c>
      <c r="T42"/>
      <c r="U42" s="8">
        <v>0</v>
      </c>
      <c r="V42" s="7">
        <v>0</v>
      </c>
      <c r="W42"/>
      <c r="X42" s="8">
        <v>0</v>
      </c>
      <c r="Y42" s="7">
        <v>0</v>
      </c>
      <c r="Z42"/>
      <c r="AA42" s="8">
        <v>0</v>
      </c>
      <c r="AB42" s="7">
        <v>0</v>
      </c>
      <c r="AC42"/>
      <c r="AD42" s="8">
        <v>0</v>
      </c>
      <c r="AE42" s="7">
        <v>0</v>
      </c>
      <c r="AF42"/>
      <c r="AG42" s="8">
        <v>0</v>
      </c>
      <c r="AH42" s="7">
        <v>0</v>
      </c>
      <c r="AI42"/>
      <c r="AJ42" s="8">
        <v>0</v>
      </c>
      <c r="AK42" s="7">
        <v>0</v>
      </c>
      <c r="AL42"/>
      <c r="AM42" s="8">
        <v>0</v>
      </c>
      <c r="AN42" s="7">
        <v>0</v>
      </c>
    </row>
    <row r="43" spans="2:40" s="314" customFormat="1" ht="12.75" customHeight="1" x14ac:dyDescent="0.15">
      <c r="B43" s="325" t="s">
        <v>36</v>
      </c>
      <c r="C43" s="326">
        <v>533241.19200000004</v>
      </c>
      <c r="D43" s="327">
        <v>1</v>
      </c>
      <c r="E43"/>
      <c r="F43" s="326">
        <v>31519.29</v>
      </c>
      <c r="G43" s="327">
        <v>1</v>
      </c>
      <c r="H43"/>
      <c r="I43" s="326">
        <v>36020.89</v>
      </c>
      <c r="J43" s="327">
        <v>1</v>
      </c>
      <c r="K43"/>
      <c r="L43" s="326">
        <v>43860.72</v>
      </c>
      <c r="M43" s="327">
        <v>1</v>
      </c>
      <c r="N43"/>
      <c r="O43" s="326">
        <v>47076.85</v>
      </c>
      <c r="P43" s="327">
        <v>1</v>
      </c>
      <c r="Q43"/>
      <c r="R43" s="326">
        <v>43856.6783</v>
      </c>
      <c r="S43" s="327">
        <v>1</v>
      </c>
      <c r="T43"/>
      <c r="U43" s="326">
        <v>37151.5334</v>
      </c>
      <c r="V43" s="327">
        <v>1</v>
      </c>
      <c r="W43"/>
      <c r="X43" s="326">
        <v>45787.177799999998</v>
      </c>
      <c r="Y43" s="327">
        <v>1</v>
      </c>
      <c r="Z43"/>
      <c r="AA43" s="326">
        <v>49623.146999999997</v>
      </c>
      <c r="AB43" s="327">
        <v>1</v>
      </c>
      <c r="AC43"/>
      <c r="AD43" s="326">
        <v>51398.077499999999</v>
      </c>
      <c r="AE43" s="327">
        <v>1</v>
      </c>
      <c r="AF43"/>
      <c r="AG43" s="326">
        <v>55152.0144</v>
      </c>
      <c r="AH43" s="327">
        <v>1</v>
      </c>
      <c r="AI43"/>
      <c r="AJ43" s="326">
        <v>45126.9</v>
      </c>
      <c r="AK43" s="327">
        <v>1</v>
      </c>
      <c r="AL43"/>
      <c r="AM43" s="326">
        <v>46667.9136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159218.56659999999</v>
      </c>
      <c r="D44" s="7">
        <v>0.35251812999999999</v>
      </c>
      <c r="E44"/>
      <c r="F44" s="8">
        <v>9618.59</v>
      </c>
      <c r="G44" s="7">
        <v>0.36536229999999997</v>
      </c>
      <c r="H44"/>
      <c r="I44" s="8">
        <v>15448.43</v>
      </c>
      <c r="J44" s="7">
        <v>0.51147103000000005</v>
      </c>
      <c r="K44"/>
      <c r="L44" s="8">
        <v>13133.73</v>
      </c>
      <c r="M44" s="7">
        <v>0.35692140999999999</v>
      </c>
      <c r="N44"/>
      <c r="O44" s="8">
        <v>18092.849999999999</v>
      </c>
      <c r="P44" s="7">
        <v>0.45724820999999999</v>
      </c>
      <c r="Q44"/>
      <c r="R44" s="8">
        <v>11937.0821</v>
      </c>
      <c r="S44" s="7">
        <v>0.32</v>
      </c>
      <c r="T44"/>
      <c r="U44" s="8">
        <v>10428.051100000001</v>
      </c>
      <c r="V44" s="7">
        <v>0.33</v>
      </c>
      <c r="W44"/>
      <c r="X44" s="8">
        <v>13241.4413</v>
      </c>
      <c r="Y44" s="7">
        <v>0.34</v>
      </c>
      <c r="Z44"/>
      <c r="AA44" s="8">
        <v>14350.786</v>
      </c>
      <c r="AB44" s="7">
        <v>0.34</v>
      </c>
      <c r="AC44"/>
      <c r="AD44" s="8">
        <v>13115.371499999999</v>
      </c>
      <c r="AE44" s="7">
        <v>0.3</v>
      </c>
      <c r="AF44"/>
      <c r="AG44" s="8">
        <v>14073.2726</v>
      </c>
      <c r="AH44" s="7">
        <v>0.3</v>
      </c>
      <c r="AI44"/>
      <c r="AJ44" s="8">
        <v>12282.816000000001</v>
      </c>
      <c r="AK44" s="7">
        <v>0.32</v>
      </c>
      <c r="AL44"/>
      <c r="AM44" s="8">
        <v>13496.146000000001</v>
      </c>
      <c r="AN44" s="7">
        <v>0.34</v>
      </c>
    </row>
    <row r="45" spans="2:40" s="314" customFormat="1" ht="12.75" customHeight="1" x14ac:dyDescent="0.15">
      <c r="B45" s="5" t="s">
        <v>47</v>
      </c>
      <c r="C45" s="8">
        <v>20985.656999999999</v>
      </c>
      <c r="D45" s="7">
        <v>0.25748117999999998</v>
      </c>
      <c r="E45"/>
      <c r="F45" s="8">
        <v>1304.3599999999999</v>
      </c>
      <c r="G45" s="7">
        <v>0.25117077999999998</v>
      </c>
      <c r="H45"/>
      <c r="I45" s="8">
        <v>2174.59</v>
      </c>
      <c r="J45" s="7">
        <v>0.37806857999999999</v>
      </c>
      <c r="K45"/>
      <c r="L45" s="8">
        <v>3196.54</v>
      </c>
      <c r="M45" s="7">
        <v>0.45330061999999999</v>
      </c>
      <c r="N45"/>
      <c r="O45" s="8">
        <v>3110.34</v>
      </c>
      <c r="P45" s="7">
        <v>0.41427784000000001</v>
      </c>
      <c r="Q45"/>
      <c r="R45" s="8">
        <v>1310.6594</v>
      </c>
      <c r="S45" s="7">
        <v>0.20000001000000001</v>
      </c>
      <c r="T45"/>
      <c r="U45" s="8">
        <v>1110.2756999999999</v>
      </c>
      <c r="V45" s="7">
        <v>0.2</v>
      </c>
      <c r="W45"/>
      <c r="X45" s="8">
        <v>1368.3524</v>
      </c>
      <c r="Y45" s="7">
        <v>0.19999998999999999</v>
      </c>
      <c r="Z45"/>
      <c r="AA45" s="8">
        <v>1482.9906000000001</v>
      </c>
      <c r="AB45" s="7">
        <v>0.2</v>
      </c>
      <c r="AC45"/>
      <c r="AD45" s="8">
        <v>1536.0345</v>
      </c>
      <c r="AE45" s="7">
        <v>0.2</v>
      </c>
      <c r="AF45"/>
      <c r="AG45" s="8">
        <v>1648.2211</v>
      </c>
      <c r="AH45" s="7">
        <v>0.2</v>
      </c>
      <c r="AI45"/>
      <c r="AJ45" s="8">
        <v>1348.62</v>
      </c>
      <c r="AK45" s="7">
        <v>0.2</v>
      </c>
      <c r="AL45"/>
      <c r="AM45" s="8">
        <v>1394.6732999999999</v>
      </c>
      <c r="AN45" s="7">
        <v>0.2</v>
      </c>
    </row>
    <row r="46" spans="2:40" s="314" customFormat="1" ht="12.75" customHeight="1" x14ac:dyDescent="0.15">
      <c r="B46" s="5" t="s">
        <v>48</v>
      </c>
      <c r="C46" s="8">
        <v>874.4</v>
      </c>
      <c r="D46" s="7">
        <v>11.37209</v>
      </c>
      <c r="E46"/>
      <c r="F46" s="8">
        <v>-163.63999999999999</v>
      </c>
      <c r="G46" s="7">
        <v>0</v>
      </c>
      <c r="H46"/>
      <c r="I46" s="8">
        <v>340.63</v>
      </c>
      <c r="J46" s="7">
        <v>5.2300015399999999</v>
      </c>
      <c r="K46"/>
      <c r="L46" s="8">
        <v>332.5</v>
      </c>
      <c r="M46" s="7">
        <v>28.27380952</v>
      </c>
      <c r="N46"/>
      <c r="O46" s="8">
        <v>364.91</v>
      </c>
      <c r="P46" s="7">
        <v>0</v>
      </c>
      <c r="Q46"/>
      <c r="R46" s="8">
        <v>0</v>
      </c>
      <c r="S46" s="7">
        <v>0</v>
      </c>
      <c r="T46"/>
      <c r="U46" s="8">
        <v>0</v>
      </c>
      <c r="V46" s="7">
        <v>0</v>
      </c>
      <c r="W46"/>
      <c r="X46" s="8">
        <v>0</v>
      </c>
      <c r="Y46" s="7">
        <v>0</v>
      </c>
      <c r="Z46"/>
      <c r="AA46" s="8">
        <v>0</v>
      </c>
      <c r="AB46" s="7">
        <v>0</v>
      </c>
      <c r="AC46"/>
      <c r="AD46" s="8">
        <v>0</v>
      </c>
      <c r="AE46" s="7">
        <v>0</v>
      </c>
      <c r="AF46"/>
      <c r="AG46" s="8">
        <v>0</v>
      </c>
      <c r="AH46" s="7">
        <v>0</v>
      </c>
      <c r="AI46"/>
      <c r="AJ46" s="8">
        <v>0</v>
      </c>
      <c r="AK46" s="7">
        <v>0</v>
      </c>
      <c r="AL46"/>
      <c r="AM46" s="8">
        <v>0</v>
      </c>
      <c r="AN46" s="7">
        <v>0</v>
      </c>
    </row>
    <row r="47" spans="2:40" s="314" customFormat="1" ht="12.75" customHeight="1" x14ac:dyDescent="0.15">
      <c r="B47" s="325" t="s">
        <v>49</v>
      </c>
      <c r="C47" s="326">
        <v>181078.62359999999</v>
      </c>
      <c r="D47" s="327">
        <v>0.33958108999999997</v>
      </c>
      <c r="E47"/>
      <c r="F47" s="326">
        <v>10759.31</v>
      </c>
      <c r="G47" s="327">
        <v>0.34135636000000003</v>
      </c>
      <c r="H47"/>
      <c r="I47" s="326">
        <v>17963.650000000001</v>
      </c>
      <c r="J47" s="327">
        <v>0.49870089000000001</v>
      </c>
      <c r="K47"/>
      <c r="L47" s="326">
        <v>16662.77</v>
      </c>
      <c r="M47" s="327">
        <v>0.37990188000000003</v>
      </c>
      <c r="N47"/>
      <c r="O47" s="326">
        <v>21568.1</v>
      </c>
      <c r="P47" s="327">
        <v>0.45814663000000011</v>
      </c>
      <c r="Q47"/>
      <c r="R47" s="326">
        <v>13247.741400000001</v>
      </c>
      <c r="S47" s="327">
        <v>0.30206896</v>
      </c>
      <c r="T47"/>
      <c r="U47" s="326">
        <v>11538.326800000001</v>
      </c>
      <c r="V47" s="327">
        <v>0.31057470999999998</v>
      </c>
      <c r="W47"/>
      <c r="X47" s="326">
        <v>14609.7937</v>
      </c>
      <c r="Y47" s="327">
        <v>0.31908046000000001</v>
      </c>
      <c r="Z47"/>
      <c r="AA47" s="326">
        <v>15833.776599999999</v>
      </c>
      <c r="AB47" s="327">
        <v>0.31908046000000001</v>
      </c>
      <c r="AC47"/>
      <c r="AD47" s="326">
        <v>14651.406000000001</v>
      </c>
      <c r="AE47" s="327">
        <v>0.28505746999999998</v>
      </c>
      <c r="AF47"/>
      <c r="AG47" s="326">
        <v>15721.4938</v>
      </c>
      <c r="AH47" s="327">
        <v>0.28505746999999998</v>
      </c>
      <c r="AI47"/>
      <c r="AJ47" s="326">
        <v>13631.436</v>
      </c>
      <c r="AK47" s="327">
        <v>0.30206896999999999</v>
      </c>
      <c r="AL47"/>
      <c r="AM47" s="326">
        <v>14890.819299999999</v>
      </c>
      <c r="AN47" s="327">
        <v>0.31908046000000001</v>
      </c>
    </row>
    <row r="48" spans="2:40" s="314" customFormat="1" ht="12.75" customHeight="1" x14ac:dyDescent="0.15">
      <c r="B48" s="5" t="s">
        <v>22</v>
      </c>
      <c r="C48" s="8">
        <v>299097.69459999999</v>
      </c>
      <c r="D48" s="7">
        <v>0.56090507999999994</v>
      </c>
      <c r="E48"/>
      <c r="F48" s="8">
        <v>25438.44</v>
      </c>
      <c r="G48" s="7">
        <v>0.80707528999999989</v>
      </c>
      <c r="H48"/>
      <c r="I48" s="8">
        <v>24313.93</v>
      </c>
      <c r="J48" s="7">
        <v>0.67499525999999999</v>
      </c>
      <c r="K48"/>
      <c r="L48" s="8">
        <v>22670.84</v>
      </c>
      <c r="M48" s="7">
        <v>0.51688253000000006</v>
      </c>
      <c r="N48"/>
      <c r="O48" s="8">
        <v>21804.04</v>
      </c>
      <c r="P48" s="7">
        <v>0.46315843000000001</v>
      </c>
      <c r="Q48"/>
      <c r="R48" s="8">
        <v>22885.550200000001</v>
      </c>
      <c r="S48" s="7">
        <v>0.52182589000000001</v>
      </c>
      <c r="T48"/>
      <c r="U48" s="8">
        <v>27164.2369</v>
      </c>
      <c r="V48" s="7">
        <v>0.73117403999999997</v>
      </c>
      <c r="W48"/>
      <c r="X48" s="8">
        <v>26308.1486</v>
      </c>
      <c r="Y48" s="7">
        <v>0.57457458000000006</v>
      </c>
      <c r="Z48"/>
      <c r="AA48" s="8">
        <v>26692.483199999999</v>
      </c>
      <c r="AB48" s="7">
        <v>0.53790388</v>
      </c>
      <c r="AC48"/>
      <c r="AD48" s="8">
        <v>26007.591100000001</v>
      </c>
      <c r="AE48" s="7">
        <v>0.50600318999999994</v>
      </c>
      <c r="AF48"/>
      <c r="AG48" s="8">
        <v>24479.5016</v>
      </c>
      <c r="AH48" s="7">
        <v>0.44385508000000001</v>
      </c>
      <c r="AI48"/>
      <c r="AJ48" s="8">
        <v>25128.900099999999</v>
      </c>
      <c r="AK48" s="7">
        <v>0.55684969000000006</v>
      </c>
      <c r="AL48"/>
      <c r="AM48" s="8">
        <v>26204.032899999998</v>
      </c>
      <c r="AN48" s="7">
        <v>0.56149999000000006</v>
      </c>
    </row>
    <row r="49" spans="2:40" s="314" customFormat="1" ht="12.75" customHeight="1" x14ac:dyDescent="0.15">
      <c r="B49" s="5" t="s">
        <v>40</v>
      </c>
      <c r="C49" s="8">
        <v>14088.42</v>
      </c>
      <c r="D49" s="7">
        <v>2.6420349999999999E-2</v>
      </c>
      <c r="E49"/>
      <c r="F49" s="8">
        <v>947.55</v>
      </c>
      <c r="G49" s="7">
        <v>3.0062539999999999E-2</v>
      </c>
      <c r="H49"/>
      <c r="I49" s="8">
        <v>187.68</v>
      </c>
      <c r="J49" s="7">
        <v>5.2103100000000001E-3</v>
      </c>
      <c r="K49"/>
      <c r="L49" s="8">
        <v>779.42</v>
      </c>
      <c r="M49" s="7">
        <v>1.7770339999999999E-2</v>
      </c>
      <c r="N49"/>
      <c r="O49" s="8">
        <v>3373.77</v>
      </c>
      <c r="P49" s="7">
        <v>7.1665159999999992E-2</v>
      </c>
      <c r="Q49"/>
      <c r="R49" s="8">
        <v>675</v>
      </c>
      <c r="S49" s="7">
        <v>1.539104E-2</v>
      </c>
      <c r="T49"/>
      <c r="U49" s="8">
        <v>1375</v>
      </c>
      <c r="V49" s="7">
        <v>3.7010590000000003E-2</v>
      </c>
      <c r="W49"/>
      <c r="X49" s="8">
        <v>925</v>
      </c>
      <c r="Y49" s="7">
        <v>2.020216E-2</v>
      </c>
      <c r="Z49"/>
      <c r="AA49" s="8">
        <v>1125</v>
      </c>
      <c r="AB49" s="7">
        <v>2.2670869999999999E-2</v>
      </c>
      <c r="AC49"/>
      <c r="AD49" s="8">
        <v>1225</v>
      </c>
      <c r="AE49" s="7">
        <v>2.383358E-2</v>
      </c>
      <c r="AF49"/>
      <c r="AG49" s="8">
        <v>1125</v>
      </c>
      <c r="AH49" s="7">
        <v>2.039817E-2</v>
      </c>
      <c r="AI49"/>
      <c r="AJ49" s="8">
        <v>925</v>
      </c>
      <c r="AK49" s="7">
        <v>2.0497749999999999E-2</v>
      </c>
      <c r="AL49"/>
      <c r="AM49" s="8">
        <v>1425</v>
      </c>
      <c r="AN49" s="7">
        <v>3.05349E-2</v>
      </c>
    </row>
    <row r="50" spans="2:40" s="314" customFormat="1" ht="12.75" customHeight="1" x14ac:dyDescent="0.15">
      <c r="B50" s="325" t="s">
        <v>41</v>
      </c>
      <c r="C50" s="326">
        <v>38976.453699999998</v>
      </c>
      <c r="D50" s="327">
        <v>7.3093480000000002E-2</v>
      </c>
      <c r="E50"/>
      <c r="F50" s="326">
        <v>-5626.01</v>
      </c>
      <c r="G50" s="327">
        <v>-0.17849419</v>
      </c>
      <c r="H50"/>
      <c r="I50" s="326">
        <v>-6444.37</v>
      </c>
      <c r="J50" s="327">
        <v>-0.17890645999999999</v>
      </c>
      <c r="K50"/>
      <c r="L50" s="326">
        <v>3747.69</v>
      </c>
      <c r="M50" s="327">
        <v>8.544525E-2</v>
      </c>
      <c r="N50"/>
      <c r="O50" s="326">
        <v>330.94</v>
      </c>
      <c r="P50" s="327">
        <v>7.0297800000000002E-3</v>
      </c>
      <c r="Q50"/>
      <c r="R50" s="326">
        <v>7048.3865999999998</v>
      </c>
      <c r="S50" s="327">
        <v>0.1607141</v>
      </c>
      <c r="T50"/>
      <c r="U50" s="326">
        <v>-2926.0302999999999</v>
      </c>
      <c r="V50" s="327">
        <v>-7.8759339999999997E-2</v>
      </c>
      <c r="W50"/>
      <c r="X50" s="326">
        <v>3944.2354</v>
      </c>
      <c r="Y50" s="327">
        <v>8.6142789999999997E-2</v>
      </c>
      <c r="Z50"/>
      <c r="AA50" s="326">
        <v>5971.8872000000001</v>
      </c>
      <c r="AB50" s="327">
        <v>0.12034478999999999</v>
      </c>
      <c r="AC50"/>
      <c r="AD50" s="326">
        <v>9514.0804000000007</v>
      </c>
      <c r="AE50" s="327">
        <v>0.18510576000000001</v>
      </c>
      <c r="AF50"/>
      <c r="AG50" s="326">
        <v>13826.0191</v>
      </c>
      <c r="AH50" s="327">
        <v>0.25068929000000001</v>
      </c>
      <c r="AI50"/>
      <c r="AJ50" s="326">
        <v>5441.5639000000001</v>
      </c>
      <c r="AK50" s="327">
        <v>0.1205836</v>
      </c>
      <c r="AL50"/>
      <c r="AM50" s="326">
        <v>4148.0613999999996</v>
      </c>
      <c r="AN50" s="327">
        <v>8.888465999999999E-2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129486.95359999999</v>
      </c>
      <c r="D53" s="7">
        <v>1</v>
      </c>
      <c r="E53"/>
      <c r="F53" s="8">
        <v>11374.37</v>
      </c>
      <c r="G53" s="7">
        <v>1</v>
      </c>
      <c r="H53"/>
      <c r="I53" s="8">
        <v>9963.8799999999992</v>
      </c>
      <c r="J53" s="7">
        <v>1</v>
      </c>
      <c r="K53"/>
      <c r="L53" s="8">
        <v>12142.04</v>
      </c>
      <c r="M53" s="7">
        <v>1</v>
      </c>
      <c r="N53"/>
      <c r="O53" s="8">
        <v>14693.63</v>
      </c>
      <c r="P53" s="7">
        <v>1</v>
      </c>
      <c r="Q53"/>
      <c r="R53" s="8">
        <v>10029.799999999999</v>
      </c>
      <c r="S53" s="7">
        <v>1</v>
      </c>
      <c r="T53"/>
      <c r="U53" s="8">
        <v>9415.9856</v>
      </c>
      <c r="V53" s="7">
        <v>1</v>
      </c>
      <c r="W53"/>
      <c r="X53" s="8">
        <v>9861.68</v>
      </c>
      <c r="Y53" s="7">
        <v>1</v>
      </c>
      <c r="Z53"/>
      <c r="AA53" s="8">
        <v>10845.727999999999</v>
      </c>
      <c r="AB53" s="7">
        <v>1</v>
      </c>
      <c r="AC53"/>
      <c r="AD53" s="8">
        <v>10757.36</v>
      </c>
      <c r="AE53" s="7">
        <v>1</v>
      </c>
      <c r="AF53"/>
      <c r="AG53" s="8">
        <v>10495.424000000001</v>
      </c>
      <c r="AH53" s="7">
        <v>1</v>
      </c>
      <c r="AI53"/>
      <c r="AJ53" s="8">
        <v>10160.6</v>
      </c>
      <c r="AK53" s="7">
        <v>1</v>
      </c>
      <c r="AL53"/>
      <c r="AM53" s="8">
        <v>9746.4560000000001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97964.943299999999</v>
      </c>
      <c r="D54" s="7">
        <v>0.75656226999999998</v>
      </c>
      <c r="E54"/>
      <c r="F54" s="8">
        <v>4805.38</v>
      </c>
      <c r="G54" s="7">
        <v>0.42247438999999998</v>
      </c>
      <c r="H54"/>
      <c r="I54" s="8">
        <v>6493.8</v>
      </c>
      <c r="J54" s="7">
        <v>0.65173406</v>
      </c>
      <c r="K54"/>
      <c r="L54" s="8">
        <v>6927.74</v>
      </c>
      <c r="M54" s="7">
        <v>0.57055816000000004</v>
      </c>
      <c r="N54"/>
      <c r="O54" s="8">
        <v>6570.02</v>
      </c>
      <c r="P54" s="7">
        <v>0.44713388999999998</v>
      </c>
      <c r="Q54"/>
      <c r="R54" s="8">
        <v>9074.1448999999993</v>
      </c>
      <c r="S54" s="7">
        <v>0.90471843000000007</v>
      </c>
      <c r="T54"/>
      <c r="U54" s="8">
        <v>8515.643</v>
      </c>
      <c r="V54" s="7">
        <v>0.90438147999999996</v>
      </c>
      <c r="W54"/>
      <c r="X54" s="8">
        <v>8881.3549999999996</v>
      </c>
      <c r="Y54" s="7">
        <v>0.90059250000000002</v>
      </c>
      <c r="Z54"/>
      <c r="AA54" s="8">
        <v>9759.1825000000008</v>
      </c>
      <c r="AB54" s="7">
        <v>0.89981810999999989</v>
      </c>
      <c r="AC54"/>
      <c r="AD54" s="8">
        <v>9637.2952000000005</v>
      </c>
      <c r="AE54" s="7">
        <v>0.89587920999999993</v>
      </c>
      <c r="AF54"/>
      <c r="AG54" s="8">
        <v>9369.6648000000005</v>
      </c>
      <c r="AH54" s="7">
        <v>0.89273809000000004</v>
      </c>
      <c r="AI54"/>
      <c r="AJ54" s="8">
        <v>9159.3410000000003</v>
      </c>
      <c r="AK54" s="7">
        <v>0.90145670999999994</v>
      </c>
      <c r="AL54"/>
      <c r="AM54" s="8">
        <v>8771.3768999999993</v>
      </c>
      <c r="AN54" s="7">
        <v>0.89995552000000001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-46.2</v>
      </c>
      <c r="D56" s="7">
        <v>-3.5679E-4</v>
      </c>
      <c r="E56"/>
      <c r="F56" s="8">
        <v>0</v>
      </c>
      <c r="G56" s="7">
        <v>0</v>
      </c>
      <c r="H56"/>
      <c r="I56" s="8">
        <v>-46.2</v>
      </c>
      <c r="J56" s="7">
        <v>-4.6367500000000002E-3</v>
      </c>
      <c r="K56"/>
      <c r="L56" s="8">
        <v>0</v>
      </c>
      <c r="M56" s="7">
        <v>0</v>
      </c>
      <c r="N56"/>
      <c r="O56" s="8">
        <v>0</v>
      </c>
      <c r="P56" s="7">
        <v>0</v>
      </c>
      <c r="Q56"/>
      <c r="R56" s="8">
        <v>0</v>
      </c>
      <c r="S56" s="7">
        <v>0</v>
      </c>
      <c r="T56"/>
      <c r="U56" s="8">
        <v>0</v>
      </c>
      <c r="V56" s="7">
        <v>0</v>
      </c>
      <c r="W56"/>
      <c r="X56" s="8">
        <v>0</v>
      </c>
      <c r="Y56" s="7">
        <v>0</v>
      </c>
      <c r="Z56"/>
      <c r="AA56" s="8">
        <v>0</v>
      </c>
      <c r="AB56" s="7">
        <v>0</v>
      </c>
      <c r="AC56"/>
      <c r="AD56" s="8">
        <v>0</v>
      </c>
      <c r="AE56" s="7">
        <v>0</v>
      </c>
      <c r="AF56"/>
      <c r="AG56" s="8">
        <v>0</v>
      </c>
      <c r="AH56" s="7">
        <v>0</v>
      </c>
      <c r="AI56"/>
      <c r="AJ56" s="8">
        <v>0</v>
      </c>
      <c r="AK56" s="7">
        <v>0</v>
      </c>
      <c r="AL56"/>
      <c r="AM56" s="8">
        <v>0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31568.210299999999</v>
      </c>
      <c r="D57" s="327">
        <v>0.24379451999999999</v>
      </c>
      <c r="E57"/>
      <c r="F57" s="326">
        <v>6568.99</v>
      </c>
      <c r="G57" s="327">
        <v>0.57752561000000002</v>
      </c>
      <c r="H57"/>
      <c r="I57" s="326">
        <v>3516.28</v>
      </c>
      <c r="J57" s="327">
        <v>0.35290268000000002</v>
      </c>
      <c r="K57"/>
      <c r="L57" s="326">
        <v>5214.3</v>
      </c>
      <c r="M57" s="327">
        <v>0.42944184000000002</v>
      </c>
      <c r="N57"/>
      <c r="O57" s="326">
        <v>8123.61</v>
      </c>
      <c r="P57" s="327">
        <v>0.55286610999999997</v>
      </c>
      <c r="Q57"/>
      <c r="R57" s="326">
        <v>955.65509999999995</v>
      </c>
      <c r="S57" s="327">
        <v>9.5281569999999996E-2</v>
      </c>
      <c r="T57"/>
      <c r="U57" s="326">
        <v>900.34259999999995</v>
      </c>
      <c r="V57" s="327">
        <v>9.5618519999999999E-2</v>
      </c>
      <c r="W57"/>
      <c r="X57" s="326">
        <v>980.32500000000005</v>
      </c>
      <c r="Y57" s="327">
        <v>9.9407499999999996E-2</v>
      </c>
      <c r="Z57"/>
      <c r="AA57" s="326">
        <v>1086.5454999999999</v>
      </c>
      <c r="AB57" s="327">
        <v>0.10018189</v>
      </c>
      <c r="AC57"/>
      <c r="AD57" s="326">
        <v>1120.0648000000001</v>
      </c>
      <c r="AE57" s="327">
        <v>0.10412079</v>
      </c>
      <c r="AF57"/>
      <c r="AG57" s="326">
        <v>1125.7592</v>
      </c>
      <c r="AH57" s="327">
        <v>0.10726191</v>
      </c>
      <c r="AI57"/>
      <c r="AJ57" s="326">
        <v>1001.259</v>
      </c>
      <c r="AK57" s="327">
        <v>9.8543290000000006E-2</v>
      </c>
      <c r="AL57"/>
      <c r="AM57" s="326">
        <v>975.07910000000004</v>
      </c>
      <c r="AN57" s="327">
        <v>0.10004448000000001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77975.839999999997</v>
      </c>
      <c r="D60" s="327">
        <v>0.60219071000000002</v>
      </c>
      <c r="E60"/>
      <c r="F60" s="326">
        <v>2139.54</v>
      </c>
      <c r="G60" s="327">
        <v>0.18810184999999999</v>
      </c>
      <c r="H60"/>
      <c r="I60" s="326">
        <v>6491.72</v>
      </c>
      <c r="J60" s="327">
        <v>0.65152530999999991</v>
      </c>
      <c r="K60"/>
      <c r="L60" s="326">
        <v>9451.01</v>
      </c>
      <c r="M60" s="327">
        <v>0.77837085000000006</v>
      </c>
      <c r="N60"/>
      <c r="O60" s="326">
        <v>4593.57</v>
      </c>
      <c r="P60" s="327">
        <v>0.31262322999999997</v>
      </c>
      <c r="Q60"/>
      <c r="R60" s="326">
        <v>5350</v>
      </c>
      <c r="S60" s="327">
        <v>0.53341043999999993</v>
      </c>
      <c r="T60"/>
      <c r="U60" s="326">
        <v>5850</v>
      </c>
      <c r="V60" s="327">
        <v>0.62128386999999996</v>
      </c>
      <c r="W60"/>
      <c r="X60" s="326">
        <v>5850</v>
      </c>
      <c r="Y60" s="327">
        <v>0.59320521000000004</v>
      </c>
      <c r="Z60"/>
      <c r="AA60" s="326">
        <v>7350</v>
      </c>
      <c r="AB60" s="327">
        <v>0.67768618000000003</v>
      </c>
      <c r="AC60"/>
      <c r="AD60" s="326">
        <v>7350</v>
      </c>
      <c r="AE60" s="327">
        <v>0.68325314000000004</v>
      </c>
      <c r="AF60"/>
      <c r="AG60" s="326">
        <v>8350</v>
      </c>
      <c r="AH60" s="327">
        <v>0.79558481999999997</v>
      </c>
      <c r="AI60"/>
      <c r="AJ60" s="326">
        <v>8350</v>
      </c>
      <c r="AK60" s="327">
        <v>0.82180186000000011</v>
      </c>
      <c r="AL60"/>
      <c r="AM60" s="326">
        <v>6850</v>
      </c>
      <c r="AN60" s="327">
        <v>0.70281957000000006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3470061.4835000001</v>
      </c>
      <c r="D63" s="327">
        <v>0.58682391</v>
      </c>
      <c r="E63"/>
      <c r="F63" s="326">
        <v>101151.36</v>
      </c>
      <c r="G63" s="327">
        <v>0.38643129999999998</v>
      </c>
      <c r="H63"/>
      <c r="I63" s="326">
        <v>215344.67</v>
      </c>
      <c r="J63" s="327">
        <v>0.52700557000000003</v>
      </c>
      <c r="K63"/>
      <c r="L63" s="326">
        <v>349747.49</v>
      </c>
      <c r="M63" s="327">
        <v>0.63553183000000002</v>
      </c>
      <c r="N63"/>
      <c r="O63" s="326">
        <v>289457.61</v>
      </c>
      <c r="P63" s="327">
        <v>0.58374682</v>
      </c>
      <c r="Q63"/>
      <c r="R63" s="326">
        <v>315341.8358</v>
      </c>
      <c r="S63" s="327">
        <v>0.61046922999999997</v>
      </c>
      <c r="T63"/>
      <c r="U63" s="326">
        <v>258784.4253</v>
      </c>
      <c r="V63" s="327">
        <v>0.56522585000000003</v>
      </c>
      <c r="W63"/>
      <c r="X63" s="326">
        <v>220734.48499999999</v>
      </c>
      <c r="Y63" s="327">
        <v>0.53655922</v>
      </c>
      <c r="Z63"/>
      <c r="AA63" s="326">
        <v>294392.8615</v>
      </c>
      <c r="AB63" s="327">
        <v>0.58235780000000004</v>
      </c>
      <c r="AC63"/>
      <c r="AD63" s="326">
        <v>340420.9129</v>
      </c>
      <c r="AE63" s="327">
        <v>0.60545596999999995</v>
      </c>
      <c r="AF63"/>
      <c r="AG63" s="326">
        <v>466714.63709999999</v>
      </c>
      <c r="AH63" s="327">
        <v>0.67013620000000007</v>
      </c>
      <c r="AI63"/>
      <c r="AJ63" s="326">
        <v>321031.02140000003</v>
      </c>
      <c r="AK63" s="327">
        <v>0.60270820999999997</v>
      </c>
      <c r="AL63"/>
      <c r="AM63" s="326">
        <v>296940.17450000002</v>
      </c>
      <c r="AN63" s="327">
        <v>0.57762104000000003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290990.3236</v>
      </c>
      <c r="D66" s="7">
        <v>4.9209530000000001E-2</v>
      </c>
      <c r="E66"/>
      <c r="F66" s="8">
        <v>19700.12</v>
      </c>
      <c r="G66" s="7">
        <v>7.526091E-2</v>
      </c>
      <c r="H66"/>
      <c r="I66" s="8">
        <v>30889.52</v>
      </c>
      <c r="J66" s="7">
        <v>7.559486E-2</v>
      </c>
      <c r="K66"/>
      <c r="L66" s="8">
        <v>22793.1</v>
      </c>
      <c r="M66" s="7">
        <v>4.1417710000000003E-2</v>
      </c>
      <c r="N66"/>
      <c r="O66" s="8">
        <v>23184.3</v>
      </c>
      <c r="P66" s="7">
        <v>4.675559E-2</v>
      </c>
      <c r="Q66"/>
      <c r="R66" s="8">
        <v>25172.957200000001</v>
      </c>
      <c r="S66" s="7">
        <v>4.8732249999999998E-2</v>
      </c>
      <c r="T66"/>
      <c r="U66" s="8">
        <v>26487.904900000001</v>
      </c>
      <c r="V66" s="7">
        <v>5.7853750000000002E-2</v>
      </c>
      <c r="W66"/>
      <c r="X66" s="8">
        <v>22016.899099999999</v>
      </c>
      <c r="Y66" s="7">
        <v>5.3518459999999997E-2</v>
      </c>
      <c r="Z66"/>
      <c r="AA66" s="8">
        <v>23914.254000000001</v>
      </c>
      <c r="AB66" s="7">
        <v>4.7306349999999997E-2</v>
      </c>
      <c r="AC66"/>
      <c r="AD66" s="8">
        <v>26102.135999999999</v>
      </c>
      <c r="AE66" s="7">
        <v>4.6423979999999997E-2</v>
      </c>
      <c r="AF66"/>
      <c r="AG66" s="8">
        <v>21433.998200000002</v>
      </c>
      <c r="AH66" s="7">
        <v>3.0776189999999998E-2</v>
      </c>
      <c r="AI66"/>
      <c r="AJ66" s="8">
        <v>26331.240900000001</v>
      </c>
      <c r="AK66" s="7">
        <v>4.9434649999999997E-2</v>
      </c>
      <c r="AL66"/>
      <c r="AM66" s="8">
        <v>22963.8933</v>
      </c>
      <c r="AN66" s="7">
        <v>4.4670370000000001E-2</v>
      </c>
    </row>
    <row r="67" spans="2:40" s="314" customFormat="1" ht="12.75" customHeight="1" x14ac:dyDescent="0.15">
      <c r="B67" s="5" t="s">
        <v>40</v>
      </c>
      <c r="C67" s="8">
        <v>175545.5209</v>
      </c>
      <c r="D67" s="7">
        <v>2.9686589999999999E-2</v>
      </c>
      <c r="E67"/>
      <c r="F67" s="8">
        <v>7611.93</v>
      </c>
      <c r="G67" s="7">
        <v>2.9080060000000001E-2</v>
      </c>
      <c r="H67"/>
      <c r="I67" s="8">
        <v>15024.26</v>
      </c>
      <c r="J67" s="7">
        <v>3.6768349999999998E-2</v>
      </c>
      <c r="K67"/>
      <c r="L67" s="8">
        <v>13098.12</v>
      </c>
      <c r="M67" s="7">
        <v>2.3800809999999999E-2</v>
      </c>
      <c r="N67"/>
      <c r="O67" s="8">
        <v>11808.21</v>
      </c>
      <c r="P67" s="7">
        <v>2.3813520000000001E-2</v>
      </c>
      <c r="Q67"/>
      <c r="R67" s="8">
        <v>15331.5888</v>
      </c>
      <c r="S67" s="7">
        <v>2.9680370000000001E-2</v>
      </c>
      <c r="T67"/>
      <c r="U67" s="8">
        <v>14209.4352</v>
      </c>
      <c r="V67" s="7">
        <v>3.103564E-2</v>
      </c>
      <c r="W67"/>
      <c r="X67" s="8">
        <v>13468.436600000001</v>
      </c>
      <c r="Y67" s="7">
        <v>3.2738940000000001E-2</v>
      </c>
      <c r="Z67"/>
      <c r="AA67" s="8">
        <v>15562.228800000001</v>
      </c>
      <c r="AB67" s="7">
        <v>3.0784659999999998E-2</v>
      </c>
      <c r="AC67"/>
      <c r="AD67" s="8">
        <v>16979.8544</v>
      </c>
      <c r="AE67" s="7">
        <v>3.019954E-2</v>
      </c>
      <c r="AF67"/>
      <c r="AG67" s="8">
        <v>19233.814399999999</v>
      </c>
      <c r="AH67" s="7">
        <v>2.7617039999999999E-2</v>
      </c>
      <c r="AI67"/>
      <c r="AJ67" s="8">
        <v>17896.807000000001</v>
      </c>
      <c r="AK67" s="7">
        <v>3.359972E-2</v>
      </c>
      <c r="AL67"/>
      <c r="AM67" s="8">
        <v>15320.8357</v>
      </c>
      <c r="AN67" s="7">
        <v>2.9802760000000001E-2</v>
      </c>
    </row>
    <row r="68" spans="2:40" s="314" customFormat="1" ht="12.75" customHeight="1" x14ac:dyDescent="0.15">
      <c r="B68" s="325" t="s">
        <v>41</v>
      </c>
      <c r="C68" s="326">
        <v>-466535.8443</v>
      </c>
      <c r="D68" s="327">
        <v>-7.889612E-2</v>
      </c>
      <c r="E68"/>
      <c r="F68" s="326">
        <v>-27312.05</v>
      </c>
      <c r="G68" s="327">
        <v>-0.10434097000000001</v>
      </c>
      <c r="H68"/>
      <c r="I68" s="326">
        <v>-45913.78</v>
      </c>
      <c r="J68" s="327">
        <v>-0.11236321000000001</v>
      </c>
      <c r="K68"/>
      <c r="L68" s="326">
        <v>-35891.22</v>
      </c>
      <c r="M68" s="327">
        <v>-6.5218520000000002E-2</v>
      </c>
      <c r="N68"/>
      <c r="O68" s="326">
        <v>-34992.51</v>
      </c>
      <c r="P68" s="327">
        <v>-7.0569110000000004E-2</v>
      </c>
      <c r="Q68"/>
      <c r="R68" s="326">
        <v>-40504.546000000002</v>
      </c>
      <c r="S68" s="327">
        <v>-7.8412620000000002E-2</v>
      </c>
      <c r="T68"/>
      <c r="U68" s="326">
        <v>-40697.340100000001</v>
      </c>
      <c r="V68" s="327">
        <v>-8.8889390000000013E-2</v>
      </c>
      <c r="W68"/>
      <c r="X68" s="326">
        <v>-35485.335700000003</v>
      </c>
      <c r="Y68" s="327">
        <v>-8.6257409999999993E-2</v>
      </c>
      <c r="Z68"/>
      <c r="AA68" s="326">
        <v>-39476.4827</v>
      </c>
      <c r="AB68" s="327">
        <v>-7.8091019999999997E-2</v>
      </c>
      <c r="AC68"/>
      <c r="AD68" s="326">
        <v>-43081.990299999998</v>
      </c>
      <c r="AE68" s="327">
        <v>-7.6623520000000001E-2</v>
      </c>
      <c r="AF68"/>
      <c r="AG68" s="326">
        <v>-40667.812599999997</v>
      </c>
      <c r="AH68" s="327">
        <v>-5.8393229999999997E-2</v>
      </c>
      <c r="AI68"/>
      <c r="AJ68" s="326">
        <v>-44228.047899999998</v>
      </c>
      <c r="AK68" s="327">
        <v>-8.303437000000001E-2</v>
      </c>
      <c r="AL68"/>
      <c r="AM68" s="326">
        <v>-38284.728999999999</v>
      </c>
      <c r="AN68" s="327">
        <v>-7.4473129999999998E-2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33833.9</v>
      </c>
      <c r="D71" s="7">
        <v>5.7216699999999999E-3</v>
      </c>
      <c r="E71"/>
      <c r="F71" s="8">
        <v>2477.88</v>
      </c>
      <c r="G71" s="7">
        <v>9.4663100000000003E-3</v>
      </c>
      <c r="H71"/>
      <c r="I71" s="8">
        <v>2431.6799999999998</v>
      </c>
      <c r="J71" s="7">
        <v>5.9509699999999999E-3</v>
      </c>
      <c r="K71"/>
      <c r="L71" s="8">
        <v>1297.06</v>
      </c>
      <c r="M71" s="7">
        <v>2.3569099999999998E-3</v>
      </c>
      <c r="N71"/>
      <c r="O71" s="8">
        <v>2883.28</v>
      </c>
      <c r="P71" s="7">
        <v>5.81469E-3</v>
      </c>
      <c r="Q71"/>
      <c r="R71" s="8">
        <v>3093</v>
      </c>
      <c r="S71" s="7">
        <v>5.9877300000000001E-3</v>
      </c>
      <c r="T71"/>
      <c r="U71" s="8">
        <v>3093</v>
      </c>
      <c r="V71" s="7">
        <v>6.7555999999999996E-3</v>
      </c>
      <c r="W71"/>
      <c r="X71" s="8">
        <v>3093</v>
      </c>
      <c r="Y71" s="7">
        <v>7.5184300000000004E-3</v>
      </c>
      <c r="Z71"/>
      <c r="AA71" s="8">
        <v>3093</v>
      </c>
      <c r="AB71" s="7">
        <v>6.11847E-3</v>
      </c>
      <c r="AC71"/>
      <c r="AD71" s="8">
        <v>3093</v>
      </c>
      <c r="AE71" s="7">
        <v>5.5010599999999986E-3</v>
      </c>
      <c r="AF71"/>
      <c r="AG71" s="8">
        <v>3093</v>
      </c>
      <c r="AH71" s="7">
        <v>4.4411099999999998E-3</v>
      </c>
      <c r="AI71"/>
      <c r="AJ71" s="8">
        <v>3093</v>
      </c>
      <c r="AK71" s="7">
        <v>5.8068399999999997E-3</v>
      </c>
      <c r="AL71"/>
      <c r="AM71" s="8">
        <v>3093</v>
      </c>
      <c r="AN71" s="7">
        <v>6.0166400000000002E-3</v>
      </c>
    </row>
    <row r="72" spans="2:40" s="314" customFormat="1" ht="12.75" customHeight="1" x14ac:dyDescent="0.15">
      <c r="B72" s="5" t="s">
        <v>56</v>
      </c>
      <c r="C72" s="8">
        <v>109834.5052</v>
      </c>
      <c r="D72" s="7">
        <v>1.8574170000000001E-2</v>
      </c>
      <c r="E72"/>
      <c r="F72" s="8">
        <v>8261.5</v>
      </c>
      <c r="G72" s="7">
        <v>3.156163E-2</v>
      </c>
      <c r="H72"/>
      <c r="I72" s="8">
        <v>7347.65</v>
      </c>
      <c r="J72" s="7">
        <v>1.7981649999999998E-2</v>
      </c>
      <c r="K72"/>
      <c r="L72" s="8">
        <v>9001.42</v>
      </c>
      <c r="M72" s="7">
        <v>1.635663E-2</v>
      </c>
      <c r="N72"/>
      <c r="O72" s="8">
        <v>6618.54</v>
      </c>
      <c r="P72" s="7">
        <v>1.334756E-2</v>
      </c>
      <c r="Q72"/>
      <c r="R72" s="8">
        <v>9831.9243999999999</v>
      </c>
      <c r="S72" s="7">
        <v>1.903359E-2</v>
      </c>
      <c r="T72"/>
      <c r="U72" s="8">
        <v>9831.9243999999999</v>
      </c>
      <c r="V72" s="7">
        <v>2.1474469999999999E-2</v>
      </c>
      <c r="W72"/>
      <c r="X72" s="8">
        <v>9831.9243999999999</v>
      </c>
      <c r="Y72" s="7">
        <v>2.389935E-2</v>
      </c>
      <c r="Z72"/>
      <c r="AA72" s="8">
        <v>9831.9243999999999</v>
      </c>
      <c r="AB72" s="7">
        <v>1.9449170000000002E-2</v>
      </c>
      <c r="AC72"/>
      <c r="AD72" s="8">
        <v>9831.9243999999999</v>
      </c>
      <c r="AE72" s="7">
        <v>1.7486580000000002E-2</v>
      </c>
      <c r="AF72"/>
      <c r="AG72" s="8">
        <v>9831.9243999999999</v>
      </c>
      <c r="AH72" s="7">
        <v>1.411725E-2</v>
      </c>
      <c r="AI72"/>
      <c r="AJ72" s="8">
        <v>9831.9243999999999</v>
      </c>
      <c r="AK72" s="7">
        <v>1.845859E-2</v>
      </c>
      <c r="AL72"/>
      <c r="AM72" s="8">
        <v>9781.9243999999999</v>
      </c>
      <c r="AN72" s="7">
        <v>1.902823E-2</v>
      </c>
    </row>
    <row r="73" spans="2:40" s="314" customFormat="1" ht="12.75" customHeight="1" x14ac:dyDescent="0.15">
      <c r="B73" s="5" t="s">
        <v>40</v>
      </c>
      <c r="C73" s="8">
        <v>2160</v>
      </c>
      <c r="D73" s="7">
        <v>3.6528E-4</v>
      </c>
      <c r="E73"/>
      <c r="F73" s="8">
        <v>0</v>
      </c>
      <c r="G73" s="7">
        <v>0</v>
      </c>
      <c r="H73"/>
      <c r="I73" s="8">
        <v>0</v>
      </c>
      <c r="J73" s="7">
        <v>0</v>
      </c>
      <c r="K73"/>
      <c r="L73" s="8">
        <v>0</v>
      </c>
      <c r="M73" s="7">
        <v>0</v>
      </c>
      <c r="N73"/>
      <c r="O73" s="8">
        <v>0</v>
      </c>
      <c r="P73" s="7">
        <v>0</v>
      </c>
      <c r="Q73"/>
      <c r="R73" s="8">
        <v>270</v>
      </c>
      <c r="S73" s="7">
        <v>5.2269000000000003E-4</v>
      </c>
      <c r="T73"/>
      <c r="U73" s="8">
        <v>270</v>
      </c>
      <c r="V73" s="7">
        <v>5.8971999999999996E-4</v>
      </c>
      <c r="W73"/>
      <c r="X73" s="8">
        <v>270</v>
      </c>
      <c r="Y73" s="7">
        <v>6.563099999999999E-4</v>
      </c>
      <c r="Z73"/>
      <c r="AA73" s="8">
        <v>270</v>
      </c>
      <c r="AB73" s="7">
        <v>5.3410000000000003E-4</v>
      </c>
      <c r="AC73"/>
      <c r="AD73" s="8">
        <v>270</v>
      </c>
      <c r="AE73" s="7">
        <v>4.8021000000000001E-4</v>
      </c>
      <c r="AF73"/>
      <c r="AG73" s="8">
        <v>270</v>
      </c>
      <c r="AH73" s="7">
        <v>3.8767999999999989E-4</v>
      </c>
      <c r="AI73"/>
      <c r="AJ73" s="8">
        <v>270</v>
      </c>
      <c r="AK73" s="7">
        <v>5.0690000000000002E-4</v>
      </c>
      <c r="AL73"/>
      <c r="AM73" s="8">
        <v>270</v>
      </c>
      <c r="AN73" s="7">
        <v>5.2521999999999996E-4</v>
      </c>
    </row>
    <row r="74" spans="2:40" s="314" customFormat="1" ht="12.75" customHeight="1" x14ac:dyDescent="0.15">
      <c r="B74" s="325" t="s">
        <v>41</v>
      </c>
      <c r="C74" s="326">
        <v>-146116.40520000001</v>
      </c>
      <c r="D74" s="327">
        <v>-2.470982E-2</v>
      </c>
      <c r="E74"/>
      <c r="F74" s="326">
        <v>-10739.38</v>
      </c>
      <c r="G74" s="327">
        <v>-4.1027950000000007E-2</v>
      </c>
      <c r="H74"/>
      <c r="I74" s="326">
        <v>-9779.33</v>
      </c>
      <c r="J74" s="327">
        <v>-2.3932620000000002E-2</v>
      </c>
      <c r="K74"/>
      <c r="L74" s="326">
        <v>-10298.48</v>
      </c>
      <c r="M74" s="327">
        <v>-1.8713529999999999E-2</v>
      </c>
      <c r="N74"/>
      <c r="O74" s="326">
        <v>-9501.82</v>
      </c>
      <c r="P74" s="327">
        <v>-1.9162240000000001E-2</v>
      </c>
      <c r="Q74"/>
      <c r="R74" s="326">
        <v>-13230.9244</v>
      </c>
      <c r="S74" s="327">
        <v>-2.56137E-2</v>
      </c>
      <c r="T74"/>
      <c r="U74" s="326">
        <v>-13230.9244</v>
      </c>
      <c r="V74" s="327">
        <v>-2.8898420000000001E-2</v>
      </c>
      <c r="W74"/>
      <c r="X74" s="326">
        <v>-13230.9244</v>
      </c>
      <c r="Y74" s="327">
        <v>-3.2161599999999999E-2</v>
      </c>
      <c r="Z74"/>
      <c r="AA74" s="326">
        <v>-13230.9244</v>
      </c>
      <c r="AB74" s="327">
        <v>-2.6172959999999999E-2</v>
      </c>
      <c r="AC74"/>
      <c r="AD74" s="326">
        <v>-13230.9244</v>
      </c>
      <c r="AE74" s="327">
        <v>-2.353187E-2</v>
      </c>
      <c r="AF74"/>
      <c r="AG74" s="326">
        <v>-13230.9244</v>
      </c>
      <c r="AH74" s="327">
        <v>-1.8997739999999999E-2</v>
      </c>
      <c r="AI74"/>
      <c r="AJ74" s="326">
        <v>-13230.9244</v>
      </c>
      <c r="AK74" s="327">
        <v>-2.483993E-2</v>
      </c>
      <c r="AL74"/>
      <c r="AM74" s="326">
        <v>-13180.9244</v>
      </c>
      <c r="AN74" s="327">
        <v>-2.5640110000000001E-2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60424.5049</v>
      </c>
      <c r="D77" s="7">
        <v>1.0218420000000001E-2</v>
      </c>
      <c r="E77"/>
      <c r="F77" s="8">
        <v>3926.37</v>
      </c>
      <c r="G77" s="7">
        <v>1.5000019999999999E-2</v>
      </c>
      <c r="H77"/>
      <c r="I77" s="8">
        <v>4079.4</v>
      </c>
      <c r="J77" s="7">
        <v>9.9833700000000001E-3</v>
      </c>
      <c r="K77"/>
      <c r="L77" s="8">
        <v>5493.47</v>
      </c>
      <c r="M77" s="7">
        <v>9.9822699999999997E-3</v>
      </c>
      <c r="N77"/>
      <c r="O77" s="8">
        <v>4957.95</v>
      </c>
      <c r="P77" s="7">
        <v>9.9986599999999995E-3</v>
      </c>
      <c r="Q77"/>
      <c r="R77" s="8">
        <v>5165.5648000000001</v>
      </c>
      <c r="S77" s="7">
        <v>0.01</v>
      </c>
      <c r="T77"/>
      <c r="U77" s="8">
        <v>4578.4251999999997</v>
      </c>
      <c r="V77" s="7">
        <v>0.01</v>
      </c>
      <c r="W77"/>
      <c r="X77" s="8">
        <v>4113.8886000000002</v>
      </c>
      <c r="Y77" s="7">
        <v>0.01</v>
      </c>
      <c r="Z77"/>
      <c r="AA77" s="8">
        <v>5055.1887999999999</v>
      </c>
      <c r="AB77" s="7">
        <v>0.01</v>
      </c>
      <c r="AC77"/>
      <c r="AD77" s="8">
        <v>5622.5544</v>
      </c>
      <c r="AE77" s="7">
        <v>0.01</v>
      </c>
      <c r="AF77"/>
      <c r="AG77" s="8">
        <v>6964.4744000000001</v>
      </c>
      <c r="AH77" s="7">
        <v>0.01</v>
      </c>
      <c r="AI77"/>
      <c r="AJ77" s="8">
        <v>5326.4750000000004</v>
      </c>
      <c r="AK77" s="7">
        <v>0.01</v>
      </c>
      <c r="AL77"/>
      <c r="AM77" s="8">
        <v>5140.7437</v>
      </c>
      <c r="AN77" s="7">
        <v>0.01</v>
      </c>
    </row>
    <row r="78" spans="2:40" s="314" customFormat="1" ht="12.75" customHeight="1" x14ac:dyDescent="0.15">
      <c r="B78" s="5" t="s">
        <v>40</v>
      </c>
      <c r="C78" s="8">
        <v>255828.02720000001</v>
      </c>
      <c r="D78" s="7">
        <v>4.3263210000000003E-2</v>
      </c>
      <c r="E78"/>
      <c r="F78" s="8">
        <v>15166.41</v>
      </c>
      <c r="G78" s="7">
        <v>5.7940650000000003E-2</v>
      </c>
      <c r="H78"/>
      <c r="I78" s="8">
        <v>8247.2999999999993</v>
      </c>
      <c r="J78" s="7">
        <v>2.0183329999999999E-2</v>
      </c>
      <c r="K78"/>
      <c r="L78" s="8">
        <v>23137.77</v>
      </c>
      <c r="M78" s="7">
        <v>4.2044020000000001E-2</v>
      </c>
      <c r="N78"/>
      <c r="O78" s="8">
        <v>19879.2</v>
      </c>
      <c r="P78" s="7">
        <v>4.0090220000000003E-2</v>
      </c>
      <c r="Q78"/>
      <c r="R78" s="8">
        <v>23481.3472</v>
      </c>
      <c r="S78" s="7">
        <v>4.5457460000000012E-2</v>
      </c>
      <c r="T78"/>
      <c r="U78" s="8">
        <v>21303.2628</v>
      </c>
      <c r="V78" s="7">
        <v>4.6529670000000002E-2</v>
      </c>
      <c r="W78"/>
      <c r="X78" s="8">
        <v>19230.582900000001</v>
      </c>
      <c r="Y78" s="7">
        <v>4.6745509999999997E-2</v>
      </c>
      <c r="Z78"/>
      <c r="AA78" s="8">
        <v>22825.283100000001</v>
      </c>
      <c r="AB78" s="7">
        <v>4.5152190000000002E-2</v>
      </c>
      <c r="AC78"/>
      <c r="AD78" s="8">
        <v>25002.581600000001</v>
      </c>
      <c r="AE78" s="7">
        <v>4.4468370000000007E-2</v>
      </c>
      <c r="AF78"/>
      <c r="AG78" s="8">
        <v>30257.961599999999</v>
      </c>
      <c r="AH78" s="7">
        <v>4.3446150000000003E-2</v>
      </c>
      <c r="AI78"/>
      <c r="AJ78" s="8">
        <v>24014.962500000001</v>
      </c>
      <c r="AK78" s="7">
        <v>4.5086029999999999E-2</v>
      </c>
      <c r="AL78"/>
      <c r="AM78" s="8">
        <v>23281.3655</v>
      </c>
      <c r="AN78" s="7">
        <v>4.5287929999999997E-2</v>
      </c>
    </row>
    <row r="79" spans="2:40" s="314" customFormat="1" ht="12.75" customHeight="1" x14ac:dyDescent="0.15">
      <c r="B79" s="325" t="s">
        <v>41</v>
      </c>
      <c r="C79" s="326">
        <v>-316252.5319</v>
      </c>
      <c r="D79" s="327">
        <v>-5.3481630000000002E-2</v>
      </c>
      <c r="E79"/>
      <c r="F79" s="326">
        <v>-19092.78</v>
      </c>
      <c r="G79" s="327">
        <v>-7.2940669999999999E-2</v>
      </c>
      <c r="H79"/>
      <c r="I79" s="326">
        <v>-12326.7</v>
      </c>
      <c r="J79" s="327">
        <v>-3.0166709999999999E-2</v>
      </c>
      <c r="K79"/>
      <c r="L79" s="326">
        <v>-28631.24</v>
      </c>
      <c r="M79" s="327">
        <v>-5.2026290000000003E-2</v>
      </c>
      <c r="N79"/>
      <c r="O79" s="326">
        <v>-24837.15</v>
      </c>
      <c r="P79" s="327">
        <v>-5.0088880000000002E-2</v>
      </c>
      <c r="Q79"/>
      <c r="R79" s="326">
        <v>-28646.912</v>
      </c>
      <c r="S79" s="327">
        <v>-5.545746E-2</v>
      </c>
      <c r="T79"/>
      <c r="U79" s="326">
        <v>-25881.687999999998</v>
      </c>
      <c r="V79" s="327">
        <v>-5.6529669999999997E-2</v>
      </c>
      <c r="W79"/>
      <c r="X79" s="326">
        <v>-23344.471399999999</v>
      </c>
      <c r="Y79" s="327">
        <v>-5.6745509999999999E-2</v>
      </c>
      <c r="Z79"/>
      <c r="AA79" s="326">
        <v>-27880.4719</v>
      </c>
      <c r="AB79" s="327">
        <v>-5.5152189999999997E-2</v>
      </c>
      <c r="AC79"/>
      <c r="AD79" s="326">
        <v>-30625.135900000001</v>
      </c>
      <c r="AE79" s="327">
        <v>-5.4468370000000002E-2</v>
      </c>
      <c r="AF79"/>
      <c r="AG79" s="326">
        <v>-37222.436000000002</v>
      </c>
      <c r="AH79" s="327">
        <v>-5.3446149999999998E-2</v>
      </c>
      <c r="AI79"/>
      <c r="AJ79" s="326">
        <v>-29341.4375</v>
      </c>
      <c r="AK79" s="327">
        <v>-5.5086030000000001E-2</v>
      </c>
      <c r="AL79"/>
      <c r="AM79" s="326">
        <v>-28422.109199999999</v>
      </c>
      <c r="AN79" s="327">
        <v>-5.5287930000000013E-2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55130.8845</v>
      </c>
      <c r="D82" s="7">
        <v>9.3232100000000002E-3</v>
      </c>
      <c r="E82"/>
      <c r="F82" s="8">
        <v>701.59</v>
      </c>
      <c r="G82" s="7">
        <v>2.6803E-3</v>
      </c>
      <c r="H82"/>
      <c r="I82" s="8">
        <v>1540.01</v>
      </c>
      <c r="J82" s="7">
        <v>3.76881E-3</v>
      </c>
      <c r="K82"/>
      <c r="L82" s="8">
        <v>4634.5</v>
      </c>
      <c r="M82" s="7">
        <v>8.4214300000000006E-3</v>
      </c>
      <c r="N82"/>
      <c r="O82" s="8">
        <v>4984.58</v>
      </c>
      <c r="P82" s="7">
        <v>1.005236E-2</v>
      </c>
      <c r="Q82"/>
      <c r="R82" s="8">
        <v>4534.4350000000004</v>
      </c>
      <c r="S82" s="7">
        <v>8.7781999999999999E-3</v>
      </c>
      <c r="T82"/>
      <c r="U82" s="8">
        <v>5065.1918999999998</v>
      </c>
      <c r="V82" s="7">
        <v>1.1063170000000001E-2</v>
      </c>
      <c r="W82"/>
      <c r="X82" s="8">
        <v>4288.2995000000001</v>
      </c>
      <c r="Y82" s="7">
        <v>1.0423959999999999E-2</v>
      </c>
      <c r="Z82"/>
      <c r="AA82" s="8">
        <v>4754.4350000000004</v>
      </c>
      <c r="AB82" s="7">
        <v>9.4050599999999998E-3</v>
      </c>
      <c r="AC82"/>
      <c r="AD82" s="8">
        <v>3822.1640000000002</v>
      </c>
      <c r="AE82" s="7">
        <v>6.7979100000000008E-3</v>
      </c>
      <c r="AF82"/>
      <c r="AG82" s="8">
        <v>7150.3308999999999</v>
      </c>
      <c r="AH82" s="7">
        <v>1.0266859999999999E-2</v>
      </c>
      <c r="AI82"/>
      <c r="AJ82" s="8">
        <v>6528.8168999999998</v>
      </c>
      <c r="AK82" s="7">
        <v>1.2257290000000001E-2</v>
      </c>
      <c r="AL82"/>
      <c r="AM82" s="8">
        <v>7126.5312999999996</v>
      </c>
      <c r="AN82" s="7">
        <v>1.386284E-2</v>
      </c>
    </row>
    <row r="83" spans="2:40" s="314" customFormat="1" ht="12.75" customHeight="1" x14ac:dyDescent="0.15">
      <c r="B83" s="5" t="s">
        <v>40</v>
      </c>
      <c r="C83" s="8">
        <v>206571.86</v>
      </c>
      <c r="D83" s="7">
        <v>3.4933480000000003E-2</v>
      </c>
      <c r="E83"/>
      <c r="F83" s="8">
        <v>12070.9</v>
      </c>
      <c r="G83" s="7">
        <v>4.6114790000000003E-2</v>
      </c>
      <c r="H83"/>
      <c r="I83" s="8">
        <v>26871.93</v>
      </c>
      <c r="J83" s="7">
        <v>6.5762749999999995E-2</v>
      </c>
      <c r="K83"/>
      <c r="L83" s="8">
        <v>24384.92</v>
      </c>
      <c r="M83" s="7">
        <v>4.4310229999999999E-2</v>
      </c>
      <c r="N83"/>
      <c r="O83" s="8">
        <v>33057.06</v>
      </c>
      <c r="P83" s="7">
        <v>6.6665910000000009E-2</v>
      </c>
      <c r="Q83"/>
      <c r="R83" s="8">
        <v>22909.42</v>
      </c>
      <c r="S83" s="7">
        <v>4.4350269999999997E-2</v>
      </c>
      <c r="T83"/>
      <c r="U83" s="8">
        <v>11627.79</v>
      </c>
      <c r="V83" s="7">
        <v>2.539692E-2</v>
      </c>
      <c r="W83"/>
      <c r="X83" s="8">
        <v>17244.21</v>
      </c>
      <c r="Y83" s="7">
        <v>4.1917059999999999E-2</v>
      </c>
      <c r="Z83"/>
      <c r="AA83" s="8">
        <v>12879.42</v>
      </c>
      <c r="AB83" s="7">
        <v>2.5477619999999999E-2</v>
      </c>
      <c r="AC83"/>
      <c r="AD83" s="8">
        <v>11928.79</v>
      </c>
      <c r="AE83" s="7">
        <v>2.1215959999999999E-2</v>
      </c>
      <c r="AF83"/>
      <c r="AG83" s="8">
        <v>11244.21</v>
      </c>
      <c r="AH83" s="7">
        <v>1.6145090000000001E-2</v>
      </c>
      <c r="AI83"/>
      <c r="AJ83" s="8">
        <v>10709.42</v>
      </c>
      <c r="AK83" s="7">
        <v>2.0106019999999999E-2</v>
      </c>
      <c r="AL83"/>
      <c r="AM83" s="8">
        <v>11643.79</v>
      </c>
      <c r="AN83" s="7">
        <v>2.2650010000000002E-2</v>
      </c>
    </row>
    <row r="84" spans="2:40" s="314" customFormat="1" ht="12.75" customHeight="1" x14ac:dyDescent="0.15">
      <c r="B84" s="325" t="s">
        <v>41</v>
      </c>
      <c r="C84" s="326">
        <v>-261702.7445</v>
      </c>
      <c r="D84" s="327">
        <v>-4.4256690000000001E-2</v>
      </c>
      <c r="E84"/>
      <c r="F84" s="326">
        <v>-12772.49</v>
      </c>
      <c r="G84" s="327">
        <v>-4.8795089999999999E-2</v>
      </c>
      <c r="H84"/>
      <c r="I84" s="326">
        <v>-28411.94</v>
      </c>
      <c r="J84" s="327">
        <v>-6.9531559999999992E-2</v>
      </c>
      <c r="K84"/>
      <c r="L84" s="326">
        <v>-29019.42</v>
      </c>
      <c r="M84" s="327">
        <v>-5.273166E-2</v>
      </c>
      <c r="N84"/>
      <c r="O84" s="326">
        <v>-38041.64</v>
      </c>
      <c r="P84" s="327">
        <v>-7.6718270000000005E-2</v>
      </c>
      <c r="Q84"/>
      <c r="R84" s="326">
        <v>-27443.855</v>
      </c>
      <c r="S84" s="327">
        <v>-5.3128469999999997E-2</v>
      </c>
      <c r="T84"/>
      <c r="U84" s="326">
        <v>-16692.981899999999</v>
      </c>
      <c r="V84" s="327">
        <v>-3.6460100000000002E-2</v>
      </c>
      <c r="W84"/>
      <c r="X84" s="326">
        <v>-21532.5095</v>
      </c>
      <c r="Y84" s="327">
        <v>-5.234101E-2</v>
      </c>
      <c r="Z84"/>
      <c r="AA84" s="326">
        <v>-17633.855</v>
      </c>
      <c r="AB84" s="327">
        <v>-3.4882679999999999E-2</v>
      </c>
      <c r="AC84"/>
      <c r="AD84" s="326">
        <v>-15750.954</v>
      </c>
      <c r="AE84" s="327">
        <v>-2.8013880000000001E-2</v>
      </c>
      <c r="AF84"/>
      <c r="AG84" s="326">
        <v>-18394.5409</v>
      </c>
      <c r="AH84" s="327">
        <v>-2.6411960000000002E-2</v>
      </c>
      <c r="AI84"/>
      <c r="AJ84" s="326">
        <v>-17238.2369</v>
      </c>
      <c r="AK84" s="327">
        <v>-3.2363309999999999E-2</v>
      </c>
      <c r="AL84"/>
      <c r="AM84" s="326">
        <v>-18770.3213</v>
      </c>
      <c r="AN84" s="327">
        <v>-3.6512849999999999E-2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-259117.69</v>
      </c>
      <c r="D87" s="327">
        <v>-4.3819530000000002E-2</v>
      </c>
      <c r="E87"/>
      <c r="F87" s="326">
        <v>-21398.58</v>
      </c>
      <c r="G87" s="327">
        <v>-8.1749580000000002E-2</v>
      </c>
      <c r="H87"/>
      <c r="I87" s="326">
        <v>-17297.55</v>
      </c>
      <c r="J87" s="327">
        <v>-4.23317E-2</v>
      </c>
      <c r="K87"/>
      <c r="L87" s="326">
        <v>-22223.87</v>
      </c>
      <c r="M87" s="327">
        <v>-4.0383349999999998E-2</v>
      </c>
      <c r="N87"/>
      <c r="O87" s="326">
        <v>-20772.71</v>
      </c>
      <c r="P87" s="327">
        <v>-4.1892159999999998E-2</v>
      </c>
      <c r="Q87"/>
      <c r="R87" s="326">
        <v>-19447.5</v>
      </c>
      <c r="S87" s="327">
        <v>-3.7648349999999997E-2</v>
      </c>
      <c r="T87"/>
      <c r="U87" s="326">
        <v>-21246.78</v>
      </c>
      <c r="V87" s="327">
        <v>-4.6406309999999999E-2</v>
      </c>
      <c r="W87"/>
      <c r="X87" s="326">
        <v>-21994.5</v>
      </c>
      <c r="Y87" s="327">
        <v>-5.3464009999999999E-2</v>
      </c>
      <c r="Z87"/>
      <c r="AA87" s="326">
        <v>-23863.8</v>
      </c>
      <c r="AB87" s="327">
        <v>-4.720655E-2</v>
      </c>
      <c r="AC87"/>
      <c r="AD87" s="326">
        <v>-23562.3</v>
      </c>
      <c r="AE87" s="327">
        <v>-4.190675E-2</v>
      </c>
      <c r="AF87"/>
      <c r="AG87" s="326">
        <v>-22959.3</v>
      </c>
      <c r="AH87" s="327">
        <v>-3.2966309999999999E-2</v>
      </c>
      <c r="AI87"/>
      <c r="AJ87" s="326">
        <v>-22597.5</v>
      </c>
      <c r="AK87" s="327">
        <v>-4.2424870000000003E-2</v>
      </c>
      <c r="AL87"/>
      <c r="AM87" s="326">
        <v>-21753.3</v>
      </c>
      <c r="AN87" s="327">
        <v>-4.2315470000000001E-2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2020336.2675000001</v>
      </c>
      <c r="D89" s="327">
        <v>0.34166012000000001</v>
      </c>
      <c r="E89"/>
      <c r="F89" s="326">
        <v>9836.08</v>
      </c>
      <c r="G89" s="327">
        <v>3.7577039999999999E-2</v>
      </c>
      <c r="H89"/>
      <c r="I89" s="326">
        <v>101615.37</v>
      </c>
      <c r="J89" s="327">
        <v>0.24867979000000001</v>
      </c>
      <c r="K89"/>
      <c r="L89" s="326">
        <v>223683.26</v>
      </c>
      <c r="M89" s="327">
        <v>0.40645847000000002</v>
      </c>
      <c r="N89"/>
      <c r="O89" s="326">
        <v>161311.78</v>
      </c>
      <c r="P89" s="327">
        <v>0.32531616000000002</v>
      </c>
      <c r="Q89"/>
      <c r="R89" s="326">
        <v>186068.09849999999</v>
      </c>
      <c r="S89" s="327">
        <v>0.36020861999999998</v>
      </c>
      <c r="T89"/>
      <c r="U89" s="326">
        <v>141034.71090000001</v>
      </c>
      <c r="V89" s="327">
        <v>0.30804197</v>
      </c>
      <c r="W89"/>
      <c r="X89" s="326">
        <v>105146.74400000001</v>
      </c>
      <c r="Y89" s="327">
        <v>0.25558966999999999</v>
      </c>
      <c r="Z89"/>
      <c r="AA89" s="326">
        <v>172307.32750000001</v>
      </c>
      <c r="AB89" s="327">
        <v>0.34085241000000011</v>
      </c>
      <c r="AC89"/>
      <c r="AD89" s="326">
        <v>214169.60819999999</v>
      </c>
      <c r="AE89" s="327">
        <v>0.38091158000000003</v>
      </c>
      <c r="AF89"/>
      <c r="AG89" s="326">
        <v>334239.62329999998</v>
      </c>
      <c r="AH89" s="327">
        <v>0.47992082000000003</v>
      </c>
      <c r="AI89"/>
      <c r="AJ89" s="326">
        <v>194394.87460000001</v>
      </c>
      <c r="AK89" s="327">
        <v>0.36495970999999999</v>
      </c>
      <c r="AL89"/>
      <c r="AM89" s="326">
        <v>176528.7905</v>
      </c>
      <c r="AN89" s="327">
        <v>0.34339154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0</v>
      </c>
      <c r="D97" s="327">
        <v>0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0</v>
      </c>
      <c r="D99" s="7">
        <v>0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0</v>
      </c>
      <c r="D101" s="327">
        <v>0</v>
      </c>
      <c r="E101"/>
      <c r="F101" s="326">
        <v>0</v>
      </c>
      <c r="G101" s="327">
        <v>0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2020336.2675000001</v>
      </c>
      <c r="D103" s="327">
        <v>0.34166012000000001</v>
      </c>
      <c r="E103"/>
      <c r="F103" s="326">
        <v>9836.08</v>
      </c>
      <c r="G103" s="327">
        <v>3.7577039999999999E-2</v>
      </c>
      <c r="H103"/>
      <c r="I103" s="326">
        <v>101615.37</v>
      </c>
      <c r="J103" s="327">
        <v>0.24867979000000001</v>
      </c>
      <c r="K103"/>
      <c r="L103" s="326">
        <v>223683.26</v>
      </c>
      <c r="M103" s="327">
        <v>0.40645847000000002</v>
      </c>
      <c r="N103"/>
      <c r="O103" s="326">
        <v>161311.78</v>
      </c>
      <c r="P103" s="327">
        <v>0.32531616000000002</v>
      </c>
      <c r="Q103"/>
      <c r="R103" s="326">
        <v>186068.09849999999</v>
      </c>
      <c r="S103" s="327">
        <v>0.36020861999999998</v>
      </c>
      <c r="T103"/>
      <c r="U103" s="326">
        <v>141034.71090000001</v>
      </c>
      <c r="V103" s="327">
        <v>0.30804197</v>
      </c>
      <c r="W103"/>
      <c r="X103" s="326">
        <v>105146.74400000001</v>
      </c>
      <c r="Y103" s="327">
        <v>0.25558966999999999</v>
      </c>
      <c r="Z103"/>
      <c r="AA103" s="326">
        <v>172307.32750000001</v>
      </c>
      <c r="AB103" s="327">
        <v>0.34085241000000011</v>
      </c>
      <c r="AC103"/>
      <c r="AD103" s="326">
        <v>214169.60819999999</v>
      </c>
      <c r="AE103" s="327">
        <v>0.38091158000000003</v>
      </c>
      <c r="AF103"/>
      <c r="AG103" s="326">
        <v>334239.62329999998</v>
      </c>
      <c r="AH103" s="327">
        <v>0.47992082000000003</v>
      </c>
      <c r="AI103"/>
      <c r="AJ103" s="326">
        <v>194394.87460000001</v>
      </c>
      <c r="AK103" s="327">
        <v>0.36495970999999999</v>
      </c>
      <c r="AL103"/>
      <c r="AM103" s="326">
        <v>176528.7905</v>
      </c>
      <c r="AN103" s="327">
        <v>0.34339154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71585.8</v>
      </c>
      <c r="D105" s="327">
        <v>1.2105909999999999E-2</v>
      </c>
      <c r="E105"/>
      <c r="F105" s="326">
        <v>6028.35</v>
      </c>
      <c r="G105" s="327">
        <v>2.3030269999999999E-2</v>
      </c>
      <c r="H105"/>
      <c r="I105" s="326">
        <v>6028.35</v>
      </c>
      <c r="J105" s="327">
        <v>1.4752970000000001E-2</v>
      </c>
      <c r="K105"/>
      <c r="L105" s="326">
        <v>6028.35</v>
      </c>
      <c r="M105" s="327">
        <v>1.0954210000000001E-2</v>
      </c>
      <c r="N105"/>
      <c r="O105" s="326">
        <v>6028.35</v>
      </c>
      <c r="P105" s="327">
        <v>1.2157319999999999E-2</v>
      </c>
      <c r="Q105"/>
      <c r="R105" s="326">
        <v>5934.05</v>
      </c>
      <c r="S105" s="327">
        <v>1.148771E-2</v>
      </c>
      <c r="T105"/>
      <c r="U105" s="326">
        <v>5934.05</v>
      </c>
      <c r="V105" s="327">
        <v>1.2960899999999999E-2</v>
      </c>
      <c r="W105"/>
      <c r="X105" s="326">
        <v>5934.05</v>
      </c>
      <c r="Y105" s="327">
        <v>1.442443E-2</v>
      </c>
      <c r="Z105"/>
      <c r="AA105" s="326">
        <v>5934.05</v>
      </c>
      <c r="AB105" s="327">
        <v>1.173853E-2</v>
      </c>
      <c r="AC105"/>
      <c r="AD105" s="326">
        <v>5934.05</v>
      </c>
      <c r="AE105" s="327">
        <v>1.0554010000000001E-2</v>
      </c>
      <c r="AF105"/>
      <c r="AG105" s="326">
        <v>5934.05</v>
      </c>
      <c r="AH105" s="327">
        <v>8.5204600000000005E-3</v>
      </c>
      <c r="AI105"/>
      <c r="AJ105" s="326">
        <v>5934.05</v>
      </c>
      <c r="AK105" s="327">
        <v>1.114067E-2</v>
      </c>
      <c r="AL105"/>
      <c r="AM105" s="326">
        <v>5934.05</v>
      </c>
      <c r="AN105" s="327">
        <v>1.154317E-2</v>
      </c>
    </row>
    <row r="106" spans="2:40" s="314" customFormat="1" ht="12.75" customHeight="1" x14ac:dyDescent="0.15">
      <c r="B106" s="5" t="s">
        <v>71</v>
      </c>
      <c r="C106" s="8">
        <v>23597.200000000001</v>
      </c>
      <c r="D106" s="7">
        <v>3.9905299999999999E-3</v>
      </c>
      <c r="E106"/>
      <c r="F106" s="8">
        <v>2029.3</v>
      </c>
      <c r="G106" s="7">
        <v>7.7525900000000002E-3</v>
      </c>
      <c r="H106"/>
      <c r="I106" s="8">
        <v>2029.3</v>
      </c>
      <c r="J106" s="7">
        <v>4.9662400000000002E-3</v>
      </c>
      <c r="K106"/>
      <c r="L106" s="8">
        <v>2029.3</v>
      </c>
      <c r="M106" s="7">
        <v>3.68747E-3</v>
      </c>
      <c r="N106"/>
      <c r="O106" s="8">
        <v>2029.3</v>
      </c>
      <c r="P106" s="7">
        <v>4.09247E-3</v>
      </c>
      <c r="Q106"/>
      <c r="R106" s="8">
        <v>1935</v>
      </c>
      <c r="S106" s="7">
        <v>3.74596E-3</v>
      </c>
      <c r="T106"/>
      <c r="U106" s="8">
        <v>1935</v>
      </c>
      <c r="V106" s="7">
        <v>4.2263400000000003E-3</v>
      </c>
      <c r="W106"/>
      <c r="X106" s="8">
        <v>1935</v>
      </c>
      <c r="Y106" s="7">
        <v>4.7035799999999997E-3</v>
      </c>
      <c r="Z106"/>
      <c r="AA106" s="8">
        <v>1935</v>
      </c>
      <c r="AB106" s="7">
        <v>3.82775E-3</v>
      </c>
      <c r="AC106"/>
      <c r="AD106" s="8">
        <v>1935</v>
      </c>
      <c r="AE106" s="7">
        <v>3.4415000000000001E-3</v>
      </c>
      <c r="AF106"/>
      <c r="AG106" s="8">
        <v>1935</v>
      </c>
      <c r="AH106" s="7">
        <v>2.7783899999999999E-3</v>
      </c>
      <c r="AI106"/>
      <c r="AJ106" s="8">
        <v>1935</v>
      </c>
      <c r="AK106" s="7">
        <v>3.6327999999999998E-3</v>
      </c>
      <c r="AL106"/>
      <c r="AM106" s="8">
        <v>1935</v>
      </c>
      <c r="AN106" s="7">
        <v>3.7640500000000001E-3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12000</v>
      </c>
      <c r="D108" s="7">
        <v>2.0293300000000002E-3</v>
      </c>
      <c r="E108"/>
      <c r="F108" s="8">
        <v>1000</v>
      </c>
      <c r="G108" s="7">
        <v>3.8203299999999998E-3</v>
      </c>
      <c r="H108"/>
      <c r="I108" s="8">
        <v>1000</v>
      </c>
      <c r="J108" s="7">
        <v>2.4472700000000001E-3</v>
      </c>
      <c r="K108"/>
      <c r="L108" s="8">
        <v>1000</v>
      </c>
      <c r="M108" s="7">
        <v>1.81712E-3</v>
      </c>
      <c r="N108"/>
      <c r="O108" s="8">
        <v>1000</v>
      </c>
      <c r="P108" s="7">
        <v>2.0166899999999998E-3</v>
      </c>
      <c r="Q108"/>
      <c r="R108" s="8">
        <v>1000</v>
      </c>
      <c r="S108" s="7">
        <v>1.9358999999999999E-3</v>
      </c>
      <c r="T108"/>
      <c r="U108" s="8">
        <v>1000</v>
      </c>
      <c r="V108" s="7">
        <v>2.1841600000000001E-3</v>
      </c>
      <c r="W108"/>
      <c r="X108" s="8">
        <v>1000</v>
      </c>
      <c r="Y108" s="7">
        <v>2.4307899999999999E-3</v>
      </c>
      <c r="Z108"/>
      <c r="AA108" s="8">
        <v>1000</v>
      </c>
      <c r="AB108" s="7">
        <v>1.97817E-3</v>
      </c>
      <c r="AC108"/>
      <c r="AD108" s="8">
        <v>1000</v>
      </c>
      <c r="AE108" s="7">
        <v>1.7785500000000001E-3</v>
      </c>
      <c r="AF108"/>
      <c r="AG108" s="8">
        <v>1000</v>
      </c>
      <c r="AH108" s="7">
        <v>1.43586E-3</v>
      </c>
      <c r="AI108"/>
      <c r="AJ108" s="8">
        <v>1000</v>
      </c>
      <c r="AK108" s="7">
        <v>1.8774099999999999E-3</v>
      </c>
      <c r="AL108"/>
      <c r="AM108" s="8">
        <v>1000</v>
      </c>
      <c r="AN108" s="7">
        <v>1.94524E-3</v>
      </c>
    </row>
    <row r="109" spans="2:40" s="314" customFormat="1" ht="12.75" customHeight="1" x14ac:dyDescent="0.15">
      <c r="B109" s="5" t="s">
        <v>74</v>
      </c>
      <c r="C109" s="8">
        <v>0</v>
      </c>
      <c r="D109" s="7">
        <v>0</v>
      </c>
      <c r="E109"/>
      <c r="F109" s="8">
        <v>0</v>
      </c>
      <c r="G109" s="7">
        <v>0</v>
      </c>
      <c r="H109"/>
      <c r="I109" s="8">
        <v>0</v>
      </c>
      <c r="J109" s="7">
        <v>0</v>
      </c>
      <c r="K109"/>
      <c r="L109" s="8">
        <v>0</v>
      </c>
      <c r="M109" s="7">
        <v>0</v>
      </c>
      <c r="N109"/>
      <c r="O109" s="8">
        <v>0</v>
      </c>
      <c r="P109" s="7">
        <v>0</v>
      </c>
      <c r="Q109"/>
      <c r="R109" s="8">
        <v>0</v>
      </c>
      <c r="S109" s="7">
        <v>0</v>
      </c>
      <c r="T109"/>
      <c r="U109" s="8">
        <v>0</v>
      </c>
      <c r="V109" s="7">
        <v>0</v>
      </c>
      <c r="W109"/>
      <c r="X109" s="8">
        <v>0</v>
      </c>
      <c r="Y109" s="7">
        <v>0</v>
      </c>
      <c r="Z109"/>
      <c r="AA109" s="8">
        <v>0</v>
      </c>
      <c r="AB109" s="7">
        <v>0</v>
      </c>
      <c r="AC109"/>
      <c r="AD109" s="8">
        <v>0</v>
      </c>
      <c r="AE109" s="7">
        <v>0</v>
      </c>
      <c r="AF109"/>
      <c r="AG109" s="8">
        <v>0</v>
      </c>
      <c r="AH109" s="7">
        <v>0</v>
      </c>
      <c r="AI109"/>
      <c r="AJ109" s="8">
        <v>0</v>
      </c>
      <c r="AK109" s="7">
        <v>0</v>
      </c>
      <c r="AL109"/>
      <c r="AM109" s="8">
        <v>0</v>
      </c>
      <c r="AN109" s="7">
        <v>0</v>
      </c>
    </row>
    <row r="110" spans="2:40" s="314" customFormat="1" ht="12.75" customHeight="1" x14ac:dyDescent="0.15">
      <c r="B110" s="5" t="s">
        <v>75</v>
      </c>
      <c r="C110" s="8">
        <v>28152</v>
      </c>
      <c r="D110" s="7">
        <v>4.7607999999999999E-3</v>
      </c>
      <c r="E110"/>
      <c r="F110" s="8">
        <v>2346</v>
      </c>
      <c r="G110" s="7">
        <v>8.96249E-3</v>
      </c>
      <c r="H110"/>
      <c r="I110" s="8">
        <v>2346</v>
      </c>
      <c r="J110" s="7">
        <v>5.7412799999999996E-3</v>
      </c>
      <c r="K110"/>
      <c r="L110" s="8">
        <v>2346</v>
      </c>
      <c r="M110" s="7">
        <v>4.2629499999999997E-3</v>
      </c>
      <c r="N110"/>
      <c r="O110" s="8">
        <v>2346</v>
      </c>
      <c r="P110" s="7">
        <v>4.7311599999999999E-3</v>
      </c>
      <c r="Q110"/>
      <c r="R110" s="8">
        <v>2346</v>
      </c>
      <c r="S110" s="7">
        <v>4.5416099999999997E-3</v>
      </c>
      <c r="T110"/>
      <c r="U110" s="8">
        <v>2346</v>
      </c>
      <c r="V110" s="7">
        <v>5.1240300000000008E-3</v>
      </c>
      <c r="W110"/>
      <c r="X110" s="8">
        <v>2346</v>
      </c>
      <c r="Y110" s="7">
        <v>5.7026299999999993E-3</v>
      </c>
      <c r="Z110"/>
      <c r="AA110" s="8">
        <v>2346</v>
      </c>
      <c r="AB110" s="7">
        <v>4.6407799999999997E-3</v>
      </c>
      <c r="AC110"/>
      <c r="AD110" s="8">
        <v>2346</v>
      </c>
      <c r="AE110" s="7">
        <v>4.1724800000000001E-3</v>
      </c>
      <c r="AF110"/>
      <c r="AG110" s="8">
        <v>2346</v>
      </c>
      <c r="AH110" s="7">
        <v>3.3685199999999998E-3</v>
      </c>
      <c r="AI110"/>
      <c r="AJ110" s="8">
        <v>2346</v>
      </c>
      <c r="AK110" s="7">
        <v>4.4044100000000001E-3</v>
      </c>
      <c r="AL110"/>
      <c r="AM110" s="8">
        <v>2346</v>
      </c>
      <c r="AN110" s="7">
        <v>4.5635399999999996E-3</v>
      </c>
    </row>
    <row r="111" spans="2:40" s="314" customFormat="1" ht="12.75" customHeight="1" x14ac:dyDescent="0.15">
      <c r="B111" s="5" t="s">
        <v>76</v>
      </c>
      <c r="C111" s="8">
        <v>7836.6</v>
      </c>
      <c r="D111" s="7">
        <v>1.32525E-3</v>
      </c>
      <c r="E111"/>
      <c r="F111" s="8">
        <v>653.04999999999995</v>
      </c>
      <c r="G111" s="7">
        <v>2.4948599999999998E-3</v>
      </c>
      <c r="H111"/>
      <c r="I111" s="8">
        <v>653.04999999999995</v>
      </c>
      <c r="J111" s="7">
        <v>1.59819E-3</v>
      </c>
      <c r="K111"/>
      <c r="L111" s="8">
        <v>653.04999999999995</v>
      </c>
      <c r="M111" s="7">
        <v>1.1866699999999999E-3</v>
      </c>
      <c r="N111"/>
      <c r="O111" s="8">
        <v>653.04999999999995</v>
      </c>
      <c r="P111" s="7">
        <v>1.317E-3</v>
      </c>
      <c r="Q111"/>
      <c r="R111" s="8">
        <v>653.04999999999995</v>
      </c>
      <c r="S111" s="7">
        <v>1.26424E-3</v>
      </c>
      <c r="T111"/>
      <c r="U111" s="8">
        <v>653.04999999999995</v>
      </c>
      <c r="V111" s="7">
        <v>1.42636E-3</v>
      </c>
      <c r="W111"/>
      <c r="X111" s="8">
        <v>653.04999999999995</v>
      </c>
      <c r="Y111" s="7">
        <v>1.5874299999999999E-3</v>
      </c>
      <c r="Z111"/>
      <c r="AA111" s="8">
        <v>653.04999999999995</v>
      </c>
      <c r="AB111" s="7">
        <v>1.29184E-3</v>
      </c>
      <c r="AC111"/>
      <c r="AD111" s="8">
        <v>653.04999999999995</v>
      </c>
      <c r="AE111" s="7">
        <v>1.1614800000000001E-3</v>
      </c>
      <c r="AF111"/>
      <c r="AG111" s="8">
        <v>653.04999999999995</v>
      </c>
      <c r="AH111" s="7">
        <v>9.3769000000000003E-4</v>
      </c>
      <c r="AI111"/>
      <c r="AJ111" s="8">
        <v>653.04999999999995</v>
      </c>
      <c r="AK111" s="7">
        <v>1.22605E-3</v>
      </c>
      <c r="AL111"/>
      <c r="AM111" s="8">
        <v>653.04999999999995</v>
      </c>
      <c r="AN111" s="7">
        <v>1.27034E-3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1948750.4675</v>
      </c>
      <c r="D121" s="327">
        <v>0.32955421000000001</v>
      </c>
      <c r="E121"/>
      <c r="F121" s="326">
        <v>3807.73</v>
      </c>
      <c r="G121" s="327">
        <v>1.4546770000000001E-2</v>
      </c>
      <c r="H121"/>
      <c r="I121" s="326">
        <v>95587.02</v>
      </c>
      <c r="J121" s="327">
        <v>0.23392681000000001</v>
      </c>
      <c r="K121"/>
      <c r="L121" s="326">
        <v>217654.91</v>
      </c>
      <c r="M121" s="327">
        <v>0.39550426</v>
      </c>
      <c r="N121"/>
      <c r="O121" s="326">
        <v>155283.43</v>
      </c>
      <c r="P121" s="327">
        <v>0.31315883999999999</v>
      </c>
      <c r="Q121"/>
      <c r="R121" s="326">
        <v>180134.0485</v>
      </c>
      <c r="S121" s="327">
        <v>0.34872091999999999</v>
      </c>
      <c r="T121"/>
      <c r="U121" s="326">
        <v>135100.66089999999</v>
      </c>
      <c r="V121" s="327">
        <v>0.29508107</v>
      </c>
      <c r="W121"/>
      <c r="X121" s="326">
        <v>99212.694000000003</v>
      </c>
      <c r="Y121" s="327">
        <v>0.24116524</v>
      </c>
      <c r="Z121"/>
      <c r="AA121" s="326">
        <v>166373.2775</v>
      </c>
      <c r="AB121" s="327">
        <v>0.32911388000000003</v>
      </c>
      <c r="AC121"/>
      <c r="AD121" s="326">
        <v>208235.5582</v>
      </c>
      <c r="AE121" s="327">
        <v>0.37035757000000002</v>
      </c>
      <c r="AF121"/>
      <c r="AG121" s="326">
        <v>328305.57329999999</v>
      </c>
      <c r="AH121" s="327">
        <v>0.47140036000000002</v>
      </c>
      <c r="AI121"/>
      <c r="AJ121" s="326">
        <v>188460.82459999999</v>
      </c>
      <c r="AK121" s="327">
        <v>0.35381903999999997</v>
      </c>
      <c r="AL121"/>
      <c r="AM121" s="326">
        <v>170594.74050000001</v>
      </c>
      <c r="AN121" s="327">
        <v>0.33184837</v>
      </c>
    </row>
    <row r="122" spans="2:40" s="314" customFormat="1" ht="12.75" customHeight="1" x14ac:dyDescent="0.15">
      <c r="B122" s="5" t="s">
        <v>85</v>
      </c>
      <c r="C122" s="8">
        <v>74247.953299999994</v>
      </c>
      <c r="D122" s="7">
        <v>1.2556110000000001E-2</v>
      </c>
      <c r="E122"/>
      <c r="F122" s="8">
        <v>6277</v>
      </c>
      <c r="G122" s="7">
        <v>2.3980189999999998E-2</v>
      </c>
      <c r="H122"/>
      <c r="I122" s="8">
        <v>6277</v>
      </c>
      <c r="J122" s="7">
        <v>1.536149E-2</v>
      </c>
      <c r="K122"/>
      <c r="L122" s="8">
        <v>6277</v>
      </c>
      <c r="M122" s="7">
        <v>1.1406039999999999E-2</v>
      </c>
      <c r="N122"/>
      <c r="O122" s="8">
        <v>6277</v>
      </c>
      <c r="P122" s="7">
        <v>1.265878E-2</v>
      </c>
      <c r="Q122"/>
      <c r="R122" s="8">
        <v>5668.9105</v>
      </c>
      <c r="S122" s="7">
        <v>1.097443E-2</v>
      </c>
      <c r="T122"/>
      <c r="U122" s="8">
        <v>5968.5542999999998</v>
      </c>
      <c r="V122" s="7">
        <v>1.3036259999999999E-2</v>
      </c>
      <c r="W122"/>
      <c r="X122" s="8">
        <v>5866.9022999999997</v>
      </c>
      <c r="Y122" s="7">
        <v>1.426121E-2</v>
      </c>
      <c r="Z122"/>
      <c r="AA122" s="8">
        <v>6277</v>
      </c>
      <c r="AB122" s="7">
        <v>1.241694E-2</v>
      </c>
      <c r="AC122"/>
      <c r="AD122" s="8">
        <v>6277</v>
      </c>
      <c r="AE122" s="7">
        <v>1.1163960000000001E-2</v>
      </c>
      <c r="AF122"/>
      <c r="AG122" s="8">
        <v>6443.5361000000003</v>
      </c>
      <c r="AH122" s="7">
        <v>9.2520099999999997E-3</v>
      </c>
      <c r="AI122"/>
      <c r="AJ122" s="8">
        <v>6361.0501000000004</v>
      </c>
      <c r="AK122" s="7">
        <v>1.1942329999999999E-2</v>
      </c>
      <c r="AL122"/>
      <c r="AM122" s="8">
        <v>6277</v>
      </c>
      <c r="AN122" s="7">
        <v>1.22103E-2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1874502.5142999999</v>
      </c>
      <c r="D124" s="327">
        <v>0.3169981</v>
      </c>
      <c r="E124"/>
      <c r="F124" s="326">
        <v>-2469.27</v>
      </c>
      <c r="G124" s="327">
        <v>-9.4334199999999997E-3</v>
      </c>
      <c r="H124"/>
      <c r="I124" s="326">
        <v>89310.02</v>
      </c>
      <c r="J124" s="327">
        <v>0.21856533</v>
      </c>
      <c r="K124"/>
      <c r="L124" s="326">
        <v>211377.91</v>
      </c>
      <c r="M124" s="327">
        <v>0.38409821999999999</v>
      </c>
      <c r="N124"/>
      <c r="O124" s="326">
        <v>149006.43</v>
      </c>
      <c r="P124" s="327">
        <v>0.30050006000000001</v>
      </c>
      <c r="Q124"/>
      <c r="R124" s="326">
        <v>174465.13810000001</v>
      </c>
      <c r="S124" s="327">
        <v>0.33774649000000001</v>
      </c>
      <c r="T124"/>
      <c r="U124" s="326">
        <v>129132.1066</v>
      </c>
      <c r="V124" s="327">
        <v>0.28204480999999998</v>
      </c>
      <c r="W124"/>
      <c r="X124" s="326">
        <v>93345.791700000002</v>
      </c>
      <c r="Y124" s="327">
        <v>0.22690403000000001</v>
      </c>
      <c r="Z124"/>
      <c r="AA124" s="326">
        <v>160096.2775</v>
      </c>
      <c r="AB124" s="327">
        <v>0.31669692999999999</v>
      </c>
      <c r="AC124"/>
      <c r="AD124" s="326">
        <v>201958.55809999999</v>
      </c>
      <c r="AE124" s="327">
        <v>0.35919361</v>
      </c>
      <c r="AF124"/>
      <c r="AG124" s="326">
        <v>321862.03720000002</v>
      </c>
      <c r="AH124" s="327">
        <v>0.46214834999999999</v>
      </c>
      <c r="AI124"/>
      <c r="AJ124" s="326">
        <v>182099.7746</v>
      </c>
      <c r="AK124" s="327">
        <v>0.34187670999999997</v>
      </c>
      <c r="AL124"/>
      <c r="AM124" s="326">
        <v>164317.74050000001</v>
      </c>
      <c r="AN124" s="327">
        <v>0.31963807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1874502.5142999999</v>
      </c>
      <c r="D127" s="327">
        <v>0.3169981</v>
      </c>
      <c r="E127"/>
      <c r="F127" s="326">
        <v>-2469.27</v>
      </c>
      <c r="G127" s="327">
        <v>-9.4334199999999997E-3</v>
      </c>
      <c r="H127"/>
      <c r="I127" s="326">
        <v>89310.02</v>
      </c>
      <c r="J127" s="327">
        <v>0.21856533</v>
      </c>
      <c r="K127"/>
      <c r="L127" s="326">
        <v>211377.91</v>
      </c>
      <c r="M127" s="327">
        <v>0.38409821999999999</v>
      </c>
      <c r="N127"/>
      <c r="O127" s="326">
        <v>149006.43</v>
      </c>
      <c r="P127" s="327">
        <v>0.30050006000000001</v>
      </c>
      <c r="Q127"/>
      <c r="R127" s="326">
        <v>174465.13810000001</v>
      </c>
      <c r="S127" s="327">
        <v>0.33774649000000001</v>
      </c>
      <c r="T127"/>
      <c r="U127" s="326">
        <v>129132.1066</v>
      </c>
      <c r="V127" s="327">
        <v>0.28204480999999998</v>
      </c>
      <c r="W127"/>
      <c r="X127" s="326">
        <v>93345.791700000002</v>
      </c>
      <c r="Y127" s="327">
        <v>0.22690403000000001</v>
      </c>
      <c r="Z127"/>
      <c r="AA127" s="326">
        <v>160096.2775</v>
      </c>
      <c r="AB127" s="327">
        <v>0.31669692999999999</v>
      </c>
      <c r="AC127"/>
      <c r="AD127" s="326">
        <v>201958.55809999999</v>
      </c>
      <c r="AE127" s="327">
        <v>0.35919361</v>
      </c>
      <c r="AF127"/>
      <c r="AG127" s="326">
        <v>321862.03720000002</v>
      </c>
      <c r="AH127" s="327">
        <v>0.46214834999999999</v>
      </c>
      <c r="AI127"/>
      <c r="AJ127" s="326">
        <v>182099.7746</v>
      </c>
      <c r="AK127" s="327">
        <v>0.34187670999999997</v>
      </c>
      <c r="AL127"/>
      <c r="AM127" s="326">
        <v>164317.74050000001</v>
      </c>
      <c r="AN127" s="327">
        <v>0.31963807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177327.3743</v>
      </c>
      <c r="D129" s="327">
        <v>2.9987920000000001E-2</v>
      </c>
      <c r="E129"/>
      <c r="F129" s="326">
        <v>7832.99</v>
      </c>
      <c r="G129" s="327">
        <v>2.9924590000000001E-2</v>
      </c>
      <c r="H129"/>
      <c r="I129" s="326">
        <v>12238.19</v>
      </c>
      <c r="J129" s="327">
        <v>2.99501E-2</v>
      </c>
      <c r="K129"/>
      <c r="L129" s="326">
        <v>16480.400000000001</v>
      </c>
      <c r="M129" s="327">
        <v>2.9946799999999999E-2</v>
      </c>
      <c r="N129"/>
      <c r="O129" s="326">
        <v>14873.85</v>
      </c>
      <c r="P129" s="327">
        <v>2.999597E-2</v>
      </c>
      <c r="Q129"/>
      <c r="R129" s="326">
        <v>15496.694299999999</v>
      </c>
      <c r="S129" s="327">
        <v>0.03</v>
      </c>
      <c r="T129"/>
      <c r="U129" s="326">
        <v>13735.275600000001</v>
      </c>
      <c r="V129" s="327">
        <v>0.03</v>
      </c>
      <c r="W129"/>
      <c r="X129" s="326">
        <v>12341.6657</v>
      </c>
      <c r="Y129" s="327">
        <v>0.03</v>
      </c>
      <c r="Z129"/>
      <c r="AA129" s="326">
        <v>15165.5663</v>
      </c>
      <c r="AB129" s="327">
        <v>0.03</v>
      </c>
      <c r="AC129"/>
      <c r="AD129" s="326">
        <v>16867.663100000002</v>
      </c>
      <c r="AE129" s="327">
        <v>0.03</v>
      </c>
      <c r="AF129"/>
      <c r="AG129" s="326">
        <v>20893.423200000001</v>
      </c>
      <c r="AH129" s="327">
        <v>0.03</v>
      </c>
      <c r="AI129"/>
      <c r="AJ129" s="326">
        <v>15979.424999999999</v>
      </c>
      <c r="AK129" s="327">
        <v>0.03</v>
      </c>
      <c r="AL129"/>
      <c r="AM129" s="326">
        <v>15422.231100000001</v>
      </c>
      <c r="AN129" s="327">
        <v>0.03</v>
      </c>
    </row>
    <row r="130" spans="2:40" s="314" customFormat="1" ht="12.75" customHeight="1" x14ac:dyDescent="0.15">
      <c r="B130" s="5" t="s">
        <v>90</v>
      </c>
      <c r="C130" s="8">
        <v>177327.3743</v>
      </c>
      <c r="D130" s="7">
        <v>2.9987920000000001E-2</v>
      </c>
      <c r="E130"/>
      <c r="F130" s="8">
        <v>7832.99</v>
      </c>
      <c r="G130" s="7">
        <v>2.9924590000000001E-2</v>
      </c>
      <c r="H130"/>
      <c r="I130" s="8">
        <v>12238.19</v>
      </c>
      <c r="J130" s="7">
        <v>2.99501E-2</v>
      </c>
      <c r="K130"/>
      <c r="L130" s="8">
        <v>16480.400000000001</v>
      </c>
      <c r="M130" s="7">
        <v>2.9946799999999999E-2</v>
      </c>
      <c r="N130"/>
      <c r="O130" s="8">
        <v>14873.85</v>
      </c>
      <c r="P130" s="7">
        <v>2.999597E-2</v>
      </c>
      <c r="Q130"/>
      <c r="R130" s="8">
        <v>15496.694299999999</v>
      </c>
      <c r="S130" s="7">
        <v>0.03</v>
      </c>
      <c r="T130"/>
      <c r="U130" s="8">
        <v>13735.275600000001</v>
      </c>
      <c r="V130" s="7">
        <v>0.03</v>
      </c>
      <c r="W130"/>
      <c r="X130" s="8">
        <v>12341.6657</v>
      </c>
      <c r="Y130" s="7">
        <v>0.03</v>
      </c>
      <c r="Z130"/>
      <c r="AA130" s="8">
        <v>15165.5663</v>
      </c>
      <c r="AB130" s="7">
        <v>0.03</v>
      </c>
      <c r="AC130"/>
      <c r="AD130" s="8">
        <v>16867.663100000002</v>
      </c>
      <c r="AE130" s="7">
        <v>0.03</v>
      </c>
      <c r="AF130"/>
      <c r="AG130" s="8">
        <v>20893.423200000001</v>
      </c>
      <c r="AH130" s="7">
        <v>0.03</v>
      </c>
      <c r="AI130"/>
      <c r="AJ130" s="8">
        <v>15979.424999999999</v>
      </c>
      <c r="AK130" s="7">
        <v>0.03</v>
      </c>
      <c r="AL130"/>
      <c r="AM130" s="8">
        <v>15422.231100000001</v>
      </c>
      <c r="AN130" s="7">
        <v>0.03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1697175.14</v>
      </c>
      <c r="D134" s="327">
        <v>0.28701017000000001</v>
      </c>
      <c r="E134"/>
      <c r="F134" s="326">
        <v>-10302.26</v>
      </c>
      <c r="G134" s="327">
        <v>-3.9357999999999997E-2</v>
      </c>
      <c r="H134"/>
      <c r="I134" s="326">
        <v>77071.83</v>
      </c>
      <c r="J134" s="327">
        <v>0.18861522999999999</v>
      </c>
      <c r="K134"/>
      <c r="L134" s="326">
        <v>194897.51</v>
      </c>
      <c r="M134" s="327">
        <v>0.35415142000000011</v>
      </c>
      <c r="N134"/>
      <c r="O134" s="326">
        <v>134132.57999999999</v>
      </c>
      <c r="P134" s="327">
        <v>0.27050408999999997</v>
      </c>
      <c r="Q134"/>
      <c r="R134" s="326">
        <v>158968.4437</v>
      </c>
      <c r="S134" s="327">
        <v>0.30774648999999998</v>
      </c>
      <c r="T134"/>
      <c r="U134" s="326">
        <v>115396.83100000001</v>
      </c>
      <c r="V134" s="327">
        <v>0.25204481000000001</v>
      </c>
      <c r="W134"/>
      <c r="X134" s="326">
        <v>81004.126000000004</v>
      </c>
      <c r="Y134" s="327">
        <v>0.19690403000000001</v>
      </c>
      <c r="Z134"/>
      <c r="AA134" s="326">
        <v>144930.7113</v>
      </c>
      <c r="AB134" s="327">
        <v>0.28669693000000002</v>
      </c>
      <c r="AC134"/>
      <c r="AD134" s="326">
        <v>185090.89499999999</v>
      </c>
      <c r="AE134" s="327">
        <v>0.32919361000000003</v>
      </c>
      <c r="AF134"/>
      <c r="AG134" s="326">
        <v>300968.614</v>
      </c>
      <c r="AH134" s="327">
        <v>0.43214835000000001</v>
      </c>
      <c r="AI134"/>
      <c r="AJ134" s="326">
        <v>166120.34959999999</v>
      </c>
      <c r="AK134" s="327">
        <v>0.31187671</v>
      </c>
      <c r="AL134"/>
      <c r="AM134" s="326">
        <v>148895.50940000001</v>
      </c>
      <c r="AN134" s="327">
        <v>0.28963807000000003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1596725.6126000001</v>
      </c>
      <c r="D136" s="327">
        <v>0.27002310000000002</v>
      </c>
      <c r="E136"/>
      <c r="F136" s="326">
        <v>117482.94</v>
      </c>
      <c r="G136" s="327">
        <v>0.44882327999999999</v>
      </c>
      <c r="H136"/>
      <c r="I136" s="326">
        <v>117482.94</v>
      </c>
      <c r="J136" s="327">
        <v>0.28751194000000002</v>
      </c>
      <c r="K136"/>
      <c r="L136" s="326">
        <v>117482.94</v>
      </c>
      <c r="M136" s="327">
        <v>0.21348015000000001</v>
      </c>
      <c r="N136"/>
      <c r="O136" s="326">
        <v>117482.94</v>
      </c>
      <c r="P136" s="327">
        <v>0.2369269</v>
      </c>
      <c r="Q136"/>
      <c r="R136" s="326">
        <v>138711.9332</v>
      </c>
      <c r="S136" s="327">
        <v>0.26853198</v>
      </c>
      <c r="T136"/>
      <c r="U136" s="326">
        <v>123094.02009999999</v>
      </c>
      <c r="V136" s="327">
        <v>0.26885668000000001</v>
      </c>
      <c r="W136"/>
      <c r="X136" s="326">
        <v>110737.3462</v>
      </c>
      <c r="Y136" s="327">
        <v>0.26917924999999998</v>
      </c>
      <c r="Z136"/>
      <c r="AA136" s="326">
        <v>135775.9308</v>
      </c>
      <c r="AB136" s="327">
        <v>0.26858725999999999</v>
      </c>
      <c r="AC136"/>
      <c r="AD136" s="326">
        <v>150867.85639999999</v>
      </c>
      <c r="AE136" s="327">
        <v>0.26832618000000003</v>
      </c>
      <c r="AF136"/>
      <c r="AG136" s="326">
        <v>186562.92860000001</v>
      </c>
      <c r="AH136" s="327">
        <v>0.26787797000000002</v>
      </c>
      <c r="AI136"/>
      <c r="AJ136" s="326">
        <v>142992.14499999999</v>
      </c>
      <c r="AK136" s="327">
        <v>0.26845549000000002</v>
      </c>
      <c r="AL136"/>
      <c r="AM136" s="326">
        <v>138051.6923</v>
      </c>
      <c r="AN136" s="327">
        <v>0.26854420000000001</v>
      </c>
    </row>
    <row r="137" spans="2:40" s="314" customFormat="1" ht="12.75" customHeight="1" x14ac:dyDescent="0.15">
      <c r="B137" s="5" t="s">
        <v>95</v>
      </c>
      <c r="C137" s="8">
        <v>480395.04</v>
      </c>
      <c r="D137" s="7">
        <v>8.1239859999999997E-2</v>
      </c>
      <c r="E137"/>
      <c r="F137" s="8">
        <v>117482.94</v>
      </c>
      <c r="G137" s="7">
        <v>0.44882327999999999</v>
      </c>
      <c r="H137"/>
      <c r="I137" s="8">
        <v>117482.94</v>
      </c>
      <c r="J137" s="7">
        <v>0.28751194000000002</v>
      </c>
      <c r="K137"/>
      <c r="L137" s="8">
        <v>117482.94</v>
      </c>
      <c r="M137" s="7">
        <v>0.21348015000000001</v>
      </c>
      <c r="N137"/>
      <c r="O137" s="8">
        <v>117482.94</v>
      </c>
      <c r="P137" s="7">
        <v>0.2369269</v>
      </c>
      <c r="Q137"/>
      <c r="R137" s="8">
        <v>1307.9100000000001</v>
      </c>
      <c r="S137" s="7">
        <v>2.5319800000000001E-3</v>
      </c>
      <c r="T137"/>
      <c r="U137" s="8">
        <v>1307.9100000000001</v>
      </c>
      <c r="V137" s="7">
        <v>2.8566799999999999E-3</v>
      </c>
      <c r="W137"/>
      <c r="X137" s="8">
        <v>1307.9100000000001</v>
      </c>
      <c r="Y137" s="7">
        <v>3.1792499999999998E-3</v>
      </c>
      <c r="Z137"/>
      <c r="AA137" s="8">
        <v>1307.9100000000001</v>
      </c>
      <c r="AB137" s="7">
        <v>2.5872600000000001E-3</v>
      </c>
      <c r="AC137"/>
      <c r="AD137" s="8">
        <v>1307.9100000000001</v>
      </c>
      <c r="AE137" s="7">
        <v>2.3261800000000002E-3</v>
      </c>
      <c r="AF137"/>
      <c r="AG137" s="8">
        <v>1307.9100000000001</v>
      </c>
      <c r="AH137" s="7">
        <v>1.8779700000000001E-3</v>
      </c>
      <c r="AI137"/>
      <c r="AJ137" s="8">
        <v>1307.9100000000001</v>
      </c>
      <c r="AK137" s="7">
        <v>2.4554899999999998E-3</v>
      </c>
      <c r="AL137"/>
      <c r="AM137" s="8">
        <v>1307.9100000000001</v>
      </c>
      <c r="AN137" s="7">
        <v>2.5441999999999999E-3</v>
      </c>
    </row>
    <row r="138" spans="2:40" s="314" customFormat="1" ht="12.75" customHeight="1" x14ac:dyDescent="0.15">
      <c r="B138" s="5" t="s">
        <v>96</v>
      </c>
      <c r="C138" s="8">
        <v>1116330.5726000001</v>
      </c>
      <c r="D138" s="7">
        <v>0.18878325000000001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137404.0232</v>
      </c>
      <c r="S138" s="7">
        <v>0.26600000000000001</v>
      </c>
      <c r="T138"/>
      <c r="U138" s="8">
        <v>121786.11010000001</v>
      </c>
      <c r="V138" s="7">
        <v>0.26600000000000001</v>
      </c>
      <c r="W138"/>
      <c r="X138" s="8">
        <v>109429.4362</v>
      </c>
      <c r="Y138" s="7">
        <v>0.26600000000000001</v>
      </c>
      <c r="Z138"/>
      <c r="AA138" s="8">
        <v>134468.0208</v>
      </c>
      <c r="AB138" s="7">
        <v>0.26600000000000001</v>
      </c>
      <c r="AC138"/>
      <c r="AD138" s="8">
        <v>149559.94639999999</v>
      </c>
      <c r="AE138" s="7">
        <v>0.26600000000000001</v>
      </c>
      <c r="AF138"/>
      <c r="AG138" s="8">
        <v>185255.01860000001</v>
      </c>
      <c r="AH138" s="7">
        <v>0.26600000000000001</v>
      </c>
      <c r="AI138"/>
      <c r="AJ138" s="8">
        <v>141684.23499999999</v>
      </c>
      <c r="AK138" s="7">
        <v>0.26600000000000001</v>
      </c>
      <c r="AL138"/>
      <c r="AM138" s="8">
        <v>136743.78229999999</v>
      </c>
      <c r="AN138" s="7">
        <v>0.26600000000000001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100449.52740000001</v>
      </c>
      <c r="D141" s="327">
        <v>1.698707E-2</v>
      </c>
      <c r="E141"/>
      <c r="F141" s="326">
        <v>-127785.2</v>
      </c>
      <c r="G141" s="327">
        <v>-0.48818128</v>
      </c>
      <c r="H141"/>
      <c r="I141" s="326">
        <v>-40411.11</v>
      </c>
      <c r="J141" s="327">
        <v>-9.8896709999999999E-2</v>
      </c>
      <c r="K141"/>
      <c r="L141" s="326">
        <v>77414.570000000007</v>
      </c>
      <c r="M141" s="327">
        <v>0.14067126999999999</v>
      </c>
      <c r="N141"/>
      <c r="O141" s="326">
        <v>16649.64</v>
      </c>
      <c r="P141" s="327">
        <v>3.357719E-2</v>
      </c>
      <c r="Q141"/>
      <c r="R141" s="326">
        <v>20256.5105</v>
      </c>
      <c r="S141" s="327">
        <v>3.9214510000000001E-2</v>
      </c>
      <c r="T141"/>
      <c r="U141" s="326">
        <v>-7697.1890999999996</v>
      </c>
      <c r="V141" s="327">
        <v>-1.681187E-2</v>
      </c>
      <c r="W141"/>
      <c r="X141" s="326">
        <v>-29733.2202</v>
      </c>
      <c r="Y141" s="327">
        <v>-7.2275220000000001E-2</v>
      </c>
      <c r="Z141"/>
      <c r="AA141" s="326">
        <v>9154.7805000000008</v>
      </c>
      <c r="AB141" s="327">
        <v>1.8109670000000001E-2</v>
      </c>
      <c r="AC141"/>
      <c r="AD141" s="326">
        <v>34223.0386</v>
      </c>
      <c r="AE141" s="327">
        <v>6.0867419999999998E-2</v>
      </c>
      <c r="AF141"/>
      <c r="AG141" s="326">
        <v>114405.6854</v>
      </c>
      <c r="AH141" s="327">
        <v>0.16427037999999999</v>
      </c>
      <c r="AI141"/>
      <c r="AJ141" s="326">
        <v>23128.204600000001</v>
      </c>
      <c r="AK141" s="327">
        <v>4.3421220000000003E-2</v>
      </c>
      <c r="AL141"/>
      <c r="AM141" s="326">
        <v>10843.8171</v>
      </c>
      <c r="AN141" s="327">
        <v>2.1093870000000001E-2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100449.52740000001</v>
      </c>
      <c r="D144" s="327">
        <v>1.698707E-2</v>
      </c>
      <c r="E144"/>
      <c r="F144" s="326">
        <v>-127785.2</v>
      </c>
      <c r="G144" s="327">
        <v>-0.48818128</v>
      </c>
      <c r="H144"/>
      <c r="I144" s="326">
        <v>-40411.11</v>
      </c>
      <c r="J144" s="327">
        <v>-9.8896709999999999E-2</v>
      </c>
      <c r="K144"/>
      <c r="L144" s="326">
        <v>77414.570000000007</v>
      </c>
      <c r="M144" s="327">
        <v>0.14067126999999999</v>
      </c>
      <c r="N144"/>
      <c r="O144" s="326">
        <v>16649.64</v>
      </c>
      <c r="P144" s="327">
        <v>3.357719E-2</v>
      </c>
      <c r="Q144"/>
      <c r="R144" s="326">
        <v>20256.5105</v>
      </c>
      <c r="S144" s="327">
        <v>3.9214510000000001E-2</v>
      </c>
      <c r="T144"/>
      <c r="U144" s="326">
        <v>-7697.1890999999996</v>
      </c>
      <c r="V144" s="327">
        <v>-1.681187E-2</v>
      </c>
      <c r="W144"/>
      <c r="X144" s="326">
        <v>-29733.2202</v>
      </c>
      <c r="Y144" s="327">
        <v>-7.2275220000000001E-2</v>
      </c>
      <c r="Z144"/>
      <c r="AA144" s="326">
        <v>9154.7805000000008</v>
      </c>
      <c r="AB144" s="327">
        <v>1.8109670000000001E-2</v>
      </c>
      <c r="AC144"/>
      <c r="AD144" s="326">
        <v>34223.0386</v>
      </c>
      <c r="AE144" s="327">
        <v>6.0867419999999998E-2</v>
      </c>
      <c r="AF144"/>
      <c r="AG144" s="326">
        <v>114405.6854</v>
      </c>
      <c r="AH144" s="327">
        <v>0.16427037999999999</v>
      </c>
      <c r="AI144"/>
      <c r="AJ144" s="326">
        <v>23128.204600000001</v>
      </c>
      <c r="AK144" s="327">
        <v>4.3421220000000003E-2</v>
      </c>
      <c r="AL144"/>
      <c r="AM144" s="326">
        <v>10843.8171</v>
      </c>
      <c r="AN144" s="327">
        <v>2.1093870000000001E-2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100449.52740000001</v>
      </c>
      <c r="D147" s="327">
        <v>1.698707E-2</v>
      </c>
      <c r="E147"/>
      <c r="F147" s="326">
        <v>-127785.2</v>
      </c>
      <c r="G147" s="327">
        <v>-0.48818128</v>
      </c>
      <c r="H147"/>
      <c r="I147" s="326">
        <v>-40411.11</v>
      </c>
      <c r="J147" s="327">
        <v>-9.8896709999999999E-2</v>
      </c>
      <c r="K147"/>
      <c r="L147" s="326">
        <v>77414.570000000007</v>
      </c>
      <c r="M147" s="327">
        <v>0.14067126999999999</v>
      </c>
      <c r="N147"/>
      <c r="O147" s="326">
        <v>16649.64</v>
      </c>
      <c r="P147" s="327">
        <v>3.357719E-2</v>
      </c>
      <c r="Q147"/>
      <c r="R147" s="326">
        <v>20256.5105</v>
      </c>
      <c r="S147" s="327">
        <v>3.9214510000000001E-2</v>
      </c>
      <c r="T147"/>
      <c r="U147" s="326">
        <v>-7697.1890999999996</v>
      </c>
      <c r="V147" s="327">
        <v>-1.681187E-2</v>
      </c>
      <c r="W147"/>
      <c r="X147" s="326">
        <v>-29733.2202</v>
      </c>
      <c r="Y147" s="327">
        <v>-7.2275220000000001E-2</v>
      </c>
      <c r="Z147"/>
      <c r="AA147" s="326">
        <v>9154.7805000000008</v>
      </c>
      <c r="AB147" s="327">
        <v>1.8109670000000001E-2</v>
      </c>
      <c r="AC147"/>
      <c r="AD147" s="326">
        <v>34223.0386</v>
      </c>
      <c r="AE147" s="327">
        <v>6.0867419999999998E-2</v>
      </c>
      <c r="AF147"/>
      <c r="AG147" s="326">
        <v>114405.6854</v>
      </c>
      <c r="AH147" s="327">
        <v>0.16427037999999999</v>
      </c>
      <c r="AI147"/>
      <c r="AJ147" s="326">
        <v>23128.204600000001</v>
      </c>
      <c r="AK147" s="327">
        <v>4.3421220000000003E-2</v>
      </c>
      <c r="AL147"/>
      <c r="AM147" s="326">
        <v>10843.8171</v>
      </c>
      <c r="AN147" s="327">
        <v>2.1093870000000001E-2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100449.52740000001</v>
      </c>
      <c r="D150" s="327">
        <v>1.698707E-2</v>
      </c>
      <c r="E150"/>
      <c r="F150" s="326">
        <v>-127785.2</v>
      </c>
      <c r="G150" s="327">
        <v>-0.48818128</v>
      </c>
      <c r="H150"/>
      <c r="I150" s="326">
        <v>-40411.11</v>
      </c>
      <c r="J150" s="327">
        <v>-9.8896709999999999E-2</v>
      </c>
      <c r="K150"/>
      <c r="L150" s="326">
        <v>77414.570000000007</v>
      </c>
      <c r="M150" s="327">
        <v>0.14067126999999999</v>
      </c>
      <c r="N150"/>
      <c r="O150" s="326">
        <v>16649.64</v>
      </c>
      <c r="P150" s="327">
        <v>3.357719E-2</v>
      </c>
      <c r="Q150"/>
      <c r="R150" s="326">
        <v>20256.5105</v>
      </c>
      <c r="S150" s="327">
        <v>3.9214510000000001E-2</v>
      </c>
      <c r="T150"/>
      <c r="U150" s="326">
        <v>-7697.1890999999996</v>
      </c>
      <c r="V150" s="327">
        <v>-1.681187E-2</v>
      </c>
      <c r="W150"/>
      <c r="X150" s="326">
        <v>-29733.2202</v>
      </c>
      <c r="Y150" s="327">
        <v>-7.2275220000000001E-2</v>
      </c>
      <c r="Z150"/>
      <c r="AA150" s="326">
        <v>9154.7805000000008</v>
      </c>
      <c r="AB150" s="327">
        <v>1.8109670000000001E-2</v>
      </c>
      <c r="AC150"/>
      <c r="AD150" s="326">
        <v>34223.0386</v>
      </c>
      <c r="AE150" s="327">
        <v>6.0867419999999998E-2</v>
      </c>
      <c r="AF150"/>
      <c r="AG150" s="326">
        <v>114405.6854</v>
      </c>
      <c r="AH150" s="327">
        <v>0.16427037999999999</v>
      </c>
      <c r="AI150"/>
      <c r="AJ150" s="326">
        <v>23128.204600000001</v>
      </c>
      <c r="AK150" s="327">
        <v>4.3421220000000003E-2</v>
      </c>
      <c r="AL150"/>
      <c r="AM150" s="326">
        <v>10843.8171</v>
      </c>
      <c r="AN150" s="327">
        <v>2.1093870000000001E-2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120286.1274</v>
      </c>
      <c r="D153" s="7">
        <v>2.0341649999999999E-2</v>
      </c>
      <c r="E153"/>
      <c r="F153" s="8">
        <v>-126132.15</v>
      </c>
      <c r="G153" s="7">
        <v>-0.48186609000000002</v>
      </c>
      <c r="H153"/>
      <c r="I153" s="8">
        <v>-38758.06</v>
      </c>
      <c r="J153" s="7">
        <v>-9.4851259999999993E-2</v>
      </c>
      <c r="K153"/>
      <c r="L153" s="8">
        <v>79067.62</v>
      </c>
      <c r="M153" s="7">
        <v>0.14367505</v>
      </c>
      <c r="N153"/>
      <c r="O153" s="8">
        <v>18302.689999999999</v>
      </c>
      <c r="P153" s="7">
        <v>3.6910890000000002E-2</v>
      </c>
      <c r="Q153"/>
      <c r="R153" s="8">
        <v>21909.5605</v>
      </c>
      <c r="S153" s="7">
        <v>4.2414649999999998E-2</v>
      </c>
      <c r="T153"/>
      <c r="U153" s="8">
        <v>-6044.1391000000003</v>
      </c>
      <c r="V153" s="7">
        <v>-1.3201350000000001E-2</v>
      </c>
      <c r="W153"/>
      <c r="X153" s="8">
        <v>-28080.1702</v>
      </c>
      <c r="Y153" s="7">
        <v>-6.8256999999999998E-2</v>
      </c>
      <c r="Z153"/>
      <c r="AA153" s="8">
        <v>10807.8305</v>
      </c>
      <c r="AB153" s="7">
        <v>2.1379680000000002E-2</v>
      </c>
      <c r="AC153"/>
      <c r="AD153" s="8">
        <v>35876.088600000003</v>
      </c>
      <c r="AE153" s="7">
        <v>6.3807459999999996E-2</v>
      </c>
      <c r="AF153"/>
      <c r="AG153" s="8">
        <v>116058.73540000001</v>
      </c>
      <c r="AH153" s="7">
        <v>0.16664393</v>
      </c>
      <c r="AI153"/>
      <c r="AJ153" s="8">
        <v>24781.2546</v>
      </c>
      <c r="AK153" s="7">
        <v>4.6524679999999999E-2</v>
      </c>
      <c r="AL153"/>
      <c r="AM153" s="8">
        <v>12496.867099999999</v>
      </c>
      <c r="AN153" s="7">
        <v>2.430945E-2</v>
      </c>
    </row>
    <row r="154" spans="2:40" s="314" customFormat="1" ht="12.75" customHeight="1" x14ac:dyDescent="0.15">
      <c r="B154" s="5" t="s">
        <v>107</v>
      </c>
      <c r="C154" s="6">
        <v>108286.1274</v>
      </c>
      <c r="D154" s="7">
        <v>1.831232E-2</v>
      </c>
      <c r="E154"/>
      <c r="F154" s="8">
        <v>-127132.15</v>
      </c>
      <c r="G154" s="7">
        <v>-0.48568642000000001</v>
      </c>
      <c r="H154"/>
      <c r="I154" s="8">
        <v>-39758.06</v>
      </c>
      <c r="J154" s="7">
        <v>-9.7298530000000008E-2</v>
      </c>
      <c r="K154"/>
      <c r="L154" s="8">
        <v>78067.62</v>
      </c>
      <c r="M154" s="7">
        <v>0.14185793999999999</v>
      </c>
      <c r="N154"/>
      <c r="O154" s="8">
        <v>17302.689999999999</v>
      </c>
      <c r="P154" s="7">
        <v>3.48942E-2</v>
      </c>
      <c r="Q154"/>
      <c r="R154" s="8">
        <v>20909.5605</v>
      </c>
      <c r="S154" s="7">
        <v>4.0478750000000001E-2</v>
      </c>
      <c r="T154"/>
      <c r="U154" s="8">
        <v>-7044.1391000000003</v>
      </c>
      <c r="V154" s="7">
        <v>-1.538551E-2</v>
      </c>
      <c r="W154"/>
      <c r="X154" s="8">
        <v>-29080.1702</v>
      </c>
      <c r="Y154" s="7">
        <v>-7.068779E-2</v>
      </c>
      <c r="Z154"/>
      <c r="AA154" s="8">
        <v>9807.8305</v>
      </c>
      <c r="AB154" s="7">
        <v>1.940151E-2</v>
      </c>
      <c r="AC154"/>
      <c r="AD154" s="8">
        <v>34876.088600000003</v>
      </c>
      <c r="AE154" s="7">
        <v>6.2028899999999998E-2</v>
      </c>
      <c r="AF154"/>
      <c r="AG154" s="8">
        <v>115058.73540000001</v>
      </c>
      <c r="AH154" s="7">
        <v>0.16520807000000001</v>
      </c>
      <c r="AI154"/>
      <c r="AJ154" s="8">
        <v>23781.2546</v>
      </c>
      <c r="AK154" s="7">
        <v>4.4647270000000003E-2</v>
      </c>
      <c r="AL154"/>
      <c r="AM154" s="8">
        <v>11496.867099999999</v>
      </c>
      <c r="AN154" s="7">
        <v>2.2364209999999999E-2</v>
      </c>
    </row>
    <row r="155" spans="2:40" s="314" customFormat="1" ht="12.75" customHeight="1" x14ac:dyDescent="0.15">
      <c r="B155" s="325" t="s">
        <v>108</v>
      </c>
      <c r="C155" s="330">
        <v>255578.329</v>
      </c>
      <c r="D155" s="327">
        <v>4.3220980000000013E-2</v>
      </c>
      <c r="E155"/>
      <c r="F155" s="326">
        <v>13054.99</v>
      </c>
      <c r="G155" s="327">
        <v>4.9874330000000001E-2</v>
      </c>
      <c r="H155"/>
      <c r="I155" s="326">
        <v>20396.990000000002</v>
      </c>
      <c r="J155" s="327">
        <v>4.9916850000000013E-2</v>
      </c>
      <c r="K155"/>
      <c r="L155" s="326">
        <v>27467.34</v>
      </c>
      <c r="M155" s="327">
        <v>4.991135E-2</v>
      </c>
      <c r="N155"/>
      <c r="O155" s="326">
        <v>24789.75</v>
      </c>
      <c r="P155" s="327">
        <v>4.9993290000000003E-2</v>
      </c>
      <c r="Q155"/>
      <c r="R155" s="326">
        <v>20912.259099999999</v>
      </c>
      <c r="S155" s="327">
        <v>4.0483969999999987E-2</v>
      </c>
      <c r="T155"/>
      <c r="U155" s="326">
        <v>18563.700799999999</v>
      </c>
      <c r="V155" s="327">
        <v>4.0546040000000012E-2</v>
      </c>
      <c r="W155"/>
      <c r="X155" s="326">
        <v>16705.5543</v>
      </c>
      <c r="Y155" s="327">
        <v>4.0607699999999997E-2</v>
      </c>
      <c r="Z155"/>
      <c r="AA155" s="326">
        <v>20470.755000000001</v>
      </c>
      <c r="AB155" s="327">
        <v>4.0494540000000002E-2</v>
      </c>
      <c r="AC155"/>
      <c r="AD155" s="326">
        <v>22740.217499999999</v>
      </c>
      <c r="AE155" s="327">
        <v>4.0444639999999997E-2</v>
      </c>
      <c r="AF155"/>
      <c r="AG155" s="326">
        <v>28107.897499999999</v>
      </c>
      <c r="AH155" s="327">
        <v>4.0358959999999999E-2</v>
      </c>
      <c r="AI155"/>
      <c r="AJ155" s="326">
        <v>21555.9</v>
      </c>
      <c r="AK155" s="327">
        <v>4.0469350000000001E-2</v>
      </c>
      <c r="AL155"/>
      <c r="AM155" s="326">
        <v>20812.9748</v>
      </c>
      <c r="AN155" s="327">
        <v>4.0486309999999998E-2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61109.134899999997</v>
      </c>
      <c r="D158" s="7">
        <v>1.03342E-2</v>
      </c>
      <c r="E158"/>
      <c r="F158" s="8">
        <v>2611</v>
      </c>
      <c r="G158" s="7">
        <v>9.9748700000000003E-3</v>
      </c>
      <c r="H158"/>
      <c r="I158" s="8">
        <v>4079.4</v>
      </c>
      <c r="J158" s="7">
        <v>9.9833700000000001E-3</v>
      </c>
      <c r="K158"/>
      <c r="L158" s="8">
        <v>5493.47</v>
      </c>
      <c r="M158" s="7">
        <v>9.9822699999999997E-3</v>
      </c>
      <c r="N158"/>
      <c r="O158" s="8">
        <v>4957.95</v>
      </c>
      <c r="P158" s="7">
        <v>9.9986599999999995E-3</v>
      </c>
      <c r="Q158"/>
      <c r="R158" s="8">
        <v>5415.5648000000001</v>
      </c>
      <c r="S158" s="7">
        <v>1.048397E-2</v>
      </c>
      <c r="T158"/>
      <c r="U158" s="8">
        <v>4828.4251999999997</v>
      </c>
      <c r="V158" s="7">
        <v>1.054604E-2</v>
      </c>
      <c r="W158"/>
      <c r="X158" s="8">
        <v>4363.8886000000002</v>
      </c>
      <c r="Y158" s="7">
        <v>1.0607699999999999E-2</v>
      </c>
      <c r="Z158"/>
      <c r="AA158" s="8">
        <v>5305.1887999999999</v>
      </c>
      <c r="AB158" s="7">
        <v>1.049454E-2</v>
      </c>
      <c r="AC158"/>
      <c r="AD158" s="8">
        <v>5872.5544</v>
      </c>
      <c r="AE158" s="7">
        <v>1.044464E-2</v>
      </c>
      <c r="AF158"/>
      <c r="AG158" s="8">
        <v>7214.4744000000001</v>
      </c>
      <c r="AH158" s="7">
        <v>1.035896E-2</v>
      </c>
      <c r="AI158"/>
      <c r="AJ158" s="8">
        <v>5576.4750000000004</v>
      </c>
      <c r="AK158" s="7">
        <v>1.0469350000000001E-2</v>
      </c>
      <c r="AL158"/>
      <c r="AM158" s="8">
        <v>5390.7437</v>
      </c>
      <c r="AN158" s="7">
        <v>1.048631E-2</v>
      </c>
    </row>
    <row r="159" spans="2:40" s="314" customFormat="1" ht="12.75" customHeight="1" x14ac:dyDescent="0.15">
      <c r="B159" s="5" t="s">
        <v>112</v>
      </c>
      <c r="C159" s="6">
        <v>102391.81969999999</v>
      </c>
      <c r="D159" s="7">
        <v>1.7315529999999999E-2</v>
      </c>
      <c r="E159"/>
      <c r="F159" s="8">
        <v>3926.37</v>
      </c>
      <c r="G159" s="7">
        <v>1.5000019999999999E-2</v>
      </c>
      <c r="H159"/>
      <c r="I159" s="8">
        <v>4079.4</v>
      </c>
      <c r="J159" s="7">
        <v>9.9833700000000001E-3</v>
      </c>
      <c r="K159"/>
      <c r="L159" s="8">
        <v>5493.47</v>
      </c>
      <c r="M159" s="7">
        <v>9.9822699999999997E-3</v>
      </c>
      <c r="N159"/>
      <c r="O159" s="8">
        <v>4957.95</v>
      </c>
      <c r="P159" s="7">
        <v>9.9986599999999995E-3</v>
      </c>
      <c r="Q159"/>
      <c r="R159" s="8">
        <v>10331.1296</v>
      </c>
      <c r="S159" s="7">
        <v>0.02</v>
      </c>
      <c r="T159"/>
      <c r="U159" s="8">
        <v>9156.8503999999994</v>
      </c>
      <c r="V159" s="7">
        <v>0.02</v>
      </c>
      <c r="W159"/>
      <c r="X159" s="8">
        <v>8227.7772000000004</v>
      </c>
      <c r="Y159" s="7">
        <v>0.02</v>
      </c>
      <c r="Z159"/>
      <c r="AA159" s="8">
        <v>10110.377500000001</v>
      </c>
      <c r="AB159" s="7">
        <v>0.02</v>
      </c>
      <c r="AC159"/>
      <c r="AD159" s="8">
        <v>11245.1088</v>
      </c>
      <c r="AE159" s="7">
        <v>0.02</v>
      </c>
      <c r="AF159"/>
      <c r="AG159" s="8">
        <v>13928.9488</v>
      </c>
      <c r="AH159" s="7">
        <v>0.02</v>
      </c>
      <c r="AI159"/>
      <c r="AJ159" s="8">
        <v>10652.95</v>
      </c>
      <c r="AK159" s="7">
        <v>0.02</v>
      </c>
      <c r="AL159"/>
      <c r="AM159" s="8">
        <v>10281.4874</v>
      </c>
      <c r="AN159" s="7">
        <v>0.02</v>
      </c>
    </row>
    <row r="160" spans="2:40" s="314" customFormat="1" ht="12.75" customHeight="1" x14ac:dyDescent="0.15">
      <c r="B160" s="5" t="s">
        <v>113</v>
      </c>
      <c r="C160" s="6">
        <v>177327.3743</v>
      </c>
      <c r="D160" s="7">
        <v>2.9987920000000001E-2</v>
      </c>
      <c r="E160"/>
      <c r="F160" s="8">
        <v>7832.99</v>
      </c>
      <c r="G160" s="7">
        <v>2.9924590000000001E-2</v>
      </c>
      <c r="H160"/>
      <c r="I160" s="8">
        <v>12238.19</v>
      </c>
      <c r="J160" s="7">
        <v>2.99501E-2</v>
      </c>
      <c r="K160"/>
      <c r="L160" s="8">
        <v>16480.400000000001</v>
      </c>
      <c r="M160" s="7">
        <v>2.9946799999999999E-2</v>
      </c>
      <c r="N160"/>
      <c r="O160" s="8">
        <v>14873.85</v>
      </c>
      <c r="P160" s="7">
        <v>2.999597E-2</v>
      </c>
      <c r="Q160"/>
      <c r="R160" s="8">
        <v>15496.694299999999</v>
      </c>
      <c r="S160" s="7">
        <v>0.03</v>
      </c>
      <c r="T160"/>
      <c r="U160" s="8">
        <v>13735.275600000001</v>
      </c>
      <c r="V160" s="7">
        <v>0.03</v>
      </c>
      <c r="W160"/>
      <c r="X160" s="8">
        <v>12341.6657</v>
      </c>
      <c r="Y160" s="7">
        <v>0.03</v>
      </c>
      <c r="Z160"/>
      <c r="AA160" s="8">
        <v>15165.5663</v>
      </c>
      <c r="AB160" s="7">
        <v>0.03</v>
      </c>
      <c r="AC160"/>
      <c r="AD160" s="8">
        <v>16867.663100000002</v>
      </c>
      <c r="AE160" s="7">
        <v>0.03</v>
      </c>
      <c r="AF160"/>
      <c r="AG160" s="8">
        <v>20893.423200000001</v>
      </c>
      <c r="AH160" s="7">
        <v>0.03</v>
      </c>
      <c r="AI160"/>
      <c r="AJ160" s="8">
        <v>15979.424999999999</v>
      </c>
      <c r="AK160" s="7">
        <v>0.03</v>
      </c>
      <c r="AL160"/>
      <c r="AM160" s="8">
        <v>15422.231100000001</v>
      </c>
      <c r="AN160" s="7">
        <v>0.03</v>
      </c>
    </row>
    <row r="161" spans="2:40" s="314" customFormat="1" ht="12.75" customHeight="1" x14ac:dyDescent="0.15">
      <c r="B161" s="5" t="s">
        <v>114</v>
      </c>
      <c r="C161" s="6">
        <v>17141.82</v>
      </c>
      <c r="D161" s="7">
        <v>2.8988600000000001E-3</v>
      </c>
      <c r="E161"/>
      <c r="F161" s="8">
        <v>2611</v>
      </c>
      <c r="G161" s="7">
        <v>9.9748700000000003E-3</v>
      </c>
      <c r="H161"/>
      <c r="I161" s="8">
        <v>4079.4</v>
      </c>
      <c r="J161" s="7">
        <v>9.9833700000000001E-3</v>
      </c>
      <c r="K161"/>
      <c r="L161" s="8">
        <v>5493.47</v>
      </c>
      <c r="M161" s="7">
        <v>9.9822699999999997E-3</v>
      </c>
      <c r="N161"/>
      <c r="O161" s="8">
        <v>4957.95</v>
      </c>
      <c r="P161" s="7">
        <v>9.9986599999999995E-3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372370.73739999998</v>
      </c>
      <c r="D162" s="327">
        <v>6.2971810000000003E-2</v>
      </c>
      <c r="E162"/>
      <c r="F162" s="326">
        <v>20103.080000000002</v>
      </c>
      <c r="G162" s="327">
        <v>7.6800339999999995E-2</v>
      </c>
      <c r="H162"/>
      <c r="I162" s="326">
        <v>20916.86</v>
      </c>
      <c r="J162" s="327">
        <v>5.1189110000000003E-2</v>
      </c>
      <c r="K162"/>
      <c r="L162" s="326">
        <v>34512</v>
      </c>
      <c r="M162" s="327">
        <v>6.2712310000000007E-2</v>
      </c>
      <c r="N162"/>
      <c r="O162" s="326">
        <v>25973.34</v>
      </c>
      <c r="P162" s="327">
        <v>5.2380219999999998E-2</v>
      </c>
      <c r="Q162"/>
      <c r="R162" s="326">
        <v>33627.982400000001</v>
      </c>
      <c r="S162" s="327">
        <v>6.51003E-2</v>
      </c>
      <c r="T162"/>
      <c r="U162" s="326">
        <v>30220.712599999999</v>
      </c>
      <c r="V162" s="327">
        <v>6.6006780000000001E-2</v>
      </c>
      <c r="W162"/>
      <c r="X162" s="326">
        <v>26668.844300000001</v>
      </c>
      <c r="Y162" s="327">
        <v>6.4826370000000008E-2</v>
      </c>
      <c r="Z162"/>
      <c r="AA162" s="326">
        <v>32395.594400000002</v>
      </c>
      <c r="AB162" s="327">
        <v>6.4083849999999998E-2</v>
      </c>
      <c r="AC162"/>
      <c r="AD162" s="326">
        <v>35932.277199999997</v>
      </c>
      <c r="AE162" s="327">
        <v>6.3907389999999994E-2</v>
      </c>
      <c r="AF162"/>
      <c r="AG162" s="326">
        <v>44385.237200000003</v>
      </c>
      <c r="AH162" s="327">
        <v>6.3730919999999996E-2</v>
      </c>
      <c r="AI162"/>
      <c r="AJ162" s="326">
        <v>34409.837500000001</v>
      </c>
      <c r="AK162" s="327">
        <v>6.4601519999999996E-2</v>
      </c>
      <c r="AL162"/>
      <c r="AM162" s="326">
        <v>33224.971799999999</v>
      </c>
      <c r="AN162" s="327">
        <v>6.4630670000000001E-2</v>
      </c>
    </row>
    <row r="163" spans="2:40" s="314" customFormat="1" ht="12.75" customHeight="1" x14ac:dyDescent="0.15">
      <c r="B163" s="5" t="s">
        <v>116</v>
      </c>
      <c r="C163" s="6">
        <v>175681.535</v>
      </c>
      <c r="D163" s="7">
        <v>2.9709599999999999E-2</v>
      </c>
      <c r="E163"/>
      <c r="F163" s="8">
        <v>9000</v>
      </c>
      <c r="G163" s="7">
        <v>3.4382950000000002E-2</v>
      </c>
      <c r="H163"/>
      <c r="I163" s="8">
        <v>9163.4599999999991</v>
      </c>
      <c r="J163" s="7">
        <v>2.2425420000000001E-2</v>
      </c>
      <c r="K163"/>
      <c r="L163" s="8">
        <v>17000</v>
      </c>
      <c r="M163" s="7">
        <v>3.0890979999999998E-2</v>
      </c>
      <c r="N163"/>
      <c r="O163" s="8">
        <v>11530.65</v>
      </c>
      <c r="P163" s="7">
        <v>2.325377E-2</v>
      </c>
      <c r="Q163"/>
      <c r="R163" s="8">
        <v>16006.2</v>
      </c>
      <c r="S163" s="7">
        <v>3.0986349999999999E-2</v>
      </c>
      <c r="T163"/>
      <c r="U163" s="8">
        <v>14189.875</v>
      </c>
      <c r="V163" s="7">
        <v>3.099292E-2</v>
      </c>
      <c r="W163"/>
      <c r="X163" s="8">
        <v>12246.15</v>
      </c>
      <c r="Y163" s="7">
        <v>2.976782E-2</v>
      </c>
      <c r="Z163"/>
      <c r="AA163" s="8">
        <v>15319.5</v>
      </c>
      <c r="AB163" s="7">
        <v>3.030451E-2</v>
      </c>
      <c r="AC163"/>
      <c r="AD163" s="8">
        <v>17246.25</v>
      </c>
      <c r="AE163" s="7">
        <v>3.067334E-2</v>
      </c>
      <c r="AF163"/>
      <c r="AG163" s="8">
        <v>21785.75</v>
      </c>
      <c r="AH163" s="7">
        <v>3.1281259999999998E-2</v>
      </c>
      <c r="AI163"/>
      <c r="AJ163" s="8">
        <v>16415.349999999999</v>
      </c>
      <c r="AK163" s="7">
        <v>3.0818410000000001E-2</v>
      </c>
      <c r="AL163"/>
      <c r="AM163" s="8">
        <v>15778.35</v>
      </c>
      <c r="AN163" s="7">
        <v>3.069274E-2</v>
      </c>
    </row>
    <row r="164" spans="2:40" s="314" customFormat="1" ht="12.75" customHeight="1" x14ac:dyDescent="0.15">
      <c r="B164" s="5" t="s">
        <v>117</v>
      </c>
      <c r="C164" s="6">
        <v>124305.13499999999</v>
      </c>
      <c r="D164" s="7">
        <v>2.1021310000000001E-2</v>
      </c>
      <c r="E164"/>
      <c r="F164" s="8">
        <v>6000</v>
      </c>
      <c r="G164" s="7">
        <v>2.2921960000000002E-2</v>
      </c>
      <c r="H164"/>
      <c r="I164" s="8">
        <v>6527.63</v>
      </c>
      <c r="J164" s="7">
        <v>1.5974840000000001E-2</v>
      </c>
      <c r="K164"/>
      <c r="L164" s="8">
        <v>11500</v>
      </c>
      <c r="M164" s="7">
        <v>2.089684E-2</v>
      </c>
      <c r="N164"/>
      <c r="O164" s="8">
        <v>8831.1299999999992</v>
      </c>
      <c r="P164" s="7">
        <v>1.780967E-2</v>
      </c>
      <c r="Q164"/>
      <c r="R164" s="8">
        <v>11358</v>
      </c>
      <c r="S164" s="7">
        <v>2.1987920000000001E-2</v>
      </c>
      <c r="T164"/>
      <c r="U164" s="8">
        <v>10060.625</v>
      </c>
      <c r="V164" s="7">
        <v>2.1973989999999999E-2</v>
      </c>
      <c r="W164"/>
      <c r="X164" s="8">
        <v>8684.75</v>
      </c>
      <c r="Y164" s="7">
        <v>2.1110810000000001E-2</v>
      </c>
      <c r="Z164"/>
      <c r="AA164" s="8">
        <v>10867.5</v>
      </c>
      <c r="AB164" s="7">
        <v>2.149771E-2</v>
      </c>
      <c r="AC164"/>
      <c r="AD164" s="8">
        <v>12193.75</v>
      </c>
      <c r="AE164" s="7">
        <v>2.1687209999999998E-2</v>
      </c>
      <c r="AF164"/>
      <c r="AG164" s="8">
        <v>15436.25</v>
      </c>
      <c r="AH164" s="7">
        <v>2.216427E-2</v>
      </c>
      <c r="AI164"/>
      <c r="AJ164" s="8">
        <v>11650.25</v>
      </c>
      <c r="AK164" s="7">
        <v>2.1872349999999999E-2</v>
      </c>
      <c r="AL164"/>
      <c r="AM164" s="8">
        <v>11195.25</v>
      </c>
      <c r="AN164" s="7">
        <v>2.177749E-2</v>
      </c>
    </row>
    <row r="165" spans="2:40" s="314" customFormat="1" ht="12.75" customHeight="1" x14ac:dyDescent="0.15">
      <c r="B165" s="5" t="s">
        <v>118</v>
      </c>
      <c r="C165" s="6">
        <v>44236.03</v>
      </c>
      <c r="D165" s="7">
        <v>7.4807800000000002E-3</v>
      </c>
      <c r="E165"/>
      <c r="F165" s="8">
        <v>3603.08</v>
      </c>
      <c r="G165" s="7">
        <v>1.376494E-2</v>
      </c>
      <c r="H165"/>
      <c r="I165" s="8">
        <v>4107.2</v>
      </c>
      <c r="J165" s="7">
        <v>1.005141E-2</v>
      </c>
      <c r="K165"/>
      <c r="L165" s="8">
        <v>3512</v>
      </c>
      <c r="M165" s="7">
        <v>6.3817100000000014E-3</v>
      </c>
      <c r="N165"/>
      <c r="O165" s="8">
        <v>3565.75</v>
      </c>
      <c r="P165" s="7">
        <v>7.1910200000000002E-3</v>
      </c>
      <c r="Q165"/>
      <c r="R165" s="8">
        <v>3681</v>
      </c>
      <c r="S165" s="7">
        <v>7.1260400000000002E-3</v>
      </c>
      <c r="T165"/>
      <c r="U165" s="8">
        <v>3681</v>
      </c>
      <c r="V165" s="7">
        <v>8.039880000000001E-3</v>
      </c>
      <c r="W165"/>
      <c r="X165" s="8">
        <v>3681</v>
      </c>
      <c r="Y165" s="7">
        <v>8.9477399999999992E-3</v>
      </c>
      <c r="Z165"/>
      <c r="AA165" s="8">
        <v>3681</v>
      </c>
      <c r="AB165" s="7">
        <v>7.2816299999999999E-3</v>
      </c>
      <c r="AC165"/>
      <c r="AD165" s="8">
        <v>3681</v>
      </c>
      <c r="AE165" s="7">
        <v>6.5468499999999999E-3</v>
      </c>
      <c r="AF165"/>
      <c r="AG165" s="8">
        <v>3681</v>
      </c>
      <c r="AH165" s="7">
        <v>5.2854E-3</v>
      </c>
      <c r="AI165"/>
      <c r="AJ165" s="8">
        <v>3681</v>
      </c>
      <c r="AK165" s="7">
        <v>6.9107600000000002E-3</v>
      </c>
      <c r="AL165"/>
      <c r="AM165" s="8">
        <v>3681</v>
      </c>
      <c r="AN165" s="7">
        <v>7.1604400000000014E-3</v>
      </c>
    </row>
    <row r="166" spans="2:40" s="314" customFormat="1" ht="12.75" customHeight="1" x14ac:dyDescent="0.15">
      <c r="B166" s="5" t="s">
        <v>119</v>
      </c>
      <c r="C166" s="6">
        <v>28148.037400000001</v>
      </c>
      <c r="D166" s="7">
        <v>4.7601299999999996E-3</v>
      </c>
      <c r="E166"/>
      <c r="F166" s="8">
        <v>1500</v>
      </c>
      <c r="G166" s="7">
        <v>5.7304900000000004E-3</v>
      </c>
      <c r="H166"/>
      <c r="I166" s="8">
        <v>1118.57</v>
      </c>
      <c r="J166" s="7">
        <v>2.7374399999999998E-3</v>
      </c>
      <c r="K166"/>
      <c r="L166" s="8">
        <v>2500</v>
      </c>
      <c r="M166" s="7">
        <v>4.5427899999999997E-3</v>
      </c>
      <c r="N166"/>
      <c r="O166" s="8">
        <v>2045.81</v>
      </c>
      <c r="P166" s="7">
        <v>4.12577E-3</v>
      </c>
      <c r="Q166"/>
      <c r="R166" s="8">
        <v>2582.7824000000001</v>
      </c>
      <c r="S166" s="7">
        <v>5.0000000000000001E-3</v>
      </c>
      <c r="T166"/>
      <c r="U166" s="8">
        <v>2289.2125999999998</v>
      </c>
      <c r="V166" s="7">
        <v>5.0000000000000001E-3</v>
      </c>
      <c r="W166"/>
      <c r="X166" s="8">
        <v>2056.9443000000001</v>
      </c>
      <c r="Y166" s="7">
        <v>5.0000000000000001E-3</v>
      </c>
      <c r="Z166"/>
      <c r="AA166" s="8">
        <v>2527.5944</v>
      </c>
      <c r="AB166" s="7">
        <v>5.0000000000000001E-3</v>
      </c>
      <c r="AC166"/>
      <c r="AD166" s="8">
        <v>2811.2772</v>
      </c>
      <c r="AE166" s="7">
        <v>5.0000000000000001E-3</v>
      </c>
      <c r="AF166"/>
      <c r="AG166" s="8">
        <v>3482.2372</v>
      </c>
      <c r="AH166" s="7">
        <v>5.0000000000000001E-3</v>
      </c>
      <c r="AI166"/>
      <c r="AJ166" s="8">
        <v>2663.2375000000002</v>
      </c>
      <c r="AK166" s="7">
        <v>5.0000000000000001E-3</v>
      </c>
      <c r="AL166"/>
      <c r="AM166" s="8">
        <v>2570.3717999999999</v>
      </c>
      <c r="AN166" s="7">
        <v>5.0000000000000001E-3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603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  <row r="169" spans="2:40" s="314" customFormat="1" ht="12.75" customHeight="1" x14ac:dyDescent="0.15"/>
    <row r="170" spans="2:40" s="314" customFormat="1" ht="12.75" customHeight="1" x14ac:dyDescent="0.15"/>
    <row r="171" spans="2:40" s="314" customFormat="1" ht="12.75" customHeight="1" x14ac:dyDescent="0.15"/>
    <row r="172" spans="2:40" s="314" customFormat="1" ht="12.75" customHeight="1" x14ac:dyDescent="0.15"/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2255-4C38-40C8-9493-29742783E471}">
  <sheetPr>
    <pageSetUpPr fitToPage="1"/>
  </sheetPr>
  <dimension ref="B2:O168"/>
  <sheetViews>
    <sheetView workbookViewId="0">
      <pane xSplit="2" ySplit="10" topLeftCell="F155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A170" sqref="A170:XFD178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149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Köln City Plaza'!C11</f>
        <v>12207165.7019</v>
      </c>
      <c r="D11" s="39">
        <f>'Data Entry Köln City Plaza'!F11</f>
        <v>625748.57999999996</v>
      </c>
      <c r="E11" s="39">
        <f>'Data Entry Köln City Plaza'!I11</f>
        <v>922580.94</v>
      </c>
      <c r="F11" s="39">
        <f>'Data Entry Köln City Plaza'!L11</f>
        <v>1341236.17</v>
      </c>
      <c r="G11" s="39">
        <f>'Data Entry Köln City Plaza'!O11</f>
        <v>847005.95</v>
      </c>
      <c r="H11" s="39">
        <f>'Data Entry Köln City Plaza'!R11</f>
        <v>1019233.752</v>
      </c>
      <c r="I11" s="39">
        <f>'Data Entry Köln City Plaza'!U11</f>
        <v>943805.924</v>
      </c>
      <c r="J11" s="39">
        <f>'Data Entry Köln City Plaza'!X11</f>
        <v>717550.24190000002</v>
      </c>
      <c r="K11" s="39">
        <f>'Data Entry Köln City Plaza'!AA11</f>
        <v>964793.04</v>
      </c>
      <c r="L11" s="39">
        <f>'Data Entry Köln City Plaza'!AD11</f>
        <v>1211705.834</v>
      </c>
      <c r="M11" s="39">
        <f>'Data Entry Köln City Plaza'!AG11</f>
        <v>1325922.176</v>
      </c>
      <c r="N11" s="39">
        <f>'Data Entry Köln City Plaza'!AJ11</f>
        <v>1238980.844</v>
      </c>
      <c r="O11" s="39">
        <f>'Data Entry Köln City Plaza'!AM11</f>
        <v>1048602.25</v>
      </c>
    </row>
    <row r="12" spans="2:15" ht="14" x14ac:dyDescent="0.15">
      <c r="B12" s="38" t="s">
        <v>22</v>
      </c>
      <c r="C12" s="39">
        <f>'Data Entry Köln City Plaza'!C12</f>
        <v>3930703.5326</v>
      </c>
      <c r="D12" s="39">
        <f>'Data Entry Köln City Plaza'!F12</f>
        <v>304375.57</v>
      </c>
      <c r="E12" s="39">
        <f>'Data Entry Köln City Plaza'!I12</f>
        <v>385212</v>
      </c>
      <c r="F12" s="39">
        <f>'Data Entry Köln City Plaza'!L12</f>
        <v>350402.19</v>
      </c>
      <c r="G12" s="39">
        <f>'Data Entry Köln City Plaza'!O12</f>
        <v>329705</v>
      </c>
      <c r="H12" s="39">
        <f>'Data Entry Köln City Plaza'!R12</f>
        <v>310690.72879999998</v>
      </c>
      <c r="I12" s="39">
        <f>'Data Entry Köln City Plaza'!U12</f>
        <v>321931.59909999999</v>
      </c>
      <c r="J12" s="39">
        <f>'Data Entry Köln City Plaza'!X12</f>
        <v>286401.63270000002</v>
      </c>
      <c r="K12" s="39">
        <f>'Data Entry Köln City Plaza'!AA12</f>
        <v>307604.05859999999</v>
      </c>
      <c r="L12" s="39">
        <f>'Data Entry Köln City Plaza'!AD12</f>
        <v>325841.59360000002</v>
      </c>
      <c r="M12" s="39">
        <f>'Data Entry Köln City Plaza'!AG12</f>
        <v>320824.69069999998</v>
      </c>
      <c r="N12" s="39">
        <f>'Data Entry Köln City Plaza'!AJ12</f>
        <v>357023.45429999998</v>
      </c>
      <c r="O12" s="39">
        <f>'Data Entry Köln City Plaza'!AM12</f>
        <v>330691.0148</v>
      </c>
    </row>
    <row r="13" spans="2:15" ht="14" x14ac:dyDescent="0.15">
      <c r="B13" s="38" t="s">
        <v>23</v>
      </c>
      <c r="C13" s="39">
        <f>'Data Entry Köln City Plaza'!C13</f>
        <v>3902522.0000999998</v>
      </c>
      <c r="D13" s="39">
        <f>'Data Entry Köln City Plaza'!F13</f>
        <v>50981.77</v>
      </c>
      <c r="E13" s="39">
        <f>'Data Entry Köln City Plaza'!I13</f>
        <v>129803.53</v>
      </c>
      <c r="F13" s="39">
        <f>'Data Entry Köln City Plaza'!L13</f>
        <v>536569.75</v>
      </c>
      <c r="G13" s="39">
        <f>'Data Entry Köln City Plaza'!O13</f>
        <v>311949.86</v>
      </c>
      <c r="H13" s="39">
        <f>'Data Entry Köln City Plaza'!R13</f>
        <v>341441.7905</v>
      </c>
      <c r="I13" s="39">
        <f>'Data Entry Köln City Plaza'!U13</f>
        <v>270287.2758</v>
      </c>
      <c r="J13" s="39">
        <f>'Data Entry Köln City Plaza'!X13</f>
        <v>134135.3689</v>
      </c>
      <c r="K13" s="39">
        <f>'Data Entry Köln City Plaza'!AA13</f>
        <v>303536.37170000002</v>
      </c>
      <c r="L13" s="39">
        <f>'Data Entry Köln City Plaza'!AD13</f>
        <v>455459.18349999998</v>
      </c>
      <c r="M13" s="39">
        <f>'Data Entry Köln City Plaza'!AG13</f>
        <v>566989.51359999995</v>
      </c>
      <c r="N13" s="39">
        <f>'Data Entry Köln City Plaza'!AJ13</f>
        <v>453931.98509999999</v>
      </c>
      <c r="O13" s="39">
        <f>'Data Entry Köln City Plaza'!AM13</f>
        <v>347435.60100000002</v>
      </c>
    </row>
    <row r="14" spans="2:15" ht="14" x14ac:dyDescent="0.15">
      <c r="B14" s="38" t="s">
        <v>24</v>
      </c>
      <c r="C14" s="39">
        <f>'Data Entry Köln City Plaza'!C14</f>
        <v>86505</v>
      </c>
      <c r="D14" s="39">
        <f>'Data Entry Köln City Plaza'!F14</f>
        <v>7347</v>
      </c>
      <c r="E14" s="39">
        <f>'Data Entry Köln City Plaza'!I14</f>
        <v>6636</v>
      </c>
      <c r="F14" s="39">
        <f>'Data Entry Köln City Plaza'!L14</f>
        <v>7347</v>
      </c>
      <c r="G14" s="39">
        <f>'Data Entry Köln City Plaza'!O14</f>
        <v>7110</v>
      </c>
      <c r="H14" s="39">
        <f>'Data Entry Köln City Plaza'!R14</f>
        <v>7347</v>
      </c>
      <c r="I14" s="39">
        <f>'Data Entry Köln City Plaza'!U14</f>
        <v>7110</v>
      </c>
      <c r="J14" s="39">
        <f>'Data Entry Köln City Plaza'!X14</f>
        <v>7347</v>
      </c>
      <c r="K14" s="39">
        <f>'Data Entry Köln City Plaza'!AA14</f>
        <v>7347</v>
      </c>
      <c r="L14" s="39">
        <f>'Data Entry Köln City Plaza'!AD14</f>
        <v>7110</v>
      </c>
      <c r="M14" s="39">
        <f>'Data Entry Köln City Plaza'!AG14</f>
        <v>7347</v>
      </c>
      <c r="N14" s="39">
        <f>'Data Entry Köln City Plaza'!AJ14</f>
        <v>7110</v>
      </c>
      <c r="O14" s="39">
        <f>'Data Entry Köln City Plaza'!AM14</f>
        <v>7347</v>
      </c>
    </row>
    <row r="15" spans="2:15" ht="14" x14ac:dyDescent="0.15">
      <c r="B15" s="38" t="s">
        <v>25</v>
      </c>
      <c r="C15" s="39">
        <f>'Data Entry Köln City Plaza'!C15</f>
        <v>65883</v>
      </c>
      <c r="D15" s="39">
        <f>'Data Entry Köln City Plaza'!F15</f>
        <v>3751</v>
      </c>
      <c r="E15" s="39">
        <f>'Data Entry Köln City Plaza'!I15</f>
        <v>9193</v>
      </c>
      <c r="F15" s="39">
        <f>'Data Entry Köln City Plaza'!L15</f>
        <v>5221</v>
      </c>
      <c r="G15" s="39">
        <f>'Data Entry Köln City Plaza'!O15</f>
        <v>4593</v>
      </c>
      <c r="H15" s="39">
        <f>'Data Entry Köln City Plaza'!R15</f>
        <v>5650</v>
      </c>
      <c r="I15" s="39">
        <f>'Data Entry Köln City Plaza'!U15</f>
        <v>4980</v>
      </c>
      <c r="J15" s="39">
        <f>'Data Entry Köln City Plaza'!X15</f>
        <v>4545</v>
      </c>
      <c r="K15" s="39">
        <f>'Data Entry Köln City Plaza'!AA15</f>
        <v>5500</v>
      </c>
      <c r="L15" s="39">
        <f>'Data Entry Köln City Plaza'!AD15</f>
        <v>6150</v>
      </c>
      <c r="M15" s="39">
        <f>'Data Entry Köln City Plaza'!AG15</f>
        <v>5600</v>
      </c>
      <c r="N15" s="39">
        <f>'Data Entry Köln City Plaza'!AJ15</f>
        <v>5700</v>
      </c>
      <c r="O15" s="39">
        <f>'Data Entry Köln City Plaza'!AM15</f>
        <v>5000</v>
      </c>
    </row>
    <row r="16" spans="2:15" ht="14" x14ac:dyDescent="0.15">
      <c r="B16" s="38" t="s">
        <v>26</v>
      </c>
      <c r="C16" s="39">
        <f>'Data Entry Köln City Plaza'!C16</f>
        <v>76.495000289000998</v>
      </c>
      <c r="D16" s="39">
        <f>'Data Entry Köln City Plaza'!F16</f>
        <v>51.599292228119999</v>
      </c>
      <c r="E16" s="39">
        <f>'Data Entry Köln City Plaza'!I16</f>
        <v>139.36106088004999</v>
      </c>
      <c r="F16" s="39">
        <f>'Data Entry Köln City Plaza'!L16</f>
        <v>72.002177759630001</v>
      </c>
      <c r="G16" s="39">
        <f>'Data Entry Köln City Plaza'!O16</f>
        <v>66.357243319269003</v>
      </c>
      <c r="H16" s="39">
        <f>'Data Entry Köln City Plaza'!R16</f>
        <v>76.902136926636999</v>
      </c>
      <c r="I16" s="39">
        <f>'Data Entry Köln City Plaza'!U16</f>
        <v>70.042194092827003</v>
      </c>
      <c r="J16" s="39">
        <f>'Data Entry Köln City Plaza'!X16</f>
        <v>61.861984483462997</v>
      </c>
      <c r="K16" s="39">
        <f>'Data Entry Köln City Plaza'!AA16</f>
        <v>74.860487273716998</v>
      </c>
      <c r="L16" s="39">
        <f>'Data Entry Köln City Plaza'!AD16</f>
        <v>86.497890295358999</v>
      </c>
      <c r="M16" s="39">
        <f>'Data Entry Köln City Plaza'!AG16</f>
        <v>76.22158704233</v>
      </c>
      <c r="N16" s="39">
        <f>'Data Entry Köln City Plaza'!AJ16</f>
        <v>80.168776371307999</v>
      </c>
      <c r="O16" s="39">
        <f>'Data Entry Köln City Plaza'!AM16</f>
        <v>68.054988430652003</v>
      </c>
    </row>
    <row r="17" spans="2:15" ht="14" x14ac:dyDescent="0.15">
      <c r="B17" s="38" t="s">
        <v>27</v>
      </c>
      <c r="C17" s="39">
        <f>'Data Entry Köln City Plaza'!C17</f>
        <v>127.97115431902</v>
      </c>
      <c r="D17" s="39">
        <f>'Data Entry Köln City Plaza'!F17</f>
        <v>98.846931484937002</v>
      </c>
      <c r="E17" s="39">
        <f>'Data Entry Köln City Plaza'!I17</f>
        <v>61.997664527357998</v>
      </c>
      <c r="F17" s="39">
        <f>'Data Entry Köln City Plaza'!L17</f>
        <v>170.34202260103001</v>
      </c>
      <c r="G17" s="39">
        <f>'Data Entry Köln City Plaza'!O17</f>
        <v>138.67482908773999</v>
      </c>
      <c r="H17" s="39">
        <f>'Data Entry Köln City Plaza'!R17</f>
        <v>136.88672566372</v>
      </c>
      <c r="I17" s="39">
        <f>'Data Entry Köln City Plaza'!U17</f>
        <v>135.44578313253001</v>
      </c>
      <c r="J17" s="39">
        <f>'Data Entry Köln City Plaza'!X17</f>
        <v>113.40704070407</v>
      </c>
      <c r="K17" s="39">
        <f>'Data Entry Köln City Plaza'!AA17</f>
        <v>133.69999999999999</v>
      </c>
      <c r="L17" s="39">
        <f>'Data Entry Köln City Plaza'!AD17</f>
        <v>133.51219512194999</v>
      </c>
      <c r="M17" s="39">
        <f>'Data Entry Köln City Plaza'!AG17</f>
        <v>180.08035714286001</v>
      </c>
      <c r="N17" s="39">
        <f>'Data Entry Köln City Plaza'!AJ17</f>
        <v>135.42982456140001</v>
      </c>
      <c r="O17" s="39">
        <f>'Data Entry Köln City Plaza'!AM17</f>
        <v>132.78</v>
      </c>
    </row>
    <row r="18" spans="2:15" ht="14" x14ac:dyDescent="0.15">
      <c r="B18" s="38" t="s">
        <v>28</v>
      </c>
      <c r="C18" s="39">
        <f>'Data Entry Köln City Plaza'!C18</f>
        <v>97.178664585861995</v>
      </c>
      <c r="D18" s="39">
        <f>'Data Entry Köln City Plaza'!F18</f>
        <v>50.522625561453999</v>
      </c>
      <c r="E18" s="39">
        <f>'Data Entry Köln City Plaza'!I18</f>
        <v>85.858595539481996</v>
      </c>
      <c r="F18" s="39">
        <f>'Data Entry Köln City Plaza'!L18</f>
        <v>121.00566353614001</v>
      </c>
      <c r="G18" s="39">
        <f>'Data Entry Köln City Plaza'!O18</f>
        <v>89.500618846695005</v>
      </c>
      <c r="H18" s="39">
        <f>'Data Entry Köln City Plaza'!R18</f>
        <v>104.86048727372</v>
      </c>
      <c r="I18" s="39">
        <f>'Data Entry Köln City Plaza'!U18</f>
        <v>94.447257383966004</v>
      </c>
      <c r="J18" s="39">
        <f>'Data Entry Köln City Plaza'!X18</f>
        <v>69.815570981353005</v>
      </c>
      <c r="K18" s="39">
        <f>'Data Entry Köln City Plaza'!AA18</f>
        <v>99.612086565945006</v>
      </c>
      <c r="L18" s="39">
        <f>'Data Entry Köln City Plaza'!AD18</f>
        <v>115.06329113923999</v>
      </c>
      <c r="M18" s="39">
        <f>'Data Entry Köln City Plaza'!AG18</f>
        <v>136.78372124677</v>
      </c>
      <c r="N18" s="39">
        <f>'Data Entry Köln City Plaza'!AJ18</f>
        <v>108.22081575246</v>
      </c>
      <c r="O18" s="39">
        <f>'Data Entry Köln City Plaza'!AM18</f>
        <v>89.955083707636007</v>
      </c>
    </row>
    <row r="19" spans="2:15" ht="14" x14ac:dyDescent="0.15">
      <c r="B19" s="38" t="s">
        <v>29</v>
      </c>
      <c r="C19" s="39">
        <f>'Data Entry Köln City Plaza'!C19</f>
        <v>141.11514596729</v>
      </c>
      <c r="D19" s="39">
        <f>'Data Entry Köln City Plaza'!F19</f>
        <v>85.170624744793997</v>
      </c>
      <c r="E19" s="39">
        <f>'Data Entry Köln City Plaza'!I19</f>
        <v>139.02666365280001</v>
      </c>
      <c r="F19" s="39">
        <f>'Data Entry Köln City Plaza'!L19</f>
        <v>182.55562406423999</v>
      </c>
      <c r="G19" s="39">
        <f>'Data Entry Köln City Plaza'!O19</f>
        <v>119.12882559774999</v>
      </c>
      <c r="H19" s="39">
        <f>'Data Entry Köln City Plaza'!R19</f>
        <v>138.72788240098001</v>
      </c>
      <c r="I19" s="39">
        <f>'Data Entry Köln City Plaza'!U19</f>
        <v>132.74344922643999</v>
      </c>
      <c r="J19" s="39">
        <f>'Data Entry Köln City Plaza'!X19</f>
        <v>97.665746821832002</v>
      </c>
      <c r="K19" s="39">
        <f>'Data Entry Köln City Plaza'!AA19</f>
        <v>131.31795835035001</v>
      </c>
      <c r="L19" s="39">
        <f>'Data Entry Köln City Plaza'!AD19</f>
        <v>170.42276146272999</v>
      </c>
      <c r="M19" s="39">
        <f>'Data Entry Köln City Plaza'!AG19</f>
        <v>180.47123669525001</v>
      </c>
      <c r="N19" s="39">
        <f>'Data Entry Köln City Plaza'!AJ19</f>
        <v>174.25890914204999</v>
      </c>
      <c r="O19" s="39">
        <f>'Data Entry Köln City Plaza'!AM19</f>
        <v>142.72522798420999</v>
      </c>
    </row>
    <row r="20" spans="2:15" ht="14" x14ac:dyDescent="0.15">
      <c r="B20" s="38" t="s">
        <v>30</v>
      </c>
      <c r="C20" s="39">
        <f>'Data Entry Köln City Plaza'!C20</f>
        <v>97796.7</v>
      </c>
      <c r="D20" s="39">
        <f>'Data Entry Köln City Plaza'!F20</f>
        <v>5165</v>
      </c>
      <c r="E20" s="39">
        <f>'Data Entry Köln City Plaza'!I20</f>
        <v>12372</v>
      </c>
      <c r="F20" s="39">
        <f>'Data Entry Köln City Plaza'!L20</f>
        <v>7189</v>
      </c>
      <c r="G20" s="39">
        <f>'Data Entry Köln City Plaza'!O20</f>
        <v>6195</v>
      </c>
      <c r="H20" s="39">
        <f>'Data Entry Köln City Plaza'!R20</f>
        <v>8136</v>
      </c>
      <c r="I20" s="39">
        <f>'Data Entry Köln City Plaza'!U20</f>
        <v>6972</v>
      </c>
      <c r="J20" s="39">
        <f>'Data Entry Köln City Plaza'!X20</f>
        <v>6635.7</v>
      </c>
      <c r="K20" s="39">
        <f>'Data Entry Köln City Plaza'!AA20</f>
        <v>7920</v>
      </c>
      <c r="L20" s="39">
        <f>'Data Entry Köln City Plaza'!AD20</f>
        <v>9102</v>
      </c>
      <c r="M20" s="39">
        <f>'Data Entry Köln City Plaza'!AG20</f>
        <v>9968</v>
      </c>
      <c r="N20" s="39">
        <f>'Data Entry Köln City Plaza'!AJ20</f>
        <v>8892</v>
      </c>
      <c r="O20" s="39">
        <f>'Data Entry Köln City Plaza'!AM20</f>
        <v>9250</v>
      </c>
    </row>
    <row r="21" spans="2:15" ht="14" x14ac:dyDescent="0.15">
      <c r="B21" s="38" t="s">
        <v>31</v>
      </c>
      <c r="C21" s="39">
        <f>'Data Entry Köln City Plaza'!C21</f>
        <v>1.4779166414798</v>
      </c>
      <c r="D21" s="39">
        <f>'Data Entry Köln City Plaza'!F21</f>
        <v>1.3624373516223001</v>
      </c>
      <c r="E21" s="39">
        <f>'Data Entry Köln City Plaza'!I21</f>
        <v>1.3378027681661</v>
      </c>
      <c r="F21" s="39">
        <f>'Data Entry Köln City Plaza'!L21</f>
        <v>1.3589792060490999</v>
      </c>
      <c r="G21" s="39">
        <f>'Data Entry Köln City Plaza'!O21</f>
        <v>1.3130563798220001</v>
      </c>
      <c r="H21" s="39">
        <f>'Data Entry Köln City Plaza'!R21</f>
        <v>1.44</v>
      </c>
      <c r="I21" s="39">
        <f>'Data Entry Köln City Plaza'!U21</f>
        <v>1.4</v>
      </c>
      <c r="J21" s="39">
        <f>'Data Entry Köln City Plaza'!X21</f>
        <v>1.46</v>
      </c>
      <c r="K21" s="39">
        <f>'Data Entry Köln City Plaza'!AA21</f>
        <v>1.44</v>
      </c>
      <c r="L21" s="39">
        <f>'Data Entry Köln City Plaza'!AD21</f>
        <v>1.48</v>
      </c>
      <c r="M21" s="39">
        <f>'Data Entry Köln City Plaza'!AG21</f>
        <v>1.78</v>
      </c>
      <c r="N21" s="39">
        <f>'Data Entry Köln City Plaza'!AJ21</f>
        <v>1.56</v>
      </c>
      <c r="O21" s="39">
        <f>'Data Entry Köln City Plaza'!AM21</f>
        <v>1.85</v>
      </c>
    </row>
    <row r="22" spans="2:15" ht="14" x14ac:dyDescent="0.15">
      <c r="B22" s="38" t="s">
        <v>32</v>
      </c>
      <c r="C22" s="39">
        <f>'Data Entry Köln City Plaza'!C22</f>
        <v>86938.41</v>
      </c>
      <c r="D22" s="39">
        <f>'Data Entry Köln City Plaza'!F22</f>
        <v>0</v>
      </c>
      <c r="E22" s="39">
        <f>'Data Entry Köln City Plaza'!I22</f>
        <v>0</v>
      </c>
      <c r="F22" s="39">
        <f>'Data Entry Köln City Plaza'!L22</f>
        <v>0</v>
      </c>
      <c r="G22" s="39">
        <f>'Data Entry Köln City Plaza'!O22</f>
        <v>0</v>
      </c>
      <c r="H22" s="39">
        <f>'Data Entry Köln City Plaza'!R22</f>
        <v>10576.8</v>
      </c>
      <c r="I22" s="39">
        <f>'Data Entry Köln City Plaza'!U22</f>
        <v>9063.6</v>
      </c>
      <c r="J22" s="39">
        <f>'Data Entry Köln City Plaza'!X22</f>
        <v>8626.41</v>
      </c>
      <c r="K22" s="39">
        <f>'Data Entry Köln City Plaza'!AA22</f>
        <v>10296</v>
      </c>
      <c r="L22" s="39">
        <f>'Data Entry Köln City Plaza'!AD22</f>
        <v>11832.6</v>
      </c>
      <c r="M22" s="39">
        <f>'Data Entry Köln City Plaza'!AG22</f>
        <v>12958.4</v>
      </c>
      <c r="N22" s="39">
        <f>'Data Entry Köln City Plaza'!AJ22</f>
        <v>11559.6</v>
      </c>
      <c r="O22" s="39">
        <f>'Data Entry Köln City Plaza'!AM22</f>
        <v>12025</v>
      </c>
    </row>
    <row r="23" spans="2:15" ht="14" x14ac:dyDescent="0.15">
      <c r="B23" s="38" t="s">
        <v>33</v>
      </c>
      <c r="C23" s="39">
        <f>'Data Entry Köln City Plaza'!C23</f>
        <v>53.431699999999999</v>
      </c>
      <c r="D23" s="39">
        <f>'Data Entry Köln City Plaza'!F23</f>
        <v>66.91</v>
      </c>
      <c r="E23" s="39">
        <f>'Data Entry Köln City Plaza'!I23</f>
        <v>67.180000000000007</v>
      </c>
      <c r="F23" s="39">
        <f>'Data Entry Köln City Plaza'!L23</f>
        <v>66.180000000000007</v>
      </c>
      <c r="G23" s="39">
        <f>'Data Entry Köln City Plaza'!O23</f>
        <v>66.45</v>
      </c>
      <c r="H23" s="39">
        <f>'Data Entry Köln City Plaza'!R23</f>
        <v>48.87</v>
      </c>
      <c r="I23" s="39">
        <f>'Data Entry Köln City Plaza'!U23</f>
        <v>47.87</v>
      </c>
      <c r="J23" s="39">
        <f>'Data Entry Köln City Plaza'!X23</f>
        <v>46.87</v>
      </c>
      <c r="K23" s="39">
        <f>'Data Entry Köln City Plaza'!AA23</f>
        <v>45.87</v>
      </c>
      <c r="L23" s="39">
        <f>'Data Entry Köln City Plaza'!AD23</f>
        <v>45.87</v>
      </c>
      <c r="M23" s="39">
        <f>'Data Entry Köln City Plaza'!AG23</f>
        <v>46.37</v>
      </c>
      <c r="N23" s="39">
        <f>'Data Entry Köln City Plaza'!AJ23</f>
        <v>46.37</v>
      </c>
      <c r="O23" s="39">
        <f>'Data Entry Köln City Plaza'!AM23</f>
        <v>46.37</v>
      </c>
    </row>
    <row r="24" spans="2:15" x14ac:dyDescent="0.15">
      <c r="C24" s="39">
        <f>'Data Entry Köln City Plaza'!C24</f>
        <v>0</v>
      </c>
      <c r="D24" s="39">
        <f>'Data Entry Köln City Plaza'!F24</f>
        <v>0</v>
      </c>
      <c r="E24" s="39">
        <f>'Data Entry Köln City Plaza'!I24</f>
        <v>0</v>
      </c>
      <c r="F24" s="39">
        <f>'Data Entry Köln City Plaza'!L24</f>
        <v>0</v>
      </c>
      <c r="G24" s="39">
        <f>'Data Entry Köln City Plaza'!O24</f>
        <v>0</v>
      </c>
      <c r="H24" s="39">
        <f>'Data Entry Köln City Plaza'!R24</f>
        <v>0</v>
      </c>
      <c r="I24" s="39">
        <f>'Data Entry Köln City Plaza'!U24</f>
        <v>0</v>
      </c>
      <c r="J24" s="39">
        <f>'Data Entry Köln City Plaza'!X24</f>
        <v>0</v>
      </c>
      <c r="K24" s="39">
        <f>'Data Entry Köln City Plaza'!AA24</f>
        <v>0</v>
      </c>
      <c r="L24" s="39">
        <f>'Data Entry Köln City Plaza'!AD24</f>
        <v>0</v>
      </c>
      <c r="M24" s="39">
        <f>'Data Entry Köln City Plaza'!AG24</f>
        <v>0</v>
      </c>
      <c r="N24" s="39">
        <f>'Data Entry Köln City Plaza'!AJ24</f>
        <v>0</v>
      </c>
      <c r="O24" s="39">
        <f>'Data Entry Köln City Plaza'!AM24</f>
        <v>0</v>
      </c>
    </row>
    <row r="25" spans="2:15" ht="14" x14ac:dyDescent="0.15">
      <c r="B25" s="38" t="s">
        <v>34</v>
      </c>
      <c r="C25" s="39">
        <f>'Data Entry Köln City Plaza'!C25</f>
        <v>0</v>
      </c>
      <c r="D25" s="39">
        <f>'Data Entry Köln City Plaza'!F25</f>
        <v>0</v>
      </c>
      <c r="E25" s="39">
        <f>'Data Entry Köln City Plaza'!I25</f>
        <v>0</v>
      </c>
      <c r="F25" s="39">
        <f>'Data Entry Köln City Plaza'!L25</f>
        <v>0</v>
      </c>
      <c r="G25" s="39">
        <f>'Data Entry Köln City Plaza'!O25</f>
        <v>0</v>
      </c>
      <c r="H25" s="39">
        <f>'Data Entry Köln City Plaza'!R25</f>
        <v>0</v>
      </c>
      <c r="I25" s="39">
        <f>'Data Entry Köln City Plaza'!U25</f>
        <v>0</v>
      </c>
      <c r="J25" s="39">
        <f>'Data Entry Köln City Plaza'!X25</f>
        <v>0</v>
      </c>
      <c r="K25" s="39">
        <f>'Data Entry Köln City Plaza'!AA25</f>
        <v>0</v>
      </c>
      <c r="L25" s="39">
        <f>'Data Entry Köln City Plaza'!AD25</f>
        <v>0</v>
      </c>
      <c r="M25" s="39">
        <f>'Data Entry Köln City Plaza'!AG25</f>
        <v>0</v>
      </c>
      <c r="N25" s="39">
        <f>'Data Entry Köln City Plaza'!AJ25</f>
        <v>0</v>
      </c>
      <c r="O25" s="39">
        <f>'Data Entry Köln City Plaza'!AM25</f>
        <v>0</v>
      </c>
    </row>
    <row r="26" spans="2:15" x14ac:dyDescent="0.15">
      <c r="B26" s="40"/>
      <c r="C26" s="39">
        <f>'Data Entry Köln City Plaza'!C26</f>
        <v>0</v>
      </c>
      <c r="D26" s="39">
        <f>'Data Entry Köln City Plaza'!F26</f>
        <v>0</v>
      </c>
      <c r="E26" s="39">
        <f>'Data Entry Köln City Plaza'!I26</f>
        <v>0</v>
      </c>
      <c r="F26" s="39">
        <f>'Data Entry Köln City Plaza'!L26</f>
        <v>0</v>
      </c>
      <c r="G26" s="39">
        <f>'Data Entry Köln City Plaza'!O26</f>
        <v>0</v>
      </c>
      <c r="H26" s="39">
        <f>'Data Entry Köln City Plaza'!R26</f>
        <v>0</v>
      </c>
      <c r="I26" s="39">
        <f>'Data Entry Köln City Plaza'!U26</f>
        <v>0</v>
      </c>
      <c r="J26" s="39">
        <f>'Data Entry Köln City Plaza'!X26</f>
        <v>0</v>
      </c>
      <c r="K26" s="39">
        <f>'Data Entry Köln City Plaza'!AA26</f>
        <v>0</v>
      </c>
      <c r="L26" s="39">
        <f>'Data Entry Köln City Plaza'!AD26</f>
        <v>0</v>
      </c>
      <c r="M26" s="39">
        <f>'Data Entry Köln City Plaza'!AG26</f>
        <v>0</v>
      </c>
      <c r="N26" s="39">
        <f>'Data Entry Köln City Plaza'!AJ26</f>
        <v>0</v>
      </c>
      <c r="O26" s="39">
        <f>'Data Entry Köln City Plaza'!AM26</f>
        <v>0</v>
      </c>
    </row>
    <row r="27" spans="2:15" ht="14" x14ac:dyDescent="0.15">
      <c r="B27" s="42" t="s">
        <v>21</v>
      </c>
      <c r="C27" s="39">
        <f>'Data Entry Köln City Plaza'!C27</f>
        <v>12207165.7019</v>
      </c>
      <c r="D27" s="39">
        <f>'Data Entry Köln City Plaza'!F27</f>
        <v>625748.57999999996</v>
      </c>
      <c r="E27" s="39">
        <f>'Data Entry Köln City Plaza'!I27</f>
        <v>922580.94</v>
      </c>
      <c r="F27" s="39">
        <f>'Data Entry Köln City Plaza'!L27</f>
        <v>1341236.17</v>
      </c>
      <c r="G27" s="39">
        <f>'Data Entry Köln City Plaza'!O27</f>
        <v>847005.95</v>
      </c>
      <c r="H27" s="39">
        <f>'Data Entry Köln City Plaza'!R27</f>
        <v>1019233.752</v>
      </c>
      <c r="I27" s="39">
        <f>'Data Entry Köln City Plaza'!U27</f>
        <v>943805.924</v>
      </c>
      <c r="J27" s="39">
        <f>'Data Entry Köln City Plaza'!X27</f>
        <v>717550.24190000002</v>
      </c>
      <c r="K27" s="39">
        <f>'Data Entry Köln City Plaza'!AA27</f>
        <v>964793.04</v>
      </c>
      <c r="L27" s="39">
        <f>'Data Entry Köln City Plaza'!AD27</f>
        <v>1211705.834</v>
      </c>
      <c r="M27" s="39">
        <f>'Data Entry Köln City Plaza'!AG27</f>
        <v>1325922.176</v>
      </c>
      <c r="N27" s="39">
        <f>'Data Entry Köln City Plaza'!AJ27</f>
        <v>1238980.844</v>
      </c>
      <c r="O27" s="39">
        <f>'Data Entry Köln City Plaza'!AM27</f>
        <v>1048602.25</v>
      </c>
    </row>
    <row r="28" spans="2:15" ht="14" x14ac:dyDescent="0.15">
      <c r="B28" s="38" t="s">
        <v>35</v>
      </c>
      <c r="C28" s="39">
        <f>'Data Entry Köln City Plaza'!C28</f>
        <v>8431123.5600000005</v>
      </c>
      <c r="D28" s="39">
        <f>'Data Entry Köln City Plaza'!F28</f>
        <v>370774.84</v>
      </c>
      <c r="E28" s="39">
        <f>'Data Entry Köln City Plaza'!I28</f>
        <v>569944.53</v>
      </c>
      <c r="F28" s="39">
        <f>'Data Entry Köln City Plaza'!L28</f>
        <v>889355.7</v>
      </c>
      <c r="G28" s="39">
        <f>'Data Entry Köln City Plaza'!O28</f>
        <v>636933.49</v>
      </c>
      <c r="H28" s="39">
        <f>'Data Entry Köln City Plaza'!R28</f>
        <v>773410</v>
      </c>
      <c r="I28" s="39">
        <f>'Data Entry Köln City Plaza'!U28</f>
        <v>674520</v>
      </c>
      <c r="J28" s="39">
        <f>'Data Entry Köln City Plaza'!X28</f>
        <v>515435</v>
      </c>
      <c r="K28" s="39">
        <f>'Data Entry Köln City Plaza'!AA28</f>
        <v>735350</v>
      </c>
      <c r="L28" s="39">
        <f>'Data Entry Köln City Plaza'!AD28</f>
        <v>821100</v>
      </c>
      <c r="M28" s="39">
        <f>'Data Entry Köln City Plaza'!AG28</f>
        <v>1008450</v>
      </c>
      <c r="N28" s="39">
        <f>'Data Entry Köln City Plaza'!AJ28</f>
        <v>771950</v>
      </c>
      <c r="O28" s="39">
        <f>'Data Entry Köln City Plaza'!AM28</f>
        <v>663900</v>
      </c>
    </row>
    <row r="29" spans="2:15" ht="14" x14ac:dyDescent="0.15">
      <c r="B29" s="38" t="s">
        <v>36</v>
      </c>
      <c r="C29" s="39">
        <f>'Data Entry Köln City Plaza'!C29</f>
        <v>3315244.6518999999</v>
      </c>
      <c r="D29" s="39">
        <f>'Data Entry Köln City Plaza'!F29</f>
        <v>227781.29</v>
      </c>
      <c r="E29" s="39">
        <f>'Data Entry Köln City Plaza'!I29</f>
        <v>309443.12</v>
      </c>
      <c r="F29" s="39">
        <f>'Data Entry Köln City Plaza'!L29</f>
        <v>403802.54</v>
      </c>
      <c r="G29" s="39">
        <f>'Data Entry Köln City Plaza'!O29</f>
        <v>164515.14000000001</v>
      </c>
      <c r="H29" s="39">
        <f>'Data Entry Köln City Plaza'!R29</f>
        <v>212799.75200000001</v>
      </c>
      <c r="I29" s="39">
        <f>'Data Entry Köln City Plaza'!U29</f>
        <v>232089.12400000001</v>
      </c>
      <c r="J29" s="39">
        <f>'Data Entry Köln City Plaza'!X29</f>
        <v>175026.54190000001</v>
      </c>
      <c r="K29" s="39">
        <f>'Data Entry Köln City Plaza'!AA29</f>
        <v>192713.04</v>
      </c>
      <c r="L29" s="39">
        <f>'Data Entry Köln City Plaza'!AD29</f>
        <v>349986.83399999997</v>
      </c>
      <c r="M29" s="39">
        <f>'Data Entry Köln City Plaza'!AG29</f>
        <v>274136.17599999998</v>
      </c>
      <c r="N29" s="39">
        <f>'Data Entry Köln City Plaza'!AJ29</f>
        <v>422048.84399999998</v>
      </c>
      <c r="O29" s="39">
        <f>'Data Entry Köln City Plaza'!AM29</f>
        <v>350902.25</v>
      </c>
    </row>
    <row r="30" spans="2:15" ht="14" x14ac:dyDescent="0.15">
      <c r="B30" s="38" t="s">
        <v>37</v>
      </c>
      <c r="C30" s="39">
        <f>'Data Entry Köln City Plaza'!C30</f>
        <v>328832.09000000003</v>
      </c>
      <c r="D30" s="39">
        <f>'Data Entry Köln City Plaza'!F30</f>
        <v>23176.14</v>
      </c>
      <c r="E30" s="39">
        <f>'Data Entry Köln City Plaza'!I30</f>
        <v>30794.18</v>
      </c>
      <c r="F30" s="39">
        <f>'Data Entry Köln City Plaza'!L30</f>
        <v>31900.46</v>
      </c>
      <c r="G30" s="39">
        <f>'Data Entry Köln City Plaza'!O30</f>
        <v>24684.81</v>
      </c>
      <c r="H30" s="39">
        <f>'Data Entry Köln City Plaza'!R30</f>
        <v>28024</v>
      </c>
      <c r="I30" s="39">
        <f>'Data Entry Köln City Plaza'!U30</f>
        <v>25696.799999999999</v>
      </c>
      <c r="J30" s="39">
        <f>'Data Entry Köln City Plaza'!X30</f>
        <v>22088.7</v>
      </c>
      <c r="K30" s="39">
        <f>'Data Entry Köln City Plaza'!AA30</f>
        <v>26730</v>
      </c>
      <c r="L30" s="39">
        <f>'Data Entry Köln City Plaza'!AD30</f>
        <v>31119</v>
      </c>
      <c r="M30" s="39">
        <f>'Data Entry Köln City Plaza'!AG30</f>
        <v>28336</v>
      </c>
      <c r="N30" s="39">
        <f>'Data Entry Köln City Plaza'!AJ30</f>
        <v>29982</v>
      </c>
      <c r="O30" s="39">
        <f>'Data Entry Köln City Plaza'!AM30</f>
        <v>26300</v>
      </c>
    </row>
    <row r="31" spans="2:15" ht="14" x14ac:dyDescent="0.15">
      <c r="B31" s="38" t="s">
        <v>38</v>
      </c>
      <c r="C31" s="39">
        <f>'Data Entry Köln City Plaza'!C31</f>
        <v>131965.4</v>
      </c>
      <c r="D31" s="39">
        <f>'Data Entry Köln City Plaza'!F31</f>
        <v>4016.31</v>
      </c>
      <c r="E31" s="39">
        <f>'Data Entry Köln City Plaza'!I31</f>
        <v>12399.11</v>
      </c>
      <c r="F31" s="39">
        <f>'Data Entry Köln City Plaza'!L31</f>
        <v>16177.47</v>
      </c>
      <c r="G31" s="39">
        <f>'Data Entry Köln City Plaza'!O31</f>
        <v>20872.509999999998</v>
      </c>
      <c r="H31" s="39">
        <f>'Data Entry Köln City Plaza'!R31</f>
        <v>5000</v>
      </c>
      <c r="I31" s="39">
        <f>'Data Entry Köln City Plaza'!U31</f>
        <v>11500</v>
      </c>
      <c r="J31" s="39">
        <f>'Data Entry Köln City Plaza'!X31</f>
        <v>5000</v>
      </c>
      <c r="K31" s="39">
        <f>'Data Entry Köln City Plaza'!AA31</f>
        <v>10000</v>
      </c>
      <c r="L31" s="39">
        <f>'Data Entry Köln City Plaza'!AD31</f>
        <v>9500</v>
      </c>
      <c r="M31" s="39">
        <f>'Data Entry Köln City Plaza'!AG31</f>
        <v>15000</v>
      </c>
      <c r="N31" s="39">
        <f>'Data Entry Köln City Plaza'!AJ31</f>
        <v>15000</v>
      </c>
      <c r="O31" s="39">
        <f>'Data Entry Köln City Plaza'!AM31</f>
        <v>7500</v>
      </c>
    </row>
    <row r="32" spans="2:15" x14ac:dyDescent="0.15">
      <c r="B32" s="40"/>
      <c r="C32" s="39">
        <f>'Data Entry Köln City Plaza'!C32</f>
        <v>0</v>
      </c>
      <c r="D32" s="39">
        <f>'Data Entry Köln City Plaza'!F32</f>
        <v>0</v>
      </c>
      <c r="E32" s="39">
        <f>'Data Entry Köln City Plaza'!I32</f>
        <v>0</v>
      </c>
      <c r="F32" s="39">
        <f>'Data Entry Köln City Plaza'!L32</f>
        <v>0</v>
      </c>
      <c r="G32" s="39">
        <f>'Data Entry Köln City Plaza'!O32</f>
        <v>0</v>
      </c>
      <c r="H32" s="39">
        <f>'Data Entry Köln City Plaza'!R32</f>
        <v>0</v>
      </c>
      <c r="I32" s="39">
        <f>'Data Entry Köln City Plaza'!U32</f>
        <v>0</v>
      </c>
      <c r="J32" s="39">
        <f>'Data Entry Köln City Plaza'!X32</f>
        <v>0</v>
      </c>
      <c r="K32" s="39">
        <f>'Data Entry Köln City Plaza'!AA32</f>
        <v>0</v>
      </c>
      <c r="L32" s="39">
        <f>'Data Entry Köln City Plaza'!AD32</f>
        <v>0</v>
      </c>
      <c r="M32" s="39">
        <f>'Data Entry Köln City Plaza'!AG32</f>
        <v>0</v>
      </c>
      <c r="N32" s="39">
        <f>'Data Entry Köln City Plaza'!AJ32</f>
        <v>0</v>
      </c>
      <c r="O32" s="39">
        <f>'Data Entry Köln City Plaza'!AM32</f>
        <v>0</v>
      </c>
    </row>
    <row r="33" spans="2:15" ht="14" x14ac:dyDescent="0.15">
      <c r="B33" s="44" t="s">
        <v>39</v>
      </c>
      <c r="C33" s="39">
        <f>'Data Entry Köln City Plaza'!C33</f>
        <v>0</v>
      </c>
      <c r="D33" s="39">
        <f>'Data Entry Köln City Plaza'!F33</f>
        <v>0</v>
      </c>
      <c r="E33" s="39">
        <f>'Data Entry Köln City Plaza'!I33</f>
        <v>0</v>
      </c>
      <c r="F33" s="39">
        <f>'Data Entry Köln City Plaza'!L33</f>
        <v>0</v>
      </c>
      <c r="G33" s="39">
        <f>'Data Entry Köln City Plaza'!O33</f>
        <v>0</v>
      </c>
      <c r="H33" s="39">
        <f>'Data Entry Köln City Plaza'!R33</f>
        <v>0</v>
      </c>
      <c r="I33" s="39">
        <f>'Data Entry Köln City Plaza'!U33</f>
        <v>0</v>
      </c>
      <c r="J33" s="39">
        <f>'Data Entry Köln City Plaza'!X33</f>
        <v>0</v>
      </c>
      <c r="K33" s="39">
        <f>'Data Entry Köln City Plaza'!AA33</f>
        <v>0</v>
      </c>
      <c r="L33" s="39">
        <f>'Data Entry Köln City Plaza'!AD33</f>
        <v>0</v>
      </c>
      <c r="M33" s="39">
        <f>'Data Entry Köln City Plaza'!AG33</f>
        <v>0</v>
      </c>
      <c r="N33" s="39">
        <f>'Data Entry Köln City Plaza'!AJ33</f>
        <v>0</v>
      </c>
      <c r="O33" s="39">
        <f>'Data Entry Köln City Plaza'!AM33</f>
        <v>0</v>
      </c>
    </row>
    <row r="34" spans="2:15" ht="14" x14ac:dyDescent="0.15">
      <c r="B34" s="42" t="s">
        <v>35</v>
      </c>
      <c r="C34" s="39">
        <f>'Data Entry Köln City Plaza'!C34</f>
        <v>8431123.5600000005</v>
      </c>
      <c r="D34" s="39">
        <f>'Data Entry Köln City Plaza'!F34</f>
        <v>370774.84</v>
      </c>
      <c r="E34" s="39">
        <f>'Data Entry Köln City Plaza'!I34</f>
        <v>569944.53</v>
      </c>
      <c r="F34" s="39">
        <f>'Data Entry Köln City Plaza'!L34</f>
        <v>889355.7</v>
      </c>
      <c r="G34" s="39">
        <f>'Data Entry Köln City Plaza'!O34</f>
        <v>636933.49</v>
      </c>
      <c r="H34" s="39">
        <f>'Data Entry Köln City Plaza'!R34</f>
        <v>773410</v>
      </c>
      <c r="I34" s="39">
        <f>'Data Entry Köln City Plaza'!U34</f>
        <v>674520</v>
      </c>
      <c r="J34" s="39">
        <f>'Data Entry Köln City Plaza'!X34</f>
        <v>515435</v>
      </c>
      <c r="K34" s="39">
        <f>'Data Entry Köln City Plaza'!AA34</f>
        <v>735350</v>
      </c>
      <c r="L34" s="39">
        <f>'Data Entry Köln City Plaza'!AD34</f>
        <v>821100</v>
      </c>
      <c r="M34" s="39">
        <f>'Data Entry Köln City Plaza'!AG34</f>
        <v>1008450</v>
      </c>
      <c r="N34" s="39">
        <f>'Data Entry Köln City Plaza'!AJ34</f>
        <v>771950</v>
      </c>
      <c r="O34" s="39">
        <f>'Data Entry Köln City Plaza'!AM34</f>
        <v>663900</v>
      </c>
    </row>
    <row r="35" spans="2:15" ht="14" x14ac:dyDescent="0.15">
      <c r="B35" s="38" t="s">
        <v>22</v>
      </c>
      <c r="C35" s="39">
        <f>'Data Entry Köln City Plaza'!C35</f>
        <v>1593523.2276000001</v>
      </c>
      <c r="D35" s="39">
        <f>'Data Entry Köln City Plaza'!F35</f>
        <v>120168.01</v>
      </c>
      <c r="E35" s="39">
        <f>'Data Entry Köln City Plaza'!I35</f>
        <v>141568.92000000001</v>
      </c>
      <c r="F35" s="39">
        <f>'Data Entry Köln City Plaza'!L35</f>
        <v>135406.1</v>
      </c>
      <c r="G35" s="39">
        <f>'Data Entry Köln City Plaza'!O35</f>
        <v>137121.92000000001</v>
      </c>
      <c r="H35" s="39">
        <f>'Data Entry Köln City Plaza'!R35</f>
        <v>134229.6202</v>
      </c>
      <c r="I35" s="39">
        <f>'Data Entry Köln City Plaza'!U35</f>
        <v>136286.59719999999</v>
      </c>
      <c r="J35" s="39">
        <f>'Data Entry Köln City Plaza'!X35</f>
        <v>119287.8184</v>
      </c>
      <c r="K35" s="39">
        <f>'Data Entry Köln City Plaza'!AA35</f>
        <v>129620.6217</v>
      </c>
      <c r="L35" s="39">
        <f>'Data Entry Köln City Plaza'!AD35</f>
        <v>142756.99460000001</v>
      </c>
      <c r="M35" s="39">
        <f>'Data Entry Köln City Plaza'!AG35</f>
        <v>131596.5147</v>
      </c>
      <c r="N35" s="39">
        <f>'Data Entry Köln City Plaza'!AJ35</f>
        <v>137869.66070000001</v>
      </c>
      <c r="O35" s="39">
        <f>'Data Entry Köln City Plaza'!AM35</f>
        <v>127610.4501</v>
      </c>
    </row>
    <row r="36" spans="2:15" ht="14" x14ac:dyDescent="0.15">
      <c r="B36" s="38" t="s">
        <v>40</v>
      </c>
      <c r="C36" s="39">
        <f>'Data Entry Köln City Plaza'!C36</f>
        <v>1360805.8552000001</v>
      </c>
      <c r="D36" s="39">
        <f>'Data Entry Köln City Plaza'!F36</f>
        <v>71158.86</v>
      </c>
      <c r="E36" s="39">
        <f>'Data Entry Köln City Plaza'!I36</f>
        <v>107177.59</v>
      </c>
      <c r="F36" s="39">
        <f>'Data Entry Köln City Plaza'!L36</f>
        <v>125875.78</v>
      </c>
      <c r="G36" s="39">
        <f>'Data Entry Köln City Plaza'!O36</f>
        <v>109521.41</v>
      </c>
      <c r="H36" s="39">
        <f>'Data Entry Köln City Plaza'!R36</f>
        <v>124751.60619999999</v>
      </c>
      <c r="I36" s="39">
        <f>'Data Entry Köln City Plaza'!U36</f>
        <v>107650.63009999999</v>
      </c>
      <c r="J36" s="39">
        <f>'Data Entry Köln City Plaza'!X36</f>
        <v>91103.843500000003</v>
      </c>
      <c r="K36" s="39">
        <f>'Data Entry Köln City Plaza'!AA36</f>
        <v>113906.64380000001</v>
      </c>
      <c r="L36" s="39">
        <f>'Data Entry Köln City Plaza'!AD36</f>
        <v>130599.6796</v>
      </c>
      <c r="M36" s="39">
        <f>'Data Entry Köln City Plaza'!AG36</f>
        <v>157405.07689999999</v>
      </c>
      <c r="N36" s="39">
        <f>'Data Entry Köln City Plaza'!AJ36</f>
        <v>121089.6854</v>
      </c>
      <c r="O36" s="39">
        <f>'Data Entry Köln City Plaza'!AM36</f>
        <v>100565.0497</v>
      </c>
    </row>
    <row r="37" spans="2:15" ht="14" x14ac:dyDescent="0.15">
      <c r="B37" s="42" t="s">
        <v>41</v>
      </c>
      <c r="C37" s="39">
        <f>'Data Entry Köln City Plaza'!C37</f>
        <v>5476794.4774000002</v>
      </c>
      <c r="D37" s="39">
        <f>'Data Entry Köln City Plaza'!F37</f>
        <v>179447.97</v>
      </c>
      <c r="E37" s="39">
        <f>'Data Entry Köln City Plaza'!I37</f>
        <v>321198.02</v>
      </c>
      <c r="F37" s="39">
        <f>'Data Entry Köln City Plaza'!L37</f>
        <v>628073.81999999995</v>
      </c>
      <c r="G37" s="39">
        <f>'Data Entry Köln City Plaza'!O37</f>
        <v>390290.16</v>
      </c>
      <c r="H37" s="39">
        <f>'Data Entry Köln City Plaza'!R37</f>
        <v>514428.77360000001</v>
      </c>
      <c r="I37" s="39">
        <f>'Data Entry Köln City Plaza'!U37</f>
        <v>430582.77269999997</v>
      </c>
      <c r="J37" s="39">
        <f>'Data Entry Köln City Plaza'!X37</f>
        <v>305043.33809999999</v>
      </c>
      <c r="K37" s="39">
        <f>'Data Entry Köln City Plaza'!AA37</f>
        <v>491822.73460000003</v>
      </c>
      <c r="L37" s="39">
        <f>'Data Entry Köln City Plaza'!AD37</f>
        <v>547743.32579999999</v>
      </c>
      <c r="M37" s="39">
        <f>'Data Entry Köln City Plaza'!AG37</f>
        <v>719448.40850000002</v>
      </c>
      <c r="N37" s="39">
        <f>'Data Entry Köln City Plaza'!AJ37</f>
        <v>512990.65389999998</v>
      </c>
      <c r="O37" s="39">
        <f>'Data Entry Köln City Plaza'!AM37</f>
        <v>435724.50020000001</v>
      </c>
    </row>
    <row r="38" spans="2:15" x14ac:dyDescent="0.15">
      <c r="B38" s="40"/>
      <c r="C38" s="39">
        <f>'Data Entry Köln City Plaza'!C38</f>
        <v>0</v>
      </c>
      <c r="D38" s="39">
        <f>'Data Entry Köln City Plaza'!F38</f>
        <v>0</v>
      </c>
      <c r="E38" s="39">
        <f>'Data Entry Köln City Plaza'!I38</f>
        <v>0</v>
      </c>
      <c r="F38" s="39">
        <f>'Data Entry Köln City Plaza'!L38</f>
        <v>0</v>
      </c>
      <c r="G38" s="39">
        <f>'Data Entry Köln City Plaza'!O38</f>
        <v>0</v>
      </c>
      <c r="H38" s="39">
        <f>'Data Entry Köln City Plaza'!R38</f>
        <v>0</v>
      </c>
      <c r="I38" s="39">
        <f>'Data Entry Köln City Plaza'!U38</f>
        <v>0</v>
      </c>
      <c r="J38" s="39">
        <f>'Data Entry Köln City Plaza'!X38</f>
        <v>0</v>
      </c>
      <c r="K38" s="39">
        <f>'Data Entry Köln City Plaza'!AA38</f>
        <v>0</v>
      </c>
      <c r="L38" s="39">
        <f>'Data Entry Köln City Plaza'!AD38</f>
        <v>0</v>
      </c>
      <c r="M38" s="39">
        <f>'Data Entry Köln City Plaza'!AG38</f>
        <v>0</v>
      </c>
      <c r="N38" s="39">
        <f>'Data Entry Köln City Plaza'!AJ38</f>
        <v>0</v>
      </c>
      <c r="O38" s="39">
        <f>'Data Entry Köln City Plaza'!AM38</f>
        <v>0</v>
      </c>
    </row>
    <row r="39" spans="2:15" ht="14" x14ac:dyDescent="0.15">
      <c r="B39" s="44" t="s">
        <v>42</v>
      </c>
      <c r="C39" s="39">
        <f>'Data Entry Köln City Plaza'!C39</f>
        <v>0</v>
      </c>
      <c r="D39" s="39">
        <f>'Data Entry Köln City Plaza'!F39</f>
        <v>0</v>
      </c>
      <c r="E39" s="39">
        <f>'Data Entry Köln City Plaza'!I39</f>
        <v>0</v>
      </c>
      <c r="F39" s="39">
        <f>'Data Entry Köln City Plaza'!L39</f>
        <v>0</v>
      </c>
      <c r="G39" s="39">
        <f>'Data Entry Köln City Plaza'!O39</f>
        <v>0</v>
      </c>
      <c r="H39" s="39">
        <f>'Data Entry Köln City Plaza'!R39</f>
        <v>0</v>
      </c>
      <c r="I39" s="39">
        <f>'Data Entry Köln City Plaza'!U39</f>
        <v>0</v>
      </c>
      <c r="J39" s="39">
        <f>'Data Entry Köln City Plaza'!X39</f>
        <v>0</v>
      </c>
      <c r="K39" s="39">
        <f>'Data Entry Köln City Plaza'!AA39</f>
        <v>0</v>
      </c>
      <c r="L39" s="39">
        <f>'Data Entry Köln City Plaza'!AD39</f>
        <v>0</v>
      </c>
      <c r="M39" s="39">
        <f>'Data Entry Köln City Plaza'!AG39</f>
        <v>0</v>
      </c>
      <c r="N39" s="39">
        <f>'Data Entry Köln City Plaza'!AJ39</f>
        <v>0</v>
      </c>
      <c r="O39" s="39">
        <f>'Data Entry Köln City Plaza'!AM39</f>
        <v>0</v>
      </c>
    </row>
    <row r="40" spans="2:15" ht="14" x14ac:dyDescent="0.15">
      <c r="B40" s="38" t="s">
        <v>43</v>
      </c>
      <c r="C40" s="39">
        <f>'Data Entry Köln City Plaza'!C40</f>
        <v>2005990.6333000001</v>
      </c>
      <c r="D40" s="39">
        <f>'Data Entry Köln City Plaza'!F40</f>
        <v>116037.43</v>
      </c>
      <c r="E40" s="39">
        <f>'Data Entry Köln City Plaza'!I40</f>
        <v>146408.6</v>
      </c>
      <c r="F40" s="39">
        <f>'Data Entry Köln City Plaza'!L40</f>
        <v>224508.47</v>
      </c>
      <c r="G40" s="39">
        <f>'Data Entry Köln City Plaza'!O40</f>
        <v>110499.91</v>
      </c>
      <c r="H40" s="39">
        <f>'Data Entry Köln City Plaza'!R40</f>
        <v>140580.1</v>
      </c>
      <c r="I40" s="39">
        <f>'Data Entry Köln City Plaza'!U40</f>
        <v>144693.67000000001</v>
      </c>
      <c r="J40" s="39">
        <f>'Data Entry Köln City Plaza'!X40</f>
        <v>116024.8833</v>
      </c>
      <c r="K40" s="39">
        <f>'Data Entry Köln City Plaza'!AA40</f>
        <v>129388.6</v>
      </c>
      <c r="L40" s="39">
        <f>'Data Entry Köln City Plaza'!AD40</f>
        <v>225763.595</v>
      </c>
      <c r="M40" s="39">
        <f>'Data Entry Köln City Plaza'!AG40</f>
        <v>184323.8</v>
      </c>
      <c r="N40" s="39">
        <f>'Data Entry Köln City Plaza'!AJ40</f>
        <v>249695.95</v>
      </c>
      <c r="O40" s="39">
        <f>'Data Entry Köln City Plaza'!AM40</f>
        <v>218065.625</v>
      </c>
    </row>
    <row r="41" spans="2:15" ht="14" x14ac:dyDescent="0.15">
      <c r="B41" s="38" t="s">
        <v>44</v>
      </c>
      <c r="C41" s="39">
        <f>'Data Entry Köln City Plaza'!C41</f>
        <v>1017886.9486999999</v>
      </c>
      <c r="D41" s="39">
        <f>'Data Entry Köln City Plaza'!F41</f>
        <v>96635.16</v>
      </c>
      <c r="E41" s="39">
        <f>'Data Entry Köln City Plaza'!I41</f>
        <v>136330.63</v>
      </c>
      <c r="F41" s="39">
        <f>'Data Entry Köln City Plaza'!L41</f>
        <v>156158.45000000001</v>
      </c>
      <c r="G41" s="39">
        <f>'Data Entry Köln City Plaza'!O41</f>
        <v>43596.37</v>
      </c>
      <c r="H41" s="39">
        <f>'Data Entry Köln City Plaza'!R41</f>
        <v>55719.652000000002</v>
      </c>
      <c r="I41" s="39">
        <f>'Data Entry Köln City Plaza'!U41</f>
        <v>58895.453999999998</v>
      </c>
      <c r="J41" s="39">
        <f>'Data Entry Köln City Plaza'!X41</f>
        <v>45501.6587</v>
      </c>
      <c r="K41" s="39">
        <f>'Data Entry Köln City Plaza'!AA41</f>
        <v>50824.44</v>
      </c>
      <c r="L41" s="39">
        <f>'Data Entry Köln City Plaza'!AD41</f>
        <v>87723.239000000001</v>
      </c>
      <c r="M41" s="39">
        <f>'Data Entry Köln City Plaza'!AG41</f>
        <v>71312.376000000004</v>
      </c>
      <c r="N41" s="39">
        <f>'Data Entry Köln City Plaza'!AJ41</f>
        <v>121852.894</v>
      </c>
      <c r="O41" s="39">
        <f>'Data Entry Köln City Plaza'!AM41</f>
        <v>93336.625</v>
      </c>
    </row>
    <row r="42" spans="2:15" ht="14" x14ac:dyDescent="0.15">
      <c r="B42" s="38" t="s">
        <v>45</v>
      </c>
      <c r="C42" s="39">
        <f>'Data Entry Köln City Plaza'!C42</f>
        <v>291367.07</v>
      </c>
      <c r="D42" s="39">
        <f>'Data Entry Köln City Plaza'!F42</f>
        <v>15108.7</v>
      </c>
      <c r="E42" s="39">
        <f>'Data Entry Köln City Plaza'!I42</f>
        <v>26703.89</v>
      </c>
      <c r="F42" s="39">
        <f>'Data Entry Köln City Plaza'!L42</f>
        <v>23135.62</v>
      </c>
      <c r="G42" s="39">
        <f>'Data Entry Köln City Plaza'!O42</f>
        <v>10418.86</v>
      </c>
      <c r="H42" s="39">
        <f>'Data Entry Köln City Plaza'!R42</f>
        <v>16500</v>
      </c>
      <c r="I42" s="39">
        <f>'Data Entry Köln City Plaza'!U42</f>
        <v>28500</v>
      </c>
      <c r="J42" s="39">
        <f>'Data Entry Köln City Plaza'!X42</f>
        <v>13500</v>
      </c>
      <c r="K42" s="39">
        <f>'Data Entry Köln City Plaza'!AA42</f>
        <v>12500</v>
      </c>
      <c r="L42" s="39">
        <f>'Data Entry Köln City Plaza'!AD42</f>
        <v>36500</v>
      </c>
      <c r="M42" s="39">
        <f>'Data Entry Köln City Plaza'!AG42</f>
        <v>18500</v>
      </c>
      <c r="N42" s="39">
        <f>'Data Entry Köln City Plaza'!AJ42</f>
        <v>50500</v>
      </c>
      <c r="O42" s="39">
        <f>'Data Entry Köln City Plaza'!AM42</f>
        <v>39500</v>
      </c>
    </row>
    <row r="43" spans="2:15" ht="14" x14ac:dyDescent="0.15">
      <c r="B43" s="42" t="s">
        <v>36</v>
      </c>
      <c r="C43" s="39">
        <f>'Data Entry Köln City Plaza'!C43</f>
        <v>3315244.6518999999</v>
      </c>
      <c r="D43" s="39">
        <f>'Data Entry Köln City Plaza'!F43</f>
        <v>227781.29</v>
      </c>
      <c r="E43" s="39">
        <f>'Data Entry Köln City Plaza'!I43</f>
        <v>309443.12</v>
      </c>
      <c r="F43" s="39">
        <f>'Data Entry Köln City Plaza'!L43</f>
        <v>403802.54</v>
      </c>
      <c r="G43" s="39">
        <f>'Data Entry Köln City Plaza'!O43</f>
        <v>164515.14000000001</v>
      </c>
      <c r="H43" s="39">
        <f>'Data Entry Köln City Plaza'!R43</f>
        <v>212799.75200000001</v>
      </c>
      <c r="I43" s="39">
        <f>'Data Entry Köln City Plaza'!U43</f>
        <v>232089.12400000001</v>
      </c>
      <c r="J43" s="39">
        <f>'Data Entry Köln City Plaza'!X43</f>
        <v>175026.54190000001</v>
      </c>
      <c r="K43" s="39">
        <f>'Data Entry Köln City Plaza'!AA43</f>
        <v>192713.04</v>
      </c>
      <c r="L43" s="39">
        <f>'Data Entry Köln City Plaza'!AD43</f>
        <v>349986.83399999997</v>
      </c>
      <c r="M43" s="39">
        <f>'Data Entry Köln City Plaza'!AG43</f>
        <v>274136.17599999998</v>
      </c>
      <c r="N43" s="39">
        <f>'Data Entry Köln City Plaza'!AJ43</f>
        <v>422048.84399999998</v>
      </c>
      <c r="O43" s="39">
        <f>'Data Entry Köln City Plaza'!AM43</f>
        <v>350902.25</v>
      </c>
    </row>
    <row r="44" spans="2:15" ht="14" x14ac:dyDescent="0.15">
      <c r="B44" s="38" t="s">
        <v>46</v>
      </c>
      <c r="C44" s="39">
        <f>'Data Entry Köln City Plaza'!C44</f>
        <v>603314.84039999999</v>
      </c>
      <c r="D44" s="39">
        <f>'Data Entry Köln City Plaza'!F44</f>
        <v>38246.69</v>
      </c>
      <c r="E44" s="39">
        <f>'Data Entry Köln City Plaza'!I44</f>
        <v>55458.98</v>
      </c>
      <c r="F44" s="39">
        <f>'Data Entry Köln City Plaza'!L44</f>
        <v>77583.839999999997</v>
      </c>
      <c r="G44" s="39">
        <f>'Data Entry Köln City Plaza'!O44</f>
        <v>37225.69</v>
      </c>
      <c r="H44" s="39">
        <f>'Data Entry Köln City Plaza'!R44</f>
        <v>39411.243999999999</v>
      </c>
      <c r="I44" s="39">
        <f>'Data Entry Köln City Plaza'!U44</f>
        <v>40564.425999999999</v>
      </c>
      <c r="J44" s="39">
        <f>'Data Entry Köln City Plaza'!X44</f>
        <v>32534.7444</v>
      </c>
      <c r="K44" s="39">
        <f>'Data Entry Köln City Plaza'!AA44</f>
        <v>36257.32</v>
      </c>
      <c r="L44" s="39">
        <f>'Data Entry Köln City Plaza'!AD44</f>
        <v>63279.341</v>
      </c>
      <c r="M44" s="39">
        <f>'Data Entry Köln City Plaza'!AG44</f>
        <v>51670.472000000002</v>
      </c>
      <c r="N44" s="39">
        <f>'Data Entry Köln City Plaza'!AJ44</f>
        <v>69968.217999999993</v>
      </c>
      <c r="O44" s="39">
        <f>'Data Entry Köln City Plaza'!AM44</f>
        <v>61113.875</v>
      </c>
    </row>
    <row r="45" spans="2:15" ht="14" x14ac:dyDescent="0.15">
      <c r="B45" s="38" t="s">
        <v>47</v>
      </c>
      <c r="C45" s="39">
        <f>'Data Entry Köln City Plaza'!C45</f>
        <v>187511.5644</v>
      </c>
      <c r="D45" s="39">
        <f>'Data Entry Köln City Plaza'!F45</f>
        <v>17653.95</v>
      </c>
      <c r="E45" s="39">
        <f>'Data Entry Köln City Plaza'!I45</f>
        <v>22724.36</v>
      </c>
      <c r="F45" s="39">
        <f>'Data Entry Köln City Plaza'!L45</f>
        <v>30252.13</v>
      </c>
      <c r="G45" s="39">
        <f>'Data Entry Köln City Plaza'!O45</f>
        <v>5699.52</v>
      </c>
      <c r="H45" s="39">
        <f>'Data Entry Köln City Plaza'!R45</f>
        <v>10586.733899999999</v>
      </c>
      <c r="I45" s="39">
        <f>'Data Entry Köln City Plaza'!U45</f>
        <v>11190.1363</v>
      </c>
      <c r="J45" s="39">
        <f>'Data Entry Köln City Plaza'!X45</f>
        <v>8645.3150999999998</v>
      </c>
      <c r="K45" s="39">
        <f>'Data Entry Köln City Plaza'!AA45</f>
        <v>9656.6435999999994</v>
      </c>
      <c r="L45" s="39">
        <f>'Data Entry Köln City Plaza'!AD45</f>
        <v>16667.415400000002</v>
      </c>
      <c r="M45" s="39">
        <f>'Data Entry Köln City Plaza'!AG45</f>
        <v>13549.3514</v>
      </c>
      <c r="N45" s="39">
        <f>'Data Entry Köln City Plaza'!AJ45</f>
        <v>23152.049900000002</v>
      </c>
      <c r="O45" s="39">
        <f>'Data Entry Köln City Plaza'!AM45</f>
        <v>17733.9588</v>
      </c>
    </row>
    <row r="46" spans="2:15" ht="14" x14ac:dyDescent="0.15">
      <c r="B46" s="38" t="s">
        <v>48</v>
      </c>
      <c r="C46" s="39">
        <f>'Data Entry Köln City Plaza'!C46</f>
        <v>47300.18</v>
      </c>
      <c r="D46" s="39">
        <f>'Data Entry Köln City Plaza'!F46</f>
        <v>2642.47</v>
      </c>
      <c r="E46" s="39">
        <f>'Data Entry Köln City Plaza'!I46</f>
        <v>305.19</v>
      </c>
      <c r="F46" s="39">
        <f>'Data Entry Köln City Plaza'!L46</f>
        <v>4666.8900000000003</v>
      </c>
      <c r="G46" s="39">
        <f>'Data Entry Köln City Plaza'!O46</f>
        <v>-714.37</v>
      </c>
      <c r="H46" s="39">
        <f>'Data Entry Köln City Plaza'!R46</f>
        <v>3600</v>
      </c>
      <c r="I46" s="39">
        <f>'Data Entry Köln City Plaza'!U46</f>
        <v>5200</v>
      </c>
      <c r="J46" s="39">
        <f>'Data Entry Köln City Plaza'!X46</f>
        <v>3600</v>
      </c>
      <c r="K46" s="39">
        <f>'Data Entry Köln City Plaza'!AA46</f>
        <v>3200</v>
      </c>
      <c r="L46" s="39">
        <f>'Data Entry Köln City Plaza'!AD46</f>
        <v>8000</v>
      </c>
      <c r="M46" s="39">
        <f>'Data Entry Köln City Plaza'!AG46</f>
        <v>4400</v>
      </c>
      <c r="N46" s="39">
        <f>'Data Entry Köln City Plaza'!AJ46</f>
        <v>6800</v>
      </c>
      <c r="O46" s="39">
        <f>'Data Entry Köln City Plaza'!AM46</f>
        <v>5600</v>
      </c>
    </row>
    <row r="47" spans="2:15" ht="14" x14ac:dyDescent="0.15">
      <c r="B47" s="42" t="s">
        <v>49</v>
      </c>
      <c r="C47" s="39">
        <f>'Data Entry Köln City Plaza'!C47</f>
        <v>838126.58479999995</v>
      </c>
      <c r="D47" s="39">
        <f>'Data Entry Köln City Plaza'!F47</f>
        <v>58543.11</v>
      </c>
      <c r="E47" s="39">
        <f>'Data Entry Köln City Plaza'!I47</f>
        <v>78488.53</v>
      </c>
      <c r="F47" s="39">
        <f>'Data Entry Köln City Plaza'!L47</f>
        <v>112502.86</v>
      </c>
      <c r="G47" s="39">
        <f>'Data Entry Köln City Plaza'!O47</f>
        <v>42210.84</v>
      </c>
      <c r="H47" s="39">
        <f>'Data Entry Köln City Plaza'!R47</f>
        <v>53597.977899999998</v>
      </c>
      <c r="I47" s="39">
        <f>'Data Entry Köln City Plaza'!U47</f>
        <v>56954.562299999998</v>
      </c>
      <c r="J47" s="39">
        <f>'Data Entry Köln City Plaza'!X47</f>
        <v>44780.059500000003</v>
      </c>
      <c r="K47" s="39">
        <f>'Data Entry Köln City Plaza'!AA47</f>
        <v>49113.963600000003</v>
      </c>
      <c r="L47" s="39">
        <f>'Data Entry Köln City Plaza'!AD47</f>
        <v>87946.756399999998</v>
      </c>
      <c r="M47" s="39">
        <f>'Data Entry Köln City Plaza'!AG47</f>
        <v>69619.823399999994</v>
      </c>
      <c r="N47" s="39">
        <f>'Data Entry Köln City Plaza'!AJ47</f>
        <v>99920.267900000006</v>
      </c>
      <c r="O47" s="39">
        <f>'Data Entry Köln City Plaza'!AM47</f>
        <v>84447.833799999993</v>
      </c>
    </row>
    <row r="48" spans="2:15" ht="14" x14ac:dyDescent="0.15">
      <c r="B48" s="38" t="s">
        <v>22</v>
      </c>
      <c r="C48" s="39">
        <f>'Data Entry Köln City Plaza'!C48</f>
        <v>1445807.6066999999</v>
      </c>
      <c r="D48" s="39">
        <f>'Data Entry Köln City Plaza'!F48</f>
        <v>124301.3</v>
      </c>
      <c r="E48" s="39">
        <f>'Data Entry Köln City Plaza'!I48</f>
        <v>168641.85</v>
      </c>
      <c r="F48" s="39">
        <f>'Data Entry Köln City Plaza'!L48</f>
        <v>146295.63</v>
      </c>
      <c r="G48" s="39">
        <f>'Data Entry Köln City Plaza'!O48</f>
        <v>130927.79</v>
      </c>
      <c r="H48" s="39">
        <f>'Data Entry Köln City Plaza'!R48</f>
        <v>102140.6853</v>
      </c>
      <c r="I48" s="39">
        <f>'Data Entry Köln City Plaza'!U48</f>
        <v>108517.1675</v>
      </c>
      <c r="J48" s="39">
        <f>'Data Entry Köln City Plaza'!X48</f>
        <v>94481.355800000005</v>
      </c>
      <c r="K48" s="39">
        <f>'Data Entry Köln City Plaza'!AA48</f>
        <v>101675.5683</v>
      </c>
      <c r="L48" s="39">
        <f>'Data Entry Köln City Plaza'!AD48</f>
        <v>102212.69929999999</v>
      </c>
      <c r="M48" s="39">
        <f>'Data Entry Köln City Plaza'!AG48</f>
        <v>108877.3371</v>
      </c>
      <c r="N48" s="39">
        <f>'Data Entry Köln City Plaza'!AJ48</f>
        <v>132841.47450000001</v>
      </c>
      <c r="O48" s="39">
        <f>'Data Entry Köln City Plaza'!AM48</f>
        <v>124894.74890000001</v>
      </c>
    </row>
    <row r="49" spans="2:15" ht="14" x14ac:dyDescent="0.15">
      <c r="B49" s="38" t="s">
        <v>40</v>
      </c>
      <c r="C49" s="39">
        <f>'Data Entry Köln City Plaza'!C49</f>
        <v>182474.44680000001</v>
      </c>
      <c r="D49" s="39">
        <f>'Data Entry Köln City Plaza'!F49</f>
        <v>25060.22</v>
      </c>
      <c r="E49" s="39">
        <f>'Data Entry Köln City Plaza'!I49</f>
        <v>33558.14</v>
      </c>
      <c r="F49" s="39">
        <f>'Data Entry Köln City Plaza'!L49</f>
        <v>17855.79</v>
      </c>
      <c r="G49" s="39">
        <f>'Data Entry Köln City Plaza'!O49</f>
        <v>-20980.3</v>
      </c>
      <c r="H49" s="39">
        <f>'Data Entry Köln City Plaza'!R49</f>
        <v>15529.318799999999</v>
      </c>
      <c r="I49" s="39">
        <f>'Data Entry Köln City Plaza'!U49</f>
        <v>15626.0856</v>
      </c>
      <c r="J49" s="39">
        <f>'Data Entry Köln City Plaza'!X49</f>
        <v>13710.4167</v>
      </c>
      <c r="K49" s="39">
        <f>'Data Entry Köln City Plaza'!AA49</f>
        <v>14792.965200000001</v>
      </c>
      <c r="L49" s="39">
        <f>'Data Entry Köln City Plaza'!AD49</f>
        <v>16381.174199999999</v>
      </c>
      <c r="M49" s="39">
        <f>'Data Entry Köln City Plaza'!AG49</f>
        <v>14245.840899999999</v>
      </c>
      <c r="N49" s="39">
        <f>'Data Entry Köln City Plaza'!AJ49</f>
        <v>19491.284199999998</v>
      </c>
      <c r="O49" s="39">
        <f>'Data Entry Köln City Plaza'!AM49</f>
        <v>17203.511200000001</v>
      </c>
    </row>
    <row r="50" spans="2:15" ht="14" x14ac:dyDescent="0.15">
      <c r="B50" s="42" t="s">
        <v>41</v>
      </c>
      <c r="C50" s="39">
        <f>'Data Entry Köln City Plaza'!C50</f>
        <v>848836.01370000001</v>
      </c>
      <c r="D50" s="39">
        <f>'Data Entry Köln City Plaza'!F50</f>
        <v>19876.66</v>
      </c>
      <c r="E50" s="39">
        <f>'Data Entry Köln City Plaza'!I50</f>
        <v>28754.6</v>
      </c>
      <c r="F50" s="39">
        <f>'Data Entry Köln City Plaza'!L50</f>
        <v>127148.26</v>
      </c>
      <c r="G50" s="39">
        <f>'Data Entry Köln City Plaza'!O50</f>
        <v>12356.81</v>
      </c>
      <c r="H50" s="39">
        <f>'Data Entry Köln City Plaza'!R50</f>
        <v>41531.770100000002</v>
      </c>
      <c r="I50" s="39">
        <f>'Data Entry Köln City Plaza'!U50</f>
        <v>50991.308599999997</v>
      </c>
      <c r="J50" s="39">
        <f>'Data Entry Köln City Plaza'!X50</f>
        <v>22054.709900000002</v>
      </c>
      <c r="K50" s="39">
        <f>'Data Entry Köln City Plaza'!AA50</f>
        <v>27130.5429</v>
      </c>
      <c r="L50" s="39">
        <f>'Data Entry Köln City Plaza'!AD50</f>
        <v>143446.2041</v>
      </c>
      <c r="M50" s="39">
        <f>'Data Entry Köln City Plaza'!AG50</f>
        <v>81393.174499999994</v>
      </c>
      <c r="N50" s="39">
        <f>'Data Entry Köln City Plaza'!AJ50</f>
        <v>169795.8175</v>
      </c>
      <c r="O50" s="39">
        <f>'Data Entry Köln City Plaza'!AM50</f>
        <v>124356.15609999999</v>
      </c>
    </row>
    <row r="51" spans="2:15" x14ac:dyDescent="0.15">
      <c r="B51" s="40"/>
      <c r="C51" s="39">
        <f>'Data Entry Köln City Plaza'!C51</f>
        <v>0</v>
      </c>
      <c r="D51" s="39">
        <f>'Data Entry Köln City Plaza'!F51</f>
        <v>0</v>
      </c>
      <c r="E51" s="39">
        <f>'Data Entry Köln City Plaza'!I51</f>
        <v>0</v>
      </c>
      <c r="F51" s="39">
        <f>'Data Entry Köln City Plaza'!L51</f>
        <v>0</v>
      </c>
      <c r="G51" s="39">
        <f>'Data Entry Köln City Plaza'!O51</f>
        <v>0</v>
      </c>
      <c r="H51" s="39">
        <f>'Data Entry Köln City Plaza'!R51</f>
        <v>0</v>
      </c>
      <c r="I51" s="39">
        <f>'Data Entry Köln City Plaza'!U51</f>
        <v>0</v>
      </c>
      <c r="J51" s="39">
        <f>'Data Entry Köln City Plaza'!X51</f>
        <v>0</v>
      </c>
      <c r="K51" s="39">
        <f>'Data Entry Köln City Plaza'!AA51</f>
        <v>0</v>
      </c>
      <c r="L51" s="39">
        <f>'Data Entry Köln City Plaza'!AD51</f>
        <v>0</v>
      </c>
      <c r="M51" s="39">
        <f>'Data Entry Köln City Plaza'!AG51</f>
        <v>0</v>
      </c>
      <c r="N51" s="39">
        <f>'Data Entry Köln City Plaza'!AJ51</f>
        <v>0</v>
      </c>
      <c r="O51" s="39">
        <f>'Data Entry Köln City Plaza'!AM51</f>
        <v>0</v>
      </c>
    </row>
    <row r="52" spans="2:15" ht="14" x14ac:dyDescent="0.15">
      <c r="B52" s="44" t="s">
        <v>50</v>
      </c>
      <c r="C52" s="39">
        <f>'Data Entry Köln City Plaza'!C52</f>
        <v>0</v>
      </c>
      <c r="D52" s="39">
        <f>'Data Entry Köln City Plaza'!F52</f>
        <v>0</v>
      </c>
      <c r="E52" s="39">
        <f>'Data Entry Köln City Plaza'!I52</f>
        <v>0</v>
      </c>
      <c r="F52" s="39">
        <f>'Data Entry Köln City Plaza'!L52</f>
        <v>0</v>
      </c>
      <c r="G52" s="39">
        <f>'Data Entry Köln City Plaza'!O52</f>
        <v>0</v>
      </c>
      <c r="H52" s="39">
        <f>'Data Entry Köln City Plaza'!R52</f>
        <v>0</v>
      </c>
      <c r="I52" s="39">
        <f>'Data Entry Köln City Plaza'!U52</f>
        <v>0</v>
      </c>
      <c r="J52" s="39">
        <f>'Data Entry Köln City Plaza'!X52</f>
        <v>0</v>
      </c>
      <c r="K52" s="39">
        <f>'Data Entry Köln City Plaza'!AA52</f>
        <v>0</v>
      </c>
      <c r="L52" s="39">
        <f>'Data Entry Köln City Plaza'!AD52</f>
        <v>0</v>
      </c>
      <c r="M52" s="39">
        <f>'Data Entry Köln City Plaza'!AG52</f>
        <v>0</v>
      </c>
      <c r="N52" s="39">
        <f>'Data Entry Köln City Plaza'!AJ52</f>
        <v>0</v>
      </c>
      <c r="O52" s="39">
        <f>'Data Entry Köln City Plaza'!AM52</f>
        <v>0</v>
      </c>
    </row>
    <row r="53" spans="2:15" ht="14" x14ac:dyDescent="0.15">
      <c r="B53" s="38" t="s">
        <v>37</v>
      </c>
      <c r="C53" s="39">
        <f>'Data Entry Köln City Plaza'!C53</f>
        <v>328832.09000000003</v>
      </c>
      <c r="D53" s="39">
        <f>'Data Entry Köln City Plaza'!F53</f>
        <v>23176.14</v>
      </c>
      <c r="E53" s="39">
        <f>'Data Entry Köln City Plaza'!I53</f>
        <v>30794.18</v>
      </c>
      <c r="F53" s="39">
        <f>'Data Entry Köln City Plaza'!L53</f>
        <v>31900.46</v>
      </c>
      <c r="G53" s="39">
        <f>'Data Entry Köln City Plaza'!O53</f>
        <v>24684.81</v>
      </c>
      <c r="H53" s="39">
        <f>'Data Entry Köln City Plaza'!R53</f>
        <v>28024</v>
      </c>
      <c r="I53" s="39">
        <f>'Data Entry Köln City Plaza'!U53</f>
        <v>25696.799999999999</v>
      </c>
      <c r="J53" s="39">
        <f>'Data Entry Köln City Plaza'!X53</f>
        <v>22088.7</v>
      </c>
      <c r="K53" s="39">
        <f>'Data Entry Köln City Plaza'!AA53</f>
        <v>26730</v>
      </c>
      <c r="L53" s="39">
        <f>'Data Entry Köln City Plaza'!AD53</f>
        <v>31119</v>
      </c>
      <c r="M53" s="39">
        <f>'Data Entry Köln City Plaza'!AG53</f>
        <v>28336</v>
      </c>
      <c r="N53" s="39">
        <f>'Data Entry Köln City Plaza'!AJ53</f>
        <v>29982</v>
      </c>
      <c r="O53" s="39">
        <f>'Data Entry Köln City Plaza'!AM53</f>
        <v>26300</v>
      </c>
    </row>
    <row r="54" spans="2:15" ht="14" x14ac:dyDescent="0.15">
      <c r="B54" s="38" t="s">
        <v>49</v>
      </c>
      <c r="C54" s="39">
        <f>'Data Entry Köln City Plaza'!C54</f>
        <v>16028.27</v>
      </c>
      <c r="D54" s="39">
        <f>'Data Entry Köln City Plaza'!F54</f>
        <v>94.71</v>
      </c>
      <c r="E54" s="39">
        <f>'Data Entry Köln City Plaza'!I54</f>
        <v>124.94</v>
      </c>
      <c r="F54" s="39">
        <f>'Data Entry Köln City Plaza'!L54</f>
        <v>13929.13</v>
      </c>
      <c r="G54" s="39">
        <f>'Data Entry Köln City Plaza'!O54</f>
        <v>68.239999999999995</v>
      </c>
      <c r="H54" s="39">
        <f>'Data Entry Köln City Plaza'!R54</f>
        <v>237.3</v>
      </c>
      <c r="I54" s="39">
        <f>'Data Entry Köln City Plaza'!U54</f>
        <v>209.16</v>
      </c>
      <c r="J54" s="39">
        <f>'Data Entry Köln City Plaza'!X54</f>
        <v>190.89</v>
      </c>
      <c r="K54" s="39">
        <f>'Data Entry Köln City Plaza'!AA54</f>
        <v>231</v>
      </c>
      <c r="L54" s="39">
        <f>'Data Entry Köln City Plaza'!AD54</f>
        <v>258.3</v>
      </c>
      <c r="M54" s="39">
        <f>'Data Entry Köln City Plaza'!AG54</f>
        <v>235.2</v>
      </c>
      <c r="N54" s="39">
        <f>'Data Entry Köln City Plaza'!AJ54</f>
        <v>239.4</v>
      </c>
      <c r="O54" s="39">
        <f>'Data Entry Köln City Plaza'!AM54</f>
        <v>210</v>
      </c>
    </row>
    <row r="55" spans="2:15" ht="14" x14ac:dyDescent="0.15">
      <c r="B55" s="38" t="s">
        <v>22</v>
      </c>
      <c r="C55" s="39">
        <f>'Data Entry Köln City Plaza'!C55</f>
        <v>0</v>
      </c>
      <c r="D55" s="39">
        <f>'Data Entry Köln City Plaza'!F55</f>
        <v>0</v>
      </c>
      <c r="E55" s="39">
        <f>'Data Entry Köln City Plaza'!I55</f>
        <v>0</v>
      </c>
      <c r="F55" s="39">
        <f>'Data Entry Köln City Plaza'!L55</f>
        <v>0</v>
      </c>
      <c r="G55" s="39">
        <f>'Data Entry Köln City Plaza'!O55</f>
        <v>0</v>
      </c>
      <c r="H55" s="39">
        <f>'Data Entry Köln City Plaza'!R55</f>
        <v>0</v>
      </c>
      <c r="I55" s="39">
        <f>'Data Entry Köln City Plaza'!U55</f>
        <v>0</v>
      </c>
      <c r="J55" s="39">
        <f>'Data Entry Köln City Plaza'!X55</f>
        <v>0</v>
      </c>
      <c r="K55" s="39">
        <f>'Data Entry Köln City Plaza'!AA55</f>
        <v>0</v>
      </c>
      <c r="L55" s="39">
        <f>'Data Entry Köln City Plaza'!AD55</f>
        <v>0</v>
      </c>
      <c r="M55" s="39">
        <f>'Data Entry Köln City Plaza'!AG55</f>
        <v>0</v>
      </c>
      <c r="N55" s="39">
        <f>'Data Entry Köln City Plaza'!AJ55</f>
        <v>0</v>
      </c>
      <c r="O55" s="39">
        <f>'Data Entry Köln City Plaza'!AM55</f>
        <v>0</v>
      </c>
    </row>
    <row r="56" spans="2:15" ht="14" x14ac:dyDescent="0.15">
      <c r="B56" s="38" t="s">
        <v>40</v>
      </c>
      <c r="C56" s="39">
        <f>'Data Entry Köln City Plaza'!C56</f>
        <v>3050</v>
      </c>
      <c r="D56" s="39">
        <f>'Data Entry Köln City Plaza'!F56</f>
        <v>0</v>
      </c>
      <c r="E56" s="39">
        <f>'Data Entry Köln City Plaza'!I56</f>
        <v>0</v>
      </c>
      <c r="F56" s="39">
        <f>'Data Entry Köln City Plaza'!L56</f>
        <v>0</v>
      </c>
      <c r="G56" s="39">
        <f>'Data Entry Köln City Plaza'!O56</f>
        <v>0</v>
      </c>
      <c r="H56" s="39">
        <f>'Data Entry Köln City Plaza'!R56</f>
        <v>250</v>
      </c>
      <c r="I56" s="39">
        <f>'Data Entry Köln City Plaza'!U56</f>
        <v>500</v>
      </c>
      <c r="J56" s="39">
        <f>'Data Entry Köln City Plaza'!X56</f>
        <v>100</v>
      </c>
      <c r="K56" s="39">
        <f>'Data Entry Köln City Plaza'!AA56</f>
        <v>500</v>
      </c>
      <c r="L56" s="39">
        <f>'Data Entry Köln City Plaza'!AD56</f>
        <v>250</v>
      </c>
      <c r="M56" s="39">
        <f>'Data Entry Köln City Plaza'!AG56</f>
        <v>600</v>
      </c>
      <c r="N56" s="39">
        <f>'Data Entry Köln City Plaza'!AJ56</f>
        <v>100</v>
      </c>
      <c r="O56" s="39">
        <f>'Data Entry Köln City Plaza'!AM56</f>
        <v>750</v>
      </c>
    </row>
    <row r="57" spans="2:15" ht="14" x14ac:dyDescent="0.15">
      <c r="B57" s="42" t="s">
        <v>41</v>
      </c>
      <c r="C57" s="39">
        <f>'Data Entry Köln City Plaza'!C57</f>
        <v>309753.82</v>
      </c>
      <c r="D57" s="39">
        <f>'Data Entry Köln City Plaza'!F57</f>
        <v>23081.43</v>
      </c>
      <c r="E57" s="39">
        <f>'Data Entry Köln City Plaza'!I57</f>
        <v>30669.24</v>
      </c>
      <c r="F57" s="39">
        <f>'Data Entry Köln City Plaza'!L57</f>
        <v>17971.330000000002</v>
      </c>
      <c r="G57" s="39">
        <f>'Data Entry Köln City Plaza'!O57</f>
        <v>24616.57</v>
      </c>
      <c r="H57" s="39">
        <f>'Data Entry Köln City Plaza'!R57</f>
        <v>27536.7</v>
      </c>
      <c r="I57" s="39">
        <f>'Data Entry Köln City Plaza'!U57</f>
        <v>24987.64</v>
      </c>
      <c r="J57" s="39">
        <f>'Data Entry Köln City Plaza'!X57</f>
        <v>21797.81</v>
      </c>
      <c r="K57" s="39">
        <f>'Data Entry Köln City Plaza'!AA57</f>
        <v>25999</v>
      </c>
      <c r="L57" s="39">
        <f>'Data Entry Köln City Plaza'!AD57</f>
        <v>30610.7</v>
      </c>
      <c r="M57" s="39">
        <f>'Data Entry Köln City Plaza'!AG57</f>
        <v>27500.799999999999</v>
      </c>
      <c r="N57" s="39">
        <f>'Data Entry Köln City Plaza'!AJ57</f>
        <v>29642.6</v>
      </c>
      <c r="O57" s="39">
        <f>'Data Entry Köln City Plaza'!AM57</f>
        <v>25340</v>
      </c>
    </row>
    <row r="58" spans="2:15" x14ac:dyDescent="0.15">
      <c r="B58" s="40"/>
      <c r="C58" s="39">
        <f>'Data Entry Köln City Plaza'!C58</f>
        <v>0</v>
      </c>
      <c r="D58" s="39">
        <f>'Data Entry Köln City Plaza'!F58</f>
        <v>0</v>
      </c>
      <c r="E58" s="39">
        <f>'Data Entry Köln City Plaza'!I58</f>
        <v>0</v>
      </c>
      <c r="F58" s="39">
        <f>'Data Entry Köln City Plaza'!L58</f>
        <v>0</v>
      </c>
      <c r="G58" s="39">
        <f>'Data Entry Köln City Plaza'!O58</f>
        <v>0</v>
      </c>
      <c r="H58" s="39">
        <f>'Data Entry Köln City Plaza'!R58</f>
        <v>0</v>
      </c>
      <c r="I58" s="39">
        <f>'Data Entry Köln City Plaza'!U58</f>
        <v>0</v>
      </c>
      <c r="J58" s="39">
        <f>'Data Entry Köln City Plaza'!X58</f>
        <v>0</v>
      </c>
      <c r="K58" s="39">
        <f>'Data Entry Köln City Plaza'!AA58</f>
        <v>0</v>
      </c>
      <c r="L58" s="39">
        <f>'Data Entry Köln City Plaza'!AD58</f>
        <v>0</v>
      </c>
      <c r="M58" s="39">
        <f>'Data Entry Köln City Plaza'!AG58</f>
        <v>0</v>
      </c>
      <c r="N58" s="39">
        <f>'Data Entry Köln City Plaza'!AJ58</f>
        <v>0</v>
      </c>
      <c r="O58" s="39">
        <f>'Data Entry Köln City Plaza'!AM58</f>
        <v>0</v>
      </c>
    </row>
    <row r="59" spans="2:15" ht="14" x14ac:dyDescent="0.15">
      <c r="B59" s="44" t="s">
        <v>38</v>
      </c>
      <c r="C59" s="39">
        <f>'Data Entry Köln City Plaza'!C59</f>
        <v>0</v>
      </c>
      <c r="D59" s="39">
        <f>'Data Entry Köln City Plaza'!F59</f>
        <v>0</v>
      </c>
      <c r="E59" s="39">
        <f>'Data Entry Köln City Plaza'!I59</f>
        <v>0</v>
      </c>
      <c r="F59" s="39">
        <f>'Data Entry Köln City Plaza'!L59</f>
        <v>0</v>
      </c>
      <c r="G59" s="39">
        <f>'Data Entry Köln City Plaza'!O59</f>
        <v>0</v>
      </c>
      <c r="H59" s="39">
        <f>'Data Entry Köln City Plaza'!R59</f>
        <v>0</v>
      </c>
      <c r="I59" s="39">
        <f>'Data Entry Köln City Plaza'!U59</f>
        <v>0</v>
      </c>
      <c r="J59" s="39">
        <f>'Data Entry Köln City Plaza'!X59</f>
        <v>0</v>
      </c>
      <c r="K59" s="39">
        <f>'Data Entry Köln City Plaza'!AA59</f>
        <v>0</v>
      </c>
      <c r="L59" s="39">
        <f>'Data Entry Köln City Plaza'!AD59</f>
        <v>0</v>
      </c>
      <c r="M59" s="39">
        <f>'Data Entry Köln City Plaza'!AG59</f>
        <v>0</v>
      </c>
      <c r="N59" s="39">
        <f>'Data Entry Köln City Plaza'!AJ59</f>
        <v>0</v>
      </c>
      <c r="O59" s="39">
        <f>'Data Entry Köln City Plaza'!AM59</f>
        <v>0</v>
      </c>
    </row>
    <row r="60" spans="2:15" ht="14" x14ac:dyDescent="0.15">
      <c r="B60" s="42" t="s">
        <v>38</v>
      </c>
      <c r="C60" s="39">
        <f>'Data Entry Köln City Plaza'!C60</f>
        <v>131965.4</v>
      </c>
      <c r="D60" s="39">
        <f>'Data Entry Köln City Plaza'!F60</f>
        <v>4016.31</v>
      </c>
      <c r="E60" s="39">
        <f>'Data Entry Köln City Plaza'!I60</f>
        <v>12399.11</v>
      </c>
      <c r="F60" s="39">
        <f>'Data Entry Köln City Plaza'!L60</f>
        <v>16177.47</v>
      </c>
      <c r="G60" s="39">
        <f>'Data Entry Köln City Plaza'!O60</f>
        <v>20872.509999999998</v>
      </c>
      <c r="H60" s="39">
        <f>'Data Entry Köln City Plaza'!R60</f>
        <v>5000</v>
      </c>
      <c r="I60" s="39">
        <f>'Data Entry Köln City Plaza'!U60</f>
        <v>11500</v>
      </c>
      <c r="J60" s="39">
        <f>'Data Entry Köln City Plaza'!X60</f>
        <v>5000</v>
      </c>
      <c r="K60" s="39">
        <f>'Data Entry Köln City Plaza'!AA60</f>
        <v>10000</v>
      </c>
      <c r="L60" s="39">
        <f>'Data Entry Köln City Plaza'!AD60</f>
        <v>9500</v>
      </c>
      <c r="M60" s="39">
        <f>'Data Entry Köln City Plaza'!AG60</f>
        <v>15000</v>
      </c>
      <c r="N60" s="39">
        <f>'Data Entry Köln City Plaza'!AJ60</f>
        <v>15000</v>
      </c>
      <c r="O60" s="39">
        <f>'Data Entry Köln City Plaza'!AM60</f>
        <v>7500</v>
      </c>
    </row>
    <row r="61" spans="2:15" x14ac:dyDescent="0.15">
      <c r="B61" s="40"/>
      <c r="C61" s="39">
        <f>'Data Entry Köln City Plaza'!C61</f>
        <v>0</v>
      </c>
      <c r="D61" s="39">
        <f>'Data Entry Köln City Plaza'!F61</f>
        <v>0</v>
      </c>
      <c r="E61" s="39">
        <f>'Data Entry Köln City Plaza'!I61</f>
        <v>0</v>
      </c>
      <c r="F61" s="39">
        <f>'Data Entry Köln City Plaza'!L61</f>
        <v>0</v>
      </c>
      <c r="G61" s="39">
        <f>'Data Entry Köln City Plaza'!O61</f>
        <v>0</v>
      </c>
      <c r="H61" s="39">
        <f>'Data Entry Köln City Plaza'!R61</f>
        <v>0</v>
      </c>
      <c r="I61" s="39">
        <f>'Data Entry Köln City Plaza'!U61</f>
        <v>0</v>
      </c>
      <c r="J61" s="39">
        <f>'Data Entry Köln City Plaza'!X61</f>
        <v>0</v>
      </c>
      <c r="K61" s="39">
        <f>'Data Entry Köln City Plaza'!AA61</f>
        <v>0</v>
      </c>
      <c r="L61" s="39">
        <f>'Data Entry Köln City Plaza'!AD61</f>
        <v>0</v>
      </c>
      <c r="M61" s="39">
        <f>'Data Entry Köln City Plaza'!AG61</f>
        <v>0</v>
      </c>
      <c r="N61" s="39">
        <f>'Data Entry Köln City Plaza'!AJ61</f>
        <v>0</v>
      </c>
      <c r="O61" s="39">
        <f>'Data Entry Köln City Plaza'!AM61</f>
        <v>0</v>
      </c>
    </row>
    <row r="62" spans="2:15" ht="14" x14ac:dyDescent="0.15">
      <c r="B62" s="44" t="s">
        <v>51</v>
      </c>
      <c r="C62" s="39">
        <f>'Data Entry Köln City Plaza'!C62</f>
        <v>0</v>
      </c>
      <c r="D62" s="39">
        <f>'Data Entry Köln City Plaza'!F62</f>
        <v>0</v>
      </c>
      <c r="E62" s="39">
        <f>'Data Entry Köln City Plaza'!I62</f>
        <v>0</v>
      </c>
      <c r="F62" s="39">
        <f>'Data Entry Köln City Plaza'!L62</f>
        <v>0</v>
      </c>
      <c r="G62" s="39">
        <f>'Data Entry Köln City Plaza'!O62</f>
        <v>0</v>
      </c>
      <c r="H62" s="39">
        <f>'Data Entry Köln City Plaza'!R62</f>
        <v>0</v>
      </c>
      <c r="I62" s="39">
        <f>'Data Entry Köln City Plaza'!U62</f>
        <v>0</v>
      </c>
      <c r="J62" s="39">
        <f>'Data Entry Köln City Plaza'!X62</f>
        <v>0</v>
      </c>
      <c r="K62" s="39">
        <f>'Data Entry Köln City Plaza'!AA62</f>
        <v>0</v>
      </c>
      <c r="L62" s="39">
        <f>'Data Entry Köln City Plaza'!AD62</f>
        <v>0</v>
      </c>
      <c r="M62" s="39">
        <f>'Data Entry Köln City Plaza'!AG62</f>
        <v>0</v>
      </c>
      <c r="N62" s="39">
        <f>'Data Entry Köln City Plaza'!AJ62</f>
        <v>0</v>
      </c>
      <c r="O62" s="39">
        <f>'Data Entry Köln City Plaza'!AM62</f>
        <v>0</v>
      </c>
    </row>
    <row r="63" spans="2:15" ht="14" x14ac:dyDescent="0.15">
      <c r="B63" s="42" t="s">
        <v>52</v>
      </c>
      <c r="C63" s="39">
        <f>'Data Entry Köln City Plaza'!C63</f>
        <v>6767349.7110000001</v>
      </c>
      <c r="D63" s="39">
        <f>'Data Entry Köln City Plaza'!F63</f>
        <v>226422.37</v>
      </c>
      <c r="E63" s="39">
        <f>'Data Entry Köln City Plaza'!I63</f>
        <v>393020.97</v>
      </c>
      <c r="F63" s="39">
        <f>'Data Entry Köln City Plaza'!L63</f>
        <v>789370.88</v>
      </c>
      <c r="G63" s="39">
        <f>'Data Entry Köln City Plaza'!O63</f>
        <v>448136.05</v>
      </c>
      <c r="H63" s="39">
        <f>'Data Entry Köln City Plaza'!R63</f>
        <v>588497.24369999999</v>
      </c>
      <c r="I63" s="39">
        <f>'Data Entry Köln City Plaza'!U63</f>
        <v>518061.72129999998</v>
      </c>
      <c r="J63" s="39">
        <f>'Data Entry Köln City Plaza'!X63</f>
        <v>353895.85800000001</v>
      </c>
      <c r="K63" s="39">
        <f>'Data Entry Köln City Plaza'!AA63</f>
        <v>554952.27740000002</v>
      </c>
      <c r="L63" s="39">
        <f>'Data Entry Köln City Plaza'!AD63</f>
        <v>731300.22990000003</v>
      </c>
      <c r="M63" s="39">
        <f>'Data Entry Köln City Plaza'!AG63</f>
        <v>843342.38300000003</v>
      </c>
      <c r="N63" s="39">
        <f>'Data Entry Köln City Plaza'!AJ63</f>
        <v>727429.07140000002</v>
      </c>
      <c r="O63" s="39">
        <f>'Data Entry Köln City Plaza'!AM63</f>
        <v>592920.65630000003</v>
      </c>
    </row>
    <row r="64" spans="2:15" x14ac:dyDescent="0.15">
      <c r="B64" s="40"/>
      <c r="C64" s="39">
        <f>'Data Entry Köln City Plaza'!C64</f>
        <v>0</v>
      </c>
      <c r="D64" s="39">
        <f>'Data Entry Köln City Plaza'!F64</f>
        <v>0</v>
      </c>
      <c r="E64" s="39">
        <f>'Data Entry Köln City Plaza'!I64</f>
        <v>0</v>
      </c>
      <c r="F64" s="39">
        <f>'Data Entry Köln City Plaza'!L64</f>
        <v>0</v>
      </c>
      <c r="G64" s="39">
        <f>'Data Entry Köln City Plaza'!O64</f>
        <v>0</v>
      </c>
      <c r="H64" s="39">
        <f>'Data Entry Köln City Plaza'!R64</f>
        <v>0</v>
      </c>
      <c r="I64" s="39">
        <f>'Data Entry Köln City Plaza'!U64</f>
        <v>0</v>
      </c>
      <c r="J64" s="39">
        <f>'Data Entry Köln City Plaza'!X64</f>
        <v>0</v>
      </c>
      <c r="K64" s="39">
        <f>'Data Entry Köln City Plaza'!AA64</f>
        <v>0</v>
      </c>
      <c r="L64" s="39">
        <f>'Data Entry Köln City Plaza'!AD64</f>
        <v>0</v>
      </c>
      <c r="M64" s="39">
        <f>'Data Entry Köln City Plaza'!AG64</f>
        <v>0</v>
      </c>
      <c r="N64" s="39">
        <f>'Data Entry Köln City Plaza'!AJ64</f>
        <v>0</v>
      </c>
      <c r="O64" s="39">
        <f>'Data Entry Köln City Plaza'!AM64</f>
        <v>0</v>
      </c>
    </row>
    <row r="65" spans="2:15" ht="14" x14ac:dyDescent="0.15">
      <c r="B65" s="44" t="s">
        <v>53</v>
      </c>
      <c r="C65" s="39">
        <f>'Data Entry Köln City Plaza'!C65</f>
        <v>0</v>
      </c>
      <c r="D65" s="39">
        <f>'Data Entry Köln City Plaza'!F65</f>
        <v>0</v>
      </c>
      <c r="E65" s="39">
        <f>'Data Entry Köln City Plaza'!I65</f>
        <v>0</v>
      </c>
      <c r="F65" s="39">
        <f>'Data Entry Köln City Plaza'!L65</f>
        <v>0</v>
      </c>
      <c r="G65" s="39">
        <f>'Data Entry Köln City Plaza'!O65</f>
        <v>0</v>
      </c>
      <c r="H65" s="39">
        <f>'Data Entry Köln City Plaza'!R65</f>
        <v>0</v>
      </c>
      <c r="I65" s="39">
        <f>'Data Entry Köln City Plaza'!U65</f>
        <v>0</v>
      </c>
      <c r="J65" s="39">
        <f>'Data Entry Köln City Plaza'!X65</f>
        <v>0</v>
      </c>
      <c r="K65" s="39">
        <f>'Data Entry Köln City Plaza'!AA65</f>
        <v>0</v>
      </c>
      <c r="L65" s="39">
        <f>'Data Entry Köln City Plaza'!AD65</f>
        <v>0</v>
      </c>
      <c r="M65" s="39">
        <f>'Data Entry Köln City Plaza'!AG65</f>
        <v>0</v>
      </c>
      <c r="N65" s="39">
        <f>'Data Entry Köln City Plaza'!AJ65</f>
        <v>0</v>
      </c>
      <c r="O65" s="39">
        <f>'Data Entry Köln City Plaza'!AM65</f>
        <v>0</v>
      </c>
    </row>
    <row r="66" spans="2:15" ht="14" x14ac:dyDescent="0.15">
      <c r="B66" s="38" t="s">
        <v>22</v>
      </c>
      <c r="C66" s="39">
        <f>'Data Entry Köln City Plaza'!C66</f>
        <v>440346.63059999997</v>
      </c>
      <c r="D66" s="39">
        <f>'Data Entry Köln City Plaza'!F66</f>
        <v>35410.28</v>
      </c>
      <c r="E66" s="39">
        <f>'Data Entry Köln City Plaza'!I66</f>
        <v>37391.31</v>
      </c>
      <c r="F66" s="39">
        <f>'Data Entry Köln City Plaza'!L66</f>
        <v>30234.93</v>
      </c>
      <c r="G66" s="39">
        <f>'Data Entry Köln City Plaza'!O66</f>
        <v>31677.89</v>
      </c>
      <c r="H66" s="39">
        <f>'Data Entry Köln City Plaza'!R66</f>
        <v>34535.557500000003</v>
      </c>
      <c r="I66" s="39">
        <f>'Data Entry Köln City Plaza'!U66</f>
        <v>36827.084199999998</v>
      </c>
      <c r="J66" s="39">
        <f>'Data Entry Köln City Plaza'!X66</f>
        <v>35053.327599999997</v>
      </c>
      <c r="K66" s="39">
        <f>'Data Entry Köln City Plaza'!AA66</f>
        <v>42439.6446</v>
      </c>
      <c r="L66" s="39">
        <f>'Data Entry Köln City Plaza'!AD66</f>
        <v>37941.184300000001</v>
      </c>
      <c r="M66" s="39">
        <f>'Data Entry Köln City Plaza'!AG66</f>
        <v>38335.676899999999</v>
      </c>
      <c r="N66" s="39">
        <f>'Data Entry Köln City Plaza'!AJ66</f>
        <v>41437.406300000002</v>
      </c>
      <c r="O66" s="39">
        <f>'Data Entry Köln City Plaza'!AM66</f>
        <v>39062.339200000002</v>
      </c>
    </row>
    <row r="67" spans="2:15" ht="14" x14ac:dyDescent="0.15">
      <c r="B67" s="38" t="s">
        <v>40</v>
      </c>
      <c r="C67" s="39">
        <f>'Data Entry Köln City Plaza'!C67</f>
        <v>319449.4155</v>
      </c>
      <c r="D67" s="39">
        <f>'Data Entry Köln City Plaza'!F67</f>
        <v>15914.91</v>
      </c>
      <c r="E67" s="39">
        <f>'Data Entry Köln City Plaza'!I67</f>
        <v>23688.05</v>
      </c>
      <c r="F67" s="39">
        <f>'Data Entry Köln City Plaza'!L67</f>
        <v>36248.78</v>
      </c>
      <c r="G67" s="39">
        <f>'Data Entry Köln City Plaza'!O67</f>
        <v>8802.01</v>
      </c>
      <c r="H67" s="39">
        <f>'Data Entry Köln City Plaza'!R67</f>
        <v>30534.487499999999</v>
      </c>
      <c r="I67" s="39">
        <f>'Data Entry Köln City Plaza'!U67</f>
        <v>26646.859199999999</v>
      </c>
      <c r="J67" s="39">
        <f>'Data Entry Köln City Plaza'!X67</f>
        <v>21405.527399999999</v>
      </c>
      <c r="K67" s="39">
        <f>'Data Entry Köln City Plaza'!AA67</f>
        <v>27161.680400000001</v>
      </c>
      <c r="L67" s="39">
        <f>'Data Entry Köln City Plaza'!AD67</f>
        <v>32124.558300000001</v>
      </c>
      <c r="M67" s="39">
        <f>'Data Entry Köln City Plaza'!AG67</f>
        <v>34869.471799999999</v>
      </c>
      <c r="N67" s="39">
        <f>'Data Entry Köln City Plaza'!AJ67</f>
        <v>34367.558400000002</v>
      </c>
      <c r="O67" s="39">
        <f>'Data Entry Köln City Plaza'!AM67</f>
        <v>27685.522499999999</v>
      </c>
    </row>
    <row r="68" spans="2:15" ht="14" x14ac:dyDescent="0.15">
      <c r="B68" s="42" t="s">
        <v>41</v>
      </c>
      <c r="C68" s="39">
        <f>'Data Entry Köln City Plaza'!C68</f>
        <v>-759796.04639999999</v>
      </c>
      <c r="D68" s="39">
        <f>'Data Entry Köln City Plaza'!F68</f>
        <v>-51325.19</v>
      </c>
      <c r="E68" s="39">
        <f>'Data Entry Köln City Plaza'!I68</f>
        <v>-61079.360000000001</v>
      </c>
      <c r="F68" s="39">
        <f>'Data Entry Köln City Plaza'!L68</f>
        <v>-66483.710000000006</v>
      </c>
      <c r="G68" s="39">
        <f>'Data Entry Köln City Plaza'!O68</f>
        <v>-40479.9</v>
      </c>
      <c r="H68" s="39">
        <f>'Data Entry Köln City Plaza'!R68</f>
        <v>-65070.045100000003</v>
      </c>
      <c r="I68" s="39">
        <f>'Data Entry Köln City Plaza'!U68</f>
        <v>-63473.943500000001</v>
      </c>
      <c r="J68" s="39">
        <f>'Data Entry Köln City Plaza'!X68</f>
        <v>-56458.855000000003</v>
      </c>
      <c r="K68" s="39">
        <f>'Data Entry Köln City Plaza'!AA68</f>
        <v>-69601.324999999997</v>
      </c>
      <c r="L68" s="39">
        <f>'Data Entry Köln City Plaza'!AD68</f>
        <v>-70065.742599999998</v>
      </c>
      <c r="M68" s="39">
        <f>'Data Entry Köln City Plaza'!AG68</f>
        <v>-73205.148700000005</v>
      </c>
      <c r="N68" s="39">
        <f>'Data Entry Köln City Plaza'!AJ68</f>
        <v>-75804.964800000002</v>
      </c>
      <c r="O68" s="39">
        <f>'Data Entry Köln City Plaza'!AM68</f>
        <v>-66747.861699999994</v>
      </c>
    </row>
    <row r="69" spans="2:15" x14ac:dyDescent="0.15">
      <c r="B69" s="40"/>
      <c r="C69" s="39">
        <f>'Data Entry Köln City Plaza'!C69</f>
        <v>0</v>
      </c>
      <c r="D69" s="39">
        <f>'Data Entry Köln City Plaza'!F69</f>
        <v>0</v>
      </c>
      <c r="E69" s="39">
        <f>'Data Entry Köln City Plaza'!I69</f>
        <v>0</v>
      </c>
      <c r="F69" s="39">
        <f>'Data Entry Köln City Plaza'!L69</f>
        <v>0</v>
      </c>
      <c r="G69" s="39">
        <f>'Data Entry Köln City Plaza'!O69</f>
        <v>0</v>
      </c>
      <c r="H69" s="39">
        <f>'Data Entry Köln City Plaza'!R69</f>
        <v>0</v>
      </c>
      <c r="I69" s="39">
        <f>'Data Entry Köln City Plaza'!U69</f>
        <v>0</v>
      </c>
      <c r="J69" s="39">
        <f>'Data Entry Köln City Plaza'!X69</f>
        <v>0</v>
      </c>
      <c r="K69" s="39">
        <f>'Data Entry Köln City Plaza'!AA69</f>
        <v>0</v>
      </c>
      <c r="L69" s="39">
        <f>'Data Entry Köln City Plaza'!AD69</f>
        <v>0</v>
      </c>
      <c r="M69" s="39">
        <f>'Data Entry Köln City Plaza'!AG69</f>
        <v>0</v>
      </c>
      <c r="N69" s="39">
        <f>'Data Entry Köln City Plaza'!AJ69</f>
        <v>0</v>
      </c>
      <c r="O69" s="39">
        <f>'Data Entry Köln City Plaza'!AM69</f>
        <v>0</v>
      </c>
    </row>
    <row r="70" spans="2:15" ht="14" x14ac:dyDescent="0.15">
      <c r="B70" s="44" t="s">
        <v>54</v>
      </c>
      <c r="C70" s="39">
        <f>'Data Entry Köln City Plaza'!C70</f>
        <v>0</v>
      </c>
      <c r="D70" s="39">
        <f>'Data Entry Köln City Plaza'!F70</f>
        <v>0</v>
      </c>
      <c r="E70" s="39">
        <f>'Data Entry Köln City Plaza'!I70</f>
        <v>0</v>
      </c>
      <c r="F70" s="39">
        <f>'Data Entry Köln City Plaza'!L70</f>
        <v>0</v>
      </c>
      <c r="G70" s="39">
        <f>'Data Entry Köln City Plaza'!O70</f>
        <v>0</v>
      </c>
      <c r="H70" s="39">
        <f>'Data Entry Köln City Plaza'!R70</f>
        <v>0</v>
      </c>
      <c r="I70" s="39">
        <f>'Data Entry Köln City Plaza'!U70</f>
        <v>0</v>
      </c>
      <c r="J70" s="39">
        <f>'Data Entry Köln City Plaza'!X70</f>
        <v>0</v>
      </c>
      <c r="K70" s="39">
        <f>'Data Entry Köln City Plaza'!AA70</f>
        <v>0</v>
      </c>
      <c r="L70" s="39">
        <f>'Data Entry Köln City Plaza'!AD70</f>
        <v>0</v>
      </c>
      <c r="M70" s="39">
        <f>'Data Entry Köln City Plaza'!AG70</f>
        <v>0</v>
      </c>
      <c r="N70" s="39">
        <f>'Data Entry Köln City Plaza'!AJ70</f>
        <v>0</v>
      </c>
      <c r="O70" s="39">
        <f>'Data Entry Köln City Plaza'!AM70</f>
        <v>0</v>
      </c>
    </row>
    <row r="71" spans="2:15" ht="14" x14ac:dyDescent="0.15">
      <c r="B71" s="38" t="s">
        <v>55</v>
      </c>
      <c r="C71" s="39">
        <f>'Data Entry Köln City Plaza'!C71</f>
        <v>24177.85</v>
      </c>
      <c r="D71" s="39">
        <f>'Data Entry Köln City Plaza'!F71</f>
        <v>2160</v>
      </c>
      <c r="E71" s="39">
        <f>'Data Entry Köln City Plaza'!I71</f>
        <v>2108</v>
      </c>
      <c r="F71" s="39">
        <f>'Data Entry Köln City Plaza'!L71</f>
        <v>-1582.4</v>
      </c>
      <c r="G71" s="39">
        <f>'Data Entry Köln City Plaza'!O71</f>
        <v>3268.25</v>
      </c>
      <c r="H71" s="39">
        <f>'Data Entry Köln City Plaza'!R71</f>
        <v>2278</v>
      </c>
      <c r="I71" s="39">
        <f>'Data Entry Köln City Plaza'!U71</f>
        <v>2278</v>
      </c>
      <c r="J71" s="39">
        <f>'Data Entry Köln City Plaza'!X71</f>
        <v>2278</v>
      </c>
      <c r="K71" s="39">
        <f>'Data Entry Köln City Plaza'!AA71</f>
        <v>2278</v>
      </c>
      <c r="L71" s="39">
        <f>'Data Entry Köln City Plaza'!AD71</f>
        <v>2278</v>
      </c>
      <c r="M71" s="39">
        <f>'Data Entry Köln City Plaza'!AG71</f>
        <v>2278</v>
      </c>
      <c r="N71" s="39">
        <f>'Data Entry Köln City Plaza'!AJ71</f>
        <v>2278</v>
      </c>
      <c r="O71" s="39">
        <f>'Data Entry Köln City Plaza'!AM71</f>
        <v>2278</v>
      </c>
    </row>
    <row r="72" spans="2:15" ht="14" x14ac:dyDescent="0.15">
      <c r="B72" s="38" t="s">
        <v>56</v>
      </c>
      <c r="C72" s="39">
        <f>'Data Entry Köln City Plaza'!C72</f>
        <v>129830</v>
      </c>
      <c r="D72" s="39">
        <f>'Data Entry Köln City Plaza'!F72</f>
        <v>6352.85</v>
      </c>
      <c r="E72" s="39">
        <f>'Data Entry Köln City Plaza'!I72</f>
        <v>11497.64</v>
      </c>
      <c r="F72" s="39">
        <f>'Data Entry Köln City Plaza'!L72</f>
        <v>8405.32</v>
      </c>
      <c r="G72" s="39">
        <f>'Data Entry Köln City Plaza'!O72</f>
        <v>701.31</v>
      </c>
      <c r="H72" s="39">
        <f>'Data Entry Köln City Plaza'!R72</f>
        <v>12843.61</v>
      </c>
      <c r="I72" s="39">
        <f>'Data Entry Köln City Plaza'!U72</f>
        <v>13013.61</v>
      </c>
      <c r="J72" s="39">
        <f>'Data Entry Köln City Plaza'!X72</f>
        <v>12843.61</v>
      </c>
      <c r="K72" s="39">
        <f>'Data Entry Köln City Plaza'!AA72</f>
        <v>12843.61</v>
      </c>
      <c r="L72" s="39">
        <f>'Data Entry Köln City Plaza'!AD72</f>
        <v>12843.61</v>
      </c>
      <c r="M72" s="39">
        <f>'Data Entry Köln City Plaza'!AG72</f>
        <v>13013.61</v>
      </c>
      <c r="N72" s="39">
        <f>'Data Entry Köln City Plaza'!AJ72</f>
        <v>12843.61</v>
      </c>
      <c r="O72" s="39">
        <f>'Data Entry Köln City Plaza'!AM72</f>
        <v>12627.61</v>
      </c>
    </row>
    <row r="73" spans="2:15" ht="14" x14ac:dyDescent="0.15">
      <c r="B73" s="38" t="s">
        <v>40</v>
      </c>
      <c r="C73" s="39">
        <f>'Data Entry Köln City Plaza'!C73</f>
        <v>5570</v>
      </c>
      <c r="D73" s="39">
        <f>'Data Entry Köln City Plaza'!F73</f>
        <v>0</v>
      </c>
      <c r="E73" s="39">
        <f>'Data Entry Köln City Plaza'!I73</f>
        <v>960</v>
      </c>
      <c r="F73" s="39">
        <f>'Data Entry Köln City Plaza'!L73</f>
        <v>605</v>
      </c>
      <c r="G73" s="39">
        <f>'Data Entry Köln City Plaza'!O73</f>
        <v>-835</v>
      </c>
      <c r="H73" s="39">
        <f>'Data Entry Köln City Plaza'!R73</f>
        <v>605</v>
      </c>
      <c r="I73" s="39">
        <f>'Data Entry Köln City Plaza'!U73</f>
        <v>605</v>
      </c>
      <c r="J73" s="39">
        <f>'Data Entry Köln City Plaza'!X73</f>
        <v>605</v>
      </c>
      <c r="K73" s="39">
        <f>'Data Entry Köln City Plaza'!AA73</f>
        <v>605</v>
      </c>
      <c r="L73" s="39">
        <f>'Data Entry Köln City Plaza'!AD73</f>
        <v>605</v>
      </c>
      <c r="M73" s="39">
        <f>'Data Entry Köln City Plaza'!AG73</f>
        <v>605</v>
      </c>
      <c r="N73" s="39">
        <f>'Data Entry Köln City Plaza'!AJ73</f>
        <v>605</v>
      </c>
      <c r="O73" s="39">
        <f>'Data Entry Köln City Plaza'!AM73</f>
        <v>605</v>
      </c>
    </row>
    <row r="74" spans="2:15" ht="14" x14ac:dyDescent="0.15">
      <c r="B74" s="42" t="s">
        <v>41</v>
      </c>
      <c r="C74" s="39">
        <f>'Data Entry Köln City Plaza'!C74</f>
        <v>-159577.85</v>
      </c>
      <c r="D74" s="39">
        <f>'Data Entry Köln City Plaza'!F74</f>
        <v>-8512.85</v>
      </c>
      <c r="E74" s="39">
        <f>'Data Entry Köln City Plaza'!I74</f>
        <v>-14565.64</v>
      </c>
      <c r="F74" s="39">
        <f>'Data Entry Köln City Plaza'!L74</f>
        <v>-7427.92</v>
      </c>
      <c r="G74" s="39">
        <f>'Data Entry Köln City Plaza'!O74</f>
        <v>-3134.56</v>
      </c>
      <c r="H74" s="39">
        <f>'Data Entry Köln City Plaza'!R74</f>
        <v>-15726.61</v>
      </c>
      <c r="I74" s="39">
        <f>'Data Entry Köln City Plaza'!U74</f>
        <v>-15896.61</v>
      </c>
      <c r="J74" s="39">
        <f>'Data Entry Köln City Plaza'!X74</f>
        <v>-15726.61</v>
      </c>
      <c r="K74" s="39">
        <f>'Data Entry Köln City Plaza'!AA74</f>
        <v>-15726.61</v>
      </c>
      <c r="L74" s="39">
        <f>'Data Entry Köln City Plaza'!AD74</f>
        <v>-15726.61</v>
      </c>
      <c r="M74" s="39">
        <f>'Data Entry Köln City Plaza'!AG74</f>
        <v>-15896.61</v>
      </c>
      <c r="N74" s="39">
        <f>'Data Entry Köln City Plaza'!AJ74</f>
        <v>-15726.61</v>
      </c>
      <c r="O74" s="39">
        <f>'Data Entry Köln City Plaza'!AM74</f>
        <v>-15510.61</v>
      </c>
    </row>
    <row r="75" spans="2:15" x14ac:dyDescent="0.15">
      <c r="B75" s="40"/>
      <c r="C75" s="39">
        <f>'Data Entry Köln City Plaza'!C75</f>
        <v>0</v>
      </c>
      <c r="D75" s="39">
        <f>'Data Entry Köln City Plaza'!F75</f>
        <v>0</v>
      </c>
      <c r="E75" s="39">
        <f>'Data Entry Köln City Plaza'!I75</f>
        <v>0</v>
      </c>
      <c r="F75" s="39">
        <f>'Data Entry Köln City Plaza'!L75</f>
        <v>0</v>
      </c>
      <c r="G75" s="39">
        <f>'Data Entry Köln City Plaza'!O75</f>
        <v>0</v>
      </c>
      <c r="H75" s="39">
        <f>'Data Entry Köln City Plaza'!R75</f>
        <v>0</v>
      </c>
      <c r="I75" s="39">
        <f>'Data Entry Köln City Plaza'!U75</f>
        <v>0</v>
      </c>
      <c r="J75" s="39">
        <f>'Data Entry Köln City Plaza'!X75</f>
        <v>0</v>
      </c>
      <c r="K75" s="39">
        <f>'Data Entry Köln City Plaza'!AA75</f>
        <v>0</v>
      </c>
      <c r="L75" s="39">
        <f>'Data Entry Köln City Plaza'!AD75</f>
        <v>0</v>
      </c>
      <c r="M75" s="39">
        <f>'Data Entry Köln City Plaza'!AG75</f>
        <v>0</v>
      </c>
      <c r="N75" s="39">
        <f>'Data Entry Köln City Plaza'!AJ75</f>
        <v>0</v>
      </c>
      <c r="O75" s="39">
        <f>'Data Entry Köln City Plaza'!AM75</f>
        <v>0</v>
      </c>
    </row>
    <row r="76" spans="2:15" ht="14" x14ac:dyDescent="0.15">
      <c r="B76" s="44" t="s">
        <v>57</v>
      </c>
      <c r="C76" s="39">
        <f>'Data Entry Köln City Plaza'!C76</f>
        <v>0</v>
      </c>
      <c r="D76" s="39">
        <f>'Data Entry Köln City Plaza'!F76</f>
        <v>0</v>
      </c>
      <c r="E76" s="39">
        <f>'Data Entry Köln City Plaza'!I76</f>
        <v>0</v>
      </c>
      <c r="F76" s="39">
        <f>'Data Entry Köln City Plaza'!L76</f>
        <v>0</v>
      </c>
      <c r="G76" s="39">
        <f>'Data Entry Köln City Plaza'!O76</f>
        <v>0</v>
      </c>
      <c r="H76" s="39">
        <f>'Data Entry Köln City Plaza'!R76</f>
        <v>0</v>
      </c>
      <c r="I76" s="39">
        <f>'Data Entry Köln City Plaza'!U76</f>
        <v>0</v>
      </c>
      <c r="J76" s="39">
        <f>'Data Entry Köln City Plaza'!X76</f>
        <v>0</v>
      </c>
      <c r="K76" s="39">
        <f>'Data Entry Köln City Plaza'!AA76</f>
        <v>0</v>
      </c>
      <c r="L76" s="39">
        <f>'Data Entry Köln City Plaza'!AD76</f>
        <v>0</v>
      </c>
      <c r="M76" s="39">
        <f>'Data Entry Köln City Plaza'!AG76</f>
        <v>0</v>
      </c>
      <c r="N76" s="39">
        <f>'Data Entry Köln City Plaza'!AJ76</f>
        <v>0</v>
      </c>
      <c r="O76" s="39">
        <f>'Data Entry Köln City Plaza'!AM76</f>
        <v>0</v>
      </c>
    </row>
    <row r="77" spans="2:15" ht="14" x14ac:dyDescent="0.15">
      <c r="B77" s="38" t="s">
        <v>22</v>
      </c>
      <c r="C77" s="39">
        <f>'Data Entry Köln City Plaza'!C77</f>
        <v>213136.12880000001</v>
      </c>
      <c r="D77" s="39">
        <f>'Data Entry Köln City Plaza'!F77</f>
        <v>6907.72</v>
      </c>
      <c r="E77" s="39">
        <f>'Data Entry Köln City Plaza'!I77</f>
        <v>17005.43</v>
      </c>
      <c r="F77" s="39">
        <f>'Data Entry Köln City Plaza'!L77</f>
        <v>20118.36</v>
      </c>
      <c r="G77" s="39">
        <f>'Data Entry Köln City Plaza'!O77</f>
        <v>12704.66</v>
      </c>
      <c r="H77" s="39">
        <f>'Data Entry Köln City Plaza'!R77</f>
        <v>18523.980599999999</v>
      </c>
      <c r="I77" s="39">
        <f>'Data Entry Köln City Plaza'!U77</f>
        <v>18299.9313</v>
      </c>
      <c r="J77" s="39">
        <f>'Data Entry Köln City Plaza'!X77</f>
        <v>14182.5152</v>
      </c>
      <c r="K77" s="39">
        <f>'Data Entry Köln City Plaza'!AA77</f>
        <v>17891.157200000001</v>
      </c>
      <c r="L77" s="39">
        <f>'Data Entry Köln City Plaza'!AD77</f>
        <v>21884.2814</v>
      </c>
      <c r="M77" s="39">
        <f>'Data Entry Köln City Plaza'!AG77</f>
        <v>23742.242699999999</v>
      </c>
      <c r="N77" s="39">
        <f>'Data Entry Köln City Plaza'!AJ77</f>
        <v>22727.555100000001</v>
      </c>
      <c r="O77" s="39">
        <f>'Data Entry Köln City Plaza'!AM77</f>
        <v>19148.295300000002</v>
      </c>
    </row>
    <row r="78" spans="2:15" ht="14" x14ac:dyDescent="0.15">
      <c r="B78" s="38" t="s">
        <v>40</v>
      </c>
      <c r="C78" s="39">
        <f>'Data Entry Köln City Plaza'!C78</f>
        <v>531695.37089999998</v>
      </c>
      <c r="D78" s="39">
        <f>'Data Entry Köln City Plaza'!F78</f>
        <v>23385.87</v>
      </c>
      <c r="E78" s="39">
        <f>'Data Entry Köln City Plaza'!I78</f>
        <v>41814.21</v>
      </c>
      <c r="F78" s="39">
        <f>'Data Entry Köln City Plaza'!L78</f>
        <v>53844.65</v>
      </c>
      <c r="G78" s="39">
        <f>'Data Entry Köln City Plaza'!O78</f>
        <v>30821.41</v>
      </c>
      <c r="H78" s="39">
        <f>'Data Entry Köln City Plaza'!R78</f>
        <v>47012.5363</v>
      </c>
      <c r="I78" s="39">
        <f>'Data Entry Köln City Plaza'!U78</f>
        <v>41683.248899999999</v>
      </c>
      <c r="J78" s="39">
        <f>'Data Entry Köln City Plaza'!X78</f>
        <v>32903.8586</v>
      </c>
      <c r="K78" s="39">
        <f>'Data Entry Köln City Plaza'!AA78</f>
        <v>44720.945599999999</v>
      </c>
      <c r="L78" s="39">
        <f>'Data Entry Köln City Plaza'!AD78</f>
        <v>52107.4375</v>
      </c>
      <c r="M78" s="39">
        <f>'Data Entry Köln City Plaza'!AG78</f>
        <v>63095.1826</v>
      </c>
      <c r="N78" s="39">
        <f>'Data Entry Köln City Plaza'!AJ78</f>
        <v>53959.287700000001</v>
      </c>
      <c r="O78" s="39">
        <f>'Data Entry Köln City Plaza'!AM78</f>
        <v>46346.733699999997</v>
      </c>
    </row>
    <row r="79" spans="2:15" ht="14" x14ac:dyDescent="0.15">
      <c r="B79" s="42" t="s">
        <v>41</v>
      </c>
      <c r="C79" s="39">
        <f>'Data Entry Köln City Plaza'!C79</f>
        <v>-744831.5</v>
      </c>
      <c r="D79" s="39">
        <f>'Data Entry Köln City Plaza'!F79</f>
        <v>-30293.59</v>
      </c>
      <c r="E79" s="39">
        <f>'Data Entry Köln City Plaza'!I79</f>
        <v>-58819.64</v>
      </c>
      <c r="F79" s="39">
        <f>'Data Entry Köln City Plaza'!L79</f>
        <v>-73963.009999999995</v>
      </c>
      <c r="G79" s="39">
        <f>'Data Entry Köln City Plaza'!O79</f>
        <v>-43526.07</v>
      </c>
      <c r="H79" s="39">
        <f>'Data Entry Köln City Plaza'!R79</f>
        <v>-65536.516900000002</v>
      </c>
      <c r="I79" s="39">
        <f>'Data Entry Köln City Plaza'!U79</f>
        <v>-59983.180200000003</v>
      </c>
      <c r="J79" s="39">
        <f>'Data Entry Köln City Plaza'!X79</f>
        <v>-47086.373800000001</v>
      </c>
      <c r="K79" s="39">
        <f>'Data Entry Köln City Plaza'!AA79</f>
        <v>-62612.102800000001</v>
      </c>
      <c r="L79" s="39">
        <f>'Data Entry Köln City Plaza'!AD79</f>
        <v>-73991.718999999997</v>
      </c>
      <c r="M79" s="39">
        <f>'Data Entry Köln City Plaza'!AG79</f>
        <v>-86837.425399999993</v>
      </c>
      <c r="N79" s="39">
        <f>'Data Entry Köln City Plaza'!AJ79</f>
        <v>-76686.842799999999</v>
      </c>
      <c r="O79" s="39">
        <f>'Data Entry Köln City Plaza'!AM79</f>
        <v>-65495.0291</v>
      </c>
    </row>
    <row r="80" spans="2:15" x14ac:dyDescent="0.15">
      <c r="B80" s="40"/>
      <c r="C80" s="39">
        <f>'Data Entry Köln City Plaza'!C80</f>
        <v>0</v>
      </c>
      <c r="D80" s="39">
        <f>'Data Entry Köln City Plaza'!F80</f>
        <v>0</v>
      </c>
      <c r="E80" s="39">
        <f>'Data Entry Köln City Plaza'!I80</f>
        <v>0</v>
      </c>
      <c r="F80" s="39">
        <f>'Data Entry Köln City Plaza'!L80</f>
        <v>0</v>
      </c>
      <c r="G80" s="39">
        <f>'Data Entry Köln City Plaza'!O80</f>
        <v>0</v>
      </c>
      <c r="H80" s="39">
        <f>'Data Entry Köln City Plaza'!R80</f>
        <v>0</v>
      </c>
      <c r="I80" s="39">
        <f>'Data Entry Köln City Plaza'!U80</f>
        <v>0</v>
      </c>
      <c r="J80" s="39">
        <f>'Data Entry Köln City Plaza'!X80</f>
        <v>0</v>
      </c>
      <c r="K80" s="39">
        <f>'Data Entry Köln City Plaza'!AA80</f>
        <v>0</v>
      </c>
      <c r="L80" s="39">
        <f>'Data Entry Köln City Plaza'!AD80</f>
        <v>0</v>
      </c>
      <c r="M80" s="39">
        <f>'Data Entry Köln City Plaza'!AG80</f>
        <v>0</v>
      </c>
      <c r="N80" s="39">
        <f>'Data Entry Köln City Plaza'!AJ80</f>
        <v>0</v>
      </c>
      <c r="O80" s="39">
        <f>'Data Entry Köln City Plaza'!AM80</f>
        <v>0</v>
      </c>
    </row>
    <row r="81" spans="2:15" ht="14" x14ac:dyDescent="0.15">
      <c r="B81" s="44" t="s">
        <v>58</v>
      </c>
      <c r="C81" s="39">
        <f>'Data Entry Köln City Plaza'!C81</f>
        <v>0</v>
      </c>
      <c r="D81" s="39">
        <f>'Data Entry Köln City Plaza'!F81</f>
        <v>0</v>
      </c>
      <c r="E81" s="39">
        <f>'Data Entry Köln City Plaza'!I81</f>
        <v>0</v>
      </c>
      <c r="F81" s="39">
        <f>'Data Entry Köln City Plaza'!L81</f>
        <v>0</v>
      </c>
      <c r="G81" s="39">
        <f>'Data Entry Köln City Plaza'!O81</f>
        <v>0</v>
      </c>
      <c r="H81" s="39">
        <f>'Data Entry Köln City Plaza'!R81</f>
        <v>0</v>
      </c>
      <c r="I81" s="39">
        <f>'Data Entry Köln City Plaza'!U81</f>
        <v>0</v>
      </c>
      <c r="J81" s="39">
        <f>'Data Entry Köln City Plaza'!X81</f>
        <v>0</v>
      </c>
      <c r="K81" s="39">
        <f>'Data Entry Köln City Plaza'!AA81</f>
        <v>0</v>
      </c>
      <c r="L81" s="39">
        <f>'Data Entry Köln City Plaza'!AD81</f>
        <v>0</v>
      </c>
      <c r="M81" s="39">
        <f>'Data Entry Köln City Plaza'!AG81</f>
        <v>0</v>
      </c>
      <c r="N81" s="39">
        <f>'Data Entry Köln City Plaza'!AJ81</f>
        <v>0</v>
      </c>
      <c r="O81" s="39">
        <f>'Data Entry Köln City Plaza'!AM81</f>
        <v>0</v>
      </c>
    </row>
    <row r="82" spans="2:15" ht="14" x14ac:dyDescent="0.15">
      <c r="B82" s="38" t="s">
        <v>22</v>
      </c>
      <c r="C82" s="39">
        <f>'Data Entry Köln City Plaza'!C82</f>
        <v>237889.9388</v>
      </c>
      <c r="D82" s="39">
        <f>'Data Entry Köln City Plaza'!F82</f>
        <v>17588.259999999998</v>
      </c>
      <c r="E82" s="39">
        <f>'Data Entry Köln City Plaza'!I82</f>
        <v>20604.490000000002</v>
      </c>
      <c r="F82" s="39">
        <f>'Data Entry Köln City Plaza'!L82</f>
        <v>18347.169999999998</v>
      </c>
      <c r="G82" s="39">
        <f>'Data Entry Köln City Plaza'!O82</f>
        <v>17272.740000000002</v>
      </c>
      <c r="H82" s="39">
        <f>'Data Entry Köln City Plaza'!R82</f>
        <v>21260.885300000002</v>
      </c>
      <c r="I82" s="39">
        <f>'Data Entry Köln City Plaza'!U82</f>
        <v>22000.818899999998</v>
      </c>
      <c r="J82" s="39">
        <f>'Data Entry Köln City Plaza'!X82</f>
        <v>23396.615699999998</v>
      </c>
      <c r="K82" s="39">
        <f>'Data Entry Köln City Plaza'!AA82</f>
        <v>15977.066800000001</v>
      </c>
      <c r="L82" s="39">
        <f>'Data Entry Köln City Plaza'!AD82</f>
        <v>21046.434000000001</v>
      </c>
      <c r="M82" s="39">
        <f>'Data Entry Köln City Plaza'!AG82</f>
        <v>18272.9192</v>
      </c>
      <c r="N82" s="39">
        <f>'Data Entry Köln City Plaza'!AJ82</f>
        <v>22147.3577</v>
      </c>
      <c r="O82" s="39">
        <f>'Data Entry Köln City Plaza'!AM82</f>
        <v>19975.181199999999</v>
      </c>
    </row>
    <row r="83" spans="2:15" ht="14" x14ac:dyDescent="0.15">
      <c r="B83" s="38" t="s">
        <v>40</v>
      </c>
      <c r="C83" s="39">
        <f>'Data Entry Köln City Plaza'!C83</f>
        <v>352902.68</v>
      </c>
      <c r="D83" s="39">
        <f>'Data Entry Köln City Plaza'!F83</f>
        <v>14155.15</v>
      </c>
      <c r="E83" s="39">
        <f>'Data Entry Köln City Plaza'!I83</f>
        <v>62015.87</v>
      </c>
      <c r="F83" s="39">
        <f>'Data Entry Köln City Plaza'!L83</f>
        <v>31943.86</v>
      </c>
      <c r="G83" s="39">
        <f>'Data Entry Köln City Plaza'!O83</f>
        <v>8905.7999999999993</v>
      </c>
      <c r="H83" s="39">
        <f>'Data Entry Köln City Plaza'!R83</f>
        <v>26384</v>
      </c>
      <c r="I83" s="39">
        <f>'Data Entry Köln City Plaza'!U83</f>
        <v>33984</v>
      </c>
      <c r="J83" s="39">
        <f>'Data Entry Köln City Plaza'!X83</f>
        <v>27684</v>
      </c>
      <c r="K83" s="39">
        <f>'Data Entry Köln City Plaza'!AA83</f>
        <v>26834</v>
      </c>
      <c r="L83" s="39">
        <f>'Data Entry Köln City Plaza'!AD83</f>
        <v>29134</v>
      </c>
      <c r="M83" s="39">
        <f>'Data Entry Köln City Plaza'!AG83</f>
        <v>31284</v>
      </c>
      <c r="N83" s="39">
        <f>'Data Entry Köln City Plaza'!AJ83</f>
        <v>31784</v>
      </c>
      <c r="O83" s="39">
        <f>'Data Entry Köln City Plaza'!AM83</f>
        <v>28794</v>
      </c>
    </row>
    <row r="84" spans="2:15" ht="14" x14ac:dyDescent="0.15">
      <c r="B84" s="42" t="s">
        <v>41</v>
      </c>
      <c r="C84" s="39">
        <f>'Data Entry Köln City Plaza'!C84</f>
        <v>-590792.61880000005</v>
      </c>
      <c r="D84" s="39">
        <f>'Data Entry Köln City Plaza'!F84</f>
        <v>-31743.41</v>
      </c>
      <c r="E84" s="39">
        <f>'Data Entry Köln City Plaza'!I84</f>
        <v>-82620.36</v>
      </c>
      <c r="F84" s="39">
        <f>'Data Entry Köln City Plaza'!L84</f>
        <v>-50291.03</v>
      </c>
      <c r="G84" s="39">
        <f>'Data Entry Köln City Plaza'!O84</f>
        <v>-26178.54</v>
      </c>
      <c r="H84" s="39">
        <f>'Data Entry Köln City Plaza'!R84</f>
        <v>-47644.885300000002</v>
      </c>
      <c r="I84" s="39">
        <f>'Data Entry Köln City Plaza'!U84</f>
        <v>-55984.818899999998</v>
      </c>
      <c r="J84" s="39">
        <f>'Data Entry Köln City Plaza'!X84</f>
        <v>-51080.615700000002</v>
      </c>
      <c r="K84" s="39">
        <f>'Data Entry Köln City Plaza'!AA84</f>
        <v>-42811.066800000001</v>
      </c>
      <c r="L84" s="39">
        <f>'Data Entry Köln City Plaza'!AD84</f>
        <v>-50180.434000000001</v>
      </c>
      <c r="M84" s="39">
        <f>'Data Entry Köln City Plaza'!AG84</f>
        <v>-49556.919199999997</v>
      </c>
      <c r="N84" s="39">
        <f>'Data Entry Köln City Plaza'!AJ84</f>
        <v>-53931.3577</v>
      </c>
      <c r="O84" s="39">
        <f>'Data Entry Köln City Plaza'!AM84</f>
        <v>-48769.181199999999</v>
      </c>
    </row>
    <row r="85" spans="2:15" x14ac:dyDescent="0.15">
      <c r="B85" s="40"/>
      <c r="C85" s="39">
        <f>'Data Entry Köln City Plaza'!C85</f>
        <v>0</v>
      </c>
      <c r="D85" s="39">
        <f>'Data Entry Köln City Plaza'!F85</f>
        <v>0</v>
      </c>
      <c r="E85" s="39">
        <f>'Data Entry Köln City Plaza'!I85</f>
        <v>0</v>
      </c>
      <c r="F85" s="39">
        <f>'Data Entry Köln City Plaza'!L85</f>
        <v>0</v>
      </c>
      <c r="G85" s="39">
        <f>'Data Entry Köln City Plaza'!O85</f>
        <v>0</v>
      </c>
      <c r="H85" s="39">
        <f>'Data Entry Köln City Plaza'!R85</f>
        <v>0</v>
      </c>
      <c r="I85" s="39">
        <f>'Data Entry Köln City Plaza'!U85</f>
        <v>0</v>
      </c>
      <c r="J85" s="39">
        <f>'Data Entry Köln City Plaza'!X85</f>
        <v>0</v>
      </c>
      <c r="K85" s="39">
        <f>'Data Entry Köln City Plaza'!AA85</f>
        <v>0</v>
      </c>
      <c r="L85" s="39">
        <f>'Data Entry Köln City Plaza'!AD85</f>
        <v>0</v>
      </c>
      <c r="M85" s="39">
        <f>'Data Entry Köln City Plaza'!AG85</f>
        <v>0</v>
      </c>
      <c r="N85" s="39">
        <f>'Data Entry Köln City Plaza'!AJ85</f>
        <v>0</v>
      </c>
      <c r="O85" s="39">
        <f>'Data Entry Köln City Plaza'!AM85</f>
        <v>0</v>
      </c>
    </row>
    <row r="86" spans="2:15" ht="14" x14ac:dyDescent="0.15">
      <c r="B86" s="44" t="s">
        <v>59</v>
      </c>
      <c r="C86" s="39">
        <f>'Data Entry Köln City Plaza'!C86</f>
        <v>0</v>
      </c>
      <c r="D86" s="39">
        <f>'Data Entry Köln City Plaza'!F86</f>
        <v>0</v>
      </c>
      <c r="E86" s="39">
        <f>'Data Entry Köln City Plaza'!I86</f>
        <v>0</v>
      </c>
      <c r="F86" s="39">
        <f>'Data Entry Köln City Plaza'!L86</f>
        <v>0</v>
      </c>
      <c r="G86" s="39">
        <f>'Data Entry Köln City Plaza'!O86</f>
        <v>0</v>
      </c>
      <c r="H86" s="39">
        <f>'Data Entry Köln City Plaza'!R86</f>
        <v>0</v>
      </c>
      <c r="I86" s="39">
        <f>'Data Entry Köln City Plaza'!U86</f>
        <v>0</v>
      </c>
      <c r="J86" s="39">
        <f>'Data Entry Köln City Plaza'!X86</f>
        <v>0</v>
      </c>
      <c r="K86" s="39">
        <f>'Data Entry Köln City Plaza'!AA86</f>
        <v>0</v>
      </c>
      <c r="L86" s="39">
        <f>'Data Entry Köln City Plaza'!AD86</f>
        <v>0</v>
      </c>
      <c r="M86" s="39">
        <f>'Data Entry Köln City Plaza'!AG86</f>
        <v>0</v>
      </c>
      <c r="N86" s="39">
        <f>'Data Entry Köln City Plaza'!AJ86</f>
        <v>0</v>
      </c>
      <c r="O86" s="39">
        <f>'Data Entry Köln City Plaza'!AM86</f>
        <v>0</v>
      </c>
    </row>
    <row r="87" spans="2:15" ht="14" x14ac:dyDescent="0.15">
      <c r="B87" s="42" t="s">
        <v>41</v>
      </c>
      <c r="C87" s="39">
        <f>'Data Entry Köln City Plaza'!C87</f>
        <v>-609829.69590000005</v>
      </c>
      <c r="D87" s="39">
        <f>'Data Entry Köln City Plaza'!F87</f>
        <v>-53565.56</v>
      </c>
      <c r="E87" s="39">
        <f>'Data Entry Köln City Plaza'!I87</f>
        <v>-46132.44</v>
      </c>
      <c r="F87" s="39">
        <f>'Data Entry Köln City Plaza'!L87</f>
        <v>-54635.46</v>
      </c>
      <c r="G87" s="39">
        <f>'Data Entry Köln City Plaza'!O87</f>
        <v>-22867.119999999999</v>
      </c>
      <c r="H87" s="39">
        <f>'Data Entry Köln City Plaza'!R87</f>
        <v>-53077.396099999998</v>
      </c>
      <c r="I87" s="39">
        <f>'Data Entry Köln City Plaza'!U87</f>
        <v>-52435.892999999996</v>
      </c>
      <c r="J87" s="39">
        <f>'Data Entry Köln City Plaza'!X87</f>
        <v>-49408.034599999999</v>
      </c>
      <c r="K87" s="39">
        <f>'Data Entry Köln City Plaza'!AA87</f>
        <v>-60664.801099999997</v>
      </c>
      <c r="L87" s="39">
        <f>'Data Entry Köln City Plaza'!AD87</f>
        <v>-65876.540800000002</v>
      </c>
      <c r="M87" s="39">
        <f>'Data Entry Köln City Plaza'!AG87</f>
        <v>-50856.766100000001</v>
      </c>
      <c r="N87" s="39">
        <f>'Data Entry Köln City Plaza'!AJ87</f>
        <v>-51347.311000000002</v>
      </c>
      <c r="O87" s="39">
        <f>'Data Entry Köln City Plaza'!AM87</f>
        <v>-48962.373200000002</v>
      </c>
    </row>
    <row r="88" spans="2:15" x14ac:dyDescent="0.15">
      <c r="B88" s="40"/>
      <c r="C88" s="39">
        <f>'Data Entry Köln City Plaza'!C88</f>
        <v>0</v>
      </c>
      <c r="D88" s="39">
        <f>'Data Entry Köln City Plaza'!F88</f>
        <v>0</v>
      </c>
      <c r="E88" s="39">
        <f>'Data Entry Köln City Plaza'!I88</f>
        <v>0</v>
      </c>
      <c r="F88" s="39">
        <f>'Data Entry Köln City Plaza'!L88</f>
        <v>0</v>
      </c>
      <c r="G88" s="39">
        <f>'Data Entry Köln City Plaza'!O88</f>
        <v>0</v>
      </c>
      <c r="H88" s="39">
        <f>'Data Entry Köln City Plaza'!R88</f>
        <v>0</v>
      </c>
      <c r="I88" s="39">
        <f>'Data Entry Köln City Plaza'!U88</f>
        <v>0</v>
      </c>
      <c r="J88" s="39">
        <f>'Data Entry Köln City Plaza'!X88</f>
        <v>0</v>
      </c>
      <c r="K88" s="39">
        <f>'Data Entry Köln City Plaza'!AA88</f>
        <v>0</v>
      </c>
      <c r="L88" s="39">
        <f>'Data Entry Köln City Plaza'!AD88</f>
        <v>0</v>
      </c>
      <c r="M88" s="39">
        <f>'Data Entry Köln City Plaza'!AG88</f>
        <v>0</v>
      </c>
      <c r="N88" s="39">
        <f>'Data Entry Köln City Plaza'!AJ88</f>
        <v>0</v>
      </c>
      <c r="O88" s="39">
        <f>'Data Entry Köln City Plaza'!AM88</f>
        <v>0</v>
      </c>
    </row>
    <row r="89" spans="2:15" ht="14" x14ac:dyDescent="0.15">
      <c r="B89" s="42" t="s">
        <v>23</v>
      </c>
      <c r="C89" s="39">
        <f>'Data Entry Köln City Plaza'!C89</f>
        <v>3902522.0000999998</v>
      </c>
      <c r="D89" s="39">
        <f>'Data Entry Köln City Plaza'!F89</f>
        <v>50981.77</v>
      </c>
      <c r="E89" s="39">
        <f>'Data Entry Köln City Plaza'!I89</f>
        <v>129803.53</v>
      </c>
      <c r="F89" s="39">
        <f>'Data Entry Köln City Plaza'!L89</f>
        <v>536569.75</v>
      </c>
      <c r="G89" s="39">
        <f>'Data Entry Köln City Plaza'!O89</f>
        <v>311949.86</v>
      </c>
      <c r="H89" s="39">
        <f>'Data Entry Köln City Plaza'!R89</f>
        <v>341441.7905</v>
      </c>
      <c r="I89" s="39">
        <f>'Data Entry Köln City Plaza'!U89</f>
        <v>270287.2758</v>
      </c>
      <c r="J89" s="39">
        <f>'Data Entry Köln City Plaza'!X89</f>
        <v>134135.3689</v>
      </c>
      <c r="K89" s="39">
        <f>'Data Entry Köln City Plaza'!AA89</f>
        <v>303536.37170000002</v>
      </c>
      <c r="L89" s="39">
        <f>'Data Entry Köln City Plaza'!AD89</f>
        <v>455459.18349999998</v>
      </c>
      <c r="M89" s="39">
        <f>'Data Entry Köln City Plaza'!AG89</f>
        <v>566989.51359999995</v>
      </c>
      <c r="N89" s="39">
        <f>'Data Entry Köln City Plaza'!AJ89</f>
        <v>453931.98509999999</v>
      </c>
      <c r="O89" s="39">
        <f>'Data Entry Köln City Plaza'!AM89</f>
        <v>347435.60100000002</v>
      </c>
    </row>
    <row r="90" spans="2:15" x14ac:dyDescent="0.15">
      <c r="B90" s="40"/>
      <c r="C90" s="39">
        <f>'Data Entry Köln City Plaza'!C90</f>
        <v>0</v>
      </c>
      <c r="D90" s="39">
        <f>'Data Entry Köln City Plaza'!F90</f>
        <v>0</v>
      </c>
      <c r="E90" s="39">
        <f>'Data Entry Köln City Plaza'!I90</f>
        <v>0</v>
      </c>
      <c r="F90" s="39">
        <f>'Data Entry Köln City Plaza'!L90</f>
        <v>0</v>
      </c>
      <c r="G90" s="39">
        <f>'Data Entry Köln City Plaza'!O90</f>
        <v>0</v>
      </c>
      <c r="H90" s="39">
        <f>'Data Entry Köln City Plaza'!R90</f>
        <v>0</v>
      </c>
      <c r="I90" s="39">
        <f>'Data Entry Köln City Plaza'!U90</f>
        <v>0</v>
      </c>
      <c r="J90" s="39">
        <f>'Data Entry Köln City Plaza'!X90</f>
        <v>0</v>
      </c>
      <c r="K90" s="39">
        <f>'Data Entry Köln City Plaza'!AA90</f>
        <v>0</v>
      </c>
      <c r="L90" s="39">
        <f>'Data Entry Köln City Plaza'!AD90</f>
        <v>0</v>
      </c>
      <c r="M90" s="39">
        <f>'Data Entry Köln City Plaza'!AG90</f>
        <v>0</v>
      </c>
      <c r="N90" s="39">
        <f>'Data Entry Köln City Plaza'!AJ90</f>
        <v>0</v>
      </c>
      <c r="O90" s="39">
        <f>'Data Entry Köln City Plaza'!AM90</f>
        <v>0</v>
      </c>
    </row>
    <row r="91" spans="2:15" ht="14" x14ac:dyDescent="0.15">
      <c r="B91" s="42" t="s">
        <v>60</v>
      </c>
      <c r="C91" s="39">
        <f>'Data Entry Köln City Plaza'!C91</f>
        <v>0</v>
      </c>
      <c r="D91" s="39">
        <f>'Data Entry Köln City Plaza'!F91</f>
        <v>0</v>
      </c>
      <c r="E91" s="39">
        <f>'Data Entry Köln City Plaza'!I91</f>
        <v>0</v>
      </c>
      <c r="F91" s="39">
        <f>'Data Entry Köln City Plaza'!L91</f>
        <v>0</v>
      </c>
      <c r="G91" s="39">
        <f>'Data Entry Köln City Plaza'!O91</f>
        <v>0</v>
      </c>
      <c r="H91" s="39">
        <f>'Data Entry Köln City Plaza'!R91</f>
        <v>0</v>
      </c>
      <c r="I91" s="39">
        <f>'Data Entry Köln City Plaza'!U91</f>
        <v>0</v>
      </c>
      <c r="J91" s="39">
        <f>'Data Entry Köln City Plaza'!X91</f>
        <v>0</v>
      </c>
      <c r="K91" s="39">
        <f>'Data Entry Köln City Plaza'!AA91</f>
        <v>0</v>
      </c>
      <c r="L91" s="39">
        <f>'Data Entry Köln City Plaza'!AD91</f>
        <v>0</v>
      </c>
      <c r="M91" s="39">
        <f>'Data Entry Köln City Plaza'!AG91</f>
        <v>0</v>
      </c>
      <c r="N91" s="39">
        <f>'Data Entry Köln City Plaza'!AJ91</f>
        <v>0</v>
      </c>
      <c r="O91" s="39">
        <f>'Data Entry Köln City Plaza'!AM91</f>
        <v>0</v>
      </c>
    </row>
    <row r="92" spans="2:15" ht="14" x14ac:dyDescent="0.15">
      <c r="B92" s="38" t="s">
        <v>61</v>
      </c>
      <c r="C92" s="39">
        <f>'Data Entry Köln City Plaza'!C92</f>
        <v>0</v>
      </c>
      <c r="D92" s="39">
        <f>'Data Entry Köln City Plaza'!F92</f>
        <v>0</v>
      </c>
      <c r="E92" s="39">
        <f>'Data Entry Köln City Plaza'!I92</f>
        <v>0</v>
      </c>
      <c r="F92" s="39">
        <f>'Data Entry Köln City Plaza'!L92</f>
        <v>0</v>
      </c>
      <c r="G92" s="39">
        <f>'Data Entry Köln City Plaza'!O92</f>
        <v>0</v>
      </c>
      <c r="H92" s="39">
        <f>'Data Entry Köln City Plaza'!R92</f>
        <v>0</v>
      </c>
      <c r="I92" s="39">
        <f>'Data Entry Köln City Plaza'!U92</f>
        <v>0</v>
      </c>
      <c r="J92" s="39">
        <f>'Data Entry Köln City Plaza'!X92</f>
        <v>0</v>
      </c>
      <c r="K92" s="39">
        <f>'Data Entry Köln City Plaza'!AA92</f>
        <v>0</v>
      </c>
      <c r="L92" s="39">
        <f>'Data Entry Köln City Plaza'!AD92</f>
        <v>0</v>
      </c>
      <c r="M92" s="39">
        <f>'Data Entry Köln City Plaza'!AG92</f>
        <v>0</v>
      </c>
      <c r="N92" s="39">
        <f>'Data Entry Köln City Plaza'!AJ92</f>
        <v>0</v>
      </c>
      <c r="O92" s="39">
        <f>'Data Entry Köln City Plaza'!AM92</f>
        <v>0</v>
      </c>
    </row>
    <row r="93" spans="2:15" ht="14" x14ac:dyDescent="0.15">
      <c r="B93" s="38" t="s">
        <v>62</v>
      </c>
      <c r="C93" s="39">
        <f>'Data Entry Köln City Plaza'!C93</f>
        <v>0</v>
      </c>
      <c r="D93" s="39">
        <f>'Data Entry Köln City Plaza'!F93</f>
        <v>0</v>
      </c>
      <c r="E93" s="39">
        <f>'Data Entry Köln City Plaza'!I93</f>
        <v>0</v>
      </c>
      <c r="F93" s="39">
        <f>'Data Entry Köln City Plaza'!L93</f>
        <v>0</v>
      </c>
      <c r="G93" s="39">
        <f>'Data Entry Köln City Plaza'!O93</f>
        <v>0</v>
      </c>
      <c r="H93" s="39">
        <f>'Data Entry Köln City Plaza'!R93</f>
        <v>0</v>
      </c>
      <c r="I93" s="39">
        <f>'Data Entry Köln City Plaza'!U93</f>
        <v>0</v>
      </c>
      <c r="J93" s="39">
        <f>'Data Entry Köln City Plaza'!X93</f>
        <v>0</v>
      </c>
      <c r="K93" s="39">
        <f>'Data Entry Köln City Plaza'!AA93</f>
        <v>0</v>
      </c>
      <c r="L93" s="39">
        <f>'Data Entry Köln City Plaza'!AD93</f>
        <v>0</v>
      </c>
      <c r="M93" s="39">
        <f>'Data Entry Köln City Plaza'!AG93</f>
        <v>0</v>
      </c>
      <c r="N93" s="39">
        <f>'Data Entry Köln City Plaza'!AJ93</f>
        <v>0</v>
      </c>
      <c r="O93" s="39">
        <f>'Data Entry Köln City Plaza'!AM93</f>
        <v>0</v>
      </c>
    </row>
    <row r="94" spans="2:15" ht="14" x14ac:dyDescent="0.15">
      <c r="B94" s="38" t="s">
        <v>63</v>
      </c>
      <c r="C94" s="39">
        <f>'Data Entry Köln City Plaza'!C94</f>
        <v>0</v>
      </c>
      <c r="D94" s="39">
        <f>'Data Entry Köln City Plaza'!F94</f>
        <v>0</v>
      </c>
      <c r="E94" s="39">
        <f>'Data Entry Köln City Plaza'!I94</f>
        <v>0</v>
      </c>
      <c r="F94" s="39">
        <f>'Data Entry Köln City Plaza'!L94</f>
        <v>0</v>
      </c>
      <c r="G94" s="39">
        <f>'Data Entry Köln City Plaza'!O94</f>
        <v>0</v>
      </c>
      <c r="H94" s="39">
        <f>'Data Entry Köln City Plaza'!R94</f>
        <v>0</v>
      </c>
      <c r="I94" s="39">
        <f>'Data Entry Köln City Plaza'!U94</f>
        <v>0</v>
      </c>
      <c r="J94" s="39">
        <f>'Data Entry Köln City Plaza'!X94</f>
        <v>0</v>
      </c>
      <c r="K94" s="39">
        <f>'Data Entry Köln City Plaza'!AA94</f>
        <v>0</v>
      </c>
      <c r="L94" s="39">
        <f>'Data Entry Köln City Plaza'!AD94</f>
        <v>0</v>
      </c>
      <c r="M94" s="39">
        <f>'Data Entry Köln City Plaza'!AG94</f>
        <v>0</v>
      </c>
      <c r="N94" s="39">
        <f>'Data Entry Köln City Plaza'!AJ94</f>
        <v>0</v>
      </c>
      <c r="O94" s="39">
        <f>'Data Entry Köln City Plaza'!AM94</f>
        <v>0</v>
      </c>
    </row>
    <row r="95" spans="2:15" ht="14" x14ac:dyDescent="0.15">
      <c r="B95" s="38" t="s">
        <v>64</v>
      </c>
      <c r="C95" s="39">
        <f>'Data Entry Köln City Plaza'!C95</f>
        <v>0</v>
      </c>
      <c r="D95" s="39">
        <f>'Data Entry Köln City Plaza'!F95</f>
        <v>0</v>
      </c>
      <c r="E95" s="39">
        <f>'Data Entry Köln City Plaza'!I95</f>
        <v>0</v>
      </c>
      <c r="F95" s="39">
        <f>'Data Entry Köln City Plaza'!L95</f>
        <v>0</v>
      </c>
      <c r="G95" s="39">
        <f>'Data Entry Köln City Plaza'!O95</f>
        <v>0</v>
      </c>
      <c r="H95" s="39">
        <f>'Data Entry Köln City Plaza'!R95</f>
        <v>0</v>
      </c>
      <c r="I95" s="39">
        <f>'Data Entry Köln City Plaza'!U95</f>
        <v>0</v>
      </c>
      <c r="J95" s="39">
        <f>'Data Entry Köln City Plaza'!X95</f>
        <v>0</v>
      </c>
      <c r="K95" s="39">
        <f>'Data Entry Köln City Plaza'!AA95</f>
        <v>0</v>
      </c>
      <c r="L95" s="39">
        <f>'Data Entry Köln City Plaza'!AD95</f>
        <v>0</v>
      </c>
      <c r="M95" s="39">
        <f>'Data Entry Köln City Plaza'!AG95</f>
        <v>0</v>
      </c>
      <c r="N95" s="39">
        <f>'Data Entry Köln City Plaza'!AJ95</f>
        <v>0</v>
      </c>
      <c r="O95" s="39">
        <f>'Data Entry Köln City Plaza'!AM95</f>
        <v>0</v>
      </c>
    </row>
    <row r="96" spans="2:15" x14ac:dyDescent="0.15">
      <c r="B96" s="40"/>
      <c r="C96" s="39">
        <f>'Data Entry Köln City Plaza'!C96</f>
        <v>0</v>
      </c>
      <c r="D96" s="39">
        <f>'Data Entry Köln City Plaza'!F96</f>
        <v>0</v>
      </c>
      <c r="E96" s="39">
        <f>'Data Entry Köln City Plaza'!I96</f>
        <v>0</v>
      </c>
      <c r="F96" s="39">
        <f>'Data Entry Köln City Plaza'!L96</f>
        <v>0</v>
      </c>
      <c r="G96" s="39">
        <f>'Data Entry Köln City Plaza'!O96</f>
        <v>0</v>
      </c>
      <c r="H96" s="39">
        <f>'Data Entry Köln City Plaza'!R96</f>
        <v>0</v>
      </c>
      <c r="I96" s="39">
        <f>'Data Entry Köln City Plaza'!U96</f>
        <v>0</v>
      </c>
      <c r="J96" s="39">
        <f>'Data Entry Köln City Plaza'!X96</f>
        <v>0</v>
      </c>
      <c r="K96" s="39">
        <f>'Data Entry Köln City Plaza'!AA96</f>
        <v>0</v>
      </c>
      <c r="L96" s="39">
        <f>'Data Entry Köln City Plaza'!AD96</f>
        <v>0</v>
      </c>
      <c r="M96" s="39">
        <f>'Data Entry Köln City Plaza'!AG96</f>
        <v>0</v>
      </c>
      <c r="N96" s="39">
        <f>'Data Entry Köln City Plaza'!AJ96</f>
        <v>0</v>
      </c>
      <c r="O96" s="39">
        <f>'Data Entry Köln City Plaza'!AM96</f>
        <v>0</v>
      </c>
    </row>
    <row r="97" spans="2:15" ht="14" x14ac:dyDescent="0.15">
      <c r="B97" s="42" t="s">
        <v>65</v>
      </c>
      <c r="C97" s="39">
        <f>'Data Entry Köln City Plaza'!C97</f>
        <v>51.38</v>
      </c>
      <c r="D97" s="39">
        <f>'Data Entry Köln City Plaza'!F97</f>
        <v>51.38</v>
      </c>
      <c r="E97" s="39">
        <f>'Data Entry Köln City Plaza'!I97</f>
        <v>0</v>
      </c>
      <c r="F97" s="39">
        <f>'Data Entry Köln City Plaza'!L97</f>
        <v>0</v>
      </c>
      <c r="G97" s="39">
        <f>'Data Entry Köln City Plaza'!O97</f>
        <v>0</v>
      </c>
      <c r="H97" s="39">
        <f>'Data Entry Köln City Plaza'!R97</f>
        <v>0</v>
      </c>
      <c r="I97" s="39">
        <f>'Data Entry Köln City Plaza'!U97</f>
        <v>0</v>
      </c>
      <c r="J97" s="39">
        <f>'Data Entry Köln City Plaza'!X97</f>
        <v>0</v>
      </c>
      <c r="K97" s="39">
        <f>'Data Entry Köln City Plaza'!AA97</f>
        <v>0</v>
      </c>
      <c r="L97" s="39">
        <f>'Data Entry Köln City Plaza'!AD97</f>
        <v>0</v>
      </c>
      <c r="M97" s="39">
        <f>'Data Entry Köln City Plaza'!AG97</f>
        <v>0</v>
      </c>
      <c r="N97" s="39">
        <f>'Data Entry Köln City Plaza'!AJ97</f>
        <v>0</v>
      </c>
      <c r="O97" s="39">
        <f>'Data Entry Köln City Plaza'!AM97</f>
        <v>0</v>
      </c>
    </row>
    <row r="98" spans="2:15" ht="14" x14ac:dyDescent="0.15">
      <c r="B98" s="38" t="s">
        <v>66</v>
      </c>
      <c r="C98" s="39">
        <f>'Data Entry Köln City Plaza'!C98</f>
        <v>0</v>
      </c>
      <c r="D98" s="39">
        <f>'Data Entry Köln City Plaza'!F98</f>
        <v>0</v>
      </c>
      <c r="E98" s="39">
        <f>'Data Entry Köln City Plaza'!I98</f>
        <v>0</v>
      </c>
      <c r="F98" s="39">
        <f>'Data Entry Köln City Plaza'!L98</f>
        <v>0</v>
      </c>
      <c r="G98" s="39">
        <f>'Data Entry Köln City Plaza'!O98</f>
        <v>0</v>
      </c>
      <c r="H98" s="39">
        <f>'Data Entry Köln City Plaza'!R98</f>
        <v>0</v>
      </c>
      <c r="I98" s="39">
        <f>'Data Entry Köln City Plaza'!U98</f>
        <v>0</v>
      </c>
      <c r="J98" s="39">
        <f>'Data Entry Köln City Plaza'!X98</f>
        <v>0</v>
      </c>
      <c r="K98" s="39">
        <f>'Data Entry Köln City Plaza'!AA98</f>
        <v>0</v>
      </c>
      <c r="L98" s="39">
        <f>'Data Entry Köln City Plaza'!AD98</f>
        <v>0</v>
      </c>
      <c r="M98" s="39">
        <f>'Data Entry Köln City Plaza'!AG98</f>
        <v>0</v>
      </c>
      <c r="N98" s="39">
        <f>'Data Entry Köln City Plaza'!AJ98</f>
        <v>0</v>
      </c>
      <c r="O98" s="39">
        <f>'Data Entry Köln City Plaza'!AM98</f>
        <v>0</v>
      </c>
    </row>
    <row r="99" spans="2:15" ht="14" x14ac:dyDescent="0.15">
      <c r="B99" s="38" t="s">
        <v>67</v>
      </c>
      <c r="C99" s="39">
        <f>'Data Entry Köln City Plaza'!C99</f>
        <v>51.38</v>
      </c>
      <c r="D99" s="39">
        <f>'Data Entry Köln City Plaza'!F99</f>
        <v>51.38</v>
      </c>
      <c r="E99" s="39">
        <f>'Data Entry Köln City Plaza'!I99</f>
        <v>0</v>
      </c>
      <c r="F99" s="39">
        <f>'Data Entry Köln City Plaza'!L99</f>
        <v>0</v>
      </c>
      <c r="G99" s="39">
        <f>'Data Entry Köln City Plaza'!O99</f>
        <v>0</v>
      </c>
      <c r="H99" s="39">
        <f>'Data Entry Köln City Plaza'!R99</f>
        <v>0</v>
      </c>
      <c r="I99" s="39">
        <f>'Data Entry Köln City Plaza'!U99</f>
        <v>0</v>
      </c>
      <c r="J99" s="39">
        <f>'Data Entry Köln City Plaza'!X99</f>
        <v>0</v>
      </c>
      <c r="K99" s="39">
        <f>'Data Entry Köln City Plaza'!AA99</f>
        <v>0</v>
      </c>
      <c r="L99" s="39">
        <f>'Data Entry Köln City Plaza'!AD99</f>
        <v>0</v>
      </c>
      <c r="M99" s="39">
        <f>'Data Entry Köln City Plaza'!AG99</f>
        <v>0</v>
      </c>
      <c r="N99" s="39">
        <f>'Data Entry Köln City Plaza'!AJ99</f>
        <v>0</v>
      </c>
      <c r="O99" s="39">
        <f>'Data Entry Köln City Plaza'!AM99</f>
        <v>0</v>
      </c>
    </row>
    <row r="100" spans="2:15" x14ac:dyDescent="0.15">
      <c r="B100" s="40"/>
      <c r="C100" s="39">
        <f>'Data Entry Köln City Plaza'!C100</f>
        <v>0</v>
      </c>
      <c r="D100" s="39">
        <f>'Data Entry Köln City Plaza'!F100</f>
        <v>0</v>
      </c>
      <c r="E100" s="39">
        <f>'Data Entry Köln City Plaza'!I100</f>
        <v>0</v>
      </c>
      <c r="F100" s="39">
        <f>'Data Entry Köln City Plaza'!L100</f>
        <v>0</v>
      </c>
      <c r="G100" s="39">
        <f>'Data Entry Köln City Plaza'!O100</f>
        <v>0</v>
      </c>
      <c r="H100" s="39">
        <f>'Data Entry Köln City Plaza'!R100</f>
        <v>0</v>
      </c>
      <c r="I100" s="39">
        <f>'Data Entry Köln City Plaza'!U100</f>
        <v>0</v>
      </c>
      <c r="J100" s="39">
        <f>'Data Entry Köln City Plaza'!X100</f>
        <v>0</v>
      </c>
      <c r="K100" s="39">
        <f>'Data Entry Köln City Plaza'!AA100</f>
        <v>0</v>
      </c>
      <c r="L100" s="39">
        <f>'Data Entry Köln City Plaza'!AD100</f>
        <v>0</v>
      </c>
      <c r="M100" s="39">
        <f>'Data Entry Köln City Plaza'!AG100</f>
        <v>0</v>
      </c>
      <c r="N100" s="39">
        <f>'Data Entry Köln City Plaza'!AJ100</f>
        <v>0</v>
      </c>
      <c r="O100" s="39">
        <f>'Data Entry Köln City Plaza'!AM100</f>
        <v>0</v>
      </c>
    </row>
    <row r="101" spans="2:15" ht="28" x14ac:dyDescent="0.15">
      <c r="B101" s="42" t="s">
        <v>68</v>
      </c>
      <c r="C101" s="39">
        <f>'Data Entry Köln City Plaza'!C101</f>
        <v>-51.38</v>
      </c>
      <c r="D101" s="39">
        <f>'Data Entry Köln City Plaza'!F101</f>
        <v>-51.38</v>
      </c>
      <c r="E101" s="39">
        <f>'Data Entry Köln City Plaza'!I101</f>
        <v>0</v>
      </c>
      <c r="F101" s="39">
        <f>'Data Entry Köln City Plaza'!L101</f>
        <v>0</v>
      </c>
      <c r="G101" s="39">
        <f>'Data Entry Köln City Plaza'!O101</f>
        <v>0</v>
      </c>
      <c r="H101" s="39">
        <f>'Data Entry Köln City Plaza'!R101</f>
        <v>0</v>
      </c>
      <c r="I101" s="39">
        <f>'Data Entry Köln City Plaza'!U101</f>
        <v>0</v>
      </c>
      <c r="J101" s="39">
        <f>'Data Entry Köln City Plaza'!X101</f>
        <v>0</v>
      </c>
      <c r="K101" s="39">
        <f>'Data Entry Köln City Plaza'!AA101</f>
        <v>0</v>
      </c>
      <c r="L101" s="39">
        <f>'Data Entry Köln City Plaza'!AD101</f>
        <v>0</v>
      </c>
      <c r="M101" s="39">
        <f>'Data Entry Köln City Plaza'!AG101</f>
        <v>0</v>
      </c>
      <c r="N101" s="39">
        <f>'Data Entry Köln City Plaza'!AJ101</f>
        <v>0</v>
      </c>
      <c r="O101" s="39">
        <f>'Data Entry Köln City Plaza'!AM101</f>
        <v>0</v>
      </c>
    </row>
    <row r="102" spans="2:15" x14ac:dyDescent="0.15">
      <c r="B102" s="40"/>
      <c r="C102" s="39">
        <f>'Data Entry Köln City Plaza'!C102</f>
        <v>0</v>
      </c>
      <c r="D102" s="39">
        <f>'Data Entry Köln City Plaza'!F102</f>
        <v>0</v>
      </c>
      <c r="E102" s="39">
        <f>'Data Entry Köln City Plaza'!I102</f>
        <v>0</v>
      </c>
      <c r="F102" s="39">
        <f>'Data Entry Köln City Plaza'!L102</f>
        <v>0</v>
      </c>
      <c r="G102" s="39">
        <f>'Data Entry Köln City Plaza'!O102</f>
        <v>0</v>
      </c>
      <c r="H102" s="39">
        <f>'Data Entry Köln City Plaza'!R102</f>
        <v>0</v>
      </c>
      <c r="I102" s="39">
        <f>'Data Entry Köln City Plaza'!U102</f>
        <v>0</v>
      </c>
      <c r="J102" s="39">
        <f>'Data Entry Köln City Plaza'!X102</f>
        <v>0</v>
      </c>
      <c r="K102" s="39">
        <f>'Data Entry Köln City Plaza'!AA102</f>
        <v>0</v>
      </c>
      <c r="L102" s="39">
        <f>'Data Entry Köln City Plaza'!AD102</f>
        <v>0</v>
      </c>
      <c r="M102" s="39">
        <f>'Data Entry Köln City Plaza'!AG102</f>
        <v>0</v>
      </c>
      <c r="N102" s="39">
        <f>'Data Entry Köln City Plaza'!AJ102</f>
        <v>0</v>
      </c>
      <c r="O102" s="39">
        <f>'Data Entry Köln City Plaza'!AM102</f>
        <v>0</v>
      </c>
    </row>
    <row r="103" spans="2:15" ht="14" x14ac:dyDescent="0.15">
      <c r="B103" s="42" t="s">
        <v>69</v>
      </c>
      <c r="C103" s="39">
        <f>'Data Entry Köln City Plaza'!C103</f>
        <v>3902470.6200999999</v>
      </c>
      <c r="D103" s="39">
        <f>'Data Entry Köln City Plaza'!F103</f>
        <v>50930.39</v>
      </c>
      <c r="E103" s="39">
        <f>'Data Entry Köln City Plaza'!I103</f>
        <v>129803.53</v>
      </c>
      <c r="F103" s="39">
        <f>'Data Entry Köln City Plaza'!L103</f>
        <v>536569.75</v>
      </c>
      <c r="G103" s="39">
        <f>'Data Entry Köln City Plaza'!O103</f>
        <v>311949.86</v>
      </c>
      <c r="H103" s="39">
        <f>'Data Entry Köln City Plaza'!R103</f>
        <v>341441.7905</v>
      </c>
      <c r="I103" s="39">
        <f>'Data Entry Köln City Plaza'!U103</f>
        <v>270287.2758</v>
      </c>
      <c r="J103" s="39">
        <f>'Data Entry Köln City Plaza'!X103</f>
        <v>134135.3689</v>
      </c>
      <c r="K103" s="39">
        <f>'Data Entry Köln City Plaza'!AA103</f>
        <v>303536.37170000002</v>
      </c>
      <c r="L103" s="39">
        <f>'Data Entry Köln City Plaza'!AD103</f>
        <v>455459.18349999998</v>
      </c>
      <c r="M103" s="39">
        <f>'Data Entry Köln City Plaza'!AG103</f>
        <v>566989.51359999995</v>
      </c>
      <c r="N103" s="39">
        <f>'Data Entry Köln City Plaza'!AJ103</f>
        <v>453931.98509999999</v>
      </c>
      <c r="O103" s="39">
        <f>'Data Entry Köln City Plaza'!AM103</f>
        <v>347435.60100000002</v>
      </c>
    </row>
    <row r="104" spans="2:15" x14ac:dyDescent="0.15">
      <c r="B104" s="40"/>
      <c r="C104" s="39">
        <f>'Data Entry Köln City Plaza'!C104</f>
        <v>0</v>
      </c>
      <c r="D104" s="39">
        <f>'Data Entry Köln City Plaza'!F104</f>
        <v>0</v>
      </c>
      <c r="E104" s="39">
        <f>'Data Entry Köln City Plaza'!I104</f>
        <v>0</v>
      </c>
      <c r="F104" s="39">
        <f>'Data Entry Köln City Plaza'!L104</f>
        <v>0</v>
      </c>
      <c r="G104" s="39">
        <f>'Data Entry Köln City Plaza'!O104</f>
        <v>0</v>
      </c>
      <c r="H104" s="39">
        <f>'Data Entry Köln City Plaza'!R104</f>
        <v>0</v>
      </c>
      <c r="I104" s="39">
        <f>'Data Entry Köln City Plaza'!U104</f>
        <v>0</v>
      </c>
      <c r="J104" s="39">
        <f>'Data Entry Köln City Plaza'!X104</f>
        <v>0</v>
      </c>
      <c r="K104" s="39">
        <f>'Data Entry Köln City Plaza'!AA104</f>
        <v>0</v>
      </c>
      <c r="L104" s="39">
        <f>'Data Entry Köln City Plaza'!AD104</f>
        <v>0</v>
      </c>
      <c r="M104" s="39">
        <f>'Data Entry Köln City Plaza'!AG104</f>
        <v>0</v>
      </c>
      <c r="N104" s="39">
        <f>'Data Entry Köln City Plaza'!AJ104</f>
        <v>0</v>
      </c>
      <c r="O104" s="39">
        <f>'Data Entry Köln City Plaza'!AM104</f>
        <v>0</v>
      </c>
    </row>
    <row r="105" spans="2:15" ht="14" x14ac:dyDescent="0.15">
      <c r="B105" s="42" t="s">
        <v>70</v>
      </c>
      <c r="C105" s="39">
        <f>'Data Entry Köln City Plaza'!C105</f>
        <v>145613.92000000001</v>
      </c>
      <c r="D105" s="39">
        <f>'Data Entry Köln City Plaza'!F105</f>
        <v>2095.58</v>
      </c>
      <c r="E105" s="39">
        <f>'Data Entry Köln City Plaza'!I105</f>
        <v>2095.58</v>
      </c>
      <c r="F105" s="39">
        <f>'Data Entry Köln City Plaza'!L105</f>
        <v>14357.58</v>
      </c>
      <c r="G105" s="39">
        <f>'Data Entry Köln City Plaza'!O105</f>
        <v>14357.58</v>
      </c>
      <c r="H105" s="39">
        <f>'Data Entry Köln City Plaza'!R105</f>
        <v>14357.58</v>
      </c>
      <c r="I105" s="39">
        <f>'Data Entry Köln City Plaza'!U105</f>
        <v>14357.58</v>
      </c>
      <c r="J105" s="39">
        <f>'Data Entry Köln City Plaza'!X105</f>
        <v>13998.74</v>
      </c>
      <c r="K105" s="39">
        <f>'Data Entry Köln City Plaza'!AA105</f>
        <v>13998.74</v>
      </c>
      <c r="L105" s="39">
        <f>'Data Entry Köln City Plaza'!AD105</f>
        <v>13998.74</v>
      </c>
      <c r="M105" s="39">
        <f>'Data Entry Köln City Plaza'!AG105</f>
        <v>13998.74</v>
      </c>
      <c r="N105" s="39">
        <f>'Data Entry Köln City Plaza'!AJ105</f>
        <v>13998.74</v>
      </c>
      <c r="O105" s="39">
        <f>'Data Entry Köln City Plaza'!AM105</f>
        <v>13998.74</v>
      </c>
    </row>
    <row r="106" spans="2:15" ht="14" x14ac:dyDescent="0.15">
      <c r="B106" s="38" t="s">
        <v>71</v>
      </c>
      <c r="C106" s="39">
        <f>'Data Entry Köln City Plaza'!C106</f>
        <v>49120</v>
      </c>
      <c r="D106" s="39">
        <f>'Data Entry Köln City Plaza'!F106</f>
        <v>0</v>
      </c>
      <c r="E106" s="39">
        <f>'Data Entry Köln City Plaza'!I106</f>
        <v>0</v>
      </c>
      <c r="F106" s="39">
        <f>'Data Entry Köln City Plaza'!L106</f>
        <v>4912</v>
      </c>
      <c r="G106" s="39">
        <f>'Data Entry Köln City Plaza'!O106</f>
        <v>4912</v>
      </c>
      <c r="H106" s="39">
        <f>'Data Entry Köln City Plaza'!R106</f>
        <v>4912</v>
      </c>
      <c r="I106" s="39">
        <f>'Data Entry Köln City Plaza'!U106</f>
        <v>4912</v>
      </c>
      <c r="J106" s="39">
        <f>'Data Entry Köln City Plaza'!X106</f>
        <v>4912</v>
      </c>
      <c r="K106" s="39">
        <f>'Data Entry Köln City Plaza'!AA106</f>
        <v>4912</v>
      </c>
      <c r="L106" s="39">
        <f>'Data Entry Köln City Plaza'!AD106</f>
        <v>4912</v>
      </c>
      <c r="M106" s="39">
        <f>'Data Entry Köln City Plaza'!AG106</f>
        <v>4912</v>
      </c>
      <c r="N106" s="39">
        <f>'Data Entry Köln City Plaza'!AJ106</f>
        <v>4912</v>
      </c>
      <c r="O106" s="39">
        <f>'Data Entry Köln City Plaza'!AM106</f>
        <v>4912</v>
      </c>
    </row>
    <row r="107" spans="2:15" ht="14" x14ac:dyDescent="0.15">
      <c r="B107" s="38" t="s">
        <v>72</v>
      </c>
      <c r="C107" s="39">
        <f>'Data Entry Köln City Plaza'!C107</f>
        <v>0</v>
      </c>
      <c r="D107" s="39">
        <f>'Data Entry Köln City Plaza'!F107</f>
        <v>0</v>
      </c>
      <c r="E107" s="39">
        <f>'Data Entry Köln City Plaza'!I107</f>
        <v>0</v>
      </c>
      <c r="F107" s="39">
        <f>'Data Entry Köln City Plaza'!L107</f>
        <v>0</v>
      </c>
      <c r="G107" s="39">
        <f>'Data Entry Köln City Plaza'!O107</f>
        <v>0</v>
      </c>
      <c r="H107" s="39">
        <f>'Data Entry Köln City Plaza'!R107</f>
        <v>0</v>
      </c>
      <c r="I107" s="39">
        <f>'Data Entry Köln City Plaza'!U107</f>
        <v>0</v>
      </c>
      <c r="J107" s="39">
        <f>'Data Entry Köln City Plaza'!X107</f>
        <v>0</v>
      </c>
      <c r="K107" s="39">
        <f>'Data Entry Köln City Plaza'!AA107</f>
        <v>0</v>
      </c>
      <c r="L107" s="39">
        <f>'Data Entry Köln City Plaza'!AD107</f>
        <v>0</v>
      </c>
      <c r="M107" s="39">
        <f>'Data Entry Köln City Plaza'!AG107</f>
        <v>0</v>
      </c>
      <c r="N107" s="39">
        <f>'Data Entry Köln City Plaza'!AJ107</f>
        <v>0</v>
      </c>
      <c r="O107" s="39">
        <f>'Data Entry Köln City Plaza'!AM107</f>
        <v>0</v>
      </c>
    </row>
    <row r="108" spans="2:15" ht="14" x14ac:dyDescent="0.15">
      <c r="B108" s="38" t="s">
        <v>73</v>
      </c>
      <c r="C108" s="39">
        <f>'Data Entry Köln City Plaza'!C108</f>
        <v>20000</v>
      </c>
      <c r="D108" s="39">
        <f>'Data Entry Köln City Plaza'!F108</f>
        <v>0</v>
      </c>
      <c r="E108" s="39">
        <f>'Data Entry Köln City Plaza'!I108</f>
        <v>0</v>
      </c>
      <c r="F108" s="39">
        <f>'Data Entry Köln City Plaza'!L108</f>
        <v>2000</v>
      </c>
      <c r="G108" s="39">
        <f>'Data Entry Köln City Plaza'!O108</f>
        <v>2000</v>
      </c>
      <c r="H108" s="39">
        <f>'Data Entry Köln City Plaza'!R108</f>
        <v>2000</v>
      </c>
      <c r="I108" s="39">
        <f>'Data Entry Köln City Plaza'!U108</f>
        <v>2000</v>
      </c>
      <c r="J108" s="39">
        <f>'Data Entry Köln City Plaza'!X108</f>
        <v>2000</v>
      </c>
      <c r="K108" s="39">
        <f>'Data Entry Köln City Plaza'!AA108</f>
        <v>2000</v>
      </c>
      <c r="L108" s="39">
        <f>'Data Entry Köln City Plaza'!AD108</f>
        <v>2000</v>
      </c>
      <c r="M108" s="39">
        <f>'Data Entry Köln City Plaza'!AG108</f>
        <v>2000</v>
      </c>
      <c r="N108" s="39">
        <f>'Data Entry Köln City Plaza'!AJ108</f>
        <v>2000</v>
      </c>
      <c r="O108" s="39">
        <f>'Data Entry Köln City Plaza'!AM108</f>
        <v>2000</v>
      </c>
    </row>
    <row r="109" spans="2:15" ht="14" x14ac:dyDescent="0.15">
      <c r="B109" s="38" t="s">
        <v>74</v>
      </c>
      <c r="C109" s="39">
        <f>'Data Entry Köln City Plaza'!C109</f>
        <v>22993.919999999998</v>
      </c>
      <c r="D109" s="39">
        <f>'Data Entry Köln City Plaza'!F109</f>
        <v>2095.58</v>
      </c>
      <c r="E109" s="39">
        <f>'Data Entry Köln City Plaza'!I109</f>
        <v>2095.58</v>
      </c>
      <c r="F109" s="39">
        <f>'Data Entry Köln City Plaza'!L109</f>
        <v>2095.58</v>
      </c>
      <c r="G109" s="39">
        <f>'Data Entry Köln City Plaza'!O109</f>
        <v>2095.58</v>
      </c>
      <c r="H109" s="39">
        <f>'Data Entry Köln City Plaza'!R109</f>
        <v>2095.58</v>
      </c>
      <c r="I109" s="39">
        <f>'Data Entry Köln City Plaza'!U109</f>
        <v>2095.58</v>
      </c>
      <c r="J109" s="39">
        <f>'Data Entry Köln City Plaza'!X109</f>
        <v>1736.74</v>
      </c>
      <c r="K109" s="39">
        <f>'Data Entry Köln City Plaza'!AA109</f>
        <v>1736.74</v>
      </c>
      <c r="L109" s="39">
        <f>'Data Entry Köln City Plaza'!AD109</f>
        <v>1736.74</v>
      </c>
      <c r="M109" s="39">
        <f>'Data Entry Köln City Plaza'!AG109</f>
        <v>1736.74</v>
      </c>
      <c r="N109" s="39">
        <f>'Data Entry Köln City Plaza'!AJ109</f>
        <v>1736.74</v>
      </c>
      <c r="O109" s="39">
        <f>'Data Entry Köln City Plaza'!AM109</f>
        <v>1736.74</v>
      </c>
    </row>
    <row r="110" spans="2:15" ht="14" x14ac:dyDescent="0.15">
      <c r="B110" s="38" t="s">
        <v>75</v>
      </c>
      <c r="C110" s="39">
        <f>'Data Entry Köln City Plaza'!C110</f>
        <v>53500</v>
      </c>
      <c r="D110" s="39">
        <f>'Data Entry Köln City Plaza'!F110</f>
        <v>0</v>
      </c>
      <c r="E110" s="39">
        <f>'Data Entry Köln City Plaza'!I110</f>
        <v>0</v>
      </c>
      <c r="F110" s="39">
        <f>'Data Entry Köln City Plaza'!L110</f>
        <v>5350</v>
      </c>
      <c r="G110" s="39">
        <f>'Data Entry Köln City Plaza'!O110</f>
        <v>5350</v>
      </c>
      <c r="H110" s="39">
        <f>'Data Entry Köln City Plaza'!R110</f>
        <v>5350</v>
      </c>
      <c r="I110" s="39">
        <f>'Data Entry Köln City Plaza'!U110</f>
        <v>5350</v>
      </c>
      <c r="J110" s="39">
        <f>'Data Entry Köln City Plaza'!X110</f>
        <v>5350</v>
      </c>
      <c r="K110" s="39">
        <f>'Data Entry Köln City Plaza'!AA110</f>
        <v>5350</v>
      </c>
      <c r="L110" s="39">
        <f>'Data Entry Köln City Plaza'!AD110</f>
        <v>5350</v>
      </c>
      <c r="M110" s="39">
        <f>'Data Entry Köln City Plaza'!AG110</f>
        <v>5350</v>
      </c>
      <c r="N110" s="39">
        <f>'Data Entry Köln City Plaza'!AJ110</f>
        <v>5350</v>
      </c>
      <c r="O110" s="39">
        <f>'Data Entry Köln City Plaza'!AM110</f>
        <v>5350</v>
      </c>
    </row>
    <row r="111" spans="2:15" ht="14" x14ac:dyDescent="0.15">
      <c r="B111" s="38" t="s">
        <v>76</v>
      </c>
      <c r="C111" s="39">
        <f>'Data Entry Köln City Plaza'!C111</f>
        <v>0</v>
      </c>
      <c r="D111" s="39">
        <f>'Data Entry Köln City Plaza'!F111</f>
        <v>0</v>
      </c>
      <c r="E111" s="39">
        <f>'Data Entry Köln City Plaza'!I111</f>
        <v>0</v>
      </c>
      <c r="F111" s="39">
        <f>'Data Entry Köln City Plaza'!L111</f>
        <v>0</v>
      </c>
      <c r="G111" s="39">
        <f>'Data Entry Köln City Plaza'!O111</f>
        <v>0</v>
      </c>
      <c r="H111" s="39">
        <f>'Data Entry Köln City Plaza'!R111</f>
        <v>0</v>
      </c>
      <c r="I111" s="39">
        <f>'Data Entry Köln City Plaza'!U111</f>
        <v>0</v>
      </c>
      <c r="J111" s="39">
        <f>'Data Entry Köln City Plaza'!X111</f>
        <v>0</v>
      </c>
      <c r="K111" s="39">
        <f>'Data Entry Köln City Plaza'!AA111</f>
        <v>0</v>
      </c>
      <c r="L111" s="39">
        <f>'Data Entry Köln City Plaza'!AD111</f>
        <v>0</v>
      </c>
      <c r="M111" s="39">
        <f>'Data Entry Köln City Plaza'!AG111</f>
        <v>0</v>
      </c>
      <c r="N111" s="39">
        <f>'Data Entry Köln City Plaza'!AJ111</f>
        <v>0</v>
      </c>
      <c r="O111" s="39">
        <f>'Data Entry Köln City Plaza'!AM111</f>
        <v>0</v>
      </c>
    </row>
    <row r="112" spans="2:15" ht="14" x14ac:dyDescent="0.15">
      <c r="B112" s="38" t="s">
        <v>77</v>
      </c>
      <c r="C112" s="39">
        <f>'Data Entry Köln City Plaza'!C112</f>
        <v>0</v>
      </c>
      <c r="D112" s="39">
        <f>'Data Entry Köln City Plaza'!F112</f>
        <v>0</v>
      </c>
      <c r="E112" s="39">
        <f>'Data Entry Köln City Plaza'!I112</f>
        <v>0</v>
      </c>
      <c r="F112" s="39">
        <f>'Data Entry Köln City Plaza'!L112</f>
        <v>0</v>
      </c>
      <c r="G112" s="39">
        <f>'Data Entry Köln City Plaza'!O112</f>
        <v>0</v>
      </c>
      <c r="H112" s="39">
        <f>'Data Entry Köln City Plaza'!R112</f>
        <v>0</v>
      </c>
      <c r="I112" s="39">
        <f>'Data Entry Köln City Plaza'!U112</f>
        <v>0</v>
      </c>
      <c r="J112" s="39">
        <f>'Data Entry Köln City Plaza'!X112</f>
        <v>0</v>
      </c>
      <c r="K112" s="39">
        <f>'Data Entry Köln City Plaza'!AA112</f>
        <v>0</v>
      </c>
      <c r="L112" s="39">
        <f>'Data Entry Köln City Plaza'!AD112</f>
        <v>0</v>
      </c>
      <c r="M112" s="39">
        <f>'Data Entry Köln City Plaza'!AG112</f>
        <v>0</v>
      </c>
      <c r="N112" s="39">
        <f>'Data Entry Köln City Plaza'!AJ112</f>
        <v>0</v>
      </c>
      <c r="O112" s="39">
        <f>'Data Entry Köln City Plaza'!AM112</f>
        <v>0</v>
      </c>
    </row>
    <row r="113" spans="2:15" ht="14" x14ac:dyDescent="0.15">
      <c r="B113" s="38" t="s">
        <v>78</v>
      </c>
      <c r="C113" s="39">
        <f>'Data Entry Köln City Plaza'!C113</f>
        <v>0</v>
      </c>
      <c r="D113" s="39">
        <f>'Data Entry Köln City Plaza'!F113</f>
        <v>0</v>
      </c>
      <c r="E113" s="39">
        <f>'Data Entry Köln City Plaza'!I113</f>
        <v>0</v>
      </c>
      <c r="F113" s="39">
        <f>'Data Entry Köln City Plaza'!L113</f>
        <v>0</v>
      </c>
      <c r="G113" s="39">
        <f>'Data Entry Köln City Plaza'!O113</f>
        <v>0</v>
      </c>
      <c r="H113" s="39">
        <f>'Data Entry Köln City Plaza'!R113</f>
        <v>0</v>
      </c>
      <c r="I113" s="39">
        <f>'Data Entry Köln City Plaza'!U113</f>
        <v>0</v>
      </c>
      <c r="J113" s="39">
        <f>'Data Entry Köln City Plaza'!X113</f>
        <v>0</v>
      </c>
      <c r="K113" s="39">
        <f>'Data Entry Köln City Plaza'!AA113</f>
        <v>0</v>
      </c>
      <c r="L113" s="39">
        <f>'Data Entry Köln City Plaza'!AD113</f>
        <v>0</v>
      </c>
      <c r="M113" s="39">
        <f>'Data Entry Köln City Plaza'!AG113</f>
        <v>0</v>
      </c>
      <c r="N113" s="39">
        <f>'Data Entry Köln City Plaza'!AJ113</f>
        <v>0</v>
      </c>
      <c r="O113" s="39">
        <f>'Data Entry Köln City Plaza'!AM113</f>
        <v>0</v>
      </c>
    </row>
    <row r="114" spans="2:15" ht="14" x14ac:dyDescent="0.15">
      <c r="B114" s="38" t="s">
        <v>79</v>
      </c>
      <c r="C114" s="39">
        <f>'Data Entry Köln City Plaza'!C114</f>
        <v>0</v>
      </c>
      <c r="D114" s="39">
        <f>'Data Entry Köln City Plaza'!F114</f>
        <v>0</v>
      </c>
      <c r="E114" s="39">
        <f>'Data Entry Köln City Plaza'!I114</f>
        <v>0</v>
      </c>
      <c r="F114" s="39">
        <f>'Data Entry Köln City Plaza'!L114</f>
        <v>0</v>
      </c>
      <c r="G114" s="39">
        <f>'Data Entry Köln City Plaza'!O114</f>
        <v>0</v>
      </c>
      <c r="H114" s="39">
        <f>'Data Entry Köln City Plaza'!R114</f>
        <v>0</v>
      </c>
      <c r="I114" s="39">
        <f>'Data Entry Köln City Plaza'!U114</f>
        <v>0</v>
      </c>
      <c r="J114" s="39">
        <f>'Data Entry Köln City Plaza'!X114</f>
        <v>0</v>
      </c>
      <c r="K114" s="39">
        <f>'Data Entry Köln City Plaza'!AA114</f>
        <v>0</v>
      </c>
      <c r="L114" s="39">
        <f>'Data Entry Köln City Plaza'!AD114</f>
        <v>0</v>
      </c>
      <c r="M114" s="39">
        <f>'Data Entry Köln City Plaza'!AG114</f>
        <v>0</v>
      </c>
      <c r="N114" s="39">
        <f>'Data Entry Köln City Plaza'!AJ114</f>
        <v>0</v>
      </c>
      <c r="O114" s="39">
        <f>'Data Entry Köln City Plaza'!AM114</f>
        <v>0</v>
      </c>
    </row>
    <row r="115" spans="2:15" ht="14" x14ac:dyDescent="0.15">
      <c r="B115" s="38" t="s">
        <v>80</v>
      </c>
      <c r="C115" s="39">
        <f>'Data Entry Köln City Plaza'!C115</f>
        <v>0</v>
      </c>
      <c r="D115" s="39">
        <f>'Data Entry Köln City Plaza'!F115</f>
        <v>0</v>
      </c>
      <c r="E115" s="39">
        <f>'Data Entry Köln City Plaza'!I115</f>
        <v>0</v>
      </c>
      <c r="F115" s="39">
        <f>'Data Entry Köln City Plaza'!L115</f>
        <v>0</v>
      </c>
      <c r="G115" s="39">
        <f>'Data Entry Köln City Plaza'!O115</f>
        <v>0</v>
      </c>
      <c r="H115" s="39">
        <f>'Data Entry Köln City Plaza'!R115</f>
        <v>0</v>
      </c>
      <c r="I115" s="39">
        <f>'Data Entry Köln City Plaza'!U115</f>
        <v>0</v>
      </c>
      <c r="J115" s="39">
        <f>'Data Entry Köln City Plaza'!X115</f>
        <v>0</v>
      </c>
      <c r="K115" s="39">
        <f>'Data Entry Köln City Plaza'!AA115</f>
        <v>0</v>
      </c>
      <c r="L115" s="39">
        <f>'Data Entry Köln City Plaza'!AD115</f>
        <v>0</v>
      </c>
      <c r="M115" s="39">
        <f>'Data Entry Köln City Plaza'!AG115</f>
        <v>0</v>
      </c>
      <c r="N115" s="39">
        <f>'Data Entry Köln City Plaza'!AJ115</f>
        <v>0</v>
      </c>
      <c r="O115" s="39">
        <f>'Data Entry Köln City Plaza'!AM115</f>
        <v>0</v>
      </c>
    </row>
    <row r="116" spans="2:15" x14ac:dyDescent="0.15">
      <c r="B116" s="40"/>
      <c r="C116" s="39">
        <f>'Data Entry Köln City Plaza'!C116</f>
        <v>0</v>
      </c>
      <c r="D116" s="39">
        <f>'Data Entry Köln City Plaza'!F116</f>
        <v>0</v>
      </c>
      <c r="E116" s="39">
        <f>'Data Entry Köln City Plaza'!I116</f>
        <v>0</v>
      </c>
      <c r="F116" s="39">
        <f>'Data Entry Köln City Plaza'!L116</f>
        <v>0</v>
      </c>
      <c r="G116" s="39">
        <f>'Data Entry Köln City Plaza'!O116</f>
        <v>0</v>
      </c>
      <c r="H116" s="39">
        <f>'Data Entry Köln City Plaza'!R116</f>
        <v>0</v>
      </c>
      <c r="I116" s="39">
        <f>'Data Entry Köln City Plaza'!U116</f>
        <v>0</v>
      </c>
      <c r="J116" s="39">
        <f>'Data Entry Köln City Plaza'!X116</f>
        <v>0</v>
      </c>
      <c r="K116" s="39">
        <f>'Data Entry Köln City Plaza'!AA116</f>
        <v>0</v>
      </c>
      <c r="L116" s="39">
        <f>'Data Entry Köln City Plaza'!AD116</f>
        <v>0</v>
      </c>
      <c r="M116" s="39">
        <f>'Data Entry Köln City Plaza'!AG116</f>
        <v>0</v>
      </c>
      <c r="N116" s="39">
        <f>'Data Entry Köln City Plaza'!AJ116</f>
        <v>0</v>
      </c>
      <c r="O116" s="39">
        <f>'Data Entry Köln City Plaza'!AM116</f>
        <v>0</v>
      </c>
    </row>
    <row r="117" spans="2:15" ht="14" x14ac:dyDescent="0.15">
      <c r="B117" s="42" t="s">
        <v>81</v>
      </c>
      <c r="C117" s="39">
        <f>'Data Entry Köln City Plaza'!C117</f>
        <v>0</v>
      </c>
      <c r="D117" s="39">
        <f>'Data Entry Köln City Plaza'!F117</f>
        <v>0</v>
      </c>
      <c r="E117" s="39">
        <f>'Data Entry Köln City Plaza'!I117</f>
        <v>0</v>
      </c>
      <c r="F117" s="39">
        <f>'Data Entry Köln City Plaza'!L117</f>
        <v>0</v>
      </c>
      <c r="G117" s="39">
        <f>'Data Entry Köln City Plaza'!O117</f>
        <v>0</v>
      </c>
      <c r="H117" s="39">
        <f>'Data Entry Köln City Plaza'!R117</f>
        <v>0</v>
      </c>
      <c r="I117" s="39">
        <f>'Data Entry Köln City Plaza'!U117</f>
        <v>0</v>
      </c>
      <c r="J117" s="39">
        <f>'Data Entry Köln City Plaza'!X117</f>
        <v>0</v>
      </c>
      <c r="K117" s="39">
        <f>'Data Entry Köln City Plaza'!AA117</f>
        <v>0</v>
      </c>
      <c r="L117" s="39">
        <f>'Data Entry Köln City Plaza'!AD117</f>
        <v>0</v>
      </c>
      <c r="M117" s="39">
        <f>'Data Entry Köln City Plaza'!AG117</f>
        <v>0</v>
      </c>
      <c r="N117" s="39">
        <f>'Data Entry Köln City Plaza'!AJ117</f>
        <v>0</v>
      </c>
      <c r="O117" s="39">
        <f>'Data Entry Köln City Plaza'!AM117</f>
        <v>0</v>
      </c>
    </row>
    <row r="118" spans="2:15" ht="14" x14ac:dyDescent="0.15">
      <c r="B118" s="38" t="s">
        <v>82</v>
      </c>
      <c r="C118" s="39">
        <f>'Data Entry Köln City Plaza'!C118</f>
        <v>0</v>
      </c>
      <c r="D118" s="39">
        <f>'Data Entry Köln City Plaza'!F118</f>
        <v>0</v>
      </c>
      <c r="E118" s="39">
        <f>'Data Entry Köln City Plaza'!I118</f>
        <v>0</v>
      </c>
      <c r="F118" s="39">
        <f>'Data Entry Köln City Plaza'!L118</f>
        <v>0</v>
      </c>
      <c r="G118" s="39">
        <f>'Data Entry Köln City Plaza'!O118</f>
        <v>0</v>
      </c>
      <c r="H118" s="39">
        <f>'Data Entry Köln City Plaza'!R118</f>
        <v>0</v>
      </c>
      <c r="I118" s="39">
        <f>'Data Entry Köln City Plaza'!U118</f>
        <v>0</v>
      </c>
      <c r="J118" s="39">
        <f>'Data Entry Köln City Plaza'!X118</f>
        <v>0</v>
      </c>
      <c r="K118" s="39">
        <f>'Data Entry Köln City Plaza'!AA118</f>
        <v>0</v>
      </c>
      <c r="L118" s="39">
        <f>'Data Entry Köln City Plaza'!AD118</f>
        <v>0</v>
      </c>
      <c r="M118" s="39">
        <f>'Data Entry Köln City Plaza'!AG118</f>
        <v>0</v>
      </c>
      <c r="N118" s="39">
        <f>'Data Entry Köln City Plaza'!AJ118</f>
        <v>0</v>
      </c>
      <c r="O118" s="39">
        <f>'Data Entry Köln City Plaza'!AM118</f>
        <v>0</v>
      </c>
    </row>
    <row r="119" spans="2:15" ht="14" x14ac:dyDescent="0.15">
      <c r="B119" s="38" t="s">
        <v>83</v>
      </c>
      <c r="C119" s="39">
        <f>'Data Entry Köln City Plaza'!C119</f>
        <v>0</v>
      </c>
      <c r="D119" s="39">
        <f>'Data Entry Köln City Plaza'!F119</f>
        <v>0</v>
      </c>
      <c r="E119" s="39">
        <f>'Data Entry Köln City Plaza'!I119</f>
        <v>0</v>
      </c>
      <c r="F119" s="39">
        <f>'Data Entry Köln City Plaza'!L119</f>
        <v>0</v>
      </c>
      <c r="G119" s="39">
        <f>'Data Entry Köln City Plaza'!O119</f>
        <v>0</v>
      </c>
      <c r="H119" s="39">
        <f>'Data Entry Köln City Plaza'!R119</f>
        <v>0</v>
      </c>
      <c r="I119" s="39">
        <f>'Data Entry Köln City Plaza'!U119</f>
        <v>0</v>
      </c>
      <c r="J119" s="39">
        <f>'Data Entry Köln City Plaza'!X119</f>
        <v>0</v>
      </c>
      <c r="K119" s="39">
        <f>'Data Entry Köln City Plaza'!AA119</f>
        <v>0</v>
      </c>
      <c r="L119" s="39">
        <f>'Data Entry Köln City Plaza'!AD119</f>
        <v>0</v>
      </c>
      <c r="M119" s="39">
        <f>'Data Entry Köln City Plaza'!AG119</f>
        <v>0</v>
      </c>
      <c r="N119" s="39">
        <f>'Data Entry Köln City Plaza'!AJ119</f>
        <v>0</v>
      </c>
      <c r="O119" s="39">
        <f>'Data Entry Köln City Plaza'!AM119</f>
        <v>0</v>
      </c>
    </row>
    <row r="120" spans="2:15" x14ac:dyDescent="0.15">
      <c r="B120" s="40"/>
      <c r="C120" s="39">
        <f>'Data Entry Köln City Plaza'!C120</f>
        <v>0</v>
      </c>
      <c r="D120" s="39">
        <f>'Data Entry Köln City Plaza'!F120</f>
        <v>0</v>
      </c>
      <c r="E120" s="39">
        <f>'Data Entry Köln City Plaza'!I120</f>
        <v>0</v>
      </c>
      <c r="F120" s="39">
        <f>'Data Entry Köln City Plaza'!L120</f>
        <v>0</v>
      </c>
      <c r="G120" s="39">
        <f>'Data Entry Köln City Plaza'!O120</f>
        <v>0</v>
      </c>
      <c r="H120" s="39">
        <f>'Data Entry Köln City Plaza'!R120</f>
        <v>0</v>
      </c>
      <c r="I120" s="39">
        <f>'Data Entry Köln City Plaza'!U120</f>
        <v>0</v>
      </c>
      <c r="J120" s="39">
        <f>'Data Entry Köln City Plaza'!X120</f>
        <v>0</v>
      </c>
      <c r="K120" s="39">
        <f>'Data Entry Köln City Plaza'!AA120</f>
        <v>0</v>
      </c>
      <c r="L120" s="39">
        <f>'Data Entry Köln City Plaza'!AD120</f>
        <v>0</v>
      </c>
      <c r="M120" s="39">
        <f>'Data Entry Köln City Plaza'!AG120</f>
        <v>0</v>
      </c>
      <c r="N120" s="39">
        <f>'Data Entry Köln City Plaza'!AJ120</f>
        <v>0</v>
      </c>
      <c r="O120" s="39">
        <f>'Data Entry Köln City Plaza'!AM120</f>
        <v>0</v>
      </c>
    </row>
    <row r="121" spans="2:15" ht="14" x14ac:dyDescent="0.15">
      <c r="B121" s="42" t="s">
        <v>84</v>
      </c>
      <c r="C121" s="39">
        <f>'Data Entry Köln City Plaza'!C121</f>
        <v>3756856.7001</v>
      </c>
      <c r="D121" s="39">
        <f>'Data Entry Köln City Plaza'!F121</f>
        <v>48834.81</v>
      </c>
      <c r="E121" s="39">
        <f>'Data Entry Köln City Plaza'!I121</f>
        <v>127707.95</v>
      </c>
      <c r="F121" s="39">
        <f>'Data Entry Köln City Plaza'!L121</f>
        <v>522212.17</v>
      </c>
      <c r="G121" s="39">
        <f>'Data Entry Köln City Plaza'!O121</f>
        <v>297592.28000000003</v>
      </c>
      <c r="H121" s="39">
        <f>'Data Entry Köln City Plaza'!R121</f>
        <v>327084.21049999999</v>
      </c>
      <c r="I121" s="39">
        <f>'Data Entry Köln City Plaza'!U121</f>
        <v>255929.69579999999</v>
      </c>
      <c r="J121" s="39">
        <f>'Data Entry Köln City Plaza'!X121</f>
        <v>120136.6289</v>
      </c>
      <c r="K121" s="39">
        <f>'Data Entry Köln City Plaza'!AA121</f>
        <v>289537.63170000003</v>
      </c>
      <c r="L121" s="39">
        <f>'Data Entry Köln City Plaza'!AD121</f>
        <v>441460.44349999999</v>
      </c>
      <c r="M121" s="39">
        <f>'Data Entry Köln City Plaza'!AG121</f>
        <v>552990.77359999996</v>
      </c>
      <c r="N121" s="39">
        <f>'Data Entry Köln City Plaza'!AJ121</f>
        <v>439933.2451</v>
      </c>
      <c r="O121" s="39">
        <f>'Data Entry Köln City Plaza'!AM121</f>
        <v>333436.86099999998</v>
      </c>
    </row>
    <row r="122" spans="2:15" ht="14" x14ac:dyDescent="0.15">
      <c r="B122" s="38" t="s">
        <v>85</v>
      </c>
      <c r="C122" s="39">
        <f>'Data Entry Köln City Plaza'!C122</f>
        <v>365907.12190000003</v>
      </c>
      <c r="D122" s="39">
        <f>'Data Entry Köln City Plaza'!F122</f>
        <v>18723.04</v>
      </c>
      <c r="E122" s="39">
        <f>'Data Entry Köln City Plaza'!I122</f>
        <v>27420.22</v>
      </c>
      <c r="F122" s="39">
        <f>'Data Entry Köln City Plaza'!L122</f>
        <v>0</v>
      </c>
      <c r="G122" s="39">
        <f>'Data Entry Köln City Plaza'!O122</f>
        <v>65646.039999999994</v>
      </c>
      <c r="H122" s="39">
        <f>'Data Entry Köln City Plaza'!R122</f>
        <v>30577.012599999998</v>
      </c>
      <c r="I122" s="39">
        <f>'Data Entry Köln City Plaza'!U122</f>
        <v>28314.1777</v>
      </c>
      <c r="J122" s="39">
        <f>'Data Entry Köln City Plaza'!X122</f>
        <v>21526.507300000001</v>
      </c>
      <c r="K122" s="39">
        <f>'Data Entry Köln City Plaza'!AA122</f>
        <v>28943.7912</v>
      </c>
      <c r="L122" s="39">
        <f>'Data Entry Köln City Plaza'!AD122</f>
        <v>36351.175000000003</v>
      </c>
      <c r="M122" s="39">
        <f>'Data Entry Köln City Plaza'!AG122</f>
        <v>39777.665300000001</v>
      </c>
      <c r="N122" s="39">
        <f>'Data Entry Köln City Plaza'!AJ122</f>
        <v>37169.425300000003</v>
      </c>
      <c r="O122" s="39">
        <f>'Data Entry Köln City Plaza'!AM122</f>
        <v>31458.067500000001</v>
      </c>
    </row>
    <row r="123" spans="2:15" x14ac:dyDescent="0.15">
      <c r="B123" s="40"/>
      <c r="C123" s="39">
        <f>'Data Entry Köln City Plaza'!C123</f>
        <v>0</v>
      </c>
      <c r="D123" s="39">
        <f>'Data Entry Köln City Plaza'!F123</f>
        <v>0</v>
      </c>
      <c r="E123" s="39">
        <f>'Data Entry Köln City Plaza'!I123</f>
        <v>0</v>
      </c>
      <c r="F123" s="39">
        <f>'Data Entry Köln City Plaza'!L123</f>
        <v>0</v>
      </c>
      <c r="G123" s="39">
        <f>'Data Entry Köln City Plaza'!O123</f>
        <v>0</v>
      </c>
      <c r="H123" s="39">
        <f>'Data Entry Köln City Plaza'!R123</f>
        <v>0</v>
      </c>
      <c r="I123" s="39">
        <f>'Data Entry Köln City Plaza'!U123</f>
        <v>0</v>
      </c>
      <c r="J123" s="39">
        <f>'Data Entry Köln City Plaza'!X123</f>
        <v>0</v>
      </c>
      <c r="K123" s="39">
        <f>'Data Entry Köln City Plaza'!AA123</f>
        <v>0</v>
      </c>
      <c r="L123" s="39">
        <f>'Data Entry Köln City Plaza'!AD123</f>
        <v>0</v>
      </c>
      <c r="M123" s="39">
        <f>'Data Entry Köln City Plaza'!AG123</f>
        <v>0</v>
      </c>
      <c r="N123" s="39">
        <f>'Data Entry Köln City Plaza'!AJ123</f>
        <v>0</v>
      </c>
      <c r="O123" s="39">
        <f>'Data Entry Köln City Plaza'!AM123</f>
        <v>0</v>
      </c>
    </row>
    <row r="124" spans="2:15" ht="14" x14ac:dyDescent="0.15">
      <c r="B124" s="42" t="s">
        <v>86</v>
      </c>
      <c r="C124" s="39">
        <f>'Data Entry Köln City Plaza'!C124</f>
        <v>3390949.5781999999</v>
      </c>
      <c r="D124" s="39">
        <f>'Data Entry Köln City Plaza'!F124</f>
        <v>30111.77</v>
      </c>
      <c r="E124" s="39">
        <f>'Data Entry Köln City Plaza'!I124</f>
        <v>100287.73</v>
      </c>
      <c r="F124" s="39">
        <f>'Data Entry Köln City Plaza'!L124</f>
        <v>522212.17</v>
      </c>
      <c r="G124" s="39">
        <f>'Data Entry Köln City Plaza'!O124</f>
        <v>231946.23999999999</v>
      </c>
      <c r="H124" s="39">
        <f>'Data Entry Köln City Plaza'!R124</f>
        <v>296507.19790000003</v>
      </c>
      <c r="I124" s="39">
        <f>'Data Entry Köln City Plaza'!U124</f>
        <v>227615.51809999999</v>
      </c>
      <c r="J124" s="39">
        <f>'Data Entry Köln City Plaza'!X124</f>
        <v>98610.121599999999</v>
      </c>
      <c r="K124" s="39">
        <f>'Data Entry Köln City Plaza'!AA124</f>
        <v>260593.84049999999</v>
      </c>
      <c r="L124" s="39">
        <f>'Data Entry Köln City Plaza'!AD124</f>
        <v>405109.26850000001</v>
      </c>
      <c r="M124" s="39">
        <f>'Data Entry Köln City Plaza'!AG124</f>
        <v>513213.10830000002</v>
      </c>
      <c r="N124" s="39">
        <f>'Data Entry Köln City Plaza'!AJ124</f>
        <v>402763.8198</v>
      </c>
      <c r="O124" s="39">
        <f>'Data Entry Köln City Plaza'!AM124</f>
        <v>301978.79350000003</v>
      </c>
    </row>
    <row r="125" spans="2:15" ht="14" x14ac:dyDescent="0.15">
      <c r="B125" s="38" t="s">
        <v>87</v>
      </c>
      <c r="C125" s="39">
        <f>'Data Entry Köln City Plaza'!C125</f>
        <v>0</v>
      </c>
      <c r="D125" s="39">
        <f>'Data Entry Köln City Plaza'!F125</f>
        <v>0</v>
      </c>
      <c r="E125" s="39">
        <f>'Data Entry Köln City Plaza'!I125</f>
        <v>0</v>
      </c>
      <c r="F125" s="39">
        <f>'Data Entry Köln City Plaza'!L125</f>
        <v>0</v>
      </c>
      <c r="G125" s="39">
        <f>'Data Entry Köln City Plaza'!O125</f>
        <v>0</v>
      </c>
      <c r="H125" s="39">
        <f>'Data Entry Köln City Plaza'!R125</f>
        <v>0</v>
      </c>
      <c r="I125" s="39">
        <f>'Data Entry Köln City Plaza'!U125</f>
        <v>0</v>
      </c>
      <c r="J125" s="39">
        <f>'Data Entry Köln City Plaza'!X125</f>
        <v>0</v>
      </c>
      <c r="K125" s="39">
        <f>'Data Entry Köln City Plaza'!AA125</f>
        <v>0</v>
      </c>
      <c r="L125" s="39">
        <f>'Data Entry Köln City Plaza'!AD125</f>
        <v>0</v>
      </c>
      <c r="M125" s="39">
        <f>'Data Entry Köln City Plaza'!AG125</f>
        <v>0</v>
      </c>
      <c r="N125" s="39">
        <f>'Data Entry Köln City Plaza'!AJ125</f>
        <v>0</v>
      </c>
      <c r="O125" s="39">
        <f>'Data Entry Köln City Plaza'!AM125</f>
        <v>0</v>
      </c>
    </row>
    <row r="126" spans="2:15" x14ac:dyDescent="0.15">
      <c r="B126" s="40"/>
      <c r="C126" s="39">
        <f>'Data Entry Köln City Plaza'!C126</f>
        <v>0</v>
      </c>
      <c r="D126" s="39">
        <f>'Data Entry Köln City Plaza'!F126</f>
        <v>0</v>
      </c>
      <c r="E126" s="39">
        <f>'Data Entry Köln City Plaza'!I126</f>
        <v>0</v>
      </c>
      <c r="F126" s="39">
        <f>'Data Entry Köln City Plaza'!L126</f>
        <v>0</v>
      </c>
      <c r="G126" s="39">
        <f>'Data Entry Köln City Plaza'!O126</f>
        <v>0</v>
      </c>
      <c r="H126" s="39">
        <f>'Data Entry Köln City Plaza'!R126</f>
        <v>0</v>
      </c>
      <c r="I126" s="39">
        <f>'Data Entry Köln City Plaza'!U126</f>
        <v>0</v>
      </c>
      <c r="J126" s="39">
        <f>'Data Entry Köln City Plaza'!X126</f>
        <v>0</v>
      </c>
      <c r="K126" s="39">
        <f>'Data Entry Köln City Plaza'!AA126</f>
        <v>0</v>
      </c>
      <c r="L126" s="39">
        <f>'Data Entry Köln City Plaza'!AD126</f>
        <v>0</v>
      </c>
      <c r="M126" s="39">
        <f>'Data Entry Köln City Plaza'!AG126</f>
        <v>0</v>
      </c>
      <c r="N126" s="39">
        <f>'Data Entry Köln City Plaza'!AJ126</f>
        <v>0</v>
      </c>
      <c r="O126" s="39">
        <f>'Data Entry Köln City Plaza'!AM126</f>
        <v>0</v>
      </c>
    </row>
    <row r="127" spans="2:15" ht="14" x14ac:dyDescent="0.15">
      <c r="B127" s="42" t="s">
        <v>88</v>
      </c>
      <c r="C127" s="39">
        <f>'Data Entry Köln City Plaza'!C127</f>
        <v>3390949.5781999999</v>
      </c>
      <c r="D127" s="39">
        <f>'Data Entry Köln City Plaza'!F127</f>
        <v>30111.77</v>
      </c>
      <c r="E127" s="39">
        <f>'Data Entry Köln City Plaza'!I127</f>
        <v>100287.73</v>
      </c>
      <c r="F127" s="39">
        <f>'Data Entry Köln City Plaza'!L127</f>
        <v>522212.17</v>
      </c>
      <c r="G127" s="39">
        <f>'Data Entry Köln City Plaza'!O127</f>
        <v>231946.23999999999</v>
      </c>
      <c r="H127" s="39">
        <f>'Data Entry Köln City Plaza'!R127</f>
        <v>296507.19790000003</v>
      </c>
      <c r="I127" s="39">
        <f>'Data Entry Köln City Plaza'!U127</f>
        <v>227615.51809999999</v>
      </c>
      <c r="J127" s="39">
        <f>'Data Entry Köln City Plaza'!X127</f>
        <v>98610.121599999999</v>
      </c>
      <c r="K127" s="39">
        <f>'Data Entry Köln City Plaza'!AA127</f>
        <v>260593.84049999999</v>
      </c>
      <c r="L127" s="39">
        <f>'Data Entry Köln City Plaza'!AD127</f>
        <v>405109.26850000001</v>
      </c>
      <c r="M127" s="39">
        <f>'Data Entry Köln City Plaza'!AG127</f>
        <v>513213.10830000002</v>
      </c>
      <c r="N127" s="39">
        <f>'Data Entry Köln City Plaza'!AJ127</f>
        <v>402763.8198</v>
      </c>
      <c r="O127" s="39">
        <f>'Data Entry Köln City Plaza'!AM127</f>
        <v>301978.79350000003</v>
      </c>
    </row>
    <row r="128" spans="2:15" x14ac:dyDescent="0.15">
      <c r="B128" s="40"/>
      <c r="C128" s="39">
        <f>'Data Entry Köln City Plaza'!C128</f>
        <v>0</v>
      </c>
      <c r="D128" s="39">
        <f>'Data Entry Köln City Plaza'!F128</f>
        <v>0</v>
      </c>
      <c r="E128" s="39">
        <f>'Data Entry Köln City Plaza'!I128</f>
        <v>0</v>
      </c>
      <c r="F128" s="39">
        <f>'Data Entry Köln City Plaza'!L128</f>
        <v>0</v>
      </c>
      <c r="G128" s="39">
        <f>'Data Entry Köln City Plaza'!O128</f>
        <v>0</v>
      </c>
      <c r="H128" s="39">
        <f>'Data Entry Köln City Plaza'!R128</f>
        <v>0</v>
      </c>
      <c r="I128" s="39">
        <f>'Data Entry Köln City Plaza'!U128</f>
        <v>0</v>
      </c>
      <c r="J128" s="39">
        <f>'Data Entry Köln City Plaza'!X128</f>
        <v>0</v>
      </c>
      <c r="K128" s="39">
        <f>'Data Entry Köln City Plaza'!AA128</f>
        <v>0</v>
      </c>
      <c r="L128" s="39">
        <f>'Data Entry Köln City Plaza'!AD128</f>
        <v>0</v>
      </c>
      <c r="M128" s="39">
        <f>'Data Entry Köln City Plaza'!AG128</f>
        <v>0</v>
      </c>
      <c r="N128" s="39">
        <f>'Data Entry Köln City Plaza'!AJ128</f>
        <v>0</v>
      </c>
      <c r="O128" s="39">
        <f>'Data Entry Köln City Plaza'!AM128</f>
        <v>0</v>
      </c>
    </row>
    <row r="129" spans="2:15" ht="14" x14ac:dyDescent="0.15">
      <c r="B129" s="42" t="s">
        <v>89</v>
      </c>
      <c r="C129" s="39">
        <f>'Data Entry Köln City Plaza'!C129</f>
        <v>365902.91190000001</v>
      </c>
      <c r="D129" s="39">
        <f>'Data Entry Köln City Plaza'!F129</f>
        <v>18718.830000000002</v>
      </c>
      <c r="E129" s="39">
        <f>'Data Entry Köln City Plaza'!I129</f>
        <v>27420.22</v>
      </c>
      <c r="F129" s="39">
        <f>'Data Entry Köln City Plaza'!L129</f>
        <v>40236.71</v>
      </c>
      <c r="G129" s="39">
        <f>'Data Entry Köln City Plaza'!O129</f>
        <v>25409.33</v>
      </c>
      <c r="H129" s="39">
        <f>'Data Entry Köln City Plaza'!R129</f>
        <v>30577.012599999998</v>
      </c>
      <c r="I129" s="39">
        <f>'Data Entry Köln City Plaza'!U129</f>
        <v>28314.1777</v>
      </c>
      <c r="J129" s="39">
        <f>'Data Entry Köln City Plaza'!X129</f>
        <v>21526.507300000001</v>
      </c>
      <c r="K129" s="39">
        <f>'Data Entry Köln City Plaza'!AA129</f>
        <v>28943.7912</v>
      </c>
      <c r="L129" s="39">
        <f>'Data Entry Köln City Plaza'!AD129</f>
        <v>36351.175000000003</v>
      </c>
      <c r="M129" s="39">
        <f>'Data Entry Köln City Plaza'!AG129</f>
        <v>39777.665300000001</v>
      </c>
      <c r="N129" s="39">
        <f>'Data Entry Köln City Plaza'!AJ129</f>
        <v>37169.425300000003</v>
      </c>
      <c r="O129" s="39">
        <f>'Data Entry Köln City Plaza'!AM129</f>
        <v>31458.067500000001</v>
      </c>
    </row>
    <row r="130" spans="2:15" ht="14" x14ac:dyDescent="0.15">
      <c r="B130" s="38" t="s">
        <v>90</v>
      </c>
      <c r="C130" s="39">
        <f>'Data Entry Köln City Plaza'!C130</f>
        <v>365902.91190000001</v>
      </c>
      <c r="D130" s="39">
        <f>'Data Entry Köln City Plaza'!F130</f>
        <v>18718.830000000002</v>
      </c>
      <c r="E130" s="39">
        <f>'Data Entry Köln City Plaza'!I130</f>
        <v>27420.22</v>
      </c>
      <c r="F130" s="39">
        <f>'Data Entry Köln City Plaza'!L130</f>
        <v>40236.71</v>
      </c>
      <c r="G130" s="39">
        <f>'Data Entry Köln City Plaza'!O130</f>
        <v>25409.33</v>
      </c>
      <c r="H130" s="39">
        <f>'Data Entry Köln City Plaza'!R130</f>
        <v>30577.012599999998</v>
      </c>
      <c r="I130" s="39">
        <f>'Data Entry Köln City Plaza'!U130</f>
        <v>28314.1777</v>
      </c>
      <c r="J130" s="39">
        <f>'Data Entry Köln City Plaza'!X130</f>
        <v>21526.507300000001</v>
      </c>
      <c r="K130" s="39">
        <f>'Data Entry Köln City Plaza'!AA130</f>
        <v>28943.7912</v>
      </c>
      <c r="L130" s="39">
        <f>'Data Entry Köln City Plaza'!AD130</f>
        <v>36351.175000000003</v>
      </c>
      <c r="M130" s="39">
        <f>'Data Entry Köln City Plaza'!AG130</f>
        <v>39777.665300000001</v>
      </c>
      <c r="N130" s="39">
        <f>'Data Entry Köln City Plaza'!AJ130</f>
        <v>37169.425300000003</v>
      </c>
      <c r="O130" s="39">
        <f>'Data Entry Köln City Plaza'!AM130</f>
        <v>31458.067500000001</v>
      </c>
    </row>
    <row r="131" spans="2:15" ht="14" x14ac:dyDescent="0.15">
      <c r="B131" s="38" t="s">
        <v>91</v>
      </c>
      <c r="C131" s="39">
        <f>'Data Entry Köln City Plaza'!C131</f>
        <v>0</v>
      </c>
      <c r="D131" s="39">
        <f>'Data Entry Köln City Plaza'!F131</f>
        <v>0</v>
      </c>
      <c r="E131" s="39">
        <f>'Data Entry Köln City Plaza'!I131</f>
        <v>0</v>
      </c>
      <c r="F131" s="39">
        <f>'Data Entry Köln City Plaza'!L131</f>
        <v>0</v>
      </c>
      <c r="G131" s="39">
        <f>'Data Entry Köln City Plaza'!O131</f>
        <v>0</v>
      </c>
      <c r="H131" s="39">
        <f>'Data Entry Köln City Plaza'!R131</f>
        <v>0</v>
      </c>
      <c r="I131" s="39">
        <f>'Data Entry Köln City Plaza'!U131</f>
        <v>0</v>
      </c>
      <c r="J131" s="39">
        <f>'Data Entry Köln City Plaza'!X131</f>
        <v>0</v>
      </c>
      <c r="K131" s="39">
        <f>'Data Entry Köln City Plaza'!AA131</f>
        <v>0</v>
      </c>
      <c r="L131" s="39">
        <f>'Data Entry Köln City Plaza'!AD131</f>
        <v>0</v>
      </c>
      <c r="M131" s="39">
        <f>'Data Entry Köln City Plaza'!AG131</f>
        <v>0</v>
      </c>
      <c r="N131" s="39">
        <f>'Data Entry Köln City Plaza'!AJ131</f>
        <v>0</v>
      </c>
      <c r="O131" s="39">
        <f>'Data Entry Köln City Plaza'!AM131</f>
        <v>0</v>
      </c>
    </row>
    <row r="132" spans="2:15" ht="14" x14ac:dyDescent="0.15">
      <c r="B132" s="38" t="s">
        <v>92</v>
      </c>
      <c r="C132" s="39">
        <f>'Data Entry Köln City Plaza'!C132</f>
        <v>0</v>
      </c>
      <c r="D132" s="39">
        <f>'Data Entry Köln City Plaza'!F132</f>
        <v>0</v>
      </c>
      <c r="E132" s="39">
        <f>'Data Entry Köln City Plaza'!I132</f>
        <v>0</v>
      </c>
      <c r="F132" s="39">
        <f>'Data Entry Köln City Plaza'!L132</f>
        <v>0</v>
      </c>
      <c r="G132" s="39">
        <f>'Data Entry Köln City Plaza'!O132</f>
        <v>0</v>
      </c>
      <c r="H132" s="39">
        <f>'Data Entry Köln City Plaza'!R132</f>
        <v>0</v>
      </c>
      <c r="I132" s="39">
        <f>'Data Entry Köln City Plaza'!U132</f>
        <v>0</v>
      </c>
      <c r="J132" s="39">
        <f>'Data Entry Köln City Plaza'!X132</f>
        <v>0</v>
      </c>
      <c r="K132" s="39">
        <f>'Data Entry Köln City Plaza'!AA132</f>
        <v>0</v>
      </c>
      <c r="L132" s="39">
        <f>'Data Entry Köln City Plaza'!AD132</f>
        <v>0</v>
      </c>
      <c r="M132" s="39">
        <f>'Data Entry Köln City Plaza'!AG132</f>
        <v>0</v>
      </c>
      <c r="N132" s="39">
        <f>'Data Entry Köln City Plaza'!AJ132</f>
        <v>0</v>
      </c>
      <c r="O132" s="39">
        <f>'Data Entry Köln City Plaza'!AM132</f>
        <v>0</v>
      </c>
    </row>
    <row r="133" spans="2:15" x14ac:dyDescent="0.15">
      <c r="B133" s="40"/>
      <c r="C133" s="39">
        <f>'Data Entry Köln City Plaza'!C133</f>
        <v>0</v>
      </c>
      <c r="D133" s="39">
        <f>'Data Entry Köln City Plaza'!F133</f>
        <v>0</v>
      </c>
      <c r="E133" s="39">
        <f>'Data Entry Köln City Plaza'!I133</f>
        <v>0</v>
      </c>
      <c r="F133" s="39">
        <f>'Data Entry Köln City Plaza'!L133</f>
        <v>0</v>
      </c>
      <c r="G133" s="39">
        <f>'Data Entry Köln City Plaza'!O133</f>
        <v>0</v>
      </c>
      <c r="H133" s="39">
        <f>'Data Entry Köln City Plaza'!R133</f>
        <v>0</v>
      </c>
      <c r="I133" s="39">
        <f>'Data Entry Köln City Plaza'!U133</f>
        <v>0</v>
      </c>
      <c r="J133" s="39">
        <f>'Data Entry Köln City Plaza'!X133</f>
        <v>0</v>
      </c>
      <c r="K133" s="39">
        <f>'Data Entry Köln City Plaza'!AA133</f>
        <v>0</v>
      </c>
      <c r="L133" s="39">
        <f>'Data Entry Köln City Plaza'!AD133</f>
        <v>0</v>
      </c>
      <c r="M133" s="39">
        <f>'Data Entry Köln City Plaza'!AG133</f>
        <v>0</v>
      </c>
      <c r="N133" s="39">
        <f>'Data Entry Köln City Plaza'!AJ133</f>
        <v>0</v>
      </c>
      <c r="O133" s="39">
        <f>'Data Entry Köln City Plaza'!AM133</f>
        <v>0</v>
      </c>
    </row>
    <row r="134" spans="2:15" ht="14" x14ac:dyDescent="0.15">
      <c r="B134" s="42" t="s">
        <v>93</v>
      </c>
      <c r="C134" s="39">
        <f>'Data Entry Köln City Plaza'!C134</f>
        <v>3025046.6661999999</v>
      </c>
      <c r="D134" s="39">
        <f>'Data Entry Köln City Plaza'!F134</f>
        <v>11392.94</v>
      </c>
      <c r="E134" s="39">
        <f>'Data Entry Köln City Plaza'!I134</f>
        <v>72867.509999999995</v>
      </c>
      <c r="F134" s="39">
        <f>'Data Entry Köln City Plaza'!L134</f>
        <v>481975.46</v>
      </c>
      <c r="G134" s="39">
        <f>'Data Entry Köln City Plaza'!O134</f>
        <v>206536.91</v>
      </c>
      <c r="H134" s="39">
        <f>'Data Entry Köln City Plaza'!R134</f>
        <v>265930.18530000001</v>
      </c>
      <c r="I134" s="39">
        <f>'Data Entry Köln City Plaza'!U134</f>
        <v>199301.34030000001</v>
      </c>
      <c r="J134" s="39">
        <f>'Data Entry Köln City Plaza'!X134</f>
        <v>77083.614300000001</v>
      </c>
      <c r="K134" s="39">
        <f>'Data Entry Köln City Plaza'!AA134</f>
        <v>231650.04930000001</v>
      </c>
      <c r="L134" s="39">
        <f>'Data Entry Köln City Plaza'!AD134</f>
        <v>368758.09350000002</v>
      </c>
      <c r="M134" s="39">
        <f>'Data Entry Köln City Plaza'!AG134</f>
        <v>473435.44300000003</v>
      </c>
      <c r="N134" s="39">
        <f>'Data Entry Köln City Plaza'!AJ134</f>
        <v>365594.39449999999</v>
      </c>
      <c r="O134" s="39">
        <f>'Data Entry Köln City Plaza'!AM134</f>
        <v>270520.72600000002</v>
      </c>
    </row>
    <row r="135" spans="2:15" x14ac:dyDescent="0.15">
      <c r="B135" s="40"/>
      <c r="C135" s="39">
        <f>'Data Entry Köln City Plaza'!C135</f>
        <v>0</v>
      </c>
      <c r="D135" s="39">
        <f>'Data Entry Köln City Plaza'!F135</f>
        <v>0</v>
      </c>
      <c r="E135" s="39">
        <f>'Data Entry Köln City Plaza'!I135</f>
        <v>0</v>
      </c>
      <c r="F135" s="39">
        <f>'Data Entry Köln City Plaza'!L135</f>
        <v>0</v>
      </c>
      <c r="G135" s="39">
        <f>'Data Entry Köln City Plaza'!O135</f>
        <v>0</v>
      </c>
      <c r="H135" s="39">
        <f>'Data Entry Köln City Plaza'!R135</f>
        <v>0</v>
      </c>
      <c r="I135" s="39">
        <f>'Data Entry Köln City Plaza'!U135</f>
        <v>0</v>
      </c>
      <c r="J135" s="39">
        <f>'Data Entry Köln City Plaza'!X135</f>
        <v>0</v>
      </c>
      <c r="K135" s="39">
        <f>'Data Entry Köln City Plaza'!AA135</f>
        <v>0</v>
      </c>
      <c r="L135" s="39">
        <f>'Data Entry Köln City Plaza'!AD135</f>
        <v>0</v>
      </c>
      <c r="M135" s="39">
        <f>'Data Entry Köln City Plaza'!AG135</f>
        <v>0</v>
      </c>
      <c r="N135" s="39">
        <f>'Data Entry Köln City Plaza'!AJ135</f>
        <v>0</v>
      </c>
      <c r="O135" s="39">
        <f>'Data Entry Köln City Plaza'!AM135</f>
        <v>0</v>
      </c>
    </row>
    <row r="136" spans="2:15" ht="14" x14ac:dyDescent="0.15">
      <c r="B136" s="42" t="s">
        <v>94</v>
      </c>
      <c r="C136" s="39">
        <f>'Data Entry Köln City Plaza'!C136</f>
        <v>2764026.24</v>
      </c>
      <c r="D136" s="39">
        <f>'Data Entry Köln City Plaza'!F136</f>
        <v>220335.52</v>
      </c>
      <c r="E136" s="39">
        <f>'Data Entry Köln City Plaza'!I136</f>
        <v>220335.52</v>
      </c>
      <c r="F136" s="39">
        <f>'Data Entry Köln City Plaza'!L136</f>
        <v>220335.52</v>
      </c>
      <c r="G136" s="39">
        <f>'Data Entry Köln City Plaza'!O136</f>
        <v>220335.52</v>
      </c>
      <c r="H136" s="39">
        <f>'Data Entry Köln City Plaza'!R136</f>
        <v>235335.52</v>
      </c>
      <c r="I136" s="39">
        <f>'Data Entry Köln City Plaza'!U136</f>
        <v>235335.52</v>
      </c>
      <c r="J136" s="39">
        <f>'Data Entry Köln City Plaza'!X136</f>
        <v>235335.52</v>
      </c>
      <c r="K136" s="39">
        <f>'Data Entry Köln City Plaza'!AA136</f>
        <v>235335.52</v>
      </c>
      <c r="L136" s="39">
        <f>'Data Entry Köln City Plaza'!AD136</f>
        <v>235335.52</v>
      </c>
      <c r="M136" s="39">
        <f>'Data Entry Köln City Plaza'!AG136</f>
        <v>235335.52</v>
      </c>
      <c r="N136" s="39">
        <f>'Data Entry Köln City Plaza'!AJ136</f>
        <v>235335.52</v>
      </c>
      <c r="O136" s="39">
        <f>'Data Entry Köln City Plaza'!AM136</f>
        <v>235335.52</v>
      </c>
    </row>
    <row r="137" spans="2:15" ht="14" x14ac:dyDescent="0.15">
      <c r="B137" s="38" t="s">
        <v>95</v>
      </c>
      <c r="C137" s="39">
        <f>'Data Entry Köln City Plaza'!C137</f>
        <v>2764026.24</v>
      </c>
      <c r="D137" s="39">
        <f>'Data Entry Köln City Plaza'!F137</f>
        <v>220335.52</v>
      </c>
      <c r="E137" s="39">
        <f>'Data Entry Köln City Plaza'!I137</f>
        <v>220335.52</v>
      </c>
      <c r="F137" s="39">
        <f>'Data Entry Köln City Plaza'!L137</f>
        <v>220335.52</v>
      </c>
      <c r="G137" s="39">
        <f>'Data Entry Köln City Plaza'!O137</f>
        <v>220335.52</v>
      </c>
      <c r="H137" s="39">
        <f>'Data Entry Köln City Plaza'!R137</f>
        <v>235335.52</v>
      </c>
      <c r="I137" s="39">
        <f>'Data Entry Köln City Plaza'!U137</f>
        <v>235335.52</v>
      </c>
      <c r="J137" s="39">
        <f>'Data Entry Köln City Plaza'!X137</f>
        <v>235335.52</v>
      </c>
      <c r="K137" s="39">
        <f>'Data Entry Köln City Plaza'!AA137</f>
        <v>235335.52</v>
      </c>
      <c r="L137" s="39">
        <f>'Data Entry Köln City Plaza'!AD137</f>
        <v>235335.52</v>
      </c>
      <c r="M137" s="39">
        <f>'Data Entry Köln City Plaza'!AG137</f>
        <v>235335.52</v>
      </c>
      <c r="N137" s="39">
        <f>'Data Entry Köln City Plaza'!AJ137</f>
        <v>235335.52</v>
      </c>
      <c r="O137" s="39">
        <f>'Data Entry Köln City Plaza'!AM137</f>
        <v>235335.52</v>
      </c>
    </row>
    <row r="138" spans="2:15" ht="14" x14ac:dyDescent="0.15">
      <c r="B138" s="38" t="s">
        <v>96</v>
      </c>
      <c r="C138" s="39">
        <f>'Data Entry Köln City Plaza'!C138</f>
        <v>0</v>
      </c>
      <c r="D138" s="39">
        <f>'Data Entry Köln City Plaza'!F138</f>
        <v>0</v>
      </c>
      <c r="E138" s="39">
        <f>'Data Entry Köln City Plaza'!I138</f>
        <v>0</v>
      </c>
      <c r="F138" s="39">
        <f>'Data Entry Köln City Plaza'!L138</f>
        <v>0</v>
      </c>
      <c r="G138" s="39">
        <f>'Data Entry Köln City Plaza'!O138</f>
        <v>0</v>
      </c>
      <c r="H138" s="39">
        <f>'Data Entry Köln City Plaza'!R138</f>
        <v>0</v>
      </c>
      <c r="I138" s="39">
        <f>'Data Entry Köln City Plaza'!U138</f>
        <v>0</v>
      </c>
      <c r="J138" s="39">
        <f>'Data Entry Köln City Plaza'!X138</f>
        <v>0</v>
      </c>
      <c r="K138" s="39">
        <f>'Data Entry Köln City Plaza'!AA138</f>
        <v>0</v>
      </c>
      <c r="L138" s="39">
        <f>'Data Entry Köln City Plaza'!AD138</f>
        <v>0</v>
      </c>
      <c r="M138" s="39">
        <f>'Data Entry Köln City Plaza'!AG138</f>
        <v>0</v>
      </c>
      <c r="N138" s="39">
        <f>'Data Entry Köln City Plaza'!AJ138</f>
        <v>0</v>
      </c>
      <c r="O138" s="39">
        <f>'Data Entry Köln City Plaza'!AM138</f>
        <v>0</v>
      </c>
    </row>
    <row r="139" spans="2:15" ht="14" x14ac:dyDescent="0.15">
      <c r="B139" s="38" t="s">
        <v>97</v>
      </c>
      <c r="C139" s="39">
        <f>'Data Entry Köln City Plaza'!C139</f>
        <v>0</v>
      </c>
      <c r="D139" s="39">
        <f>'Data Entry Köln City Plaza'!F139</f>
        <v>0</v>
      </c>
      <c r="E139" s="39">
        <f>'Data Entry Köln City Plaza'!I139</f>
        <v>0</v>
      </c>
      <c r="F139" s="39">
        <f>'Data Entry Köln City Plaza'!L139</f>
        <v>0</v>
      </c>
      <c r="G139" s="39">
        <f>'Data Entry Köln City Plaza'!O139</f>
        <v>0</v>
      </c>
      <c r="H139" s="39">
        <f>'Data Entry Köln City Plaza'!R139</f>
        <v>0</v>
      </c>
      <c r="I139" s="39">
        <f>'Data Entry Köln City Plaza'!U139</f>
        <v>0</v>
      </c>
      <c r="J139" s="39">
        <f>'Data Entry Köln City Plaza'!X139</f>
        <v>0</v>
      </c>
      <c r="K139" s="39">
        <f>'Data Entry Köln City Plaza'!AA139</f>
        <v>0</v>
      </c>
      <c r="L139" s="39">
        <f>'Data Entry Köln City Plaza'!AD139</f>
        <v>0</v>
      </c>
      <c r="M139" s="39">
        <f>'Data Entry Köln City Plaza'!AG139</f>
        <v>0</v>
      </c>
      <c r="N139" s="39">
        <f>'Data Entry Köln City Plaza'!AJ139</f>
        <v>0</v>
      </c>
      <c r="O139" s="39">
        <f>'Data Entry Köln City Plaza'!AM139</f>
        <v>0</v>
      </c>
    </row>
    <row r="140" spans="2:15" x14ac:dyDescent="0.15">
      <c r="B140" s="40"/>
      <c r="C140" s="39">
        <f>'Data Entry Köln City Plaza'!C140</f>
        <v>0</v>
      </c>
      <c r="D140" s="39">
        <f>'Data Entry Köln City Plaza'!F140</f>
        <v>0</v>
      </c>
      <c r="E140" s="39">
        <f>'Data Entry Köln City Plaza'!I140</f>
        <v>0</v>
      </c>
      <c r="F140" s="39">
        <f>'Data Entry Köln City Plaza'!L140</f>
        <v>0</v>
      </c>
      <c r="G140" s="39">
        <f>'Data Entry Köln City Plaza'!O140</f>
        <v>0</v>
      </c>
      <c r="H140" s="39">
        <f>'Data Entry Köln City Plaza'!R140</f>
        <v>0</v>
      </c>
      <c r="I140" s="39">
        <f>'Data Entry Köln City Plaza'!U140</f>
        <v>0</v>
      </c>
      <c r="J140" s="39">
        <f>'Data Entry Köln City Plaza'!X140</f>
        <v>0</v>
      </c>
      <c r="K140" s="39">
        <f>'Data Entry Köln City Plaza'!AA140</f>
        <v>0</v>
      </c>
      <c r="L140" s="39">
        <f>'Data Entry Köln City Plaza'!AD140</f>
        <v>0</v>
      </c>
      <c r="M140" s="39">
        <f>'Data Entry Köln City Plaza'!AG140</f>
        <v>0</v>
      </c>
      <c r="N140" s="39">
        <f>'Data Entry Köln City Plaza'!AJ140</f>
        <v>0</v>
      </c>
      <c r="O140" s="39">
        <f>'Data Entry Köln City Plaza'!AM140</f>
        <v>0</v>
      </c>
    </row>
    <row r="141" spans="2:15" ht="28" x14ac:dyDescent="0.15">
      <c r="B141" s="42" t="s">
        <v>98</v>
      </c>
      <c r="C141" s="39">
        <f>'Data Entry Köln City Plaza'!C141</f>
        <v>261020.42619999999</v>
      </c>
      <c r="D141" s="39">
        <f>'Data Entry Köln City Plaza'!F141</f>
        <v>-208942.58</v>
      </c>
      <c r="E141" s="39">
        <f>'Data Entry Köln City Plaza'!I141</f>
        <v>-147468.01</v>
      </c>
      <c r="F141" s="39">
        <f>'Data Entry Köln City Plaza'!L141</f>
        <v>261639.94</v>
      </c>
      <c r="G141" s="39">
        <f>'Data Entry Köln City Plaza'!O141</f>
        <v>-13798.61</v>
      </c>
      <c r="H141" s="39">
        <f>'Data Entry Köln City Plaza'!R141</f>
        <v>30594.665300000001</v>
      </c>
      <c r="I141" s="39">
        <f>'Data Entry Köln City Plaza'!U141</f>
        <v>-36034.179700000001</v>
      </c>
      <c r="J141" s="39">
        <f>'Data Entry Köln City Plaza'!X141</f>
        <v>-158251.9057</v>
      </c>
      <c r="K141" s="39">
        <f>'Data Entry Köln City Plaza'!AA141</f>
        <v>-3685.4706999999999</v>
      </c>
      <c r="L141" s="39">
        <f>'Data Entry Köln City Plaza'!AD141</f>
        <v>133422.5735</v>
      </c>
      <c r="M141" s="39">
        <f>'Data Entry Köln City Plaza'!AG141</f>
        <v>238099.92300000001</v>
      </c>
      <c r="N141" s="39">
        <f>'Data Entry Köln City Plaza'!AJ141</f>
        <v>130258.87450000001</v>
      </c>
      <c r="O141" s="39">
        <f>'Data Entry Köln City Plaza'!AM141</f>
        <v>35185.205999999998</v>
      </c>
    </row>
    <row r="142" spans="2:15" ht="14" x14ac:dyDescent="0.15">
      <c r="B142" s="38" t="s">
        <v>99</v>
      </c>
      <c r="C142" s="39">
        <f>'Data Entry Köln City Plaza'!C142</f>
        <v>0</v>
      </c>
      <c r="D142" s="39">
        <f>'Data Entry Köln City Plaza'!F142</f>
        <v>0</v>
      </c>
      <c r="E142" s="39">
        <f>'Data Entry Köln City Plaza'!I142</f>
        <v>0</v>
      </c>
      <c r="F142" s="39">
        <f>'Data Entry Köln City Plaza'!L142</f>
        <v>0</v>
      </c>
      <c r="G142" s="39">
        <f>'Data Entry Köln City Plaza'!O142</f>
        <v>0</v>
      </c>
      <c r="H142" s="39">
        <f>'Data Entry Köln City Plaza'!R142</f>
        <v>0</v>
      </c>
      <c r="I142" s="39">
        <f>'Data Entry Köln City Plaza'!U142</f>
        <v>0</v>
      </c>
      <c r="J142" s="39">
        <f>'Data Entry Köln City Plaza'!X142</f>
        <v>0</v>
      </c>
      <c r="K142" s="39">
        <f>'Data Entry Köln City Plaza'!AA142</f>
        <v>0</v>
      </c>
      <c r="L142" s="39">
        <f>'Data Entry Köln City Plaza'!AD142</f>
        <v>0</v>
      </c>
      <c r="M142" s="39">
        <f>'Data Entry Köln City Plaza'!AG142</f>
        <v>0</v>
      </c>
      <c r="N142" s="39">
        <f>'Data Entry Köln City Plaza'!AJ142</f>
        <v>0</v>
      </c>
      <c r="O142" s="39">
        <f>'Data Entry Köln City Plaza'!AM142</f>
        <v>0</v>
      </c>
    </row>
    <row r="143" spans="2:15" x14ac:dyDescent="0.15">
      <c r="B143" s="40"/>
      <c r="C143" s="39">
        <f>'Data Entry Köln City Plaza'!C143</f>
        <v>0</v>
      </c>
      <c r="D143" s="39">
        <f>'Data Entry Köln City Plaza'!F143</f>
        <v>0</v>
      </c>
      <c r="E143" s="39">
        <f>'Data Entry Köln City Plaza'!I143</f>
        <v>0</v>
      </c>
      <c r="F143" s="39">
        <f>'Data Entry Köln City Plaza'!L143</f>
        <v>0</v>
      </c>
      <c r="G143" s="39">
        <f>'Data Entry Köln City Plaza'!O143</f>
        <v>0</v>
      </c>
      <c r="H143" s="39">
        <f>'Data Entry Köln City Plaza'!R143</f>
        <v>0</v>
      </c>
      <c r="I143" s="39">
        <f>'Data Entry Köln City Plaza'!U143</f>
        <v>0</v>
      </c>
      <c r="J143" s="39">
        <f>'Data Entry Köln City Plaza'!X143</f>
        <v>0</v>
      </c>
      <c r="K143" s="39">
        <f>'Data Entry Köln City Plaza'!AA143</f>
        <v>0</v>
      </c>
      <c r="L143" s="39">
        <f>'Data Entry Köln City Plaza'!AD143</f>
        <v>0</v>
      </c>
      <c r="M143" s="39">
        <f>'Data Entry Köln City Plaza'!AG143</f>
        <v>0</v>
      </c>
      <c r="N143" s="39">
        <f>'Data Entry Köln City Plaza'!AJ143</f>
        <v>0</v>
      </c>
      <c r="O143" s="39">
        <f>'Data Entry Köln City Plaza'!AM143</f>
        <v>0</v>
      </c>
    </row>
    <row r="144" spans="2:15" ht="14" x14ac:dyDescent="0.15">
      <c r="B144" s="42" t="s">
        <v>100</v>
      </c>
      <c r="C144" s="39">
        <f>'Data Entry Köln City Plaza'!C144</f>
        <v>261020.42619999999</v>
      </c>
      <c r="D144" s="39">
        <f>'Data Entry Köln City Plaza'!F144</f>
        <v>-208942.58</v>
      </c>
      <c r="E144" s="39">
        <f>'Data Entry Köln City Plaza'!I144</f>
        <v>-147468.01</v>
      </c>
      <c r="F144" s="39">
        <f>'Data Entry Köln City Plaza'!L144</f>
        <v>261639.94</v>
      </c>
      <c r="G144" s="39">
        <f>'Data Entry Köln City Plaza'!O144</f>
        <v>-13798.61</v>
      </c>
      <c r="H144" s="39">
        <f>'Data Entry Köln City Plaza'!R144</f>
        <v>30594.665300000001</v>
      </c>
      <c r="I144" s="39">
        <f>'Data Entry Köln City Plaza'!U144</f>
        <v>-36034.179700000001</v>
      </c>
      <c r="J144" s="39">
        <f>'Data Entry Köln City Plaza'!X144</f>
        <v>-158251.9057</v>
      </c>
      <c r="K144" s="39">
        <f>'Data Entry Köln City Plaza'!AA144</f>
        <v>-3685.4706999999999</v>
      </c>
      <c r="L144" s="39">
        <f>'Data Entry Köln City Plaza'!AD144</f>
        <v>133422.5735</v>
      </c>
      <c r="M144" s="39">
        <f>'Data Entry Köln City Plaza'!AG144</f>
        <v>238099.92300000001</v>
      </c>
      <c r="N144" s="39">
        <f>'Data Entry Köln City Plaza'!AJ144</f>
        <v>130258.87450000001</v>
      </c>
      <c r="O144" s="39">
        <f>'Data Entry Köln City Plaza'!AM144</f>
        <v>35185.205999999998</v>
      </c>
    </row>
    <row r="145" spans="2:15" ht="14" x14ac:dyDescent="0.15">
      <c r="B145" s="38" t="s">
        <v>101</v>
      </c>
      <c r="C145" s="39">
        <f>'Data Entry Köln City Plaza'!C145</f>
        <v>0</v>
      </c>
      <c r="D145" s="39">
        <f>'Data Entry Köln City Plaza'!F145</f>
        <v>0</v>
      </c>
      <c r="E145" s="39">
        <f>'Data Entry Köln City Plaza'!I145</f>
        <v>0</v>
      </c>
      <c r="F145" s="39">
        <f>'Data Entry Köln City Plaza'!L145</f>
        <v>0</v>
      </c>
      <c r="G145" s="39">
        <f>'Data Entry Köln City Plaza'!O145</f>
        <v>0</v>
      </c>
      <c r="H145" s="39">
        <f>'Data Entry Köln City Plaza'!R145</f>
        <v>0</v>
      </c>
      <c r="I145" s="39">
        <f>'Data Entry Köln City Plaza'!U145</f>
        <v>0</v>
      </c>
      <c r="J145" s="39">
        <f>'Data Entry Köln City Plaza'!X145</f>
        <v>0</v>
      </c>
      <c r="K145" s="39">
        <f>'Data Entry Köln City Plaza'!AA145</f>
        <v>0</v>
      </c>
      <c r="L145" s="39">
        <f>'Data Entry Köln City Plaza'!AD145</f>
        <v>0</v>
      </c>
      <c r="M145" s="39">
        <f>'Data Entry Köln City Plaza'!AG145</f>
        <v>0</v>
      </c>
      <c r="N145" s="39">
        <f>'Data Entry Köln City Plaza'!AJ145</f>
        <v>0</v>
      </c>
      <c r="O145" s="39">
        <f>'Data Entry Köln City Plaza'!AM145</f>
        <v>0</v>
      </c>
    </row>
    <row r="146" spans="2:15" x14ac:dyDescent="0.15">
      <c r="B146" s="40"/>
      <c r="C146" s="39">
        <f>'Data Entry Köln City Plaza'!C146</f>
        <v>0</v>
      </c>
      <c r="D146" s="39">
        <f>'Data Entry Köln City Plaza'!F146</f>
        <v>0</v>
      </c>
      <c r="E146" s="39">
        <f>'Data Entry Köln City Plaza'!I146</f>
        <v>0</v>
      </c>
      <c r="F146" s="39">
        <f>'Data Entry Köln City Plaza'!L146</f>
        <v>0</v>
      </c>
      <c r="G146" s="39">
        <f>'Data Entry Köln City Plaza'!O146</f>
        <v>0</v>
      </c>
      <c r="H146" s="39">
        <f>'Data Entry Köln City Plaza'!R146</f>
        <v>0</v>
      </c>
      <c r="I146" s="39">
        <f>'Data Entry Köln City Plaza'!U146</f>
        <v>0</v>
      </c>
      <c r="J146" s="39">
        <f>'Data Entry Köln City Plaza'!X146</f>
        <v>0</v>
      </c>
      <c r="K146" s="39">
        <f>'Data Entry Köln City Plaza'!AA146</f>
        <v>0</v>
      </c>
      <c r="L146" s="39">
        <f>'Data Entry Köln City Plaza'!AD146</f>
        <v>0</v>
      </c>
      <c r="M146" s="39">
        <f>'Data Entry Köln City Plaza'!AG146</f>
        <v>0</v>
      </c>
      <c r="N146" s="39">
        <f>'Data Entry Köln City Plaza'!AJ146</f>
        <v>0</v>
      </c>
      <c r="O146" s="39">
        <f>'Data Entry Köln City Plaza'!AM146</f>
        <v>0</v>
      </c>
    </row>
    <row r="147" spans="2:15" ht="28" x14ac:dyDescent="0.15">
      <c r="B147" s="42" t="s">
        <v>102</v>
      </c>
      <c r="C147" s="39">
        <f>'Data Entry Köln City Plaza'!C147</f>
        <v>261020.42619999999</v>
      </c>
      <c r="D147" s="39">
        <f>'Data Entry Köln City Plaza'!F147</f>
        <v>-208942.58</v>
      </c>
      <c r="E147" s="39">
        <f>'Data Entry Köln City Plaza'!I147</f>
        <v>-147468.01</v>
      </c>
      <c r="F147" s="39">
        <f>'Data Entry Köln City Plaza'!L147</f>
        <v>261639.94</v>
      </c>
      <c r="G147" s="39">
        <f>'Data Entry Köln City Plaza'!O147</f>
        <v>-13798.61</v>
      </c>
      <c r="H147" s="39">
        <f>'Data Entry Köln City Plaza'!R147</f>
        <v>30594.665300000001</v>
      </c>
      <c r="I147" s="39">
        <f>'Data Entry Köln City Plaza'!U147</f>
        <v>-36034.179700000001</v>
      </c>
      <c r="J147" s="39">
        <f>'Data Entry Köln City Plaza'!X147</f>
        <v>-158251.9057</v>
      </c>
      <c r="K147" s="39">
        <f>'Data Entry Köln City Plaza'!AA147</f>
        <v>-3685.4706999999999</v>
      </c>
      <c r="L147" s="39">
        <f>'Data Entry Köln City Plaza'!AD147</f>
        <v>133422.5735</v>
      </c>
      <c r="M147" s="39">
        <f>'Data Entry Köln City Plaza'!AG147</f>
        <v>238099.92300000001</v>
      </c>
      <c r="N147" s="39">
        <f>'Data Entry Köln City Plaza'!AJ147</f>
        <v>130258.87450000001</v>
      </c>
      <c r="O147" s="39">
        <f>'Data Entry Köln City Plaza'!AM147</f>
        <v>35185.205999999998</v>
      </c>
    </row>
    <row r="148" spans="2:15" ht="14" x14ac:dyDescent="0.15">
      <c r="B148" s="38" t="s">
        <v>103</v>
      </c>
      <c r="C148" s="39">
        <f>'Data Entry Köln City Plaza'!C148</f>
        <v>0</v>
      </c>
      <c r="D148" s="39">
        <f>'Data Entry Köln City Plaza'!F148</f>
        <v>0</v>
      </c>
      <c r="E148" s="39">
        <f>'Data Entry Köln City Plaza'!I148</f>
        <v>0</v>
      </c>
      <c r="F148" s="39">
        <f>'Data Entry Köln City Plaza'!L148</f>
        <v>0</v>
      </c>
      <c r="G148" s="39">
        <f>'Data Entry Köln City Plaza'!O148</f>
        <v>0</v>
      </c>
      <c r="H148" s="39">
        <f>'Data Entry Köln City Plaza'!R148</f>
        <v>0</v>
      </c>
      <c r="I148" s="39">
        <f>'Data Entry Köln City Plaza'!U148</f>
        <v>0</v>
      </c>
      <c r="J148" s="39">
        <f>'Data Entry Köln City Plaza'!X148</f>
        <v>0</v>
      </c>
      <c r="K148" s="39">
        <f>'Data Entry Köln City Plaza'!AA148</f>
        <v>0</v>
      </c>
      <c r="L148" s="39">
        <f>'Data Entry Köln City Plaza'!AD148</f>
        <v>0</v>
      </c>
      <c r="M148" s="39">
        <f>'Data Entry Köln City Plaza'!AG148</f>
        <v>0</v>
      </c>
      <c r="N148" s="39">
        <f>'Data Entry Köln City Plaza'!AJ148</f>
        <v>0</v>
      </c>
      <c r="O148" s="39">
        <f>'Data Entry Köln City Plaza'!AM148</f>
        <v>0</v>
      </c>
    </row>
    <row r="149" spans="2:15" x14ac:dyDescent="0.15">
      <c r="B149" s="40"/>
      <c r="C149" s="39">
        <f>'Data Entry Köln City Plaza'!C149</f>
        <v>0</v>
      </c>
      <c r="D149" s="39">
        <f>'Data Entry Köln City Plaza'!F149</f>
        <v>0</v>
      </c>
      <c r="E149" s="39">
        <f>'Data Entry Köln City Plaza'!I149</f>
        <v>0</v>
      </c>
      <c r="F149" s="39">
        <f>'Data Entry Köln City Plaza'!L149</f>
        <v>0</v>
      </c>
      <c r="G149" s="39">
        <f>'Data Entry Köln City Plaza'!O149</f>
        <v>0</v>
      </c>
      <c r="H149" s="39">
        <f>'Data Entry Köln City Plaza'!R149</f>
        <v>0</v>
      </c>
      <c r="I149" s="39">
        <f>'Data Entry Köln City Plaza'!U149</f>
        <v>0</v>
      </c>
      <c r="J149" s="39">
        <f>'Data Entry Köln City Plaza'!X149</f>
        <v>0</v>
      </c>
      <c r="K149" s="39">
        <f>'Data Entry Köln City Plaza'!AA149</f>
        <v>0</v>
      </c>
      <c r="L149" s="39">
        <f>'Data Entry Köln City Plaza'!AD149</f>
        <v>0</v>
      </c>
      <c r="M149" s="39">
        <f>'Data Entry Köln City Plaza'!AG149</f>
        <v>0</v>
      </c>
      <c r="N149" s="39">
        <f>'Data Entry Köln City Plaza'!AJ149</f>
        <v>0</v>
      </c>
      <c r="O149" s="39">
        <f>'Data Entry Köln City Plaza'!AM149</f>
        <v>0</v>
      </c>
    </row>
    <row r="150" spans="2:15" ht="14" x14ac:dyDescent="0.15">
      <c r="B150" s="42" t="s">
        <v>104</v>
      </c>
      <c r="C150" s="39">
        <f>'Data Entry Köln City Plaza'!C150</f>
        <v>261020.42619999999</v>
      </c>
      <c r="D150" s="39">
        <f>'Data Entry Köln City Plaza'!F150</f>
        <v>-208942.58</v>
      </c>
      <c r="E150" s="39">
        <f>'Data Entry Köln City Plaza'!I150</f>
        <v>-147468.01</v>
      </c>
      <c r="F150" s="39">
        <f>'Data Entry Köln City Plaza'!L150</f>
        <v>261639.94</v>
      </c>
      <c r="G150" s="39">
        <f>'Data Entry Köln City Plaza'!O150</f>
        <v>-13798.61</v>
      </c>
      <c r="H150" s="39">
        <f>'Data Entry Köln City Plaza'!R150</f>
        <v>30594.665300000001</v>
      </c>
      <c r="I150" s="39">
        <f>'Data Entry Köln City Plaza'!U150</f>
        <v>-36034.179700000001</v>
      </c>
      <c r="J150" s="39">
        <f>'Data Entry Köln City Plaza'!X150</f>
        <v>-158251.9057</v>
      </c>
      <c r="K150" s="39">
        <f>'Data Entry Köln City Plaza'!AA150</f>
        <v>-3685.4706999999999</v>
      </c>
      <c r="L150" s="39">
        <f>'Data Entry Köln City Plaza'!AD150</f>
        <v>133422.5735</v>
      </c>
      <c r="M150" s="39">
        <f>'Data Entry Köln City Plaza'!AG150</f>
        <v>238099.92300000001</v>
      </c>
      <c r="N150" s="39">
        <f>'Data Entry Köln City Plaza'!AJ150</f>
        <v>130258.87450000001</v>
      </c>
      <c r="O150" s="39">
        <f>'Data Entry Köln City Plaza'!AM150</f>
        <v>35185.205999999998</v>
      </c>
    </row>
    <row r="151" spans="2:15" x14ac:dyDescent="0.15">
      <c r="B151" s="40"/>
      <c r="C151" s="39">
        <f>'Data Entry Köln City Plaza'!C151</f>
        <v>0</v>
      </c>
      <c r="D151" s="39">
        <f>'Data Entry Köln City Plaza'!F151</f>
        <v>0</v>
      </c>
      <c r="E151" s="39">
        <f>'Data Entry Köln City Plaza'!I151</f>
        <v>0</v>
      </c>
      <c r="F151" s="39">
        <f>'Data Entry Köln City Plaza'!L151</f>
        <v>0</v>
      </c>
      <c r="G151" s="39">
        <f>'Data Entry Köln City Plaza'!O151</f>
        <v>0</v>
      </c>
      <c r="H151" s="39">
        <f>'Data Entry Köln City Plaza'!R151</f>
        <v>0</v>
      </c>
      <c r="I151" s="39">
        <f>'Data Entry Köln City Plaza'!U151</f>
        <v>0</v>
      </c>
      <c r="J151" s="39">
        <f>'Data Entry Köln City Plaza'!X151</f>
        <v>0</v>
      </c>
      <c r="K151" s="39">
        <f>'Data Entry Köln City Plaza'!AA151</f>
        <v>0</v>
      </c>
      <c r="L151" s="39">
        <f>'Data Entry Köln City Plaza'!AD151</f>
        <v>0</v>
      </c>
      <c r="M151" s="39">
        <f>'Data Entry Köln City Plaza'!AG151</f>
        <v>0</v>
      </c>
      <c r="N151" s="39">
        <f>'Data Entry Köln City Plaza'!AJ151</f>
        <v>0</v>
      </c>
      <c r="O151" s="39">
        <f>'Data Entry Köln City Plaza'!AM151</f>
        <v>0</v>
      </c>
    </row>
    <row r="152" spans="2:15" ht="14" x14ac:dyDescent="0.15">
      <c r="B152" s="44" t="s">
        <v>105</v>
      </c>
      <c r="C152" s="39">
        <f>'Data Entry Köln City Plaza'!C152</f>
        <v>0</v>
      </c>
      <c r="D152" s="39">
        <f>'Data Entry Köln City Plaza'!F152</f>
        <v>0</v>
      </c>
      <c r="E152" s="39">
        <f>'Data Entry Köln City Plaza'!I152</f>
        <v>0</v>
      </c>
      <c r="F152" s="39">
        <f>'Data Entry Köln City Plaza'!L152</f>
        <v>0</v>
      </c>
      <c r="G152" s="39">
        <f>'Data Entry Köln City Plaza'!O152</f>
        <v>0</v>
      </c>
      <c r="H152" s="39">
        <f>'Data Entry Köln City Plaza'!R152</f>
        <v>0</v>
      </c>
      <c r="I152" s="39">
        <f>'Data Entry Köln City Plaza'!U152</f>
        <v>0</v>
      </c>
      <c r="J152" s="39">
        <f>'Data Entry Köln City Plaza'!X152</f>
        <v>0</v>
      </c>
      <c r="K152" s="39">
        <f>'Data Entry Köln City Plaza'!AA152</f>
        <v>0</v>
      </c>
      <c r="L152" s="39">
        <f>'Data Entry Köln City Plaza'!AD152</f>
        <v>0</v>
      </c>
      <c r="M152" s="39">
        <f>'Data Entry Köln City Plaza'!AG152</f>
        <v>0</v>
      </c>
      <c r="N152" s="39">
        <f>'Data Entry Köln City Plaza'!AJ152</f>
        <v>0</v>
      </c>
      <c r="O152" s="39">
        <f>'Data Entry Köln City Plaza'!AM152</f>
        <v>0</v>
      </c>
    </row>
    <row r="153" spans="2:15" ht="14" x14ac:dyDescent="0.15">
      <c r="B153" s="38" t="s">
        <v>106</v>
      </c>
      <c r="C153" s="39">
        <f>'Data Entry Köln City Plaza'!C153</f>
        <v>281020.42619999999</v>
      </c>
      <c r="D153" s="39">
        <f>'Data Entry Köln City Plaza'!F153</f>
        <v>-208942.58</v>
      </c>
      <c r="E153" s="39">
        <f>'Data Entry Köln City Plaza'!I153</f>
        <v>-147468.01</v>
      </c>
      <c r="F153" s="39">
        <f>'Data Entry Köln City Plaza'!L153</f>
        <v>263639.94</v>
      </c>
      <c r="G153" s="39">
        <f>'Data Entry Köln City Plaza'!O153</f>
        <v>-11798.61</v>
      </c>
      <c r="H153" s="39">
        <f>'Data Entry Köln City Plaza'!R153</f>
        <v>32594.665300000001</v>
      </c>
      <c r="I153" s="39">
        <f>'Data Entry Köln City Plaza'!U153</f>
        <v>-34034.179700000001</v>
      </c>
      <c r="J153" s="39">
        <f>'Data Entry Köln City Plaza'!X153</f>
        <v>-156251.9057</v>
      </c>
      <c r="K153" s="39">
        <f>'Data Entry Köln City Plaza'!AA153</f>
        <v>-1685.4707000000001</v>
      </c>
      <c r="L153" s="39">
        <f>'Data Entry Köln City Plaza'!AD153</f>
        <v>135422.5735</v>
      </c>
      <c r="M153" s="39">
        <f>'Data Entry Köln City Plaza'!AG153</f>
        <v>240099.92300000001</v>
      </c>
      <c r="N153" s="39">
        <f>'Data Entry Köln City Plaza'!AJ153</f>
        <v>132258.87450000001</v>
      </c>
      <c r="O153" s="39">
        <f>'Data Entry Köln City Plaza'!AM153</f>
        <v>37185.205999999998</v>
      </c>
    </row>
    <row r="154" spans="2:15" ht="14" x14ac:dyDescent="0.15">
      <c r="B154" s="38" t="s">
        <v>107</v>
      </c>
      <c r="C154" s="39">
        <f>'Data Entry Köln City Plaza'!C154</f>
        <v>261020.42619999999</v>
      </c>
      <c r="D154" s="39">
        <f>'Data Entry Köln City Plaza'!F154</f>
        <v>-208942.58</v>
      </c>
      <c r="E154" s="39">
        <f>'Data Entry Köln City Plaza'!I154</f>
        <v>-147468.01</v>
      </c>
      <c r="F154" s="39">
        <f>'Data Entry Köln City Plaza'!L154</f>
        <v>261639.94</v>
      </c>
      <c r="G154" s="39">
        <f>'Data Entry Köln City Plaza'!O154</f>
        <v>-13798.61</v>
      </c>
      <c r="H154" s="39">
        <f>'Data Entry Köln City Plaza'!R154</f>
        <v>30594.665300000001</v>
      </c>
      <c r="I154" s="39">
        <f>'Data Entry Köln City Plaza'!U154</f>
        <v>-36034.179700000001</v>
      </c>
      <c r="J154" s="39">
        <f>'Data Entry Köln City Plaza'!X154</f>
        <v>-158251.9057</v>
      </c>
      <c r="K154" s="39">
        <f>'Data Entry Köln City Plaza'!AA154</f>
        <v>-3685.4706999999999</v>
      </c>
      <c r="L154" s="39">
        <f>'Data Entry Köln City Plaza'!AD154</f>
        <v>133422.5735</v>
      </c>
      <c r="M154" s="39">
        <f>'Data Entry Köln City Plaza'!AG154</f>
        <v>238099.92300000001</v>
      </c>
      <c r="N154" s="39">
        <f>'Data Entry Köln City Plaza'!AJ154</f>
        <v>130258.87450000001</v>
      </c>
      <c r="O154" s="39">
        <f>'Data Entry Köln City Plaza'!AM154</f>
        <v>35185.205999999998</v>
      </c>
    </row>
    <row r="155" spans="2:15" ht="14" x14ac:dyDescent="0.15">
      <c r="B155" s="42" t="s">
        <v>108</v>
      </c>
      <c r="C155" s="39">
        <f>'Data Entry Köln City Plaza'!C155</f>
        <v>529532.25260000001</v>
      </c>
      <c r="D155" s="39">
        <f>'Data Entry Köln City Plaza'!F155</f>
        <v>31198.05</v>
      </c>
      <c r="E155" s="39">
        <f>'Data Entry Köln City Plaza'!I155</f>
        <v>45700.36</v>
      </c>
      <c r="F155" s="39">
        <f>'Data Entry Köln City Plaza'!L155</f>
        <v>67061.19</v>
      </c>
      <c r="G155" s="39">
        <f>'Data Entry Köln City Plaza'!O155</f>
        <v>42348.89</v>
      </c>
      <c r="H155" s="39">
        <f>'Data Entry Köln City Plaza'!R155</f>
        <v>41319.350100000003</v>
      </c>
      <c r="I155" s="39">
        <f>'Data Entry Köln City Plaza'!U155</f>
        <v>38302.237000000001</v>
      </c>
      <c r="J155" s="39">
        <f>'Data Entry Köln City Plaza'!X155</f>
        <v>29252.009699999999</v>
      </c>
      <c r="K155" s="39">
        <f>'Data Entry Köln City Plaza'!AA155</f>
        <v>39141.721599999997</v>
      </c>
      <c r="L155" s="39">
        <f>'Data Entry Köln City Plaza'!AD155</f>
        <v>49018.233399999997</v>
      </c>
      <c r="M155" s="39">
        <f>'Data Entry Köln City Plaza'!AG155</f>
        <v>53586.887000000002</v>
      </c>
      <c r="N155" s="39">
        <f>'Data Entry Köln City Plaza'!AJ155</f>
        <v>50109.233800000002</v>
      </c>
      <c r="O155" s="39">
        <f>'Data Entry Köln City Plaza'!AM155</f>
        <v>42494.09</v>
      </c>
    </row>
    <row r="156" spans="2:15" ht="14" x14ac:dyDescent="0.15">
      <c r="B156" s="38" t="s">
        <v>109</v>
      </c>
      <c r="C156" s="39">
        <f>'Data Entry Köln City Plaza'!C156</f>
        <v>0</v>
      </c>
      <c r="D156" s="39">
        <f>'Data Entry Köln City Plaza'!F156</f>
        <v>0</v>
      </c>
      <c r="E156" s="39">
        <f>'Data Entry Köln City Plaza'!I156</f>
        <v>0</v>
      </c>
      <c r="F156" s="39">
        <f>'Data Entry Köln City Plaza'!L156</f>
        <v>0</v>
      </c>
      <c r="G156" s="39">
        <f>'Data Entry Köln City Plaza'!O156</f>
        <v>0</v>
      </c>
      <c r="H156" s="39">
        <f>'Data Entry Köln City Plaza'!R156</f>
        <v>0</v>
      </c>
      <c r="I156" s="39">
        <f>'Data Entry Köln City Plaza'!U156</f>
        <v>0</v>
      </c>
      <c r="J156" s="39">
        <f>'Data Entry Köln City Plaza'!X156</f>
        <v>0</v>
      </c>
      <c r="K156" s="39">
        <f>'Data Entry Köln City Plaza'!AA156</f>
        <v>0</v>
      </c>
      <c r="L156" s="39">
        <f>'Data Entry Köln City Plaza'!AD156</f>
        <v>0</v>
      </c>
      <c r="M156" s="39">
        <f>'Data Entry Köln City Plaza'!AG156</f>
        <v>0</v>
      </c>
      <c r="N156" s="39">
        <f>'Data Entry Köln City Plaza'!AJ156</f>
        <v>0</v>
      </c>
      <c r="O156" s="39">
        <f>'Data Entry Köln City Plaza'!AM156</f>
        <v>0</v>
      </c>
    </row>
    <row r="157" spans="2:15" ht="14" x14ac:dyDescent="0.15">
      <c r="B157" s="38" t="s">
        <v>110</v>
      </c>
      <c r="C157" s="39">
        <f>'Data Entry Köln City Plaza'!C157</f>
        <v>0</v>
      </c>
      <c r="D157" s="39">
        <f>'Data Entry Köln City Plaza'!F157</f>
        <v>0</v>
      </c>
      <c r="E157" s="39">
        <f>'Data Entry Köln City Plaza'!I157</f>
        <v>0</v>
      </c>
      <c r="F157" s="39">
        <f>'Data Entry Köln City Plaza'!L157</f>
        <v>0</v>
      </c>
      <c r="G157" s="39">
        <f>'Data Entry Köln City Plaza'!O157</f>
        <v>0</v>
      </c>
      <c r="H157" s="39">
        <f>'Data Entry Köln City Plaza'!R157</f>
        <v>0</v>
      </c>
      <c r="I157" s="39">
        <f>'Data Entry Köln City Plaza'!U157</f>
        <v>0</v>
      </c>
      <c r="J157" s="39">
        <f>'Data Entry Köln City Plaza'!X157</f>
        <v>0</v>
      </c>
      <c r="K157" s="39">
        <f>'Data Entry Köln City Plaza'!AA157</f>
        <v>0</v>
      </c>
      <c r="L157" s="39">
        <f>'Data Entry Köln City Plaza'!AD157</f>
        <v>0</v>
      </c>
      <c r="M157" s="39">
        <f>'Data Entry Köln City Plaza'!AG157</f>
        <v>0</v>
      </c>
      <c r="N157" s="39">
        <f>'Data Entry Köln City Plaza'!AJ157</f>
        <v>0</v>
      </c>
      <c r="O157" s="39">
        <f>'Data Entry Köln City Plaza'!AM157</f>
        <v>0</v>
      </c>
    </row>
    <row r="158" spans="2:15" ht="14" x14ac:dyDescent="0.15">
      <c r="B158" s="38" t="s">
        <v>111</v>
      </c>
      <c r="C158" s="39">
        <f>'Data Entry Köln City Plaza'!C158</f>
        <v>126367.64049999999</v>
      </c>
      <c r="D158" s="39">
        <f>'Data Entry Köln City Plaza'!F158</f>
        <v>6239.61</v>
      </c>
      <c r="E158" s="39">
        <f>'Data Entry Köln City Plaza'!I158</f>
        <v>9140.07</v>
      </c>
      <c r="F158" s="39">
        <f>'Data Entry Köln City Plaza'!L158</f>
        <v>13412.24</v>
      </c>
      <c r="G158" s="39">
        <f>'Data Entry Köln City Plaza'!O158</f>
        <v>8469.7800000000007</v>
      </c>
      <c r="H158" s="39">
        <f>'Data Entry Köln City Plaza'!R158</f>
        <v>10742.3375</v>
      </c>
      <c r="I158" s="39">
        <f>'Data Entry Köln City Plaza'!U158</f>
        <v>9988.0591999999997</v>
      </c>
      <c r="J158" s="39">
        <f>'Data Entry Köln City Plaza'!X158</f>
        <v>7725.5024000000003</v>
      </c>
      <c r="K158" s="39">
        <f>'Data Entry Köln City Plaza'!AA158</f>
        <v>10197.930399999999</v>
      </c>
      <c r="L158" s="39">
        <f>'Data Entry Köln City Plaza'!AD158</f>
        <v>12667.058300000001</v>
      </c>
      <c r="M158" s="39">
        <f>'Data Entry Köln City Plaza'!AG158</f>
        <v>13809.221799999999</v>
      </c>
      <c r="N158" s="39">
        <f>'Data Entry Köln City Plaza'!AJ158</f>
        <v>12939.8084</v>
      </c>
      <c r="O158" s="39">
        <f>'Data Entry Köln City Plaza'!AM158</f>
        <v>11036.022499999999</v>
      </c>
    </row>
    <row r="159" spans="2:15" ht="14" x14ac:dyDescent="0.15">
      <c r="B159" s="38" t="s">
        <v>112</v>
      </c>
      <c r="C159" s="39">
        <f>'Data Entry Köln City Plaza'!C159</f>
        <v>230144.84150000001</v>
      </c>
      <c r="D159" s="39">
        <f>'Data Entry Köln City Plaza'!F159</f>
        <v>-8466.1299999999992</v>
      </c>
      <c r="E159" s="39">
        <f>'Data Entry Köln City Plaza'!I159</f>
        <v>6152.56</v>
      </c>
      <c r="F159" s="39">
        <f>'Data Entry Köln City Plaza'!L159</f>
        <v>12722.27</v>
      </c>
      <c r="G159" s="39">
        <f>'Data Entry Köln City Plaza'!O159</f>
        <v>7971.29</v>
      </c>
      <c r="H159" s="39">
        <f>'Data Entry Köln City Plaza'!R159</f>
        <v>25480.843799999999</v>
      </c>
      <c r="I159" s="39">
        <f>'Data Entry Köln City Plaza'!U159</f>
        <v>23595.148099999999</v>
      </c>
      <c r="J159" s="39">
        <f>'Data Entry Köln City Plaza'!X159</f>
        <v>17938.756000000001</v>
      </c>
      <c r="K159" s="39">
        <f>'Data Entry Köln City Plaza'!AA159</f>
        <v>24119.826000000001</v>
      </c>
      <c r="L159" s="39">
        <f>'Data Entry Köln City Plaza'!AD159</f>
        <v>30292.6459</v>
      </c>
      <c r="M159" s="39">
        <f>'Data Entry Köln City Plaza'!AG159</f>
        <v>33148.054400000001</v>
      </c>
      <c r="N159" s="39">
        <f>'Data Entry Köln City Plaza'!AJ159</f>
        <v>30974.521100000002</v>
      </c>
      <c r="O159" s="39">
        <f>'Data Entry Köln City Plaza'!AM159</f>
        <v>26215.056199999999</v>
      </c>
    </row>
    <row r="160" spans="2:15" ht="14" x14ac:dyDescent="0.15">
      <c r="B160" s="38" t="s">
        <v>113</v>
      </c>
      <c r="C160" s="39">
        <f>'Data Entry Köln City Plaza'!C160</f>
        <v>365902.91190000001</v>
      </c>
      <c r="D160" s="39">
        <f>'Data Entry Köln City Plaza'!F160</f>
        <v>18718.830000000002</v>
      </c>
      <c r="E160" s="39">
        <f>'Data Entry Köln City Plaza'!I160</f>
        <v>27420.22</v>
      </c>
      <c r="F160" s="39">
        <f>'Data Entry Köln City Plaza'!L160</f>
        <v>40236.71</v>
      </c>
      <c r="G160" s="39">
        <f>'Data Entry Köln City Plaza'!O160</f>
        <v>25409.33</v>
      </c>
      <c r="H160" s="39">
        <f>'Data Entry Köln City Plaza'!R160</f>
        <v>30577.012599999998</v>
      </c>
      <c r="I160" s="39">
        <f>'Data Entry Köln City Plaza'!U160</f>
        <v>28314.1777</v>
      </c>
      <c r="J160" s="39">
        <f>'Data Entry Köln City Plaza'!X160</f>
        <v>21526.507300000001</v>
      </c>
      <c r="K160" s="39">
        <f>'Data Entry Köln City Plaza'!AA160</f>
        <v>28943.7912</v>
      </c>
      <c r="L160" s="39">
        <f>'Data Entry Köln City Plaza'!AD160</f>
        <v>36351.175000000003</v>
      </c>
      <c r="M160" s="39">
        <f>'Data Entry Köln City Plaza'!AG160</f>
        <v>39777.665300000001</v>
      </c>
      <c r="N160" s="39">
        <f>'Data Entry Köln City Plaza'!AJ160</f>
        <v>37169.425300000003</v>
      </c>
      <c r="O160" s="39">
        <f>'Data Entry Köln City Plaza'!AM160</f>
        <v>31458.067500000001</v>
      </c>
    </row>
    <row r="161" spans="2:15" ht="14" x14ac:dyDescent="0.15">
      <c r="B161" s="38" t="s">
        <v>114</v>
      </c>
      <c r="C161" s="39">
        <f>'Data Entry Köln City Plaza'!C161</f>
        <v>37261.699999999997</v>
      </c>
      <c r="D161" s="39">
        <f>'Data Entry Köln City Plaza'!F161</f>
        <v>6239.61</v>
      </c>
      <c r="E161" s="39">
        <f>'Data Entry Köln City Plaza'!I161</f>
        <v>9140.07</v>
      </c>
      <c r="F161" s="39">
        <f>'Data Entry Köln City Plaza'!L161</f>
        <v>13412.24</v>
      </c>
      <c r="G161" s="39">
        <f>'Data Entry Köln City Plaza'!O161</f>
        <v>8469.7800000000007</v>
      </c>
      <c r="H161" s="39">
        <f>'Data Entry Köln City Plaza'!R161</f>
        <v>0</v>
      </c>
      <c r="I161" s="39">
        <f>'Data Entry Köln City Plaza'!U161</f>
        <v>0</v>
      </c>
      <c r="J161" s="39">
        <f>'Data Entry Köln City Plaza'!X161</f>
        <v>0</v>
      </c>
      <c r="K161" s="39">
        <f>'Data Entry Köln City Plaza'!AA161</f>
        <v>0</v>
      </c>
      <c r="L161" s="39">
        <f>'Data Entry Köln City Plaza'!AD161</f>
        <v>0</v>
      </c>
      <c r="M161" s="39">
        <f>'Data Entry Köln City Plaza'!AG161</f>
        <v>0</v>
      </c>
      <c r="N161" s="39">
        <f>'Data Entry Köln City Plaza'!AJ161</f>
        <v>0</v>
      </c>
      <c r="O161" s="39">
        <f>'Data Entry Köln City Plaza'!AM161</f>
        <v>0</v>
      </c>
    </row>
    <row r="162" spans="2:15" ht="14" x14ac:dyDescent="0.15">
      <c r="B162" s="42" t="s">
        <v>115</v>
      </c>
      <c r="C162" s="39">
        <f>'Data Entry Köln City Plaza'!C162</f>
        <v>664742.78529999999</v>
      </c>
      <c r="D162" s="39">
        <f>'Data Entry Köln City Plaza'!F162</f>
        <v>33531.5</v>
      </c>
      <c r="E162" s="39">
        <f>'Data Entry Köln City Plaza'!I162</f>
        <v>48743.99</v>
      </c>
      <c r="F162" s="39">
        <f>'Data Entry Köln City Plaza'!L162</f>
        <v>64428.23</v>
      </c>
      <c r="G162" s="39">
        <f>'Data Entry Köln City Plaza'!O162</f>
        <v>70124.5</v>
      </c>
      <c r="H162" s="39">
        <f>'Data Entry Köln City Plaza'!R162</f>
        <v>57589.048799999997</v>
      </c>
      <c r="I162" s="39">
        <f>'Data Entry Köln City Plaza'!U162</f>
        <v>50487.389600000002</v>
      </c>
      <c r="J162" s="39">
        <f>'Data Entry Köln City Plaza'!X162</f>
        <v>38554.831200000001</v>
      </c>
      <c r="K162" s="39">
        <f>'Data Entry Köln City Plaza'!AA162</f>
        <v>54712.265200000002</v>
      </c>
      <c r="L162" s="39">
        <f>'Data Entry Köln City Plaza'!AD162</f>
        <v>62203.379200000003</v>
      </c>
      <c r="M162" s="39">
        <f>'Data Entry Köln City Plaza'!AG162</f>
        <v>75088.710900000005</v>
      </c>
      <c r="N162" s="39">
        <f>'Data Entry Köln City Plaza'!AJ162</f>
        <v>58989.729200000002</v>
      </c>
      <c r="O162" s="39">
        <f>'Data Entry Köln City Plaza'!AM162</f>
        <v>50289.211199999998</v>
      </c>
    </row>
    <row r="163" spans="2:15" ht="14" x14ac:dyDescent="0.15">
      <c r="B163" s="38" t="s">
        <v>116</v>
      </c>
      <c r="C163" s="39">
        <f>'Data Entry Köln City Plaza'!C163</f>
        <v>325823.01500000001</v>
      </c>
      <c r="D163" s="39">
        <f>'Data Entry Köln City Plaza'!F163</f>
        <v>12977.09</v>
      </c>
      <c r="E163" s="39">
        <f>'Data Entry Köln City Plaza'!I163</f>
        <v>25332.49</v>
      </c>
      <c r="F163" s="39">
        <f>'Data Entry Köln City Plaza'!L163</f>
        <v>29887.37</v>
      </c>
      <c r="G163" s="39">
        <f>'Data Entry Köln City Plaza'!O163</f>
        <v>48882.04</v>
      </c>
      <c r="H163" s="39">
        <f>'Data Entry Köln City Plaza'!R163</f>
        <v>27069.35</v>
      </c>
      <c r="I163" s="39">
        <f>'Data Entry Köln City Plaza'!U163</f>
        <v>23608.2</v>
      </c>
      <c r="J163" s="39">
        <f>'Data Entry Köln City Plaza'!X163</f>
        <v>18040.224999999999</v>
      </c>
      <c r="K163" s="39">
        <f>'Data Entry Köln City Plaza'!AA163</f>
        <v>25737.25</v>
      </c>
      <c r="L163" s="39">
        <f>'Data Entry Köln City Plaza'!AD163</f>
        <v>28738.5</v>
      </c>
      <c r="M163" s="39">
        <f>'Data Entry Köln City Plaza'!AG163</f>
        <v>35295.75</v>
      </c>
      <c r="N163" s="39">
        <f>'Data Entry Köln City Plaza'!AJ163</f>
        <v>27018.25</v>
      </c>
      <c r="O163" s="39">
        <f>'Data Entry Köln City Plaza'!AM163</f>
        <v>23236.5</v>
      </c>
    </row>
    <row r="164" spans="2:15" ht="14" x14ac:dyDescent="0.15">
      <c r="B164" s="38" t="s">
        <v>117</v>
      </c>
      <c r="C164" s="39">
        <f>'Data Entry Köln City Plaza'!C164</f>
        <v>204699.94500000001</v>
      </c>
      <c r="D164" s="39">
        <f>'Data Entry Köln City Plaza'!F164</f>
        <v>13408.36</v>
      </c>
      <c r="E164" s="39">
        <f>'Data Entry Köln City Plaza'!I164</f>
        <v>14016.62</v>
      </c>
      <c r="F164" s="39">
        <f>'Data Entry Köln City Plaza'!L164</f>
        <v>21783.279999999999</v>
      </c>
      <c r="G164" s="39">
        <f>'Data Entry Köln City Plaza'!O164</f>
        <v>6988.81</v>
      </c>
      <c r="H164" s="39">
        <f>'Data Entry Köln City Plaza'!R164</f>
        <v>19260.25</v>
      </c>
      <c r="I164" s="39">
        <f>'Data Entry Köln City Plaza'!U164</f>
        <v>16788</v>
      </c>
      <c r="J164" s="39">
        <f>'Data Entry Köln City Plaza'!X164</f>
        <v>12823.375</v>
      </c>
      <c r="K164" s="39">
        <f>'Data Entry Köln City Plaza'!AA164</f>
        <v>18296.25</v>
      </c>
      <c r="L164" s="39">
        <f>'Data Entry Köln City Plaza'!AD164</f>
        <v>20452.5</v>
      </c>
      <c r="M164" s="39">
        <f>'Data Entry Köln City Plaza'!AG164</f>
        <v>25123.75</v>
      </c>
      <c r="N164" s="39">
        <f>'Data Entry Köln City Plaza'!AJ164</f>
        <v>19236.25</v>
      </c>
      <c r="O164" s="39">
        <f>'Data Entry Köln City Plaza'!AM164</f>
        <v>16522.5</v>
      </c>
    </row>
    <row r="165" spans="2:15" ht="14" x14ac:dyDescent="0.15">
      <c r="B165" s="38" t="s">
        <v>118</v>
      </c>
      <c r="C165" s="39">
        <f>'Data Entry Köln City Plaza'!C165</f>
        <v>68658.205000000002</v>
      </c>
      <c r="D165" s="39">
        <f>'Data Entry Köln City Plaza'!F165</f>
        <v>4017.31</v>
      </c>
      <c r="E165" s="39">
        <f>'Data Entry Köln City Plaza'!I165</f>
        <v>2244.7600000000002</v>
      </c>
      <c r="F165" s="39">
        <f>'Data Entry Köln City Plaza'!L165</f>
        <v>6106.56</v>
      </c>
      <c r="G165" s="39">
        <f>'Data Entry Köln City Plaza'!O165</f>
        <v>7974.88</v>
      </c>
      <c r="H165" s="39">
        <f>'Data Entry Köln City Plaza'!R165</f>
        <v>6163.28</v>
      </c>
      <c r="I165" s="39">
        <f>'Data Entry Köln City Plaza'!U165</f>
        <v>5372.16</v>
      </c>
      <c r="J165" s="39">
        <f>'Data Entry Köln City Plaza'!X165</f>
        <v>4103.4799999999996</v>
      </c>
      <c r="K165" s="39">
        <f>'Data Entry Köln City Plaza'!AA165</f>
        <v>5854.8</v>
      </c>
      <c r="L165" s="39">
        <f>'Data Entry Köln City Plaza'!AD165</f>
        <v>6953.85</v>
      </c>
      <c r="M165" s="39">
        <f>'Data Entry Köln City Plaza'!AG165</f>
        <v>8039.6</v>
      </c>
      <c r="N165" s="39">
        <f>'Data Entry Köln City Plaza'!AJ165</f>
        <v>6540.3249999999998</v>
      </c>
      <c r="O165" s="39">
        <f>'Data Entry Köln City Plaza'!AM165</f>
        <v>5287.2</v>
      </c>
    </row>
    <row r="166" spans="2:15" ht="14" x14ac:dyDescent="0.15">
      <c r="B166" s="38" t="s">
        <v>119</v>
      </c>
      <c r="C166" s="39">
        <f>'Data Entry Köln City Plaza'!C166</f>
        <v>65561.6204</v>
      </c>
      <c r="D166" s="39">
        <f>'Data Entry Köln City Plaza'!F166</f>
        <v>3128.74</v>
      </c>
      <c r="E166" s="39">
        <f>'Data Entry Köln City Plaza'!I166</f>
        <v>7150.12</v>
      </c>
      <c r="F166" s="39">
        <f>'Data Entry Köln City Plaza'!L166</f>
        <v>6651.02</v>
      </c>
      <c r="G166" s="39">
        <f>'Data Entry Köln City Plaza'!O166</f>
        <v>6278.77</v>
      </c>
      <c r="H166" s="39">
        <f>'Data Entry Köln City Plaza'!R166</f>
        <v>5096.1688000000004</v>
      </c>
      <c r="I166" s="39">
        <f>'Data Entry Köln City Plaza'!U166</f>
        <v>4719.0295999999998</v>
      </c>
      <c r="J166" s="39">
        <f>'Data Entry Köln City Plaza'!X166</f>
        <v>3587.7512000000002</v>
      </c>
      <c r="K166" s="39">
        <f>'Data Entry Köln City Plaza'!AA166</f>
        <v>4823.9651999999996</v>
      </c>
      <c r="L166" s="39">
        <f>'Data Entry Köln City Plaza'!AD166</f>
        <v>6058.5291999999999</v>
      </c>
      <c r="M166" s="39">
        <f>'Data Entry Köln City Plaza'!AG166</f>
        <v>6629.6108999999997</v>
      </c>
      <c r="N166" s="39">
        <f>'Data Entry Köln City Plaza'!AJ166</f>
        <v>6194.9041999999999</v>
      </c>
      <c r="O166" s="39">
        <f>'Data Entry Köln City Plaza'!AM166</f>
        <v>5243.0113000000001</v>
      </c>
    </row>
    <row r="168" spans="2:15" ht="14" x14ac:dyDescent="0.15">
      <c r="B168" s="33" t="s">
        <v>150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5AE9-6882-4556-ACDB-23CB7771DDF7}">
  <sheetPr>
    <pageSetUpPr fitToPage="1"/>
  </sheetPr>
  <dimension ref="B2:AN169"/>
  <sheetViews>
    <sheetView workbookViewId="0">
      <pane xSplit="2" ySplit="10" topLeftCell="C11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149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12207165.7019</v>
      </c>
      <c r="D11" s="7">
        <v>1</v>
      </c>
      <c r="E11"/>
      <c r="F11" s="6">
        <v>625748.57999999996</v>
      </c>
      <c r="G11" s="7">
        <v>1</v>
      </c>
      <c r="H11"/>
      <c r="I11" s="6">
        <v>922580.94</v>
      </c>
      <c r="J11" s="7">
        <v>1</v>
      </c>
      <c r="K11"/>
      <c r="L11" s="6">
        <v>1341236.17</v>
      </c>
      <c r="M11" s="7">
        <v>1</v>
      </c>
      <c r="N11"/>
      <c r="O11" s="6">
        <v>847005.95</v>
      </c>
      <c r="P11" s="7">
        <v>1</v>
      </c>
      <c r="Q11"/>
      <c r="R11" s="6">
        <v>1019233.752</v>
      </c>
      <c r="S11" s="7">
        <v>1</v>
      </c>
      <c r="T11"/>
      <c r="U11" s="6">
        <v>943805.924</v>
      </c>
      <c r="V11" s="7">
        <v>1</v>
      </c>
      <c r="W11"/>
      <c r="X11" s="6">
        <v>717550.24190000002</v>
      </c>
      <c r="Y11" s="7">
        <v>1</v>
      </c>
      <c r="Z11"/>
      <c r="AA11" s="6">
        <v>964793.04</v>
      </c>
      <c r="AB11" s="7">
        <v>1</v>
      </c>
      <c r="AC11"/>
      <c r="AD11" s="6">
        <v>1211705.834</v>
      </c>
      <c r="AE11" s="7">
        <v>1</v>
      </c>
      <c r="AF11"/>
      <c r="AG11" s="6">
        <v>1325922.176</v>
      </c>
      <c r="AH11" s="7">
        <v>1</v>
      </c>
      <c r="AI11"/>
      <c r="AJ11" s="6">
        <v>1238980.844</v>
      </c>
      <c r="AK11" s="7">
        <v>1</v>
      </c>
      <c r="AL11"/>
      <c r="AM11" s="6">
        <v>1048602.25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3930703.5326</v>
      </c>
      <c r="D12" s="7">
        <v>0.32199969000000001</v>
      </c>
      <c r="E12"/>
      <c r="F12" s="6">
        <v>304375.57</v>
      </c>
      <c r="G12" s="7">
        <v>0.48641832000000002</v>
      </c>
      <c r="H12"/>
      <c r="I12" s="6">
        <v>385212</v>
      </c>
      <c r="J12" s="7">
        <v>0.41753734999999997</v>
      </c>
      <c r="K12"/>
      <c r="L12" s="6">
        <v>350402.19</v>
      </c>
      <c r="M12" s="7">
        <v>0.26125315999999998</v>
      </c>
      <c r="N12"/>
      <c r="O12" s="6">
        <v>329705</v>
      </c>
      <c r="P12" s="7">
        <v>0.38925936999999999</v>
      </c>
      <c r="Q12"/>
      <c r="R12" s="6">
        <v>310690.72879999998</v>
      </c>
      <c r="S12" s="7">
        <v>0.30482775000000001</v>
      </c>
      <c r="T12"/>
      <c r="U12" s="6">
        <v>321931.59909999999</v>
      </c>
      <c r="V12" s="7">
        <v>0.34109936000000002</v>
      </c>
      <c r="W12"/>
      <c r="X12" s="6">
        <v>286401.63270000002</v>
      </c>
      <c r="Y12" s="7">
        <v>0.39913809</v>
      </c>
      <c r="Z12"/>
      <c r="AA12" s="6">
        <v>307604.05859999999</v>
      </c>
      <c r="AB12" s="7">
        <v>0.31882906</v>
      </c>
      <c r="AC12"/>
      <c r="AD12" s="6">
        <v>325841.59360000002</v>
      </c>
      <c r="AE12" s="7">
        <v>0.26891146999999999</v>
      </c>
      <c r="AF12"/>
      <c r="AG12" s="6">
        <v>320824.69069999998</v>
      </c>
      <c r="AH12" s="7">
        <v>0.24196344</v>
      </c>
      <c r="AI12"/>
      <c r="AJ12" s="6">
        <v>357023.45429999998</v>
      </c>
      <c r="AK12" s="7">
        <v>0.28815898000000001</v>
      </c>
      <c r="AL12"/>
      <c r="AM12" s="6">
        <v>330691.0148</v>
      </c>
      <c r="AN12" s="7">
        <v>0.31536363000000001</v>
      </c>
    </row>
    <row r="13" spans="2:40" s="314" customFormat="1" ht="12.75" customHeight="1" x14ac:dyDescent="0.15">
      <c r="B13" s="5" t="s">
        <v>23</v>
      </c>
      <c r="C13" s="6">
        <v>3902522.0000999998</v>
      </c>
      <c r="D13" s="7">
        <v>0</v>
      </c>
      <c r="E13"/>
      <c r="F13" s="6">
        <v>50981.77</v>
      </c>
      <c r="G13" s="7">
        <v>0</v>
      </c>
      <c r="H13"/>
      <c r="I13" s="6">
        <v>129803.53</v>
      </c>
      <c r="J13" s="7">
        <v>0</v>
      </c>
      <c r="K13"/>
      <c r="L13" s="6">
        <v>536569.75</v>
      </c>
      <c r="M13" s="7">
        <v>0</v>
      </c>
      <c r="N13"/>
      <c r="O13" s="6">
        <v>311949.86</v>
      </c>
      <c r="P13" s="7">
        <v>0</v>
      </c>
      <c r="Q13"/>
      <c r="R13" s="6">
        <v>341441.7905</v>
      </c>
      <c r="S13" s="7">
        <v>0</v>
      </c>
      <c r="T13"/>
      <c r="U13" s="6">
        <v>270287.2758</v>
      </c>
      <c r="V13" s="7">
        <v>0</v>
      </c>
      <c r="W13"/>
      <c r="X13" s="6">
        <v>134135.3689</v>
      </c>
      <c r="Y13" s="7">
        <v>0</v>
      </c>
      <c r="Z13"/>
      <c r="AA13" s="6">
        <v>303536.37170000002</v>
      </c>
      <c r="AB13" s="7">
        <v>0</v>
      </c>
      <c r="AC13"/>
      <c r="AD13" s="6">
        <v>455459.18349999998</v>
      </c>
      <c r="AE13" s="7">
        <v>0</v>
      </c>
      <c r="AF13"/>
      <c r="AG13" s="6">
        <v>566989.51359999995</v>
      </c>
      <c r="AH13" s="7">
        <v>0</v>
      </c>
      <c r="AI13"/>
      <c r="AJ13" s="6">
        <v>453931.98509999999</v>
      </c>
      <c r="AK13" s="7">
        <v>0</v>
      </c>
      <c r="AL13"/>
      <c r="AM13" s="6">
        <v>347435.60100000002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86505</v>
      </c>
      <c r="D14" s="7">
        <v>0</v>
      </c>
      <c r="E14"/>
      <c r="F14" s="8">
        <v>7347</v>
      </c>
      <c r="G14" s="7">
        <v>0</v>
      </c>
      <c r="H14"/>
      <c r="I14" s="8">
        <v>6636</v>
      </c>
      <c r="J14" s="7">
        <v>0</v>
      </c>
      <c r="K14"/>
      <c r="L14" s="8">
        <v>7347</v>
      </c>
      <c r="M14" s="7">
        <v>0</v>
      </c>
      <c r="N14"/>
      <c r="O14" s="8">
        <v>7110</v>
      </c>
      <c r="P14" s="7">
        <v>0</v>
      </c>
      <c r="Q14"/>
      <c r="R14" s="8">
        <v>7347</v>
      </c>
      <c r="S14" s="7">
        <v>0</v>
      </c>
      <c r="T14"/>
      <c r="U14" s="8">
        <v>7110</v>
      </c>
      <c r="V14" s="7">
        <v>0</v>
      </c>
      <c r="W14"/>
      <c r="X14" s="8">
        <v>7347</v>
      </c>
      <c r="Y14" s="7">
        <v>0</v>
      </c>
      <c r="Z14"/>
      <c r="AA14" s="8">
        <v>7347</v>
      </c>
      <c r="AB14" s="7">
        <v>0</v>
      </c>
      <c r="AC14"/>
      <c r="AD14" s="8">
        <v>7110</v>
      </c>
      <c r="AE14" s="7">
        <v>0</v>
      </c>
      <c r="AF14"/>
      <c r="AG14" s="8">
        <v>7347</v>
      </c>
      <c r="AH14" s="7">
        <v>0</v>
      </c>
      <c r="AI14"/>
      <c r="AJ14" s="8">
        <v>7110</v>
      </c>
      <c r="AK14" s="7">
        <v>0</v>
      </c>
      <c r="AL14"/>
      <c r="AM14" s="8">
        <v>7347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65883</v>
      </c>
      <c r="D15" s="7">
        <v>0</v>
      </c>
      <c r="E15"/>
      <c r="F15" s="9">
        <v>3751</v>
      </c>
      <c r="G15" s="7">
        <v>0</v>
      </c>
      <c r="H15"/>
      <c r="I15" s="9">
        <v>9193</v>
      </c>
      <c r="J15" s="7">
        <v>0</v>
      </c>
      <c r="K15"/>
      <c r="L15" s="9">
        <v>5221</v>
      </c>
      <c r="M15" s="7">
        <v>0</v>
      </c>
      <c r="N15"/>
      <c r="O15" s="9">
        <v>4593</v>
      </c>
      <c r="P15" s="7">
        <v>0</v>
      </c>
      <c r="Q15"/>
      <c r="R15" s="9">
        <v>5650</v>
      </c>
      <c r="S15" s="7">
        <v>0</v>
      </c>
      <c r="T15"/>
      <c r="U15" s="9">
        <v>4980</v>
      </c>
      <c r="V15" s="7">
        <v>0</v>
      </c>
      <c r="W15"/>
      <c r="X15" s="9">
        <v>4545</v>
      </c>
      <c r="Y15" s="7">
        <v>0</v>
      </c>
      <c r="Z15"/>
      <c r="AA15" s="9">
        <v>5500</v>
      </c>
      <c r="AB15" s="7">
        <v>0</v>
      </c>
      <c r="AC15"/>
      <c r="AD15" s="9">
        <v>6150</v>
      </c>
      <c r="AE15" s="7">
        <v>0</v>
      </c>
      <c r="AF15"/>
      <c r="AG15" s="9">
        <v>5600</v>
      </c>
      <c r="AH15" s="7">
        <v>0</v>
      </c>
      <c r="AI15"/>
      <c r="AJ15" s="9">
        <v>5700</v>
      </c>
      <c r="AK15" s="7">
        <v>0</v>
      </c>
      <c r="AL15"/>
      <c r="AM15" s="9">
        <v>5000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76.495000289000998</v>
      </c>
      <c r="D16" s="7">
        <v>0</v>
      </c>
      <c r="E16"/>
      <c r="F16" s="8">
        <v>51.599292228119999</v>
      </c>
      <c r="G16" s="7">
        <v>0</v>
      </c>
      <c r="H16"/>
      <c r="I16" s="8">
        <v>139.36106088004999</v>
      </c>
      <c r="J16" s="7">
        <v>0</v>
      </c>
      <c r="K16"/>
      <c r="L16" s="8">
        <v>72.002177759630001</v>
      </c>
      <c r="M16" s="7">
        <v>0</v>
      </c>
      <c r="N16"/>
      <c r="O16" s="8">
        <v>66.357243319269003</v>
      </c>
      <c r="P16" s="7">
        <v>0</v>
      </c>
      <c r="Q16"/>
      <c r="R16" s="8">
        <v>76.902136926636999</v>
      </c>
      <c r="S16" s="7">
        <v>0</v>
      </c>
      <c r="T16"/>
      <c r="U16" s="8">
        <v>70.042194092827003</v>
      </c>
      <c r="V16" s="7">
        <v>0</v>
      </c>
      <c r="W16"/>
      <c r="X16" s="8">
        <v>61.861984483462997</v>
      </c>
      <c r="Y16" s="7">
        <v>0</v>
      </c>
      <c r="Z16"/>
      <c r="AA16" s="8">
        <v>74.860487273716998</v>
      </c>
      <c r="AB16" s="7">
        <v>0</v>
      </c>
      <c r="AC16"/>
      <c r="AD16" s="8">
        <v>86.497890295358999</v>
      </c>
      <c r="AE16" s="7">
        <v>0</v>
      </c>
      <c r="AF16"/>
      <c r="AG16" s="8">
        <v>76.22158704233</v>
      </c>
      <c r="AH16" s="7">
        <v>0</v>
      </c>
      <c r="AI16"/>
      <c r="AJ16" s="8">
        <v>80.168776371307999</v>
      </c>
      <c r="AK16" s="7">
        <v>0</v>
      </c>
      <c r="AL16"/>
      <c r="AM16" s="8">
        <v>68.054988430652003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127.97115431902</v>
      </c>
      <c r="D17" s="7">
        <v>0</v>
      </c>
      <c r="E17"/>
      <c r="F17" s="9">
        <v>98.846931484937002</v>
      </c>
      <c r="G17" s="7">
        <v>0</v>
      </c>
      <c r="H17"/>
      <c r="I17" s="9">
        <v>61.997664527357998</v>
      </c>
      <c r="J17" s="7">
        <v>0</v>
      </c>
      <c r="K17"/>
      <c r="L17" s="9">
        <v>170.34202260103001</v>
      </c>
      <c r="M17" s="7">
        <v>0</v>
      </c>
      <c r="N17"/>
      <c r="O17" s="9">
        <v>138.67482908773999</v>
      </c>
      <c r="P17" s="7">
        <v>0</v>
      </c>
      <c r="Q17"/>
      <c r="R17" s="9">
        <v>136.88672566372</v>
      </c>
      <c r="S17" s="7">
        <v>0</v>
      </c>
      <c r="T17"/>
      <c r="U17" s="9">
        <v>135.44578313253001</v>
      </c>
      <c r="V17" s="7">
        <v>0</v>
      </c>
      <c r="W17"/>
      <c r="X17" s="9">
        <v>113.40704070407</v>
      </c>
      <c r="Y17" s="7">
        <v>0</v>
      </c>
      <c r="Z17"/>
      <c r="AA17" s="9">
        <v>133.69999999999999</v>
      </c>
      <c r="AB17" s="7">
        <v>0</v>
      </c>
      <c r="AC17"/>
      <c r="AD17" s="9">
        <v>133.51219512194999</v>
      </c>
      <c r="AE17" s="7">
        <v>0</v>
      </c>
      <c r="AF17"/>
      <c r="AG17" s="9">
        <v>180.08035714286001</v>
      </c>
      <c r="AH17" s="7">
        <v>0</v>
      </c>
      <c r="AI17"/>
      <c r="AJ17" s="9">
        <v>135.42982456140001</v>
      </c>
      <c r="AK17" s="7">
        <v>0</v>
      </c>
      <c r="AL17"/>
      <c r="AM17" s="9">
        <v>132.78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97.178664585861995</v>
      </c>
      <c r="D18" s="7">
        <v>0</v>
      </c>
      <c r="E18"/>
      <c r="F18" s="6">
        <v>50.522625561453999</v>
      </c>
      <c r="G18" s="7">
        <v>0</v>
      </c>
      <c r="H18"/>
      <c r="I18" s="6">
        <v>85.858595539481996</v>
      </c>
      <c r="J18" s="7">
        <v>0</v>
      </c>
      <c r="K18"/>
      <c r="L18" s="6">
        <v>121.00566353614001</v>
      </c>
      <c r="M18" s="7">
        <v>0</v>
      </c>
      <c r="N18"/>
      <c r="O18" s="6">
        <v>89.500618846695005</v>
      </c>
      <c r="P18" s="7">
        <v>0</v>
      </c>
      <c r="Q18"/>
      <c r="R18" s="6">
        <v>104.86048727372</v>
      </c>
      <c r="S18" s="7">
        <v>0</v>
      </c>
      <c r="T18"/>
      <c r="U18" s="6">
        <v>94.447257383966004</v>
      </c>
      <c r="V18" s="7">
        <v>0</v>
      </c>
      <c r="W18"/>
      <c r="X18" s="6">
        <v>69.815570981353005</v>
      </c>
      <c r="Y18" s="7">
        <v>0</v>
      </c>
      <c r="Z18"/>
      <c r="AA18" s="6">
        <v>99.612086565945006</v>
      </c>
      <c r="AB18" s="7">
        <v>0</v>
      </c>
      <c r="AC18"/>
      <c r="AD18" s="6">
        <v>115.06329113923999</v>
      </c>
      <c r="AE18" s="7">
        <v>0</v>
      </c>
      <c r="AF18"/>
      <c r="AG18" s="6">
        <v>136.78372124677</v>
      </c>
      <c r="AH18" s="7">
        <v>0</v>
      </c>
      <c r="AI18"/>
      <c r="AJ18" s="6">
        <v>108.22081575246</v>
      </c>
      <c r="AK18" s="7">
        <v>0</v>
      </c>
      <c r="AL18"/>
      <c r="AM18" s="6">
        <v>89.955083707636007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141.11514596729</v>
      </c>
      <c r="D19" s="7">
        <v>0</v>
      </c>
      <c r="E19"/>
      <c r="F19" s="9">
        <v>85.170624744793997</v>
      </c>
      <c r="G19" s="7">
        <v>0</v>
      </c>
      <c r="H19"/>
      <c r="I19" s="9">
        <v>139.02666365280001</v>
      </c>
      <c r="J19" s="7">
        <v>0</v>
      </c>
      <c r="K19"/>
      <c r="L19" s="9">
        <v>182.55562406423999</v>
      </c>
      <c r="M19" s="7">
        <v>0</v>
      </c>
      <c r="N19"/>
      <c r="O19" s="9">
        <v>119.12882559774999</v>
      </c>
      <c r="P19" s="7">
        <v>0</v>
      </c>
      <c r="Q19"/>
      <c r="R19" s="9">
        <v>138.72788240098001</v>
      </c>
      <c r="S19" s="7">
        <v>0</v>
      </c>
      <c r="T19"/>
      <c r="U19" s="9">
        <v>132.74344922643999</v>
      </c>
      <c r="V19" s="7">
        <v>0</v>
      </c>
      <c r="W19"/>
      <c r="X19" s="9">
        <v>97.665746821832002</v>
      </c>
      <c r="Y19" s="7">
        <v>0</v>
      </c>
      <c r="Z19"/>
      <c r="AA19" s="9">
        <v>131.31795835035001</v>
      </c>
      <c r="AB19" s="7">
        <v>0</v>
      </c>
      <c r="AC19"/>
      <c r="AD19" s="9">
        <v>170.42276146272999</v>
      </c>
      <c r="AE19" s="7">
        <v>0</v>
      </c>
      <c r="AF19"/>
      <c r="AG19" s="9">
        <v>180.47123669525001</v>
      </c>
      <c r="AH19" s="7">
        <v>0</v>
      </c>
      <c r="AI19"/>
      <c r="AJ19" s="9">
        <v>174.25890914204999</v>
      </c>
      <c r="AK19" s="7">
        <v>0</v>
      </c>
      <c r="AL19"/>
      <c r="AM19" s="9">
        <v>142.72522798420999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97796.7</v>
      </c>
      <c r="D20" s="7">
        <v>0</v>
      </c>
      <c r="E20"/>
      <c r="F20" s="8">
        <v>5165</v>
      </c>
      <c r="G20" s="7">
        <v>0</v>
      </c>
      <c r="H20"/>
      <c r="I20" s="8">
        <v>12372</v>
      </c>
      <c r="J20" s="7">
        <v>0</v>
      </c>
      <c r="K20"/>
      <c r="L20" s="8">
        <v>7189</v>
      </c>
      <c r="M20" s="7">
        <v>0</v>
      </c>
      <c r="N20"/>
      <c r="O20" s="8">
        <v>6195</v>
      </c>
      <c r="P20" s="7">
        <v>0</v>
      </c>
      <c r="Q20"/>
      <c r="R20" s="8">
        <v>8136</v>
      </c>
      <c r="S20" s="7">
        <v>0</v>
      </c>
      <c r="T20"/>
      <c r="U20" s="8">
        <v>6972</v>
      </c>
      <c r="V20" s="7">
        <v>0</v>
      </c>
      <c r="W20"/>
      <c r="X20" s="8">
        <v>6635.7</v>
      </c>
      <c r="Y20" s="7">
        <v>0</v>
      </c>
      <c r="Z20"/>
      <c r="AA20" s="8">
        <v>7920</v>
      </c>
      <c r="AB20" s="7">
        <v>0</v>
      </c>
      <c r="AC20"/>
      <c r="AD20" s="8">
        <v>9102</v>
      </c>
      <c r="AE20" s="7">
        <v>0</v>
      </c>
      <c r="AF20"/>
      <c r="AG20" s="8">
        <v>9968</v>
      </c>
      <c r="AH20" s="7">
        <v>0</v>
      </c>
      <c r="AI20"/>
      <c r="AJ20" s="8">
        <v>8892</v>
      </c>
      <c r="AK20" s="7">
        <v>0</v>
      </c>
      <c r="AL20"/>
      <c r="AM20" s="8">
        <v>9250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1.4779166414798</v>
      </c>
      <c r="D21" s="7">
        <v>0</v>
      </c>
      <c r="E21"/>
      <c r="F21" s="9">
        <v>1.3624373516223001</v>
      </c>
      <c r="G21" s="7">
        <v>0</v>
      </c>
      <c r="H21"/>
      <c r="I21" s="9">
        <v>1.3378027681661</v>
      </c>
      <c r="J21" s="7">
        <v>0</v>
      </c>
      <c r="K21"/>
      <c r="L21" s="9">
        <v>1.3589792060490999</v>
      </c>
      <c r="M21" s="7">
        <v>0</v>
      </c>
      <c r="N21"/>
      <c r="O21" s="9">
        <v>1.3130563798220001</v>
      </c>
      <c r="P21" s="7">
        <v>0</v>
      </c>
      <c r="Q21"/>
      <c r="R21" s="9">
        <v>1.44</v>
      </c>
      <c r="S21" s="7">
        <v>0</v>
      </c>
      <c r="T21"/>
      <c r="U21" s="9">
        <v>1.4</v>
      </c>
      <c r="V21" s="7">
        <v>0</v>
      </c>
      <c r="W21"/>
      <c r="X21" s="9">
        <v>1.46</v>
      </c>
      <c r="Y21" s="7">
        <v>0</v>
      </c>
      <c r="Z21"/>
      <c r="AA21" s="9">
        <v>1.44</v>
      </c>
      <c r="AB21" s="7">
        <v>0</v>
      </c>
      <c r="AC21"/>
      <c r="AD21" s="9">
        <v>1.48</v>
      </c>
      <c r="AE21" s="7">
        <v>0</v>
      </c>
      <c r="AF21"/>
      <c r="AG21" s="9">
        <v>1.78</v>
      </c>
      <c r="AH21" s="7">
        <v>0</v>
      </c>
      <c r="AI21"/>
      <c r="AJ21" s="9">
        <v>1.56</v>
      </c>
      <c r="AK21" s="7">
        <v>0</v>
      </c>
      <c r="AL21"/>
      <c r="AM21" s="9">
        <v>1.85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86938.41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10576.8</v>
      </c>
      <c r="S22" s="7">
        <v>0</v>
      </c>
      <c r="T22"/>
      <c r="U22" s="8">
        <v>9063.6</v>
      </c>
      <c r="V22" s="7">
        <v>0</v>
      </c>
      <c r="W22"/>
      <c r="X22" s="8">
        <v>8626.41</v>
      </c>
      <c r="Y22" s="7">
        <v>0</v>
      </c>
      <c r="Z22"/>
      <c r="AA22" s="8">
        <v>10296</v>
      </c>
      <c r="AB22" s="7">
        <v>0</v>
      </c>
      <c r="AC22"/>
      <c r="AD22" s="8">
        <v>11832.6</v>
      </c>
      <c r="AE22" s="7">
        <v>0</v>
      </c>
      <c r="AF22"/>
      <c r="AG22" s="8">
        <v>12958.4</v>
      </c>
      <c r="AH22" s="7">
        <v>0</v>
      </c>
      <c r="AI22"/>
      <c r="AJ22" s="8">
        <v>11559.6</v>
      </c>
      <c r="AK22" s="7">
        <v>0</v>
      </c>
      <c r="AL22"/>
      <c r="AM22" s="8">
        <v>12025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53.431699999999999</v>
      </c>
      <c r="D23" s="7">
        <v>0</v>
      </c>
      <c r="E23"/>
      <c r="F23" s="8">
        <v>66.91</v>
      </c>
      <c r="G23" s="7">
        <v>0</v>
      </c>
      <c r="H23"/>
      <c r="I23" s="8">
        <v>67.180000000000007</v>
      </c>
      <c r="J23" s="7">
        <v>0</v>
      </c>
      <c r="K23"/>
      <c r="L23" s="8">
        <v>66.180000000000007</v>
      </c>
      <c r="M23" s="7">
        <v>0</v>
      </c>
      <c r="N23"/>
      <c r="O23" s="8">
        <v>66.45</v>
      </c>
      <c r="P23" s="7">
        <v>0</v>
      </c>
      <c r="Q23"/>
      <c r="R23" s="8">
        <v>48.87</v>
      </c>
      <c r="S23" s="7">
        <v>0</v>
      </c>
      <c r="T23"/>
      <c r="U23" s="8">
        <v>47.87</v>
      </c>
      <c r="V23" s="7">
        <v>0</v>
      </c>
      <c r="W23"/>
      <c r="X23" s="8">
        <v>46.87</v>
      </c>
      <c r="Y23" s="7">
        <v>0</v>
      </c>
      <c r="Z23"/>
      <c r="AA23" s="8">
        <v>45.87</v>
      </c>
      <c r="AB23" s="7">
        <v>0</v>
      </c>
      <c r="AC23"/>
      <c r="AD23" s="8">
        <v>45.87</v>
      </c>
      <c r="AE23" s="7">
        <v>0</v>
      </c>
      <c r="AF23"/>
      <c r="AG23" s="8">
        <v>46.37</v>
      </c>
      <c r="AH23" s="7">
        <v>0</v>
      </c>
      <c r="AI23"/>
      <c r="AJ23" s="8">
        <v>46.37</v>
      </c>
      <c r="AK23" s="7">
        <v>0</v>
      </c>
      <c r="AL23"/>
      <c r="AM23" s="8">
        <v>46.37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12207165.7019</v>
      </c>
      <c r="D27" s="327">
        <v>1</v>
      </c>
      <c r="E27"/>
      <c r="F27" s="326">
        <v>625748.57999999996</v>
      </c>
      <c r="G27" s="327">
        <v>1</v>
      </c>
      <c r="H27"/>
      <c r="I27" s="326">
        <v>922580.94</v>
      </c>
      <c r="J27" s="327">
        <v>1</v>
      </c>
      <c r="K27"/>
      <c r="L27" s="326">
        <v>1341236.17</v>
      </c>
      <c r="M27" s="327">
        <v>1</v>
      </c>
      <c r="N27"/>
      <c r="O27" s="326">
        <v>847005.95</v>
      </c>
      <c r="P27" s="327">
        <v>1</v>
      </c>
      <c r="Q27"/>
      <c r="R27" s="326">
        <v>1019233.752</v>
      </c>
      <c r="S27" s="327">
        <v>1</v>
      </c>
      <c r="T27"/>
      <c r="U27" s="326">
        <v>943805.924</v>
      </c>
      <c r="V27" s="327">
        <v>1</v>
      </c>
      <c r="W27"/>
      <c r="X27" s="326">
        <v>717550.24190000002</v>
      </c>
      <c r="Y27" s="327">
        <v>1</v>
      </c>
      <c r="Z27"/>
      <c r="AA27" s="326">
        <v>964793.04</v>
      </c>
      <c r="AB27" s="327">
        <v>1</v>
      </c>
      <c r="AC27"/>
      <c r="AD27" s="326">
        <v>1211705.834</v>
      </c>
      <c r="AE27" s="327">
        <v>1</v>
      </c>
      <c r="AF27"/>
      <c r="AG27" s="326">
        <v>1325922.176</v>
      </c>
      <c r="AH27" s="327">
        <v>1</v>
      </c>
      <c r="AI27"/>
      <c r="AJ27" s="326">
        <v>1238980.844</v>
      </c>
      <c r="AK27" s="327">
        <v>1</v>
      </c>
      <c r="AL27"/>
      <c r="AM27" s="326">
        <v>1048602.25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8431123.5600000005</v>
      </c>
      <c r="D28" s="7">
        <v>0.69067003000000005</v>
      </c>
      <c r="E28"/>
      <c r="F28" s="8">
        <v>370774.84</v>
      </c>
      <c r="G28" s="7">
        <v>0.59253005000000003</v>
      </c>
      <c r="H28"/>
      <c r="I28" s="8">
        <v>569944.53</v>
      </c>
      <c r="J28" s="7">
        <v>0.61777185000000001</v>
      </c>
      <c r="K28"/>
      <c r="L28" s="8">
        <v>889355.7</v>
      </c>
      <c r="M28" s="7">
        <v>0.66308657999999998</v>
      </c>
      <c r="N28"/>
      <c r="O28" s="8">
        <v>636933.49</v>
      </c>
      <c r="P28" s="7">
        <v>0.75198231000000004</v>
      </c>
      <c r="Q28"/>
      <c r="R28" s="8">
        <v>773410</v>
      </c>
      <c r="S28" s="7">
        <v>0.75881513999999994</v>
      </c>
      <c r="T28"/>
      <c r="U28" s="8">
        <v>674520</v>
      </c>
      <c r="V28" s="7">
        <v>0.71468082999999993</v>
      </c>
      <c r="W28"/>
      <c r="X28" s="8">
        <v>515435</v>
      </c>
      <c r="Y28" s="7">
        <v>0.71832600999999996</v>
      </c>
      <c r="Z28"/>
      <c r="AA28" s="8">
        <v>735350</v>
      </c>
      <c r="AB28" s="7">
        <v>0.76218418999999993</v>
      </c>
      <c r="AC28"/>
      <c r="AD28" s="8">
        <v>821100</v>
      </c>
      <c r="AE28" s="7">
        <v>0.67763971999999995</v>
      </c>
      <c r="AF28"/>
      <c r="AG28" s="8">
        <v>1008450</v>
      </c>
      <c r="AH28" s="7">
        <v>0.76056500000000005</v>
      </c>
      <c r="AI28"/>
      <c r="AJ28" s="8">
        <v>771950</v>
      </c>
      <c r="AK28" s="7">
        <v>0.62305241</v>
      </c>
      <c r="AL28"/>
      <c r="AM28" s="8">
        <v>663900</v>
      </c>
      <c r="AN28" s="7">
        <v>0.63312853000000002</v>
      </c>
    </row>
    <row r="29" spans="2:40" s="314" customFormat="1" ht="12.75" customHeight="1" x14ac:dyDescent="0.15">
      <c r="B29" s="5" t="s">
        <v>36</v>
      </c>
      <c r="C29" s="8">
        <v>3315244.6518999999</v>
      </c>
      <c r="D29" s="7">
        <v>0.27158185000000001</v>
      </c>
      <c r="E29"/>
      <c r="F29" s="8">
        <v>227781.29</v>
      </c>
      <c r="G29" s="7">
        <v>0.36401407000000002</v>
      </c>
      <c r="H29"/>
      <c r="I29" s="8">
        <v>309443.12</v>
      </c>
      <c r="J29" s="7">
        <v>0.33541027000000001</v>
      </c>
      <c r="K29"/>
      <c r="L29" s="8">
        <v>403802.54</v>
      </c>
      <c r="M29" s="7">
        <v>0.30106744000000002</v>
      </c>
      <c r="N29"/>
      <c r="O29" s="8">
        <v>164515.14000000001</v>
      </c>
      <c r="P29" s="7">
        <v>0.19423139</v>
      </c>
      <c r="Q29"/>
      <c r="R29" s="8">
        <v>212799.75200000001</v>
      </c>
      <c r="S29" s="7">
        <v>0.20878405</v>
      </c>
      <c r="T29"/>
      <c r="U29" s="8">
        <v>232089.12400000001</v>
      </c>
      <c r="V29" s="7">
        <v>0.24590767999999999</v>
      </c>
      <c r="W29"/>
      <c r="X29" s="8">
        <v>175026.54190000001</v>
      </c>
      <c r="Y29" s="7">
        <v>0.24392235000000001</v>
      </c>
      <c r="Z29"/>
      <c r="AA29" s="8">
        <v>192713.04</v>
      </c>
      <c r="AB29" s="7">
        <v>0.19974547000000001</v>
      </c>
      <c r="AC29"/>
      <c r="AD29" s="8">
        <v>349986.83399999997</v>
      </c>
      <c r="AE29" s="7">
        <v>0.28883811999999998</v>
      </c>
      <c r="AF29"/>
      <c r="AG29" s="8">
        <v>274136.17599999998</v>
      </c>
      <c r="AH29" s="7">
        <v>0.20675133000000001</v>
      </c>
      <c r="AI29"/>
      <c r="AJ29" s="8">
        <v>422048.84399999998</v>
      </c>
      <c r="AK29" s="7">
        <v>0.34064193999999998</v>
      </c>
      <c r="AL29"/>
      <c r="AM29" s="8">
        <v>350902.25</v>
      </c>
      <c r="AN29" s="7">
        <v>0.33463809</v>
      </c>
    </row>
    <row r="30" spans="2:40" s="314" customFormat="1" ht="12.75" customHeight="1" x14ac:dyDescent="0.15">
      <c r="B30" s="5" t="s">
        <v>37</v>
      </c>
      <c r="C30" s="8">
        <v>328832.09000000003</v>
      </c>
      <c r="D30" s="7">
        <v>2.6937630000000001E-2</v>
      </c>
      <c r="E30"/>
      <c r="F30" s="8">
        <v>23176.14</v>
      </c>
      <c r="G30" s="7">
        <v>3.7037460000000001E-2</v>
      </c>
      <c r="H30"/>
      <c r="I30" s="8">
        <v>30794.18</v>
      </c>
      <c r="J30" s="7">
        <v>3.33783E-2</v>
      </c>
      <c r="K30"/>
      <c r="L30" s="8">
        <v>31900.46</v>
      </c>
      <c r="M30" s="7">
        <v>2.3784369999999999E-2</v>
      </c>
      <c r="N30"/>
      <c r="O30" s="8">
        <v>24684.81</v>
      </c>
      <c r="P30" s="7">
        <v>2.914361E-2</v>
      </c>
      <c r="Q30"/>
      <c r="R30" s="8">
        <v>28024</v>
      </c>
      <c r="S30" s="7">
        <v>2.7495160000000001E-2</v>
      </c>
      <c r="T30"/>
      <c r="U30" s="8">
        <v>25696.799999999999</v>
      </c>
      <c r="V30" s="7">
        <v>2.7226779999999999E-2</v>
      </c>
      <c r="W30"/>
      <c r="X30" s="8">
        <v>22088.7</v>
      </c>
      <c r="Y30" s="7">
        <v>3.078349E-2</v>
      </c>
      <c r="Z30"/>
      <c r="AA30" s="8">
        <v>26730</v>
      </c>
      <c r="AB30" s="7">
        <v>2.7705420000000001E-2</v>
      </c>
      <c r="AC30"/>
      <c r="AD30" s="8">
        <v>31119</v>
      </c>
      <c r="AE30" s="7">
        <v>2.568198E-2</v>
      </c>
      <c r="AF30"/>
      <c r="AG30" s="8">
        <v>28336</v>
      </c>
      <c r="AH30" s="7">
        <v>2.1370790000000001E-2</v>
      </c>
      <c r="AI30"/>
      <c r="AJ30" s="8">
        <v>29982</v>
      </c>
      <c r="AK30" s="7">
        <v>2.4198919999999999E-2</v>
      </c>
      <c r="AL30"/>
      <c r="AM30" s="8">
        <v>26300</v>
      </c>
      <c r="AN30" s="7">
        <v>2.5081010000000001E-2</v>
      </c>
    </row>
    <row r="31" spans="2:40" s="314" customFormat="1" ht="12.75" customHeight="1" x14ac:dyDescent="0.15">
      <c r="B31" s="5" t="s">
        <v>38</v>
      </c>
      <c r="C31" s="8">
        <v>131965.4</v>
      </c>
      <c r="D31" s="7">
        <v>1.0810490000000001E-2</v>
      </c>
      <c r="E31"/>
      <c r="F31" s="8">
        <v>4016.31</v>
      </c>
      <c r="G31" s="7">
        <v>6.4184100000000003E-3</v>
      </c>
      <c r="H31"/>
      <c r="I31" s="8">
        <v>12399.11</v>
      </c>
      <c r="J31" s="7">
        <v>1.343959E-2</v>
      </c>
      <c r="K31"/>
      <c r="L31" s="8">
        <v>16177.47</v>
      </c>
      <c r="M31" s="7">
        <v>1.206161E-2</v>
      </c>
      <c r="N31"/>
      <c r="O31" s="8">
        <v>20872.509999999998</v>
      </c>
      <c r="P31" s="7">
        <v>2.46427E-2</v>
      </c>
      <c r="Q31"/>
      <c r="R31" s="8">
        <v>5000</v>
      </c>
      <c r="S31" s="7">
        <v>4.9056500000000001E-3</v>
      </c>
      <c r="T31"/>
      <c r="U31" s="8">
        <v>11500</v>
      </c>
      <c r="V31" s="7">
        <v>1.218471E-2</v>
      </c>
      <c r="W31"/>
      <c r="X31" s="8">
        <v>5000</v>
      </c>
      <c r="Y31" s="7">
        <v>6.9681499999999993E-3</v>
      </c>
      <c r="Z31"/>
      <c r="AA31" s="8">
        <v>10000</v>
      </c>
      <c r="AB31" s="7">
        <v>1.036492E-2</v>
      </c>
      <c r="AC31"/>
      <c r="AD31" s="8">
        <v>9500</v>
      </c>
      <c r="AE31" s="7">
        <v>7.8401900000000004E-3</v>
      </c>
      <c r="AF31"/>
      <c r="AG31" s="8">
        <v>15000</v>
      </c>
      <c r="AH31" s="7">
        <v>1.1312880000000001E-2</v>
      </c>
      <c r="AI31"/>
      <c r="AJ31" s="8">
        <v>15000</v>
      </c>
      <c r="AK31" s="7">
        <v>1.210672E-2</v>
      </c>
      <c r="AL31"/>
      <c r="AM31" s="8">
        <v>7500</v>
      </c>
      <c r="AN31" s="7">
        <v>7.1523800000000007E-3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8431123.5600000005</v>
      </c>
      <c r="D34" s="327">
        <v>1</v>
      </c>
      <c r="E34"/>
      <c r="F34" s="326">
        <v>370774.84</v>
      </c>
      <c r="G34" s="327">
        <v>1</v>
      </c>
      <c r="H34"/>
      <c r="I34" s="326">
        <v>569944.53</v>
      </c>
      <c r="J34" s="327">
        <v>1</v>
      </c>
      <c r="K34"/>
      <c r="L34" s="326">
        <v>889355.7</v>
      </c>
      <c r="M34" s="327">
        <v>1</v>
      </c>
      <c r="N34"/>
      <c r="O34" s="326">
        <v>636933.49</v>
      </c>
      <c r="P34" s="327">
        <v>1</v>
      </c>
      <c r="Q34"/>
      <c r="R34" s="326">
        <v>773410</v>
      </c>
      <c r="S34" s="327">
        <v>1</v>
      </c>
      <c r="T34"/>
      <c r="U34" s="326">
        <v>674520</v>
      </c>
      <c r="V34" s="327">
        <v>1</v>
      </c>
      <c r="W34"/>
      <c r="X34" s="326">
        <v>515435</v>
      </c>
      <c r="Y34" s="327">
        <v>1</v>
      </c>
      <c r="Z34"/>
      <c r="AA34" s="326">
        <v>735350</v>
      </c>
      <c r="AB34" s="327">
        <v>1</v>
      </c>
      <c r="AC34"/>
      <c r="AD34" s="326">
        <v>821100</v>
      </c>
      <c r="AE34" s="327">
        <v>1</v>
      </c>
      <c r="AF34"/>
      <c r="AG34" s="326">
        <v>1008450</v>
      </c>
      <c r="AH34" s="327">
        <v>1</v>
      </c>
      <c r="AI34"/>
      <c r="AJ34" s="326">
        <v>771950</v>
      </c>
      <c r="AK34" s="327">
        <v>1</v>
      </c>
      <c r="AL34"/>
      <c r="AM34" s="326">
        <v>663900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1593523.2276000001</v>
      </c>
      <c r="D35" s="7">
        <v>0.18900485</v>
      </c>
      <c r="E35"/>
      <c r="F35" s="8">
        <v>120168.01</v>
      </c>
      <c r="G35" s="7">
        <v>0.32409968999999988</v>
      </c>
      <c r="H35"/>
      <c r="I35" s="8">
        <v>141568.92000000001</v>
      </c>
      <c r="J35" s="7">
        <v>0.24839069999999999</v>
      </c>
      <c r="K35"/>
      <c r="L35" s="8">
        <v>135406.1</v>
      </c>
      <c r="M35" s="7">
        <v>0.15225190999999999</v>
      </c>
      <c r="N35"/>
      <c r="O35" s="8">
        <v>137121.92000000001</v>
      </c>
      <c r="P35" s="7">
        <v>0.21528452000000001</v>
      </c>
      <c r="Q35"/>
      <c r="R35" s="8">
        <v>134229.6202</v>
      </c>
      <c r="S35" s="7">
        <v>0.17355557999999999</v>
      </c>
      <c r="T35"/>
      <c r="U35" s="8">
        <v>136286.59719999999</v>
      </c>
      <c r="V35" s="7">
        <v>0.20204975</v>
      </c>
      <c r="W35"/>
      <c r="X35" s="8">
        <v>119287.8184</v>
      </c>
      <c r="Y35" s="7">
        <v>0.23143135000000001</v>
      </c>
      <c r="Z35"/>
      <c r="AA35" s="8">
        <v>129620.6217</v>
      </c>
      <c r="AB35" s="7">
        <v>0.17627065</v>
      </c>
      <c r="AC35"/>
      <c r="AD35" s="8">
        <v>142756.99460000001</v>
      </c>
      <c r="AE35" s="7">
        <v>0.17386066999999999</v>
      </c>
      <c r="AF35"/>
      <c r="AG35" s="8">
        <v>131596.5147</v>
      </c>
      <c r="AH35" s="7">
        <v>0.13049384</v>
      </c>
      <c r="AI35"/>
      <c r="AJ35" s="8">
        <v>137869.66070000001</v>
      </c>
      <c r="AK35" s="7">
        <v>0.17859921000000001</v>
      </c>
      <c r="AL35"/>
      <c r="AM35" s="8">
        <v>127610.4501</v>
      </c>
      <c r="AN35" s="7">
        <v>0.19221336</v>
      </c>
    </row>
    <row r="36" spans="2:40" s="314" customFormat="1" ht="12.75" customHeight="1" x14ac:dyDescent="0.15">
      <c r="B36" s="5" t="s">
        <v>40</v>
      </c>
      <c r="C36" s="8">
        <v>1360805.8552000001</v>
      </c>
      <c r="D36" s="7">
        <v>0.16140267</v>
      </c>
      <c r="E36"/>
      <c r="F36" s="8">
        <v>71158.86</v>
      </c>
      <c r="G36" s="7">
        <v>0.19191933</v>
      </c>
      <c r="H36"/>
      <c r="I36" s="8">
        <v>107177.59</v>
      </c>
      <c r="J36" s="7">
        <v>0.18804915999999999</v>
      </c>
      <c r="K36"/>
      <c r="L36" s="8">
        <v>125875.78</v>
      </c>
      <c r="M36" s="7">
        <v>0.14153592000000001</v>
      </c>
      <c r="N36"/>
      <c r="O36" s="8">
        <v>109521.41</v>
      </c>
      <c r="P36" s="7">
        <v>0.17195109</v>
      </c>
      <c r="Q36"/>
      <c r="R36" s="8">
        <v>124751.60619999999</v>
      </c>
      <c r="S36" s="7">
        <v>0.16130074</v>
      </c>
      <c r="T36"/>
      <c r="U36" s="8">
        <v>107650.63009999999</v>
      </c>
      <c r="V36" s="7">
        <v>0.15959591000000001</v>
      </c>
      <c r="W36"/>
      <c r="X36" s="8">
        <v>91103.843500000003</v>
      </c>
      <c r="Y36" s="7">
        <v>0.17675136999999999</v>
      </c>
      <c r="Z36"/>
      <c r="AA36" s="8">
        <v>113906.64380000001</v>
      </c>
      <c r="AB36" s="7">
        <v>0.15490126000000001</v>
      </c>
      <c r="AC36"/>
      <c r="AD36" s="8">
        <v>130599.6796</v>
      </c>
      <c r="AE36" s="7">
        <v>0.15905453999999999</v>
      </c>
      <c r="AF36"/>
      <c r="AG36" s="8">
        <v>157405.07689999999</v>
      </c>
      <c r="AH36" s="7">
        <v>0.15608615000000001</v>
      </c>
      <c r="AI36"/>
      <c r="AJ36" s="8">
        <v>121089.6854</v>
      </c>
      <c r="AK36" s="7">
        <v>0.15686207999999999</v>
      </c>
      <c r="AL36"/>
      <c r="AM36" s="8">
        <v>100565.0497</v>
      </c>
      <c r="AN36" s="7">
        <v>0.15147620000000001</v>
      </c>
    </row>
    <row r="37" spans="2:40" s="314" customFormat="1" ht="12.75" customHeight="1" x14ac:dyDescent="0.15">
      <c r="B37" s="325" t="s">
        <v>41</v>
      </c>
      <c r="C37" s="326">
        <v>5476794.4774000002</v>
      </c>
      <c r="D37" s="327">
        <v>0.64959248000000003</v>
      </c>
      <c r="E37"/>
      <c r="F37" s="326">
        <v>179447.97</v>
      </c>
      <c r="G37" s="327">
        <v>0.48398097999999989</v>
      </c>
      <c r="H37"/>
      <c r="I37" s="326">
        <v>321198.02</v>
      </c>
      <c r="J37" s="327">
        <v>0.56356013999999999</v>
      </c>
      <c r="K37"/>
      <c r="L37" s="326">
        <v>628073.81999999995</v>
      </c>
      <c r="M37" s="327">
        <v>0.70621217000000003</v>
      </c>
      <c r="N37"/>
      <c r="O37" s="326">
        <v>390290.16</v>
      </c>
      <c r="P37" s="327">
        <v>0.61276439000000005</v>
      </c>
      <c r="Q37"/>
      <c r="R37" s="326">
        <v>514428.77360000001</v>
      </c>
      <c r="S37" s="327">
        <v>0.66514368000000001</v>
      </c>
      <c r="T37"/>
      <c r="U37" s="326">
        <v>430582.77269999997</v>
      </c>
      <c r="V37" s="327">
        <v>0.63835434000000002</v>
      </c>
      <c r="W37"/>
      <c r="X37" s="326">
        <v>305043.33809999999</v>
      </c>
      <c r="Y37" s="327">
        <v>0.59181728</v>
      </c>
      <c r="Z37"/>
      <c r="AA37" s="326">
        <v>491822.73460000003</v>
      </c>
      <c r="AB37" s="327">
        <v>0.66882808999999999</v>
      </c>
      <c r="AC37"/>
      <c r="AD37" s="326">
        <v>547743.32579999999</v>
      </c>
      <c r="AE37" s="327">
        <v>0.66708479999999992</v>
      </c>
      <c r="AF37"/>
      <c r="AG37" s="326">
        <v>719448.40850000002</v>
      </c>
      <c r="AH37" s="327">
        <v>0.71342000999999999</v>
      </c>
      <c r="AI37"/>
      <c r="AJ37" s="326">
        <v>512990.65389999998</v>
      </c>
      <c r="AK37" s="327">
        <v>0.66453871000000009</v>
      </c>
      <c r="AL37"/>
      <c r="AM37" s="326">
        <v>435724.50020000001</v>
      </c>
      <c r="AN37" s="327">
        <v>0.65631044000000005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2005990.6333000001</v>
      </c>
      <c r="D40" s="7">
        <v>0.60508072000000002</v>
      </c>
      <c r="E40"/>
      <c r="F40" s="8">
        <v>116037.43</v>
      </c>
      <c r="G40" s="7">
        <v>0.50942476000000003</v>
      </c>
      <c r="H40"/>
      <c r="I40" s="8">
        <v>146408.6</v>
      </c>
      <c r="J40" s="7">
        <v>0.47313574000000003</v>
      </c>
      <c r="K40"/>
      <c r="L40" s="8">
        <v>224508.47</v>
      </c>
      <c r="M40" s="7">
        <v>0.55598577999999999</v>
      </c>
      <c r="N40"/>
      <c r="O40" s="8">
        <v>110499.91</v>
      </c>
      <c r="P40" s="7">
        <v>0.67167016000000002</v>
      </c>
      <c r="Q40"/>
      <c r="R40" s="8">
        <v>140580.1</v>
      </c>
      <c r="S40" s="7">
        <v>0.66062154000000006</v>
      </c>
      <c r="T40"/>
      <c r="U40" s="8">
        <v>144693.67000000001</v>
      </c>
      <c r="V40" s="7">
        <v>0.62344010999999999</v>
      </c>
      <c r="W40"/>
      <c r="X40" s="8">
        <v>116024.8833</v>
      </c>
      <c r="Y40" s="7">
        <v>0.66289878999999996</v>
      </c>
      <c r="Z40"/>
      <c r="AA40" s="8">
        <v>129388.6</v>
      </c>
      <c r="AB40" s="7">
        <v>0.67140552999999992</v>
      </c>
      <c r="AC40"/>
      <c r="AD40" s="8">
        <v>225763.595</v>
      </c>
      <c r="AE40" s="7">
        <v>0.64506310999999994</v>
      </c>
      <c r="AF40"/>
      <c r="AG40" s="8">
        <v>184323.8</v>
      </c>
      <c r="AH40" s="7">
        <v>0.67238043000000003</v>
      </c>
      <c r="AI40"/>
      <c r="AJ40" s="8">
        <v>249695.95</v>
      </c>
      <c r="AK40" s="7">
        <v>0.59162809000000005</v>
      </c>
      <c r="AL40"/>
      <c r="AM40" s="8">
        <v>218065.625</v>
      </c>
      <c r="AN40" s="7">
        <v>0.62144264999999999</v>
      </c>
    </row>
    <row r="41" spans="2:40" s="314" customFormat="1" ht="12.75" customHeight="1" x14ac:dyDescent="0.15">
      <c r="B41" s="5" t="s">
        <v>44</v>
      </c>
      <c r="C41" s="8">
        <v>1017886.9486999999</v>
      </c>
      <c r="D41" s="7">
        <v>0.30703223000000002</v>
      </c>
      <c r="E41"/>
      <c r="F41" s="8">
        <v>96635.16</v>
      </c>
      <c r="G41" s="7">
        <v>0.42424538000000001</v>
      </c>
      <c r="H41"/>
      <c r="I41" s="8">
        <v>136330.63</v>
      </c>
      <c r="J41" s="7">
        <v>0.44056766000000003</v>
      </c>
      <c r="K41"/>
      <c r="L41" s="8">
        <v>156158.45000000001</v>
      </c>
      <c r="M41" s="7">
        <v>0.38671982999999999</v>
      </c>
      <c r="N41"/>
      <c r="O41" s="8">
        <v>43596.37</v>
      </c>
      <c r="P41" s="7">
        <v>0.26499914000000002</v>
      </c>
      <c r="Q41"/>
      <c r="R41" s="8">
        <v>55719.652000000002</v>
      </c>
      <c r="S41" s="7">
        <v>0.26184078</v>
      </c>
      <c r="T41"/>
      <c r="U41" s="8">
        <v>58895.453999999998</v>
      </c>
      <c r="V41" s="7">
        <v>0.25376222999999998</v>
      </c>
      <c r="W41"/>
      <c r="X41" s="8">
        <v>45501.6587</v>
      </c>
      <c r="Y41" s="7">
        <v>0.25997005000000001</v>
      </c>
      <c r="Z41"/>
      <c r="AA41" s="8">
        <v>50824.44</v>
      </c>
      <c r="AB41" s="7">
        <v>0.26373119</v>
      </c>
      <c r="AC41"/>
      <c r="AD41" s="8">
        <v>87723.239000000001</v>
      </c>
      <c r="AE41" s="7">
        <v>0.25064724999999999</v>
      </c>
      <c r="AF41"/>
      <c r="AG41" s="8">
        <v>71312.376000000004</v>
      </c>
      <c r="AH41" s="7">
        <v>0.26013486000000002</v>
      </c>
      <c r="AI41"/>
      <c r="AJ41" s="8">
        <v>121852.894</v>
      </c>
      <c r="AK41" s="7">
        <v>0.28871752000000001</v>
      </c>
      <c r="AL41"/>
      <c r="AM41" s="8">
        <v>93336.625</v>
      </c>
      <c r="AN41" s="7">
        <v>0.26599039000000002</v>
      </c>
    </row>
    <row r="42" spans="2:40" s="314" customFormat="1" ht="12.75" customHeight="1" x14ac:dyDescent="0.15">
      <c r="B42" s="5" t="s">
        <v>45</v>
      </c>
      <c r="C42" s="8">
        <v>291367.07</v>
      </c>
      <c r="D42" s="7">
        <v>8.7887050000000008E-2</v>
      </c>
      <c r="E42"/>
      <c r="F42" s="8">
        <v>15108.7</v>
      </c>
      <c r="G42" s="7">
        <v>6.6329860000000004E-2</v>
      </c>
      <c r="H42"/>
      <c r="I42" s="8">
        <v>26703.89</v>
      </c>
      <c r="J42" s="7">
        <v>8.6296600000000001E-2</v>
      </c>
      <c r="K42"/>
      <c r="L42" s="8">
        <v>23135.62</v>
      </c>
      <c r="M42" s="7">
        <v>5.7294390000000001E-2</v>
      </c>
      <c r="N42"/>
      <c r="O42" s="8">
        <v>10418.86</v>
      </c>
      <c r="P42" s="7">
        <v>6.3330709999999998E-2</v>
      </c>
      <c r="Q42"/>
      <c r="R42" s="8">
        <v>16500</v>
      </c>
      <c r="S42" s="7">
        <v>7.7537679999999998E-2</v>
      </c>
      <c r="T42"/>
      <c r="U42" s="8">
        <v>28500</v>
      </c>
      <c r="V42" s="7">
        <v>0.12279764999999999</v>
      </c>
      <c r="W42"/>
      <c r="X42" s="8">
        <v>13500</v>
      </c>
      <c r="Y42" s="7">
        <v>7.7131160000000004E-2</v>
      </c>
      <c r="Z42"/>
      <c r="AA42" s="8">
        <v>12500</v>
      </c>
      <c r="AB42" s="7">
        <v>6.4863280000000009E-2</v>
      </c>
      <c r="AC42"/>
      <c r="AD42" s="8">
        <v>36500</v>
      </c>
      <c r="AE42" s="7">
        <v>0.10428964</v>
      </c>
      <c r="AF42"/>
      <c r="AG42" s="8">
        <v>18500</v>
      </c>
      <c r="AH42" s="7">
        <v>6.7484710000000003E-2</v>
      </c>
      <c r="AI42"/>
      <c r="AJ42" s="8">
        <v>50500</v>
      </c>
      <c r="AK42" s="7">
        <v>0.11965439999999999</v>
      </c>
      <c r="AL42"/>
      <c r="AM42" s="8">
        <v>39500</v>
      </c>
      <c r="AN42" s="7">
        <v>0.11256695999999999</v>
      </c>
    </row>
    <row r="43" spans="2:40" s="314" customFormat="1" ht="12.75" customHeight="1" x14ac:dyDescent="0.15">
      <c r="B43" s="325" t="s">
        <v>36</v>
      </c>
      <c r="C43" s="326">
        <v>3315244.6518999999</v>
      </c>
      <c r="D43" s="327">
        <v>1</v>
      </c>
      <c r="E43"/>
      <c r="F43" s="326">
        <v>227781.29</v>
      </c>
      <c r="G43" s="327">
        <v>1</v>
      </c>
      <c r="H43"/>
      <c r="I43" s="326">
        <v>309443.12</v>
      </c>
      <c r="J43" s="327">
        <v>1</v>
      </c>
      <c r="K43"/>
      <c r="L43" s="326">
        <v>403802.54</v>
      </c>
      <c r="M43" s="327">
        <v>1</v>
      </c>
      <c r="N43"/>
      <c r="O43" s="326">
        <v>164515.14000000001</v>
      </c>
      <c r="P43" s="327">
        <v>1</v>
      </c>
      <c r="Q43"/>
      <c r="R43" s="326">
        <v>212799.75200000001</v>
      </c>
      <c r="S43" s="327">
        <v>1</v>
      </c>
      <c r="T43"/>
      <c r="U43" s="326">
        <v>232089.12400000001</v>
      </c>
      <c r="V43" s="327">
        <v>1</v>
      </c>
      <c r="W43"/>
      <c r="X43" s="326">
        <v>175026.54190000001</v>
      </c>
      <c r="Y43" s="327">
        <v>1</v>
      </c>
      <c r="Z43"/>
      <c r="AA43" s="326">
        <v>192713.04</v>
      </c>
      <c r="AB43" s="327">
        <v>1</v>
      </c>
      <c r="AC43"/>
      <c r="AD43" s="326">
        <v>349986.83399999997</v>
      </c>
      <c r="AE43" s="327">
        <v>1</v>
      </c>
      <c r="AF43"/>
      <c r="AG43" s="326">
        <v>274136.17599999998</v>
      </c>
      <c r="AH43" s="327">
        <v>1</v>
      </c>
      <c r="AI43"/>
      <c r="AJ43" s="326">
        <v>422048.84399999998</v>
      </c>
      <c r="AK43" s="327">
        <v>1</v>
      </c>
      <c r="AL43"/>
      <c r="AM43" s="326">
        <v>350902.25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603314.84039999999</v>
      </c>
      <c r="D44" s="7">
        <v>0.30075656000000001</v>
      </c>
      <c r="E44"/>
      <c r="F44" s="8">
        <v>38246.69</v>
      </c>
      <c r="G44" s="7">
        <v>0.32960648999999997</v>
      </c>
      <c r="H44"/>
      <c r="I44" s="8">
        <v>55458.98</v>
      </c>
      <c r="J44" s="7">
        <v>0.37879592000000001</v>
      </c>
      <c r="K44"/>
      <c r="L44" s="8">
        <v>77583.839999999997</v>
      </c>
      <c r="M44" s="7">
        <v>0.34557199999999999</v>
      </c>
      <c r="N44"/>
      <c r="O44" s="8">
        <v>37225.69</v>
      </c>
      <c r="P44" s="7">
        <v>0.33688435</v>
      </c>
      <c r="Q44"/>
      <c r="R44" s="8">
        <v>39411.243999999999</v>
      </c>
      <c r="S44" s="7">
        <v>0.28034724999999999</v>
      </c>
      <c r="T44"/>
      <c r="U44" s="8">
        <v>40564.425999999999</v>
      </c>
      <c r="V44" s="7">
        <v>0.28034692999999999</v>
      </c>
      <c r="W44"/>
      <c r="X44" s="8">
        <v>32534.7444</v>
      </c>
      <c r="Y44" s="7">
        <v>0.28041178</v>
      </c>
      <c r="Z44"/>
      <c r="AA44" s="8">
        <v>36257.32</v>
      </c>
      <c r="AB44" s="7">
        <v>0.28022036</v>
      </c>
      <c r="AC44"/>
      <c r="AD44" s="8">
        <v>63279.341</v>
      </c>
      <c r="AE44" s="7">
        <v>0.28029028</v>
      </c>
      <c r="AF44"/>
      <c r="AG44" s="8">
        <v>51670.472000000002</v>
      </c>
      <c r="AH44" s="7">
        <v>0.28032446999999999</v>
      </c>
      <c r="AI44"/>
      <c r="AJ44" s="8">
        <v>69968.217999999993</v>
      </c>
      <c r="AK44" s="7">
        <v>0.28021367000000003</v>
      </c>
      <c r="AL44"/>
      <c r="AM44" s="8">
        <v>61113.875</v>
      </c>
      <c r="AN44" s="7">
        <v>0.28025451000000001</v>
      </c>
    </row>
    <row r="45" spans="2:40" s="314" customFormat="1" ht="12.75" customHeight="1" x14ac:dyDescent="0.15">
      <c r="B45" s="5" t="s">
        <v>47</v>
      </c>
      <c r="C45" s="8">
        <v>187511.5644</v>
      </c>
      <c r="D45" s="7">
        <v>0.18421649000000001</v>
      </c>
      <c r="E45"/>
      <c r="F45" s="8">
        <v>17653.95</v>
      </c>
      <c r="G45" s="7">
        <v>0.18268661</v>
      </c>
      <c r="H45"/>
      <c r="I45" s="8">
        <v>22724.36</v>
      </c>
      <c r="J45" s="7">
        <v>0.16668564999999999</v>
      </c>
      <c r="K45"/>
      <c r="L45" s="8">
        <v>30252.13</v>
      </c>
      <c r="M45" s="7">
        <v>0.19372713999999999</v>
      </c>
      <c r="N45"/>
      <c r="O45" s="8">
        <v>5699.52</v>
      </c>
      <c r="P45" s="7">
        <v>0.13073382</v>
      </c>
      <c r="Q45"/>
      <c r="R45" s="8">
        <v>10586.733899999999</v>
      </c>
      <c r="S45" s="7">
        <v>0.19</v>
      </c>
      <c r="T45"/>
      <c r="U45" s="8">
        <v>11190.1363</v>
      </c>
      <c r="V45" s="7">
        <v>0.19</v>
      </c>
      <c r="W45"/>
      <c r="X45" s="8">
        <v>8645.3150999999998</v>
      </c>
      <c r="Y45" s="7">
        <v>0.19</v>
      </c>
      <c r="Z45"/>
      <c r="AA45" s="8">
        <v>9656.6435999999994</v>
      </c>
      <c r="AB45" s="7">
        <v>0.19</v>
      </c>
      <c r="AC45"/>
      <c r="AD45" s="8">
        <v>16667.415400000002</v>
      </c>
      <c r="AE45" s="7">
        <v>0.19</v>
      </c>
      <c r="AF45"/>
      <c r="AG45" s="8">
        <v>13549.3514</v>
      </c>
      <c r="AH45" s="7">
        <v>0.19</v>
      </c>
      <c r="AI45"/>
      <c r="AJ45" s="8">
        <v>23152.049900000002</v>
      </c>
      <c r="AK45" s="7">
        <v>0.19</v>
      </c>
      <c r="AL45"/>
      <c r="AM45" s="8">
        <v>17733.9588</v>
      </c>
      <c r="AN45" s="7">
        <v>0.19</v>
      </c>
    </row>
    <row r="46" spans="2:40" s="314" customFormat="1" ht="12.75" customHeight="1" x14ac:dyDescent="0.15">
      <c r="B46" s="5" t="s">
        <v>48</v>
      </c>
      <c r="C46" s="8">
        <v>47300.18</v>
      </c>
      <c r="D46" s="7">
        <v>0.16233880000000001</v>
      </c>
      <c r="E46"/>
      <c r="F46" s="8">
        <v>2642.47</v>
      </c>
      <c r="G46" s="7">
        <v>0.17489724000000001</v>
      </c>
      <c r="H46"/>
      <c r="I46" s="8">
        <v>305.19</v>
      </c>
      <c r="J46" s="7">
        <v>1.142867E-2</v>
      </c>
      <c r="K46"/>
      <c r="L46" s="8">
        <v>4666.8900000000003</v>
      </c>
      <c r="M46" s="7">
        <v>0.20171881999999999</v>
      </c>
      <c r="N46"/>
      <c r="O46" s="8">
        <v>-714.37</v>
      </c>
      <c r="P46" s="7">
        <v>-6.856508E-2</v>
      </c>
      <c r="Q46"/>
      <c r="R46" s="8">
        <v>3600</v>
      </c>
      <c r="S46" s="7">
        <v>0.21818182</v>
      </c>
      <c r="T46"/>
      <c r="U46" s="8">
        <v>5200</v>
      </c>
      <c r="V46" s="7">
        <v>0.18245613999999999</v>
      </c>
      <c r="W46"/>
      <c r="X46" s="8">
        <v>3600</v>
      </c>
      <c r="Y46" s="7">
        <v>0.26666666999999999</v>
      </c>
      <c r="Z46"/>
      <c r="AA46" s="8">
        <v>3200</v>
      </c>
      <c r="AB46" s="7">
        <v>0.25600000000000001</v>
      </c>
      <c r="AC46"/>
      <c r="AD46" s="8">
        <v>8000</v>
      </c>
      <c r="AE46" s="7">
        <v>0.21917808</v>
      </c>
      <c r="AF46"/>
      <c r="AG46" s="8">
        <v>4400</v>
      </c>
      <c r="AH46" s="7">
        <v>0.23783783999999999</v>
      </c>
      <c r="AI46"/>
      <c r="AJ46" s="8">
        <v>6800</v>
      </c>
      <c r="AK46" s="7">
        <v>0.13465347</v>
      </c>
      <c r="AL46"/>
      <c r="AM46" s="8">
        <v>5600</v>
      </c>
      <c r="AN46" s="7">
        <v>0.14177215000000001</v>
      </c>
    </row>
    <row r="47" spans="2:40" s="314" customFormat="1" ht="12.75" customHeight="1" x14ac:dyDescent="0.15">
      <c r="B47" s="325" t="s">
        <v>49</v>
      </c>
      <c r="C47" s="326">
        <v>838126.58479999995</v>
      </c>
      <c r="D47" s="327">
        <v>0.25280986999999999</v>
      </c>
      <c r="E47"/>
      <c r="F47" s="326">
        <v>58543.11</v>
      </c>
      <c r="G47" s="327">
        <v>0.25701457</v>
      </c>
      <c r="H47"/>
      <c r="I47" s="326">
        <v>78488.53</v>
      </c>
      <c r="J47" s="327">
        <v>0.25364445000000002</v>
      </c>
      <c r="K47"/>
      <c r="L47" s="326">
        <v>112502.86</v>
      </c>
      <c r="M47" s="327">
        <v>0.27860859999999998</v>
      </c>
      <c r="N47"/>
      <c r="O47" s="326">
        <v>42210.84</v>
      </c>
      <c r="P47" s="327">
        <v>0.25657723999999998</v>
      </c>
      <c r="Q47"/>
      <c r="R47" s="326">
        <v>53597.977899999998</v>
      </c>
      <c r="S47" s="327">
        <v>0.25187049</v>
      </c>
      <c r="T47"/>
      <c r="U47" s="326">
        <v>56954.562299999998</v>
      </c>
      <c r="V47" s="327">
        <v>0.24539953</v>
      </c>
      <c r="W47"/>
      <c r="X47" s="326">
        <v>44780.059500000003</v>
      </c>
      <c r="Y47" s="327">
        <v>0.25584725000000003</v>
      </c>
      <c r="Z47"/>
      <c r="AA47" s="326">
        <v>49113.963600000003</v>
      </c>
      <c r="AB47" s="327">
        <v>0.25485542</v>
      </c>
      <c r="AC47"/>
      <c r="AD47" s="326">
        <v>87946.756399999998</v>
      </c>
      <c r="AE47" s="327">
        <v>0.25128590000000001</v>
      </c>
      <c r="AF47"/>
      <c r="AG47" s="326">
        <v>69619.823399999994</v>
      </c>
      <c r="AH47" s="327">
        <v>0.25396073000000002</v>
      </c>
      <c r="AI47"/>
      <c r="AJ47" s="326">
        <v>99920.267900000006</v>
      </c>
      <c r="AK47" s="327">
        <v>0.23675048000000001</v>
      </c>
      <c r="AL47"/>
      <c r="AM47" s="326">
        <v>84447.833799999993</v>
      </c>
      <c r="AN47" s="327">
        <v>0.24065913999999999</v>
      </c>
    </row>
    <row r="48" spans="2:40" s="314" customFormat="1" ht="12.75" customHeight="1" x14ac:dyDescent="0.15">
      <c r="B48" s="5" t="s">
        <v>22</v>
      </c>
      <c r="C48" s="8">
        <v>1445807.6066999999</v>
      </c>
      <c r="D48" s="7">
        <v>0.43610886999999998</v>
      </c>
      <c r="E48"/>
      <c r="F48" s="8">
        <v>124301.3</v>
      </c>
      <c r="G48" s="7">
        <v>0.54570461000000003</v>
      </c>
      <c r="H48"/>
      <c r="I48" s="8">
        <v>168641.85</v>
      </c>
      <c r="J48" s="7">
        <v>0.54498497000000001</v>
      </c>
      <c r="K48"/>
      <c r="L48" s="8">
        <v>146295.63</v>
      </c>
      <c r="M48" s="7">
        <v>0.36229496999999999</v>
      </c>
      <c r="N48"/>
      <c r="O48" s="8">
        <v>130927.79</v>
      </c>
      <c r="P48" s="7">
        <v>0.79584036999999996</v>
      </c>
      <c r="Q48"/>
      <c r="R48" s="8">
        <v>102140.6853</v>
      </c>
      <c r="S48" s="7">
        <v>0.47998498000000001</v>
      </c>
      <c r="T48"/>
      <c r="U48" s="8">
        <v>108517.1675</v>
      </c>
      <c r="V48" s="7">
        <v>0.46756679000000001</v>
      </c>
      <c r="W48"/>
      <c r="X48" s="8">
        <v>94481.355800000005</v>
      </c>
      <c r="Y48" s="7">
        <v>0.53981159000000001</v>
      </c>
      <c r="Z48"/>
      <c r="AA48" s="8">
        <v>101675.5683</v>
      </c>
      <c r="AB48" s="7">
        <v>0.52760087</v>
      </c>
      <c r="AC48"/>
      <c r="AD48" s="8">
        <v>102212.69929999999</v>
      </c>
      <c r="AE48" s="7">
        <v>0.29204727000000003</v>
      </c>
      <c r="AF48"/>
      <c r="AG48" s="8">
        <v>108877.3371</v>
      </c>
      <c r="AH48" s="7">
        <v>0.39716516000000002</v>
      </c>
      <c r="AI48"/>
      <c r="AJ48" s="8">
        <v>132841.47450000001</v>
      </c>
      <c r="AK48" s="7">
        <v>0.31475378999999998</v>
      </c>
      <c r="AL48"/>
      <c r="AM48" s="8">
        <v>124894.74890000001</v>
      </c>
      <c r="AN48" s="7">
        <v>0.35592462000000002</v>
      </c>
    </row>
    <row r="49" spans="2:40" s="314" customFormat="1" ht="12.75" customHeight="1" x14ac:dyDescent="0.15">
      <c r="B49" s="5" t="s">
        <v>40</v>
      </c>
      <c r="C49" s="8">
        <v>182474.44680000001</v>
      </c>
      <c r="D49" s="7">
        <v>5.5041020000000003E-2</v>
      </c>
      <c r="E49"/>
      <c r="F49" s="8">
        <v>25060.22</v>
      </c>
      <c r="G49" s="7">
        <v>0.11001878</v>
      </c>
      <c r="H49"/>
      <c r="I49" s="8">
        <v>33558.14</v>
      </c>
      <c r="J49" s="7">
        <v>0.10844688</v>
      </c>
      <c r="K49"/>
      <c r="L49" s="8">
        <v>17855.79</v>
      </c>
      <c r="M49" s="7">
        <v>4.4219109999999999E-2</v>
      </c>
      <c r="N49"/>
      <c r="O49" s="8">
        <v>-20980.3</v>
      </c>
      <c r="P49" s="7">
        <v>-0.12752807999999999</v>
      </c>
      <c r="Q49"/>
      <c r="R49" s="8">
        <v>15529.318799999999</v>
      </c>
      <c r="S49" s="7">
        <v>7.297621E-2</v>
      </c>
      <c r="T49"/>
      <c r="U49" s="8">
        <v>15626.0856</v>
      </c>
      <c r="V49" s="7">
        <v>6.7327949999999998E-2</v>
      </c>
      <c r="W49"/>
      <c r="X49" s="8">
        <v>13710.4167</v>
      </c>
      <c r="Y49" s="7">
        <v>7.8333360000000005E-2</v>
      </c>
      <c r="Z49"/>
      <c r="AA49" s="8">
        <v>14792.965200000001</v>
      </c>
      <c r="AB49" s="7">
        <v>7.6761620000000003E-2</v>
      </c>
      <c r="AC49"/>
      <c r="AD49" s="8">
        <v>16381.174199999999</v>
      </c>
      <c r="AE49" s="7">
        <v>4.6805120000000013E-2</v>
      </c>
      <c r="AF49"/>
      <c r="AG49" s="8">
        <v>14245.840899999999</v>
      </c>
      <c r="AH49" s="7">
        <v>5.1966289999999998E-2</v>
      </c>
      <c r="AI49"/>
      <c r="AJ49" s="8">
        <v>19491.284199999998</v>
      </c>
      <c r="AK49" s="7">
        <v>4.6182529999999999E-2</v>
      </c>
      <c r="AL49"/>
      <c r="AM49" s="8">
        <v>17203.511200000001</v>
      </c>
      <c r="AN49" s="7">
        <v>4.9026510000000002E-2</v>
      </c>
    </row>
    <row r="50" spans="2:40" s="314" customFormat="1" ht="12.75" customHeight="1" x14ac:dyDescent="0.15">
      <c r="B50" s="325" t="s">
        <v>41</v>
      </c>
      <c r="C50" s="326">
        <v>848836.01370000001</v>
      </c>
      <c r="D50" s="327">
        <v>0.25604022999999998</v>
      </c>
      <c r="E50"/>
      <c r="F50" s="326">
        <v>19876.66</v>
      </c>
      <c r="G50" s="327">
        <v>8.7262039999999985E-2</v>
      </c>
      <c r="H50"/>
      <c r="I50" s="326">
        <v>28754.6</v>
      </c>
      <c r="J50" s="327">
        <v>9.2923699999999998E-2</v>
      </c>
      <c r="K50"/>
      <c r="L50" s="326">
        <v>127148.26</v>
      </c>
      <c r="M50" s="327">
        <v>0.31487732000000002</v>
      </c>
      <c r="N50"/>
      <c r="O50" s="326">
        <v>12356.81</v>
      </c>
      <c r="P50" s="327">
        <v>7.5110469999999999E-2</v>
      </c>
      <c r="Q50"/>
      <c r="R50" s="326">
        <v>41531.770100000002</v>
      </c>
      <c r="S50" s="327">
        <v>0.19516832000000001</v>
      </c>
      <c r="T50"/>
      <c r="U50" s="326">
        <v>50991.308599999997</v>
      </c>
      <c r="V50" s="327">
        <v>0.21970571999999999</v>
      </c>
      <c r="W50"/>
      <c r="X50" s="326">
        <v>22054.709900000002</v>
      </c>
      <c r="Y50" s="327">
        <v>0.1260078</v>
      </c>
      <c r="Z50"/>
      <c r="AA50" s="326">
        <v>27130.5429</v>
      </c>
      <c r="AB50" s="327">
        <v>0.14078208</v>
      </c>
      <c r="AC50"/>
      <c r="AD50" s="326">
        <v>143446.2041</v>
      </c>
      <c r="AE50" s="327">
        <v>0.40986171999999998</v>
      </c>
      <c r="AF50"/>
      <c r="AG50" s="326">
        <v>81393.174499999994</v>
      </c>
      <c r="AH50" s="327">
        <v>0.29690781999999999</v>
      </c>
      <c r="AI50"/>
      <c r="AJ50" s="326">
        <v>169795.8175</v>
      </c>
      <c r="AK50" s="327">
        <v>0.40231318999999999</v>
      </c>
      <c r="AL50"/>
      <c r="AM50" s="326">
        <v>124356.15609999999</v>
      </c>
      <c r="AN50" s="327">
        <v>0.35438974000000001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328832.09000000003</v>
      </c>
      <c r="D53" s="7">
        <v>1</v>
      </c>
      <c r="E53"/>
      <c r="F53" s="8">
        <v>23176.14</v>
      </c>
      <c r="G53" s="7">
        <v>1</v>
      </c>
      <c r="H53"/>
      <c r="I53" s="8">
        <v>30794.18</v>
      </c>
      <c r="J53" s="7">
        <v>1</v>
      </c>
      <c r="K53"/>
      <c r="L53" s="8">
        <v>31900.46</v>
      </c>
      <c r="M53" s="7">
        <v>1</v>
      </c>
      <c r="N53"/>
      <c r="O53" s="8">
        <v>24684.81</v>
      </c>
      <c r="P53" s="7">
        <v>1</v>
      </c>
      <c r="Q53"/>
      <c r="R53" s="8">
        <v>28024</v>
      </c>
      <c r="S53" s="7">
        <v>1</v>
      </c>
      <c r="T53"/>
      <c r="U53" s="8">
        <v>25696.799999999999</v>
      </c>
      <c r="V53" s="7">
        <v>1</v>
      </c>
      <c r="W53"/>
      <c r="X53" s="8">
        <v>22088.7</v>
      </c>
      <c r="Y53" s="7">
        <v>1</v>
      </c>
      <c r="Z53"/>
      <c r="AA53" s="8">
        <v>26730</v>
      </c>
      <c r="AB53" s="7">
        <v>1</v>
      </c>
      <c r="AC53"/>
      <c r="AD53" s="8">
        <v>31119</v>
      </c>
      <c r="AE53" s="7">
        <v>1</v>
      </c>
      <c r="AF53"/>
      <c r="AG53" s="8">
        <v>28336</v>
      </c>
      <c r="AH53" s="7">
        <v>1</v>
      </c>
      <c r="AI53"/>
      <c r="AJ53" s="8">
        <v>29982</v>
      </c>
      <c r="AK53" s="7">
        <v>1</v>
      </c>
      <c r="AL53"/>
      <c r="AM53" s="8">
        <v>26300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16028.27</v>
      </c>
      <c r="D54" s="7">
        <v>4.8743019999999998E-2</v>
      </c>
      <c r="E54"/>
      <c r="F54" s="8">
        <v>94.71</v>
      </c>
      <c r="G54" s="7">
        <v>4.0865299999999997E-3</v>
      </c>
      <c r="H54"/>
      <c r="I54" s="8">
        <v>124.94</v>
      </c>
      <c r="J54" s="7">
        <v>4.05726E-3</v>
      </c>
      <c r="K54"/>
      <c r="L54" s="8">
        <v>13929.13</v>
      </c>
      <c r="M54" s="7">
        <v>0.43664354999999999</v>
      </c>
      <c r="N54"/>
      <c r="O54" s="8">
        <v>68.239999999999995</v>
      </c>
      <c r="P54" s="7">
        <v>2.7644499999999999E-3</v>
      </c>
      <c r="Q54"/>
      <c r="R54" s="8">
        <v>237.3</v>
      </c>
      <c r="S54" s="7">
        <v>8.4677399999999996E-3</v>
      </c>
      <c r="T54"/>
      <c r="U54" s="8">
        <v>209.16</v>
      </c>
      <c r="V54" s="7">
        <v>8.1395300000000007E-3</v>
      </c>
      <c r="W54"/>
      <c r="X54" s="8">
        <v>190.89</v>
      </c>
      <c r="Y54" s="7">
        <v>8.6419800000000005E-3</v>
      </c>
      <c r="Z54"/>
      <c r="AA54" s="8">
        <v>231</v>
      </c>
      <c r="AB54" s="7">
        <v>8.6419800000000005E-3</v>
      </c>
      <c r="AC54"/>
      <c r="AD54" s="8">
        <v>258.3</v>
      </c>
      <c r="AE54" s="7">
        <v>8.3003999999999994E-3</v>
      </c>
      <c r="AF54"/>
      <c r="AG54" s="8">
        <v>235.2</v>
      </c>
      <c r="AH54" s="7">
        <v>8.3003999999999994E-3</v>
      </c>
      <c r="AI54"/>
      <c r="AJ54" s="8">
        <v>239.4</v>
      </c>
      <c r="AK54" s="7">
        <v>7.9847900000000003E-3</v>
      </c>
      <c r="AL54"/>
      <c r="AM54" s="8">
        <v>210</v>
      </c>
      <c r="AN54" s="7">
        <v>7.9847900000000003E-3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3050</v>
      </c>
      <c r="D56" s="7">
        <v>9.2752500000000005E-3</v>
      </c>
      <c r="E56"/>
      <c r="F56" s="8">
        <v>0</v>
      </c>
      <c r="G56" s="7">
        <v>0</v>
      </c>
      <c r="H56"/>
      <c r="I56" s="8">
        <v>0</v>
      </c>
      <c r="J56" s="7">
        <v>0</v>
      </c>
      <c r="K56"/>
      <c r="L56" s="8">
        <v>0</v>
      </c>
      <c r="M56" s="7">
        <v>0</v>
      </c>
      <c r="N56"/>
      <c r="O56" s="8">
        <v>0</v>
      </c>
      <c r="P56" s="7">
        <v>0</v>
      </c>
      <c r="Q56"/>
      <c r="R56" s="8">
        <v>250</v>
      </c>
      <c r="S56" s="7">
        <v>8.9209200000000006E-3</v>
      </c>
      <c r="T56"/>
      <c r="U56" s="8">
        <v>500</v>
      </c>
      <c r="V56" s="7">
        <v>1.9457680000000002E-2</v>
      </c>
      <c r="W56"/>
      <c r="X56" s="8">
        <v>100</v>
      </c>
      <c r="Y56" s="7">
        <v>4.5272000000000003E-3</v>
      </c>
      <c r="Z56"/>
      <c r="AA56" s="8">
        <v>500</v>
      </c>
      <c r="AB56" s="7">
        <v>1.8705570000000001E-2</v>
      </c>
      <c r="AC56"/>
      <c r="AD56" s="8">
        <v>250</v>
      </c>
      <c r="AE56" s="7">
        <v>8.0336799999999996E-3</v>
      </c>
      <c r="AF56"/>
      <c r="AG56" s="8">
        <v>600</v>
      </c>
      <c r="AH56" s="7">
        <v>2.1174479999999999E-2</v>
      </c>
      <c r="AI56"/>
      <c r="AJ56" s="8">
        <v>100</v>
      </c>
      <c r="AK56" s="7">
        <v>3.3353300000000001E-3</v>
      </c>
      <c r="AL56"/>
      <c r="AM56" s="8">
        <v>750</v>
      </c>
      <c r="AN56" s="7">
        <v>2.8517109999999998E-2</v>
      </c>
    </row>
    <row r="57" spans="2:40" s="314" customFormat="1" ht="12.75" customHeight="1" x14ac:dyDescent="0.15">
      <c r="B57" s="325" t="s">
        <v>41</v>
      </c>
      <c r="C57" s="326">
        <v>309753.82</v>
      </c>
      <c r="D57" s="327">
        <v>0.94198172999999996</v>
      </c>
      <c r="E57"/>
      <c r="F57" s="326">
        <v>23081.43</v>
      </c>
      <c r="G57" s="327">
        <v>0.99591346999999997</v>
      </c>
      <c r="H57"/>
      <c r="I57" s="326">
        <v>30669.24</v>
      </c>
      <c r="J57" s="327">
        <v>0.99594273999999994</v>
      </c>
      <c r="K57"/>
      <c r="L57" s="326">
        <v>17971.330000000002</v>
      </c>
      <c r="M57" s="327">
        <v>0.56335645000000001</v>
      </c>
      <c r="N57"/>
      <c r="O57" s="326">
        <v>24616.57</v>
      </c>
      <c r="P57" s="327">
        <v>0.99723555000000008</v>
      </c>
      <c r="Q57"/>
      <c r="R57" s="326">
        <v>27536.7</v>
      </c>
      <c r="S57" s="327">
        <v>0.98261133000000001</v>
      </c>
      <c r="T57"/>
      <c r="U57" s="326">
        <v>24987.64</v>
      </c>
      <c r="V57" s="327">
        <v>0.97240278999999996</v>
      </c>
      <c r="W57"/>
      <c r="X57" s="326">
        <v>21797.81</v>
      </c>
      <c r="Y57" s="327">
        <v>0.98683082</v>
      </c>
      <c r="Z57"/>
      <c r="AA57" s="326">
        <v>25999</v>
      </c>
      <c r="AB57" s="327">
        <v>0.97265244999999989</v>
      </c>
      <c r="AC57"/>
      <c r="AD57" s="326">
        <v>30610.7</v>
      </c>
      <c r="AE57" s="327">
        <v>0.98366592999999991</v>
      </c>
      <c r="AF57"/>
      <c r="AG57" s="326">
        <v>27500.799999999999</v>
      </c>
      <c r="AH57" s="327">
        <v>0.97052513000000007</v>
      </c>
      <c r="AI57"/>
      <c r="AJ57" s="326">
        <v>29642.6</v>
      </c>
      <c r="AK57" s="327">
        <v>0.98867987000000002</v>
      </c>
      <c r="AL57"/>
      <c r="AM57" s="326">
        <v>25340</v>
      </c>
      <c r="AN57" s="327">
        <v>0.96349810000000002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131965.4</v>
      </c>
      <c r="D60" s="327">
        <v>0.40131546000000001</v>
      </c>
      <c r="E60"/>
      <c r="F60" s="326">
        <v>4016.31</v>
      </c>
      <c r="G60" s="327">
        <v>0.17329504000000001</v>
      </c>
      <c r="H60"/>
      <c r="I60" s="326">
        <v>12399.11</v>
      </c>
      <c r="J60" s="327">
        <v>0.40264459000000002</v>
      </c>
      <c r="K60"/>
      <c r="L60" s="326">
        <v>16177.47</v>
      </c>
      <c r="M60" s="327">
        <v>0.50712341000000005</v>
      </c>
      <c r="N60"/>
      <c r="O60" s="326">
        <v>20872.509999999998</v>
      </c>
      <c r="P60" s="327">
        <v>0.84556089000000001</v>
      </c>
      <c r="Q60"/>
      <c r="R60" s="326">
        <v>5000</v>
      </c>
      <c r="S60" s="327">
        <v>0.17841850000000001</v>
      </c>
      <c r="T60"/>
      <c r="U60" s="326">
        <v>11500</v>
      </c>
      <c r="V60" s="327">
        <v>0.44752653999999997</v>
      </c>
      <c r="W60"/>
      <c r="X60" s="326">
        <v>5000</v>
      </c>
      <c r="Y60" s="327">
        <v>0.22636007999999999</v>
      </c>
      <c r="Z60"/>
      <c r="AA60" s="326">
        <v>10000</v>
      </c>
      <c r="AB60" s="327">
        <v>0.37411148999999999</v>
      </c>
      <c r="AC60"/>
      <c r="AD60" s="326">
        <v>9500</v>
      </c>
      <c r="AE60" s="327">
        <v>0.30527973000000003</v>
      </c>
      <c r="AF60"/>
      <c r="AG60" s="326">
        <v>15000</v>
      </c>
      <c r="AH60" s="327">
        <v>0.52936194000000003</v>
      </c>
      <c r="AI60"/>
      <c r="AJ60" s="326">
        <v>15000</v>
      </c>
      <c r="AK60" s="327">
        <v>0.50030017999999998</v>
      </c>
      <c r="AL60"/>
      <c r="AM60" s="326">
        <v>7500</v>
      </c>
      <c r="AN60" s="327">
        <v>0.28517110000000001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6767349.7110000001</v>
      </c>
      <c r="D63" s="327">
        <v>0.55437517999999997</v>
      </c>
      <c r="E63"/>
      <c r="F63" s="326">
        <v>226422.37</v>
      </c>
      <c r="G63" s="327">
        <v>0.36184240000000001</v>
      </c>
      <c r="H63"/>
      <c r="I63" s="326">
        <v>393020.97</v>
      </c>
      <c r="J63" s="327">
        <v>0.42600160999999998</v>
      </c>
      <c r="K63"/>
      <c r="L63" s="326">
        <v>789370.88</v>
      </c>
      <c r="M63" s="327">
        <v>0.58853981</v>
      </c>
      <c r="N63"/>
      <c r="O63" s="326">
        <v>448136.05</v>
      </c>
      <c r="P63" s="327">
        <v>0.52908253000000005</v>
      </c>
      <c r="Q63"/>
      <c r="R63" s="326">
        <v>588497.24369999999</v>
      </c>
      <c r="S63" s="327">
        <v>0.57739182999999994</v>
      </c>
      <c r="T63"/>
      <c r="U63" s="326">
        <v>518061.72129999998</v>
      </c>
      <c r="V63" s="327">
        <v>0.54890704999999995</v>
      </c>
      <c r="W63"/>
      <c r="X63" s="326">
        <v>353895.85800000001</v>
      </c>
      <c r="Y63" s="327">
        <v>0.49320011000000002</v>
      </c>
      <c r="Z63"/>
      <c r="AA63" s="326">
        <v>554952.27740000002</v>
      </c>
      <c r="AB63" s="327">
        <v>0.57520344000000001</v>
      </c>
      <c r="AC63"/>
      <c r="AD63" s="326">
        <v>731300.22990000003</v>
      </c>
      <c r="AE63" s="327">
        <v>0.60352950999999999</v>
      </c>
      <c r="AF63"/>
      <c r="AG63" s="326">
        <v>843342.38300000003</v>
      </c>
      <c r="AH63" s="327">
        <v>0.63604214000000003</v>
      </c>
      <c r="AI63"/>
      <c r="AJ63" s="326">
        <v>727429.07140000002</v>
      </c>
      <c r="AK63" s="327">
        <v>0.5871189</v>
      </c>
      <c r="AL63"/>
      <c r="AM63" s="326">
        <v>592920.65630000003</v>
      </c>
      <c r="AN63" s="327">
        <v>0.56543905000000005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440346.63059999997</v>
      </c>
      <c r="D66" s="7">
        <v>3.6072800000000002E-2</v>
      </c>
      <c r="E66"/>
      <c r="F66" s="8">
        <v>35410.28</v>
      </c>
      <c r="G66" s="7">
        <v>5.6588670000000001E-2</v>
      </c>
      <c r="H66"/>
      <c r="I66" s="8">
        <v>37391.31</v>
      </c>
      <c r="J66" s="7">
        <v>4.0529029999999987E-2</v>
      </c>
      <c r="K66"/>
      <c r="L66" s="8">
        <v>30234.93</v>
      </c>
      <c r="M66" s="7">
        <v>2.254258E-2</v>
      </c>
      <c r="N66"/>
      <c r="O66" s="8">
        <v>31677.89</v>
      </c>
      <c r="P66" s="7">
        <v>3.7399839999999997E-2</v>
      </c>
      <c r="Q66"/>
      <c r="R66" s="8">
        <v>34535.557500000003</v>
      </c>
      <c r="S66" s="7">
        <v>3.3883839999999998E-2</v>
      </c>
      <c r="T66"/>
      <c r="U66" s="8">
        <v>36827.084199999998</v>
      </c>
      <c r="V66" s="7">
        <v>3.9019760000000001E-2</v>
      </c>
      <c r="W66"/>
      <c r="X66" s="8">
        <v>35053.327599999997</v>
      </c>
      <c r="Y66" s="7">
        <v>4.8851389999999988E-2</v>
      </c>
      <c r="Z66"/>
      <c r="AA66" s="8">
        <v>42439.6446</v>
      </c>
      <c r="AB66" s="7">
        <v>4.3988340000000001E-2</v>
      </c>
      <c r="AC66"/>
      <c r="AD66" s="8">
        <v>37941.184300000001</v>
      </c>
      <c r="AE66" s="7">
        <v>3.131221E-2</v>
      </c>
      <c r="AF66"/>
      <c r="AG66" s="8">
        <v>38335.676899999999</v>
      </c>
      <c r="AH66" s="7">
        <v>2.8912460000000001E-2</v>
      </c>
      <c r="AI66"/>
      <c r="AJ66" s="8">
        <v>41437.406300000002</v>
      </c>
      <c r="AK66" s="7">
        <v>3.3444750000000002E-2</v>
      </c>
      <c r="AL66"/>
      <c r="AM66" s="8">
        <v>39062.339200000002</v>
      </c>
      <c r="AN66" s="7">
        <v>3.7251819999999998E-2</v>
      </c>
    </row>
    <row r="67" spans="2:40" s="314" customFormat="1" ht="12.75" customHeight="1" x14ac:dyDescent="0.15">
      <c r="B67" s="5" t="s">
        <v>40</v>
      </c>
      <c r="C67" s="8">
        <v>319449.4155</v>
      </c>
      <c r="D67" s="7">
        <v>2.6169009999999999E-2</v>
      </c>
      <c r="E67"/>
      <c r="F67" s="8">
        <v>15914.91</v>
      </c>
      <c r="G67" s="7">
        <v>2.543339E-2</v>
      </c>
      <c r="H67"/>
      <c r="I67" s="8">
        <v>23688.05</v>
      </c>
      <c r="J67" s="7">
        <v>2.567585E-2</v>
      </c>
      <c r="K67"/>
      <c r="L67" s="8">
        <v>36248.78</v>
      </c>
      <c r="M67" s="7">
        <v>2.7026399999999999E-2</v>
      </c>
      <c r="N67"/>
      <c r="O67" s="8">
        <v>8802.01</v>
      </c>
      <c r="P67" s="7">
        <v>1.0391910000000001E-2</v>
      </c>
      <c r="Q67"/>
      <c r="R67" s="8">
        <v>30534.487499999999</v>
      </c>
      <c r="S67" s="7">
        <v>2.995828E-2</v>
      </c>
      <c r="T67"/>
      <c r="U67" s="8">
        <v>26646.859199999999</v>
      </c>
      <c r="V67" s="7">
        <v>2.823341E-2</v>
      </c>
      <c r="W67"/>
      <c r="X67" s="8">
        <v>21405.527399999999</v>
      </c>
      <c r="Y67" s="7">
        <v>2.9831400000000001E-2</v>
      </c>
      <c r="Z67"/>
      <c r="AA67" s="8">
        <v>27161.680400000001</v>
      </c>
      <c r="AB67" s="7">
        <v>2.8152859999999998E-2</v>
      </c>
      <c r="AC67"/>
      <c r="AD67" s="8">
        <v>32124.558300000001</v>
      </c>
      <c r="AE67" s="7">
        <v>2.651185E-2</v>
      </c>
      <c r="AF67"/>
      <c r="AG67" s="8">
        <v>34869.471799999999</v>
      </c>
      <c r="AH67" s="7">
        <v>2.629828E-2</v>
      </c>
      <c r="AI67"/>
      <c r="AJ67" s="8">
        <v>34367.558400000002</v>
      </c>
      <c r="AK67" s="7">
        <v>2.7738570000000001E-2</v>
      </c>
      <c r="AL67"/>
      <c r="AM67" s="8">
        <v>27685.522499999999</v>
      </c>
      <c r="AN67" s="7">
        <v>2.6402309999999998E-2</v>
      </c>
    </row>
    <row r="68" spans="2:40" s="314" customFormat="1" ht="12.75" customHeight="1" x14ac:dyDescent="0.15">
      <c r="B68" s="325" t="s">
        <v>41</v>
      </c>
      <c r="C68" s="326">
        <v>-759796.04639999999</v>
      </c>
      <c r="D68" s="327">
        <v>-6.2241809999999988E-2</v>
      </c>
      <c r="E68"/>
      <c r="F68" s="326">
        <v>-51325.19</v>
      </c>
      <c r="G68" s="327">
        <v>-8.2022060000000008E-2</v>
      </c>
      <c r="H68"/>
      <c r="I68" s="326">
        <v>-61079.360000000001</v>
      </c>
      <c r="J68" s="327">
        <v>-6.6204879999999994E-2</v>
      </c>
      <c r="K68"/>
      <c r="L68" s="326">
        <v>-66483.710000000006</v>
      </c>
      <c r="M68" s="327">
        <v>-4.9568979999999999E-2</v>
      </c>
      <c r="N68"/>
      <c r="O68" s="326">
        <v>-40479.9</v>
      </c>
      <c r="P68" s="327">
        <v>-4.7791750000000001E-2</v>
      </c>
      <c r="Q68"/>
      <c r="R68" s="326">
        <v>-65070.045100000003</v>
      </c>
      <c r="S68" s="327">
        <v>-6.3842120000000002E-2</v>
      </c>
      <c r="T68"/>
      <c r="U68" s="326">
        <v>-63473.943500000001</v>
      </c>
      <c r="V68" s="327">
        <v>-6.7253170000000001E-2</v>
      </c>
      <c r="W68"/>
      <c r="X68" s="326">
        <v>-56458.855000000003</v>
      </c>
      <c r="Y68" s="327">
        <v>-7.8682790000000002E-2</v>
      </c>
      <c r="Z68"/>
      <c r="AA68" s="326">
        <v>-69601.324999999997</v>
      </c>
      <c r="AB68" s="327">
        <v>-7.2141200000000003E-2</v>
      </c>
      <c r="AC68"/>
      <c r="AD68" s="326">
        <v>-70065.742599999998</v>
      </c>
      <c r="AE68" s="327">
        <v>-5.7824049999999988E-2</v>
      </c>
      <c r="AF68"/>
      <c r="AG68" s="326">
        <v>-73205.148700000005</v>
      </c>
      <c r="AH68" s="327">
        <v>-5.5210739999999987E-2</v>
      </c>
      <c r="AI68"/>
      <c r="AJ68" s="326">
        <v>-75804.964800000002</v>
      </c>
      <c r="AK68" s="327">
        <v>-6.1183319999999999E-2</v>
      </c>
      <c r="AL68"/>
      <c r="AM68" s="326">
        <v>-66747.861699999994</v>
      </c>
      <c r="AN68" s="327">
        <v>-6.3654130000000003E-2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24177.85</v>
      </c>
      <c r="D71" s="7">
        <v>1.9806300000000002E-3</v>
      </c>
      <c r="E71"/>
      <c r="F71" s="8">
        <v>2160</v>
      </c>
      <c r="G71" s="7">
        <v>3.4518700000000001E-3</v>
      </c>
      <c r="H71"/>
      <c r="I71" s="8">
        <v>2108</v>
      </c>
      <c r="J71" s="7">
        <v>2.2848899999999999E-3</v>
      </c>
      <c r="K71"/>
      <c r="L71" s="8">
        <v>-1582.4</v>
      </c>
      <c r="M71" s="7">
        <v>-1.1798100000000001E-3</v>
      </c>
      <c r="N71"/>
      <c r="O71" s="8">
        <v>3268.25</v>
      </c>
      <c r="P71" s="7">
        <v>3.8585899999999998E-3</v>
      </c>
      <c r="Q71"/>
      <c r="R71" s="8">
        <v>2278</v>
      </c>
      <c r="S71" s="7">
        <v>2.2350099999999999E-3</v>
      </c>
      <c r="T71"/>
      <c r="U71" s="8">
        <v>2278</v>
      </c>
      <c r="V71" s="7">
        <v>2.4136299999999999E-3</v>
      </c>
      <c r="W71"/>
      <c r="X71" s="8">
        <v>2278</v>
      </c>
      <c r="Y71" s="7">
        <v>3.17469E-3</v>
      </c>
      <c r="Z71"/>
      <c r="AA71" s="8">
        <v>2278</v>
      </c>
      <c r="AB71" s="7">
        <v>2.3611299999999999E-3</v>
      </c>
      <c r="AC71"/>
      <c r="AD71" s="8">
        <v>2278</v>
      </c>
      <c r="AE71" s="7">
        <v>1.87999E-3</v>
      </c>
      <c r="AF71"/>
      <c r="AG71" s="8">
        <v>2278</v>
      </c>
      <c r="AH71" s="7">
        <v>1.71805E-3</v>
      </c>
      <c r="AI71"/>
      <c r="AJ71" s="8">
        <v>2278</v>
      </c>
      <c r="AK71" s="7">
        <v>1.8386100000000001E-3</v>
      </c>
      <c r="AL71"/>
      <c r="AM71" s="8">
        <v>2278</v>
      </c>
      <c r="AN71" s="7">
        <v>2.17242E-3</v>
      </c>
    </row>
    <row r="72" spans="2:40" s="314" customFormat="1" ht="12.75" customHeight="1" x14ac:dyDescent="0.15">
      <c r="B72" s="5" t="s">
        <v>56</v>
      </c>
      <c r="C72" s="8">
        <v>129830</v>
      </c>
      <c r="D72" s="7">
        <v>1.063556E-2</v>
      </c>
      <c r="E72"/>
      <c r="F72" s="8">
        <v>6352.85</v>
      </c>
      <c r="G72" s="7">
        <v>1.0152400000000001E-2</v>
      </c>
      <c r="H72"/>
      <c r="I72" s="8">
        <v>11497.64</v>
      </c>
      <c r="J72" s="7">
        <v>1.246247E-2</v>
      </c>
      <c r="K72"/>
      <c r="L72" s="8">
        <v>8405.32</v>
      </c>
      <c r="M72" s="7">
        <v>6.2668500000000009E-3</v>
      </c>
      <c r="N72"/>
      <c r="O72" s="8">
        <v>701.31</v>
      </c>
      <c r="P72" s="7">
        <v>8.2799000000000002E-4</v>
      </c>
      <c r="Q72"/>
      <c r="R72" s="8">
        <v>12843.61</v>
      </c>
      <c r="S72" s="7">
        <v>1.260124E-2</v>
      </c>
      <c r="T72"/>
      <c r="U72" s="8">
        <v>13013.61</v>
      </c>
      <c r="V72" s="7">
        <v>1.3788440000000001E-2</v>
      </c>
      <c r="W72"/>
      <c r="X72" s="8">
        <v>12843.61</v>
      </c>
      <c r="Y72" s="7">
        <v>1.7899249999999998E-2</v>
      </c>
      <c r="Z72"/>
      <c r="AA72" s="8">
        <v>12843.61</v>
      </c>
      <c r="AB72" s="7">
        <v>1.3312299999999999E-2</v>
      </c>
      <c r="AC72"/>
      <c r="AD72" s="8">
        <v>12843.61</v>
      </c>
      <c r="AE72" s="7">
        <v>1.0599610000000001E-2</v>
      </c>
      <c r="AF72"/>
      <c r="AG72" s="8">
        <v>13013.61</v>
      </c>
      <c r="AH72" s="7">
        <v>9.8147600000000005E-3</v>
      </c>
      <c r="AI72"/>
      <c r="AJ72" s="8">
        <v>12843.61</v>
      </c>
      <c r="AK72" s="7">
        <v>1.036627E-2</v>
      </c>
      <c r="AL72"/>
      <c r="AM72" s="8">
        <v>12627.61</v>
      </c>
      <c r="AN72" s="7">
        <v>1.204233E-2</v>
      </c>
    </row>
    <row r="73" spans="2:40" s="314" customFormat="1" ht="12.75" customHeight="1" x14ac:dyDescent="0.15">
      <c r="B73" s="5" t="s">
        <v>40</v>
      </c>
      <c r="C73" s="8">
        <v>5570</v>
      </c>
      <c r="D73" s="7">
        <v>4.5628999999999998E-4</v>
      </c>
      <c r="E73"/>
      <c r="F73" s="8">
        <v>0</v>
      </c>
      <c r="G73" s="7">
        <v>0</v>
      </c>
      <c r="H73"/>
      <c r="I73" s="8">
        <v>960</v>
      </c>
      <c r="J73" s="7">
        <v>1.0405600000000001E-3</v>
      </c>
      <c r="K73"/>
      <c r="L73" s="8">
        <v>605</v>
      </c>
      <c r="M73" s="7">
        <v>4.5108000000000002E-4</v>
      </c>
      <c r="N73"/>
      <c r="O73" s="8">
        <v>-835</v>
      </c>
      <c r="P73" s="7">
        <v>-9.8583000000000004E-4</v>
      </c>
      <c r="Q73"/>
      <c r="R73" s="8">
        <v>605</v>
      </c>
      <c r="S73" s="7">
        <v>5.9358000000000002E-4</v>
      </c>
      <c r="T73"/>
      <c r="U73" s="8">
        <v>605</v>
      </c>
      <c r="V73" s="7">
        <v>6.4102000000000007E-4</v>
      </c>
      <c r="W73"/>
      <c r="X73" s="8">
        <v>605</v>
      </c>
      <c r="Y73" s="7">
        <v>8.4314999999999998E-4</v>
      </c>
      <c r="Z73"/>
      <c r="AA73" s="8">
        <v>605</v>
      </c>
      <c r="AB73" s="7">
        <v>6.2708000000000002E-4</v>
      </c>
      <c r="AC73"/>
      <c r="AD73" s="8">
        <v>605</v>
      </c>
      <c r="AE73" s="7">
        <v>4.9930000000000005E-4</v>
      </c>
      <c r="AF73"/>
      <c r="AG73" s="8">
        <v>605</v>
      </c>
      <c r="AH73" s="7">
        <v>4.5628999999999998E-4</v>
      </c>
      <c r="AI73"/>
      <c r="AJ73" s="8">
        <v>605</v>
      </c>
      <c r="AK73" s="7">
        <v>4.883E-4</v>
      </c>
      <c r="AL73"/>
      <c r="AM73" s="8">
        <v>605</v>
      </c>
      <c r="AN73" s="7">
        <v>5.7695999999999995E-4</v>
      </c>
    </row>
    <row r="74" spans="2:40" s="314" customFormat="1" ht="12.75" customHeight="1" x14ac:dyDescent="0.15">
      <c r="B74" s="325" t="s">
        <v>41</v>
      </c>
      <c r="C74" s="326">
        <v>-159577.85</v>
      </c>
      <c r="D74" s="327">
        <v>-1.3072469999999999E-2</v>
      </c>
      <c r="E74"/>
      <c r="F74" s="326">
        <v>-8512.85</v>
      </c>
      <c r="G74" s="327">
        <v>-1.360427E-2</v>
      </c>
      <c r="H74"/>
      <c r="I74" s="326">
        <v>-14565.64</v>
      </c>
      <c r="J74" s="327">
        <v>-1.5787929999999999E-2</v>
      </c>
      <c r="K74"/>
      <c r="L74" s="326">
        <v>-7427.92</v>
      </c>
      <c r="M74" s="327">
        <v>-5.5381100000000006E-3</v>
      </c>
      <c r="N74"/>
      <c r="O74" s="326">
        <v>-3134.56</v>
      </c>
      <c r="P74" s="327">
        <v>-3.70075E-3</v>
      </c>
      <c r="Q74"/>
      <c r="R74" s="326">
        <v>-15726.61</v>
      </c>
      <c r="S74" s="327">
        <v>-1.542984E-2</v>
      </c>
      <c r="T74"/>
      <c r="U74" s="326">
        <v>-15896.61</v>
      </c>
      <c r="V74" s="327">
        <v>-1.6843090000000002E-2</v>
      </c>
      <c r="W74"/>
      <c r="X74" s="326">
        <v>-15726.61</v>
      </c>
      <c r="Y74" s="327">
        <v>-2.191709E-2</v>
      </c>
      <c r="Z74"/>
      <c r="AA74" s="326">
        <v>-15726.61</v>
      </c>
      <c r="AB74" s="327">
        <v>-1.6300499999999999E-2</v>
      </c>
      <c r="AC74"/>
      <c r="AD74" s="326">
        <v>-15726.61</v>
      </c>
      <c r="AE74" s="327">
        <v>-1.29789E-2</v>
      </c>
      <c r="AF74"/>
      <c r="AG74" s="326">
        <v>-15896.61</v>
      </c>
      <c r="AH74" s="327">
        <v>-1.1989100000000001E-2</v>
      </c>
      <c r="AI74"/>
      <c r="AJ74" s="326">
        <v>-15726.61</v>
      </c>
      <c r="AK74" s="327">
        <v>-1.269318E-2</v>
      </c>
      <c r="AL74"/>
      <c r="AM74" s="326">
        <v>-15510.61</v>
      </c>
      <c r="AN74" s="327">
        <v>-1.47917E-2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213136.12880000001</v>
      </c>
      <c r="D77" s="7">
        <v>1.745992E-2</v>
      </c>
      <c r="E77"/>
      <c r="F77" s="8">
        <v>6907.72</v>
      </c>
      <c r="G77" s="7">
        <v>1.1039129999999999E-2</v>
      </c>
      <c r="H77"/>
      <c r="I77" s="8">
        <v>17005.43</v>
      </c>
      <c r="J77" s="7">
        <v>1.843245E-2</v>
      </c>
      <c r="K77"/>
      <c r="L77" s="8">
        <v>20118.36</v>
      </c>
      <c r="M77" s="7">
        <v>1.499986E-2</v>
      </c>
      <c r="N77"/>
      <c r="O77" s="8">
        <v>12704.66</v>
      </c>
      <c r="P77" s="7">
        <v>1.4999490000000001E-2</v>
      </c>
      <c r="Q77"/>
      <c r="R77" s="8">
        <v>18523.980599999999</v>
      </c>
      <c r="S77" s="7">
        <v>1.817442E-2</v>
      </c>
      <c r="T77"/>
      <c r="U77" s="8">
        <v>18299.9313</v>
      </c>
      <c r="V77" s="7">
        <v>1.9389509999999999E-2</v>
      </c>
      <c r="W77"/>
      <c r="X77" s="8">
        <v>14182.5152</v>
      </c>
      <c r="Y77" s="7">
        <v>1.9765189999999998E-2</v>
      </c>
      <c r="Z77"/>
      <c r="AA77" s="8">
        <v>17891.157200000001</v>
      </c>
      <c r="AB77" s="7">
        <v>1.8544040000000001E-2</v>
      </c>
      <c r="AC77"/>
      <c r="AD77" s="8">
        <v>21884.2814</v>
      </c>
      <c r="AE77" s="7">
        <v>1.8060719999999999E-2</v>
      </c>
      <c r="AF77"/>
      <c r="AG77" s="8">
        <v>23742.242699999999</v>
      </c>
      <c r="AH77" s="7">
        <v>1.7906209999999999E-2</v>
      </c>
      <c r="AI77"/>
      <c r="AJ77" s="8">
        <v>22727.555100000001</v>
      </c>
      <c r="AK77" s="7">
        <v>1.8343749999999999E-2</v>
      </c>
      <c r="AL77"/>
      <c r="AM77" s="8">
        <v>19148.295300000002</v>
      </c>
      <c r="AN77" s="7">
        <v>1.8260780000000001E-2</v>
      </c>
    </row>
    <row r="78" spans="2:40" s="314" customFormat="1" ht="12.75" customHeight="1" x14ac:dyDescent="0.15">
      <c r="B78" s="5" t="s">
        <v>40</v>
      </c>
      <c r="C78" s="8">
        <v>531695.37089999998</v>
      </c>
      <c r="D78" s="7">
        <v>4.3556009999999999E-2</v>
      </c>
      <c r="E78"/>
      <c r="F78" s="8">
        <v>23385.87</v>
      </c>
      <c r="G78" s="7">
        <v>3.7372629999999997E-2</v>
      </c>
      <c r="H78"/>
      <c r="I78" s="8">
        <v>41814.21</v>
      </c>
      <c r="J78" s="7">
        <v>4.5323079999999988E-2</v>
      </c>
      <c r="K78"/>
      <c r="L78" s="8">
        <v>53844.65</v>
      </c>
      <c r="M78" s="7">
        <v>4.0145540000000007E-2</v>
      </c>
      <c r="N78"/>
      <c r="O78" s="8">
        <v>30821.41</v>
      </c>
      <c r="P78" s="7">
        <v>3.6388660000000003E-2</v>
      </c>
      <c r="Q78"/>
      <c r="R78" s="8">
        <v>47012.5363</v>
      </c>
      <c r="S78" s="7">
        <v>4.6125369999999999E-2</v>
      </c>
      <c r="T78"/>
      <c r="U78" s="8">
        <v>41683.248899999999</v>
      </c>
      <c r="V78" s="7">
        <v>4.4165059999999999E-2</v>
      </c>
      <c r="W78"/>
      <c r="X78" s="8">
        <v>32903.8586</v>
      </c>
      <c r="Y78" s="7">
        <v>4.585583E-2</v>
      </c>
      <c r="Z78"/>
      <c r="AA78" s="8">
        <v>44720.945599999999</v>
      </c>
      <c r="AB78" s="7">
        <v>4.6352890000000001E-2</v>
      </c>
      <c r="AC78"/>
      <c r="AD78" s="8">
        <v>52107.4375</v>
      </c>
      <c r="AE78" s="7">
        <v>4.3003369999999999E-2</v>
      </c>
      <c r="AF78"/>
      <c r="AG78" s="8">
        <v>63095.1826</v>
      </c>
      <c r="AH78" s="7">
        <v>4.7585889999999999E-2</v>
      </c>
      <c r="AI78"/>
      <c r="AJ78" s="8">
        <v>53959.287700000001</v>
      </c>
      <c r="AK78" s="7">
        <v>4.3551350000000003E-2</v>
      </c>
      <c r="AL78"/>
      <c r="AM78" s="8">
        <v>46346.733699999997</v>
      </c>
      <c r="AN78" s="7">
        <v>4.4198579999999987E-2</v>
      </c>
    </row>
    <row r="79" spans="2:40" s="314" customFormat="1" ht="12.75" customHeight="1" x14ac:dyDescent="0.15">
      <c r="B79" s="325" t="s">
        <v>41</v>
      </c>
      <c r="C79" s="326">
        <v>-744831.5</v>
      </c>
      <c r="D79" s="327">
        <v>-6.1015920000000001E-2</v>
      </c>
      <c r="E79"/>
      <c r="F79" s="326">
        <v>-30293.59</v>
      </c>
      <c r="G79" s="327">
        <v>-4.8411759999999998E-2</v>
      </c>
      <c r="H79"/>
      <c r="I79" s="326">
        <v>-58819.64</v>
      </c>
      <c r="J79" s="327">
        <v>-6.3755530000000005E-2</v>
      </c>
      <c r="K79"/>
      <c r="L79" s="326">
        <v>-73963.009999999995</v>
      </c>
      <c r="M79" s="327">
        <v>-5.5145399999999997E-2</v>
      </c>
      <c r="N79"/>
      <c r="O79" s="326">
        <v>-43526.07</v>
      </c>
      <c r="P79" s="327">
        <v>-5.138815E-2</v>
      </c>
      <c r="Q79"/>
      <c r="R79" s="326">
        <v>-65536.516900000002</v>
      </c>
      <c r="S79" s="327">
        <v>-6.4299790000000009E-2</v>
      </c>
      <c r="T79"/>
      <c r="U79" s="326">
        <v>-59983.180200000003</v>
      </c>
      <c r="V79" s="327">
        <v>-6.3554570000000005E-2</v>
      </c>
      <c r="W79"/>
      <c r="X79" s="326">
        <v>-47086.373800000001</v>
      </c>
      <c r="Y79" s="327">
        <v>-6.5621010000000007E-2</v>
      </c>
      <c r="Z79"/>
      <c r="AA79" s="326">
        <v>-62612.102800000001</v>
      </c>
      <c r="AB79" s="327">
        <v>-6.4896930000000005E-2</v>
      </c>
      <c r="AC79"/>
      <c r="AD79" s="326">
        <v>-73991.718999999997</v>
      </c>
      <c r="AE79" s="327">
        <v>-6.1064090000000001E-2</v>
      </c>
      <c r="AF79"/>
      <c r="AG79" s="326">
        <v>-86837.425399999993</v>
      </c>
      <c r="AH79" s="327">
        <v>-6.5492099999999998E-2</v>
      </c>
      <c r="AI79"/>
      <c r="AJ79" s="326">
        <v>-76686.842799999999</v>
      </c>
      <c r="AK79" s="327">
        <v>-6.1895100000000002E-2</v>
      </c>
      <c r="AL79"/>
      <c r="AM79" s="326">
        <v>-65495.0291</v>
      </c>
      <c r="AN79" s="327">
        <v>-6.2459360000000012E-2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237889.9388</v>
      </c>
      <c r="D82" s="7">
        <v>1.9487730000000002E-2</v>
      </c>
      <c r="E82"/>
      <c r="F82" s="8">
        <v>17588.259999999998</v>
      </c>
      <c r="G82" s="7">
        <v>2.8107549999999999E-2</v>
      </c>
      <c r="H82"/>
      <c r="I82" s="8">
        <v>20604.490000000002</v>
      </c>
      <c r="J82" s="7">
        <v>2.2333530000000001E-2</v>
      </c>
      <c r="K82"/>
      <c r="L82" s="8">
        <v>18347.169999999998</v>
      </c>
      <c r="M82" s="7">
        <v>1.36793E-2</v>
      </c>
      <c r="N82"/>
      <c r="O82" s="8">
        <v>17272.740000000002</v>
      </c>
      <c r="P82" s="7">
        <v>2.03927E-2</v>
      </c>
      <c r="Q82"/>
      <c r="R82" s="8">
        <v>21260.885300000002</v>
      </c>
      <c r="S82" s="7">
        <v>2.0859679999999999E-2</v>
      </c>
      <c r="T82"/>
      <c r="U82" s="8">
        <v>22000.818899999998</v>
      </c>
      <c r="V82" s="7">
        <v>2.331074E-2</v>
      </c>
      <c r="W82"/>
      <c r="X82" s="8">
        <v>23396.615699999998</v>
      </c>
      <c r="Y82" s="7">
        <v>3.2606240000000002E-2</v>
      </c>
      <c r="Z82"/>
      <c r="AA82" s="8">
        <v>15977.066800000001</v>
      </c>
      <c r="AB82" s="7">
        <v>1.6560100000000001E-2</v>
      </c>
      <c r="AC82"/>
      <c r="AD82" s="8">
        <v>21046.434000000001</v>
      </c>
      <c r="AE82" s="7">
        <v>1.7369260000000001E-2</v>
      </c>
      <c r="AF82"/>
      <c r="AG82" s="8">
        <v>18272.9192</v>
      </c>
      <c r="AH82" s="7">
        <v>1.378129E-2</v>
      </c>
      <c r="AI82"/>
      <c r="AJ82" s="8">
        <v>22147.3577</v>
      </c>
      <c r="AK82" s="7">
        <v>1.7875459999999999E-2</v>
      </c>
      <c r="AL82"/>
      <c r="AM82" s="8">
        <v>19975.181199999999</v>
      </c>
      <c r="AN82" s="7">
        <v>1.9049340000000001E-2</v>
      </c>
    </row>
    <row r="83" spans="2:40" s="314" customFormat="1" ht="12.75" customHeight="1" x14ac:dyDescent="0.15">
      <c r="B83" s="5" t="s">
        <v>40</v>
      </c>
      <c r="C83" s="8">
        <v>352902.68</v>
      </c>
      <c r="D83" s="7">
        <v>2.890947E-2</v>
      </c>
      <c r="E83"/>
      <c r="F83" s="8">
        <v>14155.15</v>
      </c>
      <c r="G83" s="7">
        <v>2.262115E-2</v>
      </c>
      <c r="H83"/>
      <c r="I83" s="8">
        <v>62015.87</v>
      </c>
      <c r="J83" s="7">
        <v>6.7219979999999999E-2</v>
      </c>
      <c r="K83"/>
      <c r="L83" s="8">
        <v>31943.86</v>
      </c>
      <c r="M83" s="7">
        <v>2.3816730000000001E-2</v>
      </c>
      <c r="N83"/>
      <c r="O83" s="8">
        <v>8905.7999999999993</v>
      </c>
      <c r="P83" s="7">
        <v>1.051445E-2</v>
      </c>
      <c r="Q83"/>
      <c r="R83" s="8">
        <v>26384</v>
      </c>
      <c r="S83" s="7">
        <v>2.588611E-2</v>
      </c>
      <c r="T83"/>
      <c r="U83" s="8">
        <v>33984</v>
      </c>
      <c r="V83" s="7">
        <v>3.6007400000000002E-2</v>
      </c>
      <c r="W83"/>
      <c r="X83" s="8">
        <v>27684</v>
      </c>
      <c r="Y83" s="7">
        <v>3.8581270000000001E-2</v>
      </c>
      <c r="Z83"/>
      <c r="AA83" s="8">
        <v>26834</v>
      </c>
      <c r="AB83" s="7">
        <v>2.781322E-2</v>
      </c>
      <c r="AC83"/>
      <c r="AD83" s="8">
        <v>29134</v>
      </c>
      <c r="AE83" s="7">
        <v>2.4043789999999999E-2</v>
      </c>
      <c r="AF83"/>
      <c r="AG83" s="8">
        <v>31284</v>
      </c>
      <c r="AH83" s="7">
        <v>2.359414E-2</v>
      </c>
      <c r="AI83"/>
      <c r="AJ83" s="8">
        <v>31784</v>
      </c>
      <c r="AK83" s="7">
        <v>2.565334E-2</v>
      </c>
      <c r="AL83"/>
      <c r="AM83" s="8">
        <v>28794</v>
      </c>
      <c r="AN83" s="7">
        <v>2.745941E-2</v>
      </c>
    </row>
    <row r="84" spans="2:40" s="314" customFormat="1" ht="12.75" customHeight="1" x14ac:dyDescent="0.15">
      <c r="B84" s="325" t="s">
        <v>41</v>
      </c>
      <c r="C84" s="326">
        <v>-590792.61880000005</v>
      </c>
      <c r="D84" s="327">
        <v>-4.8397200000000001E-2</v>
      </c>
      <c r="E84"/>
      <c r="F84" s="326">
        <v>-31743.41</v>
      </c>
      <c r="G84" s="327">
        <v>-5.0728700000000002E-2</v>
      </c>
      <c r="H84"/>
      <c r="I84" s="326">
        <v>-82620.36</v>
      </c>
      <c r="J84" s="327">
        <v>-8.9553510000000003E-2</v>
      </c>
      <c r="K84"/>
      <c r="L84" s="326">
        <v>-50291.03</v>
      </c>
      <c r="M84" s="327">
        <v>-3.749603E-2</v>
      </c>
      <c r="N84"/>
      <c r="O84" s="326">
        <v>-26178.54</v>
      </c>
      <c r="P84" s="327">
        <v>-3.0907150000000001E-2</v>
      </c>
      <c r="Q84"/>
      <c r="R84" s="326">
        <v>-47644.885300000002</v>
      </c>
      <c r="S84" s="327">
        <v>-4.6745790000000002E-2</v>
      </c>
      <c r="T84"/>
      <c r="U84" s="326">
        <v>-55984.818899999998</v>
      </c>
      <c r="V84" s="327">
        <v>-5.931815E-2</v>
      </c>
      <c r="W84"/>
      <c r="X84" s="326">
        <v>-51080.615700000002</v>
      </c>
      <c r="Y84" s="327">
        <v>-7.1187509999999996E-2</v>
      </c>
      <c r="Z84"/>
      <c r="AA84" s="326">
        <v>-42811.066800000001</v>
      </c>
      <c r="AB84" s="327">
        <v>-4.4373319999999987E-2</v>
      </c>
      <c r="AC84"/>
      <c r="AD84" s="326">
        <v>-50180.434000000001</v>
      </c>
      <c r="AE84" s="327">
        <v>-4.141305E-2</v>
      </c>
      <c r="AF84"/>
      <c r="AG84" s="326">
        <v>-49556.919199999997</v>
      </c>
      <c r="AH84" s="327">
        <v>-3.7375440000000003E-2</v>
      </c>
      <c r="AI84"/>
      <c r="AJ84" s="326">
        <v>-53931.3577</v>
      </c>
      <c r="AK84" s="327">
        <v>-4.3528810000000001E-2</v>
      </c>
      <c r="AL84"/>
      <c r="AM84" s="326">
        <v>-48769.181199999999</v>
      </c>
      <c r="AN84" s="327">
        <v>-4.6508750000000001E-2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-609829.69590000005</v>
      </c>
      <c r="D87" s="327">
        <v>-4.9956699999999993E-2</v>
      </c>
      <c r="E87"/>
      <c r="F87" s="326">
        <v>-53565.56</v>
      </c>
      <c r="G87" s="327">
        <v>-8.5602370000000011E-2</v>
      </c>
      <c r="H87"/>
      <c r="I87" s="326">
        <v>-46132.44</v>
      </c>
      <c r="J87" s="327">
        <v>-5.0003680000000002E-2</v>
      </c>
      <c r="K87"/>
      <c r="L87" s="326">
        <v>-54635.46</v>
      </c>
      <c r="M87" s="327">
        <v>-4.0735149999999998E-2</v>
      </c>
      <c r="N87"/>
      <c r="O87" s="326">
        <v>-22867.119999999999</v>
      </c>
      <c r="P87" s="327">
        <v>-2.6997589999999998E-2</v>
      </c>
      <c r="Q87"/>
      <c r="R87" s="326">
        <v>-53077.396099999998</v>
      </c>
      <c r="S87" s="327">
        <v>-5.2075780000000002E-2</v>
      </c>
      <c r="T87"/>
      <c r="U87" s="326">
        <v>-52435.892999999996</v>
      </c>
      <c r="V87" s="327">
        <v>-5.5557919999999997E-2</v>
      </c>
      <c r="W87"/>
      <c r="X87" s="326">
        <v>-49408.034599999999</v>
      </c>
      <c r="Y87" s="327">
        <v>-6.8856550000000002E-2</v>
      </c>
      <c r="Z87"/>
      <c r="AA87" s="326">
        <v>-60664.801099999997</v>
      </c>
      <c r="AB87" s="327">
        <v>-6.287856E-2</v>
      </c>
      <c r="AC87"/>
      <c r="AD87" s="326">
        <v>-65876.540800000002</v>
      </c>
      <c r="AE87" s="327">
        <v>-5.4366780000000003E-2</v>
      </c>
      <c r="AF87"/>
      <c r="AG87" s="326">
        <v>-50856.766100000001</v>
      </c>
      <c r="AH87" s="327">
        <v>-3.8355769999999997E-2</v>
      </c>
      <c r="AI87"/>
      <c r="AJ87" s="326">
        <v>-51347.311000000002</v>
      </c>
      <c r="AK87" s="327">
        <v>-4.1443180000000003E-2</v>
      </c>
      <c r="AL87"/>
      <c r="AM87" s="326">
        <v>-48962.373200000002</v>
      </c>
      <c r="AN87" s="327">
        <v>-4.6692989999999997E-2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3902522.0000999998</v>
      </c>
      <c r="D89" s="327">
        <v>0.31969108000000002</v>
      </c>
      <c r="E89"/>
      <c r="F89" s="326">
        <v>50981.77</v>
      </c>
      <c r="G89" s="327">
        <v>8.1473249999999997E-2</v>
      </c>
      <c r="H89"/>
      <c r="I89" s="326">
        <v>129803.53</v>
      </c>
      <c r="J89" s="327">
        <v>0.14069609</v>
      </c>
      <c r="K89"/>
      <c r="L89" s="326">
        <v>536569.75</v>
      </c>
      <c r="M89" s="327">
        <v>0.40005613000000001</v>
      </c>
      <c r="N89"/>
      <c r="O89" s="326">
        <v>311949.86</v>
      </c>
      <c r="P89" s="327">
        <v>0.36829712999999997</v>
      </c>
      <c r="Q89"/>
      <c r="R89" s="326">
        <v>341441.7905</v>
      </c>
      <c r="S89" s="327">
        <v>0.33499851000000003</v>
      </c>
      <c r="T89"/>
      <c r="U89" s="326">
        <v>270287.2758</v>
      </c>
      <c r="V89" s="327">
        <v>0.28638014000000001</v>
      </c>
      <c r="W89"/>
      <c r="X89" s="326">
        <v>134135.3689</v>
      </c>
      <c r="Y89" s="327">
        <v>0.18693515999999999</v>
      </c>
      <c r="Z89"/>
      <c r="AA89" s="326">
        <v>303536.37170000002</v>
      </c>
      <c r="AB89" s="327">
        <v>0.31461294000000001</v>
      </c>
      <c r="AC89"/>
      <c r="AD89" s="326">
        <v>455459.18349999998</v>
      </c>
      <c r="AE89" s="327">
        <v>0.37588263999999999</v>
      </c>
      <c r="AF89"/>
      <c r="AG89" s="326">
        <v>566989.51359999995</v>
      </c>
      <c r="AH89" s="327">
        <v>0.42761900000000003</v>
      </c>
      <c r="AI89"/>
      <c r="AJ89" s="326">
        <v>453931.98509999999</v>
      </c>
      <c r="AK89" s="327">
        <v>0.36637531000000001</v>
      </c>
      <c r="AL89"/>
      <c r="AM89" s="326">
        <v>347435.60100000002</v>
      </c>
      <c r="AN89" s="327">
        <v>0.33133211000000001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51.38</v>
      </c>
      <c r="D97" s="327">
        <v>4.2100000000000003E-6</v>
      </c>
      <c r="E97"/>
      <c r="F97" s="326">
        <v>51.38</v>
      </c>
      <c r="G97" s="327">
        <v>8.2109999999999998E-5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51.38</v>
      </c>
      <c r="D99" s="7">
        <v>4.2100000000000003E-6</v>
      </c>
      <c r="E99"/>
      <c r="F99" s="8">
        <v>51.38</v>
      </c>
      <c r="G99" s="7">
        <v>8.2109999999999998E-5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-51.38</v>
      </c>
      <c r="D101" s="327">
        <v>-4.2100000000000003E-6</v>
      </c>
      <c r="E101"/>
      <c r="F101" s="326">
        <v>-51.38</v>
      </c>
      <c r="G101" s="327">
        <v>-8.2109999999999998E-5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3902470.6200999999</v>
      </c>
      <c r="D103" s="327">
        <v>0.31968687000000001</v>
      </c>
      <c r="E103"/>
      <c r="F103" s="326">
        <v>50930.39</v>
      </c>
      <c r="G103" s="327">
        <v>8.1391139999999987E-2</v>
      </c>
      <c r="H103"/>
      <c r="I103" s="326">
        <v>129803.53</v>
      </c>
      <c r="J103" s="327">
        <v>0.14069609</v>
      </c>
      <c r="K103"/>
      <c r="L103" s="326">
        <v>536569.75</v>
      </c>
      <c r="M103" s="327">
        <v>0.40005613000000001</v>
      </c>
      <c r="N103"/>
      <c r="O103" s="326">
        <v>311949.86</v>
      </c>
      <c r="P103" s="327">
        <v>0.36829712999999997</v>
      </c>
      <c r="Q103"/>
      <c r="R103" s="326">
        <v>341441.7905</v>
      </c>
      <c r="S103" s="327">
        <v>0.33499851000000003</v>
      </c>
      <c r="T103"/>
      <c r="U103" s="326">
        <v>270287.2758</v>
      </c>
      <c r="V103" s="327">
        <v>0.28638014000000001</v>
      </c>
      <c r="W103"/>
      <c r="X103" s="326">
        <v>134135.3689</v>
      </c>
      <c r="Y103" s="327">
        <v>0.18693515999999999</v>
      </c>
      <c r="Z103"/>
      <c r="AA103" s="326">
        <v>303536.37170000002</v>
      </c>
      <c r="AB103" s="327">
        <v>0.31461294000000001</v>
      </c>
      <c r="AC103"/>
      <c r="AD103" s="326">
        <v>455459.18349999998</v>
      </c>
      <c r="AE103" s="327">
        <v>0.37588263999999999</v>
      </c>
      <c r="AF103"/>
      <c r="AG103" s="326">
        <v>566989.51359999995</v>
      </c>
      <c r="AH103" s="327">
        <v>0.42761900000000003</v>
      </c>
      <c r="AI103"/>
      <c r="AJ103" s="326">
        <v>453931.98509999999</v>
      </c>
      <c r="AK103" s="327">
        <v>0.36637531000000001</v>
      </c>
      <c r="AL103"/>
      <c r="AM103" s="326">
        <v>347435.60100000002</v>
      </c>
      <c r="AN103" s="327">
        <v>0.33133211000000001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145613.92000000001</v>
      </c>
      <c r="D105" s="327">
        <v>1.192856E-2</v>
      </c>
      <c r="E105"/>
      <c r="F105" s="326">
        <v>2095.58</v>
      </c>
      <c r="G105" s="327">
        <v>3.34892E-3</v>
      </c>
      <c r="H105"/>
      <c r="I105" s="326">
        <v>2095.58</v>
      </c>
      <c r="J105" s="327">
        <v>2.2714300000000001E-3</v>
      </c>
      <c r="K105"/>
      <c r="L105" s="326">
        <v>14357.58</v>
      </c>
      <c r="M105" s="327">
        <v>1.0704740000000001E-2</v>
      </c>
      <c r="N105"/>
      <c r="O105" s="326">
        <v>14357.58</v>
      </c>
      <c r="P105" s="327">
        <v>1.6950980000000001E-2</v>
      </c>
      <c r="Q105"/>
      <c r="R105" s="326">
        <v>14357.58</v>
      </c>
      <c r="S105" s="327">
        <v>1.4086639999999999E-2</v>
      </c>
      <c r="T105"/>
      <c r="U105" s="326">
        <v>14357.58</v>
      </c>
      <c r="V105" s="327">
        <v>1.5212430000000001E-2</v>
      </c>
      <c r="W105"/>
      <c r="X105" s="326">
        <v>13998.74</v>
      </c>
      <c r="Y105" s="327">
        <v>1.950907E-2</v>
      </c>
      <c r="Z105"/>
      <c r="AA105" s="326">
        <v>13998.74</v>
      </c>
      <c r="AB105" s="327">
        <v>1.4509579999999999E-2</v>
      </c>
      <c r="AC105"/>
      <c r="AD105" s="326">
        <v>13998.74</v>
      </c>
      <c r="AE105" s="327">
        <v>1.155292E-2</v>
      </c>
      <c r="AF105"/>
      <c r="AG105" s="326">
        <v>13998.74</v>
      </c>
      <c r="AH105" s="327">
        <v>1.0557739999999999E-2</v>
      </c>
      <c r="AI105"/>
      <c r="AJ105" s="326">
        <v>13998.74</v>
      </c>
      <c r="AK105" s="327">
        <v>1.1298590000000001E-2</v>
      </c>
      <c r="AL105"/>
      <c r="AM105" s="326">
        <v>13998.74</v>
      </c>
      <c r="AN105" s="327">
        <v>1.33499E-2</v>
      </c>
    </row>
    <row r="106" spans="2:40" s="314" customFormat="1" ht="12.75" customHeight="1" x14ac:dyDescent="0.15">
      <c r="B106" s="5" t="s">
        <v>71</v>
      </c>
      <c r="C106" s="8">
        <v>49120</v>
      </c>
      <c r="D106" s="7">
        <v>4.0238699999999997E-3</v>
      </c>
      <c r="E106"/>
      <c r="F106" s="8">
        <v>0</v>
      </c>
      <c r="G106" s="7">
        <v>0</v>
      </c>
      <c r="H106"/>
      <c r="I106" s="8">
        <v>0</v>
      </c>
      <c r="J106" s="7">
        <v>0</v>
      </c>
      <c r="K106"/>
      <c r="L106" s="8">
        <v>4912</v>
      </c>
      <c r="M106" s="7">
        <v>3.6622899999999999E-3</v>
      </c>
      <c r="N106"/>
      <c r="O106" s="8">
        <v>4912</v>
      </c>
      <c r="P106" s="7">
        <v>5.7992500000000006E-3</v>
      </c>
      <c r="Q106"/>
      <c r="R106" s="8">
        <v>4912</v>
      </c>
      <c r="S106" s="7">
        <v>4.8193100000000003E-3</v>
      </c>
      <c r="T106"/>
      <c r="U106" s="8">
        <v>4912</v>
      </c>
      <c r="V106" s="7">
        <v>5.2044599999999993E-3</v>
      </c>
      <c r="W106"/>
      <c r="X106" s="8">
        <v>4912</v>
      </c>
      <c r="Y106" s="7">
        <v>6.84551E-3</v>
      </c>
      <c r="Z106"/>
      <c r="AA106" s="8">
        <v>4912</v>
      </c>
      <c r="AB106" s="7">
        <v>5.0912500000000003E-3</v>
      </c>
      <c r="AC106"/>
      <c r="AD106" s="8">
        <v>4912</v>
      </c>
      <c r="AE106" s="7">
        <v>4.0537899999999998E-3</v>
      </c>
      <c r="AF106"/>
      <c r="AG106" s="8">
        <v>4912</v>
      </c>
      <c r="AH106" s="7">
        <v>3.7045899999999998E-3</v>
      </c>
      <c r="AI106"/>
      <c r="AJ106" s="8">
        <v>4912</v>
      </c>
      <c r="AK106" s="7">
        <v>3.9645499999999998E-3</v>
      </c>
      <c r="AL106"/>
      <c r="AM106" s="8">
        <v>4912</v>
      </c>
      <c r="AN106" s="7">
        <v>4.6843299999999996E-3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20000</v>
      </c>
      <c r="D108" s="7">
        <v>1.63838E-3</v>
      </c>
      <c r="E108"/>
      <c r="F108" s="8">
        <v>0</v>
      </c>
      <c r="G108" s="7">
        <v>0</v>
      </c>
      <c r="H108"/>
      <c r="I108" s="8">
        <v>0</v>
      </c>
      <c r="J108" s="7">
        <v>0</v>
      </c>
      <c r="K108"/>
      <c r="L108" s="8">
        <v>2000</v>
      </c>
      <c r="M108" s="7">
        <v>1.4911600000000001E-3</v>
      </c>
      <c r="N108"/>
      <c r="O108" s="8">
        <v>2000</v>
      </c>
      <c r="P108" s="7">
        <v>2.36126E-3</v>
      </c>
      <c r="Q108"/>
      <c r="R108" s="8">
        <v>2000</v>
      </c>
      <c r="S108" s="7">
        <v>1.96226E-3</v>
      </c>
      <c r="T108"/>
      <c r="U108" s="8">
        <v>2000</v>
      </c>
      <c r="V108" s="7">
        <v>2.1190800000000002E-3</v>
      </c>
      <c r="W108"/>
      <c r="X108" s="8">
        <v>2000</v>
      </c>
      <c r="Y108" s="7">
        <v>2.7872600000000002E-3</v>
      </c>
      <c r="Z108"/>
      <c r="AA108" s="8">
        <v>2000</v>
      </c>
      <c r="AB108" s="7">
        <v>2.0729799999999999E-3</v>
      </c>
      <c r="AC108"/>
      <c r="AD108" s="8">
        <v>2000</v>
      </c>
      <c r="AE108" s="7">
        <v>1.6505700000000001E-3</v>
      </c>
      <c r="AF108"/>
      <c r="AG108" s="8">
        <v>2000</v>
      </c>
      <c r="AH108" s="7">
        <v>1.5083799999999999E-3</v>
      </c>
      <c r="AI108"/>
      <c r="AJ108" s="8">
        <v>2000</v>
      </c>
      <c r="AK108" s="7">
        <v>1.6142299999999999E-3</v>
      </c>
      <c r="AL108"/>
      <c r="AM108" s="8">
        <v>2000</v>
      </c>
      <c r="AN108" s="7">
        <v>1.9073E-3</v>
      </c>
    </row>
    <row r="109" spans="2:40" s="314" customFormat="1" ht="12.75" customHeight="1" x14ac:dyDescent="0.15">
      <c r="B109" s="5" t="s">
        <v>74</v>
      </c>
      <c r="C109" s="8">
        <v>22993.919999999998</v>
      </c>
      <c r="D109" s="7">
        <v>1.88364E-3</v>
      </c>
      <c r="E109"/>
      <c r="F109" s="8">
        <v>2095.58</v>
      </c>
      <c r="G109" s="7">
        <v>3.34892E-3</v>
      </c>
      <c r="H109"/>
      <c r="I109" s="8">
        <v>2095.58</v>
      </c>
      <c r="J109" s="7">
        <v>2.2714300000000001E-3</v>
      </c>
      <c r="K109"/>
      <c r="L109" s="8">
        <v>2095.58</v>
      </c>
      <c r="M109" s="7">
        <v>1.5624199999999999E-3</v>
      </c>
      <c r="N109"/>
      <c r="O109" s="8">
        <v>2095.58</v>
      </c>
      <c r="P109" s="7">
        <v>2.4740999999999999E-3</v>
      </c>
      <c r="Q109"/>
      <c r="R109" s="8">
        <v>2095.58</v>
      </c>
      <c r="S109" s="7">
        <v>2.0560299999999999E-3</v>
      </c>
      <c r="T109"/>
      <c r="U109" s="8">
        <v>2095.58</v>
      </c>
      <c r="V109" s="7">
        <v>2.2203499999999998E-3</v>
      </c>
      <c r="W109"/>
      <c r="X109" s="8">
        <v>1736.74</v>
      </c>
      <c r="Y109" s="7">
        <v>2.4203699999999998E-3</v>
      </c>
      <c r="Z109"/>
      <c r="AA109" s="8">
        <v>1736.74</v>
      </c>
      <c r="AB109" s="7">
        <v>1.8001200000000001E-3</v>
      </c>
      <c r="AC109"/>
      <c r="AD109" s="8">
        <v>1736.74</v>
      </c>
      <c r="AE109" s="7">
        <v>1.4333E-3</v>
      </c>
      <c r="AF109"/>
      <c r="AG109" s="8">
        <v>1736.74</v>
      </c>
      <c r="AH109" s="7">
        <v>1.30984E-3</v>
      </c>
      <c r="AI109"/>
      <c r="AJ109" s="8">
        <v>1736.74</v>
      </c>
      <c r="AK109" s="7">
        <v>1.40175E-3</v>
      </c>
      <c r="AL109"/>
      <c r="AM109" s="8">
        <v>1736.74</v>
      </c>
      <c r="AN109" s="7">
        <v>1.65624E-3</v>
      </c>
    </row>
    <row r="110" spans="2:40" s="314" customFormat="1" ht="12.75" customHeight="1" x14ac:dyDescent="0.15">
      <c r="B110" s="5" t="s">
        <v>75</v>
      </c>
      <c r="C110" s="8">
        <v>53500</v>
      </c>
      <c r="D110" s="7">
        <v>4.38267E-3</v>
      </c>
      <c r="E110"/>
      <c r="F110" s="8">
        <v>0</v>
      </c>
      <c r="G110" s="7">
        <v>0</v>
      </c>
      <c r="H110"/>
      <c r="I110" s="8">
        <v>0</v>
      </c>
      <c r="J110" s="7">
        <v>0</v>
      </c>
      <c r="K110"/>
      <c r="L110" s="8">
        <v>5350</v>
      </c>
      <c r="M110" s="7">
        <v>3.9888600000000003E-3</v>
      </c>
      <c r="N110"/>
      <c r="O110" s="8">
        <v>5350</v>
      </c>
      <c r="P110" s="7">
        <v>6.31637E-3</v>
      </c>
      <c r="Q110"/>
      <c r="R110" s="8">
        <v>5350</v>
      </c>
      <c r="S110" s="7">
        <v>5.24904E-3</v>
      </c>
      <c r="T110"/>
      <c r="U110" s="8">
        <v>5350</v>
      </c>
      <c r="V110" s="7">
        <v>5.6685399999999997E-3</v>
      </c>
      <c r="W110"/>
      <c r="X110" s="8">
        <v>5350</v>
      </c>
      <c r="Y110" s="7">
        <v>7.4559200000000004E-3</v>
      </c>
      <c r="Z110"/>
      <c r="AA110" s="8">
        <v>5350</v>
      </c>
      <c r="AB110" s="7">
        <v>5.54523E-3</v>
      </c>
      <c r="AC110"/>
      <c r="AD110" s="8">
        <v>5350</v>
      </c>
      <c r="AE110" s="7">
        <v>4.4152599999999998E-3</v>
      </c>
      <c r="AF110"/>
      <c r="AG110" s="8">
        <v>5350</v>
      </c>
      <c r="AH110" s="7">
        <v>4.0349299999999999E-3</v>
      </c>
      <c r="AI110"/>
      <c r="AJ110" s="8">
        <v>5350</v>
      </c>
      <c r="AK110" s="7">
        <v>4.3180700000000002E-3</v>
      </c>
      <c r="AL110"/>
      <c r="AM110" s="8">
        <v>5350</v>
      </c>
      <c r="AN110" s="7">
        <v>5.1020299999999996E-3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3756856.7001</v>
      </c>
      <c r="D121" s="327">
        <v>0.30775830999999998</v>
      </c>
      <c r="E121"/>
      <c r="F121" s="326">
        <v>48834.81</v>
      </c>
      <c r="G121" s="327">
        <v>7.8042219999999995E-2</v>
      </c>
      <c r="H121"/>
      <c r="I121" s="326">
        <v>127707.95</v>
      </c>
      <c r="J121" s="327">
        <v>0.13842466</v>
      </c>
      <c r="K121"/>
      <c r="L121" s="326">
        <v>522212.17</v>
      </c>
      <c r="M121" s="327">
        <v>0.38935139000000002</v>
      </c>
      <c r="N121"/>
      <c r="O121" s="326">
        <v>297592.28000000003</v>
      </c>
      <c r="P121" s="327">
        <v>0.35134615000000002</v>
      </c>
      <c r="Q121"/>
      <c r="R121" s="326">
        <v>327084.21049999999</v>
      </c>
      <c r="S121" s="327">
        <v>0.32091186999999999</v>
      </c>
      <c r="T121"/>
      <c r="U121" s="326">
        <v>255929.69579999999</v>
      </c>
      <c r="V121" s="327">
        <v>0.27116771000000001</v>
      </c>
      <c r="W121"/>
      <c r="X121" s="326">
        <v>120136.6289</v>
      </c>
      <c r="Y121" s="327">
        <v>0.16742609</v>
      </c>
      <c r="Z121"/>
      <c r="AA121" s="326">
        <v>289537.63170000003</v>
      </c>
      <c r="AB121" s="327">
        <v>0.30010335999999999</v>
      </c>
      <c r="AC121"/>
      <c r="AD121" s="326">
        <v>441460.44349999999</v>
      </c>
      <c r="AE121" s="327">
        <v>0.36432972000000002</v>
      </c>
      <c r="AF121"/>
      <c r="AG121" s="326">
        <v>552990.77359999996</v>
      </c>
      <c r="AH121" s="327">
        <v>0.41706125999999999</v>
      </c>
      <c r="AI121"/>
      <c r="AJ121" s="326">
        <v>439933.2451</v>
      </c>
      <c r="AK121" s="327">
        <v>0.35507671000000002</v>
      </c>
      <c r="AL121"/>
      <c r="AM121" s="326">
        <v>333436.86099999998</v>
      </c>
      <c r="AN121" s="327">
        <v>0.31798220999999999</v>
      </c>
    </row>
    <row r="122" spans="2:40" s="314" customFormat="1" ht="12.75" customHeight="1" x14ac:dyDescent="0.15">
      <c r="B122" s="5" t="s">
        <v>85</v>
      </c>
      <c r="C122" s="8">
        <v>365907.12190000003</v>
      </c>
      <c r="D122" s="7">
        <v>2.9974779999999999E-2</v>
      </c>
      <c r="E122"/>
      <c r="F122" s="8">
        <v>18723.04</v>
      </c>
      <c r="G122" s="7">
        <v>2.9921030000000001E-2</v>
      </c>
      <c r="H122"/>
      <c r="I122" s="8">
        <v>27420.22</v>
      </c>
      <c r="J122" s="7">
        <v>2.9721210000000001E-2</v>
      </c>
      <c r="K122"/>
      <c r="L122" s="8">
        <v>0</v>
      </c>
      <c r="M122" s="7">
        <v>0</v>
      </c>
      <c r="N122"/>
      <c r="O122" s="8">
        <v>65646.039999999994</v>
      </c>
      <c r="P122" s="7">
        <v>7.7503639999999999E-2</v>
      </c>
      <c r="Q122"/>
      <c r="R122" s="8">
        <v>30577.012599999998</v>
      </c>
      <c r="S122" s="7">
        <v>0.03</v>
      </c>
      <c r="T122"/>
      <c r="U122" s="8">
        <v>28314.1777</v>
      </c>
      <c r="V122" s="7">
        <v>0.03</v>
      </c>
      <c r="W122"/>
      <c r="X122" s="8">
        <v>21526.507300000001</v>
      </c>
      <c r="Y122" s="7">
        <v>0.03</v>
      </c>
      <c r="Z122"/>
      <c r="AA122" s="8">
        <v>28943.7912</v>
      </c>
      <c r="AB122" s="7">
        <v>0.03</v>
      </c>
      <c r="AC122"/>
      <c r="AD122" s="8">
        <v>36351.175000000003</v>
      </c>
      <c r="AE122" s="7">
        <v>0.03</v>
      </c>
      <c r="AF122"/>
      <c r="AG122" s="8">
        <v>39777.665300000001</v>
      </c>
      <c r="AH122" s="7">
        <v>0.03</v>
      </c>
      <c r="AI122"/>
      <c r="AJ122" s="8">
        <v>37169.425300000003</v>
      </c>
      <c r="AK122" s="7">
        <v>0.03</v>
      </c>
      <c r="AL122"/>
      <c r="AM122" s="8">
        <v>31458.067500000001</v>
      </c>
      <c r="AN122" s="7">
        <v>0.03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3390949.5781999999</v>
      </c>
      <c r="D124" s="327">
        <v>0.27778353</v>
      </c>
      <c r="E124"/>
      <c r="F124" s="326">
        <v>30111.77</v>
      </c>
      <c r="G124" s="327">
        <v>4.8121200000000003E-2</v>
      </c>
      <c r="H124"/>
      <c r="I124" s="326">
        <v>100287.73</v>
      </c>
      <c r="J124" s="327">
        <v>0.10870344999999999</v>
      </c>
      <c r="K124"/>
      <c r="L124" s="326">
        <v>522212.17</v>
      </c>
      <c r="M124" s="327">
        <v>0.38935139000000002</v>
      </c>
      <c r="N124"/>
      <c r="O124" s="326">
        <v>231946.23999999999</v>
      </c>
      <c r="P124" s="327">
        <v>0.27384251999999998</v>
      </c>
      <c r="Q124"/>
      <c r="R124" s="326">
        <v>296507.19790000003</v>
      </c>
      <c r="S124" s="327">
        <v>0.29091187000000002</v>
      </c>
      <c r="T124"/>
      <c r="U124" s="326">
        <v>227615.51809999999</v>
      </c>
      <c r="V124" s="327">
        <v>0.24116772</v>
      </c>
      <c r="W124"/>
      <c r="X124" s="326">
        <v>98610.121599999999</v>
      </c>
      <c r="Y124" s="327">
        <v>0.13742609</v>
      </c>
      <c r="Z124"/>
      <c r="AA124" s="326">
        <v>260593.84049999999</v>
      </c>
      <c r="AB124" s="327">
        <v>0.27010336000000001</v>
      </c>
      <c r="AC124"/>
      <c r="AD124" s="326">
        <v>405109.26850000001</v>
      </c>
      <c r="AE124" s="327">
        <v>0.33432972</v>
      </c>
      <c r="AF124"/>
      <c r="AG124" s="326">
        <v>513213.10830000002</v>
      </c>
      <c r="AH124" s="327">
        <v>0.38706126000000002</v>
      </c>
      <c r="AI124"/>
      <c r="AJ124" s="326">
        <v>402763.8198</v>
      </c>
      <c r="AK124" s="327">
        <v>0.32507670999999999</v>
      </c>
      <c r="AL124"/>
      <c r="AM124" s="326">
        <v>301978.79350000003</v>
      </c>
      <c r="AN124" s="327">
        <v>0.28798221000000002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3390949.5781999999</v>
      </c>
      <c r="D127" s="327">
        <v>0.27778353</v>
      </c>
      <c r="E127"/>
      <c r="F127" s="326">
        <v>30111.77</v>
      </c>
      <c r="G127" s="327">
        <v>4.8121200000000003E-2</v>
      </c>
      <c r="H127"/>
      <c r="I127" s="326">
        <v>100287.73</v>
      </c>
      <c r="J127" s="327">
        <v>0.10870344999999999</v>
      </c>
      <c r="K127"/>
      <c r="L127" s="326">
        <v>522212.17</v>
      </c>
      <c r="M127" s="327">
        <v>0.38935139000000002</v>
      </c>
      <c r="N127"/>
      <c r="O127" s="326">
        <v>231946.23999999999</v>
      </c>
      <c r="P127" s="327">
        <v>0.27384251999999998</v>
      </c>
      <c r="Q127"/>
      <c r="R127" s="326">
        <v>296507.19790000003</v>
      </c>
      <c r="S127" s="327">
        <v>0.29091187000000002</v>
      </c>
      <c r="T127"/>
      <c r="U127" s="326">
        <v>227615.51809999999</v>
      </c>
      <c r="V127" s="327">
        <v>0.24116772</v>
      </c>
      <c r="W127"/>
      <c r="X127" s="326">
        <v>98610.121599999999</v>
      </c>
      <c r="Y127" s="327">
        <v>0.13742609</v>
      </c>
      <c r="Z127"/>
      <c r="AA127" s="326">
        <v>260593.84049999999</v>
      </c>
      <c r="AB127" s="327">
        <v>0.27010336000000001</v>
      </c>
      <c r="AC127"/>
      <c r="AD127" s="326">
        <v>405109.26850000001</v>
      </c>
      <c r="AE127" s="327">
        <v>0.33432972</v>
      </c>
      <c r="AF127"/>
      <c r="AG127" s="326">
        <v>513213.10830000002</v>
      </c>
      <c r="AH127" s="327">
        <v>0.38706126000000002</v>
      </c>
      <c r="AI127"/>
      <c r="AJ127" s="326">
        <v>402763.8198</v>
      </c>
      <c r="AK127" s="327">
        <v>0.32507670999999999</v>
      </c>
      <c r="AL127"/>
      <c r="AM127" s="326">
        <v>301978.79350000003</v>
      </c>
      <c r="AN127" s="327">
        <v>0.28798221000000002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365902.91190000001</v>
      </c>
      <c r="D129" s="327">
        <v>2.9974440000000001E-2</v>
      </c>
      <c r="E129"/>
      <c r="F129" s="326">
        <v>18718.830000000002</v>
      </c>
      <c r="G129" s="327">
        <v>2.9914300000000001E-2</v>
      </c>
      <c r="H129"/>
      <c r="I129" s="326">
        <v>27420.22</v>
      </c>
      <c r="J129" s="327">
        <v>2.9721210000000001E-2</v>
      </c>
      <c r="K129"/>
      <c r="L129" s="326">
        <v>40236.71</v>
      </c>
      <c r="M129" s="327">
        <v>2.9999720000000001E-2</v>
      </c>
      <c r="N129"/>
      <c r="O129" s="326">
        <v>25409.33</v>
      </c>
      <c r="P129" s="327">
        <v>2.9999000000000001E-2</v>
      </c>
      <c r="Q129"/>
      <c r="R129" s="326">
        <v>30577.012599999998</v>
      </c>
      <c r="S129" s="327">
        <v>0.03</v>
      </c>
      <c r="T129"/>
      <c r="U129" s="326">
        <v>28314.1777</v>
      </c>
      <c r="V129" s="327">
        <v>0.03</v>
      </c>
      <c r="W129"/>
      <c r="X129" s="326">
        <v>21526.507300000001</v>
      </c>
      <c r="Y129" s="327">
        <v>0.03</v>
      </c>
      <c r="Z129"/>
      <c r="AA129" s="326">
        <v>28943.7912</v>
      </c>
      <c r="AB129" s="327">
        <v>0.03</v>
      </c>
      <c r="AC129"/>
      <c r="AD129" s="326">
        <v>36351.175000000003</v>
      </c>
      <c r="AE129" s="327">
        <v>0.03</v>
      </c>
      <c r="AF129"/>
      <c r="AG129" s="326">
        <v>39777.665300000001</v>
      </c>
      <c r="AH129" s="327">
        <v>0.03</v>
      </c>
      <c r="AI129"/>
      <c r="AJ129" s="326">
        <v>37169.425300000003</v>
      </c>
      <c r="AK129" s="327">
        <v>0.03</v>
      </c>
      <c r="AL129"/>
      <c r="AM129" s="326">
        <v>31458.067500000001</v>
      </c>
      <c r="AN129" s="327">
        <v>0.03</v>
      </c>
    </row>
    <row r="130" spans="2:40" s="314" customFormat="1" ht="12.75" customHeight="1" x14ac:dyDescent="0.15">
      <c r="B130" s="5" t="s">
        <v>90</v>
      </c>
      <c r="C130" s="8">
        <v>365902.91190000001</v>
      </c>
      <c r="D130" s="7">
        <v>2.9974440000000001E-2</v>
      </c>
      <c r="E130"/>
      <c r="F130" s="8">
        <v>18718.830000000002</v>
      </c>
      <c r="G130" s="7">
        <v>2.9914300000000001E-2</v>
      </c>
      <c r="H130"/>
      <c r="I130" s="8">
        <v>27420.22</v>
      </c>
      <c r="J130" s="7">
        <v>2.9721210000000001E-2</v>
      </c>
      <c r="K130"/>
      <c r="L130" s="8">
        <v>40236.71</v>
      </c>
      <c r="M130" s="7">
        <v>2.9999720000000001E-2</v>
      </c>
      <c r="N130"/>
      <c r="O130" s="8">
        <v>25409.33</v>
      </c>
      <c r="P130" s="7">
        <v>2.9999000000000001E-2</v>
      </c>
      <c r="Q130"/>
      <c r="R130" s="8">
        <v>30577.012599999998</v>
      </c>
      <c r="S130" s="7">
        <v>0.03</v>
      </c>
      <c r="T130"/>
      <c r="U130" s="8">
        <v>28314.1777</v>
      </c>
      <c r="V130" s="7">
        <v>0.03</v>
      </c>
      <c r="W130"/>
      <c r="X130" s="8">
        <v>21526.507300000001</v>
      </c>
      <c r="Y130" s="7">
        <v>0.03</v>
      </c>
      <c r="Z130"/>
      <c r="AA130" s="8">
        <v>28943.7912</v>
      </c>
      <c r="AB130" s="7">
        <v>0.03</v>
      </c>
      <c r="AC130"/>
      <c r="AD130" s="8">
        <v>36351.175000000003</v>
      </c>
      <c r="AE130" s="7">
        <v>0.03</v>
      </c>
      <c r="AF130"/>
      <c r="AG130" s="8">
        <v>39777.665300000001</v>
      </c>
      <c r="AH130" s="7">
        <v>0.03</v>
      </c>
      <c r="AI130"/>
      <c r="AJ130" s="8">
        <v>37169.425300000003</v>
      </c>
      <c r="AK130" s="7">
        <v>0.03</v>
      </c>
      <c r="AL130"/>
      <c r="AM130" s="8">
        <v>31458.067500000001</v>
      </c>
      <c r="AN130" s="7">
        <v>0.03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3025046.6661999999</v>
      </c>
      <c r="D134" s="327">
        <v>0.24780909000000001</v>
      </c>
      <c r="E134"/>
      <c r="F134" s="326">
        <v>11392.94</v>
      </c>
      <c r="G134" s="327">
        <v>1.8206900000000002E-2</v>
      </c>
      <c r="H134"/>
      <c r="I134" s="326">
        <v>72867.509999999995</v>
      </c>
      <c r="J134" s="327">
        <v>7.8982239999999995E-2</v>
      </c>
      <c r="K134"/>
      <c r="L134" s="326">
        <v>481975.46</v>
      </c>
      <c r="M134" s="327">
        <v>0.35935167000000001</v>
      </c>
      <c r="N134"/>
      <c r="O134" s="326">
        <v>206536.91</v>
      </c>
      <c r="P134" s="327">
        <v>0.24384352000000001</v>
      </c>
      <c r="Q134"/>
      <c r="R134" s="326">
        <v>265930.18530000001</v>
      </c>
      <c r="S134" s="327">
        <v>0.26091186999999999</v>
      </c>
      <c r="T134"/>
      <c r="U134" s="326">
        <v>199301.34030000001</v>
      </c>
      <c r="V134" s="327">
        <v>0.21116771000000001</v>
      </c>
      <c r="W134"/>
      <c r="X134" s="326">
        <v>77083.614300000001</v>
      </c>
      <c r="Y134" s="327">
        <v>0.10742609</v>
      </c>
      <c r="Z134"/>
      <c r="AA134" s="326">
        <v>231650.04930000001</v>
      </c>
      <c r="AB134" s="327">
        <v>0.24010335999999999</v>
      </c>
      <c r="AC134"/>
      <c r="AD134" s="326">
        <v>368758.09350000002</v>
      </c>
      <c r="AE134" s="327">
        <v>0.30432972000000003</v>
      </c>
      <c r="AF134"/>
      <c r="AG134" s="326">
        <v>473435.44300000003</v>
      </c>
      <c r="AH134" s="327">
        <v>0.35706125999999999</v>
      </c>
      <c r="AI134"/>
      <c r="AJ134" s="326">
        <v>365594.39449999999</v>
      </c>
      <c r="AK134" s="327">
        <v>0.29507671000000002</v>
      </c>
      <c r="AL134"/>
      <c r="AM134" s="326">
        <v>270520.72600000002</v>
      </c>
      <c r="AN134" s="327">
        <v>0.25798220999999999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2764026.24</v>
      </c>
      <c r="D136" s="327">
        <v>0.22642654000000001</v>
      </c>
      <c r="E136"/>
      <c r="F136" s="326">
        <v>220335.52</v>
      </c>
      <c r="G136" s="327">
        <v>0.35211509000000002</v>
      </c>
      <c r="H136"/>
      <c r="I136" s="326">
        <v>220335.52</v>
      </c>
      <c r="J136" s="327">
        <v>0.23882513999999999</v>
      </c>
      <c r="K136"/>
      <c r="L136" s="326">
        <v>220335.52</v>
      </c>
      <c r="M136" s="327">
        <v>0.16427794000000001</v>
      </c>
      <c r="N136"/>
      <c r="O136" s="326">
        <v>220335.52</v>
      </c>
      <c r="P136" s="327">
        <v>0.26013456000000001</v>
      </c>
      <c r="Q136"/>
      <c r="R136" s="326">
        <v>235335.52</v>
      </c>
      <c r="S136" s="327">
        <v>0.23089455</v>
      </c>
      <c r="T136"/>
      <c r="U136" s="326">
        <v>235335.52</v>
      </c>
      <c r="V136" s="327">
        <v>0.24934735999999999</v>
      </c>
      <c r="W136"/>
      <c r="X136" s="326">
        <v>235335.52</v>
      </c>
      <c r="Y136" s="327">
        <v>0.32797079000000001</v>
      </c>
      <c r="Z136"/>
      <c r="AA136" s="326">
        <v>235335.52</v>
      </c>
      <c r="AB136" s="327">
        <v>0.24392332</v>
      </c>
      <c r="AC136"/>
      <c r="AD136" s="326">
        <v>235335.52</v>
      </c>
      <c r="AE136" s="327">
        <v>0.19421836000000001</v>
      </c>
      <c r="AF136"/>
      <c r="AG136" s="326">
        <v>235335.52</v>
      </c>
      <c r="AH136" s="327">
        <v>0.17748818</v>
      </c>
      <c r="AI136"/>
      <c r="AJ136" s="326">
        <v>235335.52</v>
      </c>
      <c r="AK136" s="327">
        <v>0.18994282000000001</v>
      </c>
      <c r="AL136"/>
      <c r="AM136" s="326">
        <v>235335.52</v>
      </c>
      <c r="AN136" s="327">
        <v>0.22442782</v>
      </c>
    </row>
    <row r="137" spans="2:40" s="314" customFormat="1" ht="12.75" customHeight="1" x14ac:dyDescent="0.15">
      <c r="B137" s="5" t="s">
        <v>95</v>
      </c>
      <c r="C137" s="8">
        <v>2764026.24</v>
      </c>
      <c r="D137" s="7">
        <v>0.22642654000000001</v>
      </c>
      <c r="E137"/>
      <c r="F137" s="8">
        <v>220335.52</v>
      </c>
      <c r="G137" s="7">
        <v>0.35211509000000002</v>
      </c>
      <c r="H137"/>
      <c r="I137" s="8">
        <v>220335.52</v>
      </c>
      <c r="J137" s="7">
        <v>0.23882513999999999</v>
      </c>
      <c r="K137"/>
      <c r="L137" s="8">
        <v>220335.52</v>
      </c>
      <c r="M137" s="7">
        <v>0.16427794000000001</v>
      </c>
      <c r="N137"/>
      <c r="O137" s="8">
        <v>220335.52</v>
      </c>
      <c r="P137" s="7">
        <v>0.26013456000000001</v>
      </c>
      <c r="Q137"/>
      <c r="R137" s="8">
        <v>235335.52</v>
      </c>
      <c r="S137" s="7">
        <v>0.23089455</v>
      </c>
      <c r="T137"/>
      <c r="U137" s="8">
        <v>235335.52</v>
      </c>
      <c r="V137" s="7">
        <v>0.24934735999999999</v>
      </c>
      <c r="W137"/>
      <c r="X137" s="8">
        <v>235335.52</v>
      </c>
      <c r="Y137" s="7">
        <v>0.32797079000000001</v>
      </c>
      <c r="Z137"/>
      <c r="AA137" s="8">
        <v>235335.52</v>
      </c>
      <c r="AB137" s="7">
        <v>0.24392332</v>
      </c>
      <c r="AC137"/>
      <c r="AD137" s="8">
        <v>235335.52</v>
      </c>
      <c r="AE137" s="7">
        <v>0.19421836000000001</v>
      </c>
      <c r="AF137"/>
      <c r="AG137" s="8">
        <v>235335.52</v>
      </c>
      <c r="AH137" s="7">
        <v>0.17748818</v>
      </c>
      <c r="AI137"/>
      <c r="AJ137" s="8">
        <v>235335.52</v>
      </c>
      <c r="AK137" s="7">
        <v>0.18994282000000001</v>
      </c>
      <c r="AL137"/>
      <c r="AM137" s="8">
        <v>235335.52</v>
      </c>
      <c r="AN137" s="7">
        <v>0.22442782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261020.42619999999</v>
      </c>
      <c r="D141" s="327">
        <v>2.1382559999999998E-2</v>
      </c>
      <c r="E141"/>
      <c r="F141" s="326">
        <v>-208942.58</v>
      </c>
      <c r="G141" s="327">
        <v>-0.33390819999999999</v>
      </c>
      <c r="H141"/>
      <c r="I141" s="326">
        <v>-147468.01</v>
      </c>
      <c r="J141" s="327">
        <v>-0.15984290000000001</v>
      </c>
      <c r="K141"/>
      <c r="L141" s="326">
        <v>261639.94</v>
      </c>
      <c r="M141" s="327">
        <v>0.19507373</v>
      </c>
      <c r="N141"/>
      <c r="O141" s="326">
        <v>-13798.61</v>
      </c>
      <c r="P141" s="327">
        <v>-1.629104E-2</v>
      </c>
      <c r="Q141"/>
      <c r="R141" s="326">
        <v>30594.665300000001</v>
      </c>
      <c r="S141" s="327">
        <v>3.001732E-2</v>
      </c>
      <c r="T141"/>
      <c r="U141" s="326">
        <v>-36034.179700000001</v>
      </c>
      <c r="V141" s="327">
        <v>-3.8179650000000002E-2</v>
      </c>
      <c r="W141"/>
      <c r="X141" s="326">
        <v>-158251.9057</v>
      </c>
      <c r="Y141" s="327">
        <v>-0.22054470000000001</v>
      </c>
      <c r="Z141"/>
      <c r="AA141" s="326">
        <v>-3685.4706999999999</v>
      </c>
      <c r="AB141" s="327">
        <v>-3.8199599999999998E-3</v>
      </c>
      <c r="AC141"/>
      <c r="AD141" s="326">
        <v>133422.5735</v>
      </c>
      <c r="AE141" s="327">
        <v>0.11011136000000001</v>
      </c>
      <c r="AF141"/>
      <c r="AG141" s="326">
        <v>238099.92300000001</v>
      </c>
      <c r="AH141" s="327">
        <v>0.17957308</v>
      </c>
      <c r="AI141"/>
      <c r="AJ141" s="326">
        <v>130258.87450000001</v>
      </c>
      <c r="AK141" s="327">
        <v>0.10513388999999999</v>
      </c>
      <c r="AL141"/>
      <c r="AM141" s="326">
        <v>35185.205999999998</v>
      </c>
      <c r="AN141" s="327">
        <v>3.3554390000000003E-2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261020.42619999999</v>
      </c>
      <c r="D144" s="327">
        <v>2.1382559999999998E-2</v>
      </c>
      <c r="E144"/>
      <c r="F144" s="326">
        <v>-208942.58</v>
      </c>
      <c r="G144" s="327">
        <v>-0.33390819999999999</v>
      </c>
      <c r="H144"/>
      <c r="I144" s="326">
        <v>-147468.01</v>
      </c>
      <c r="J144" s="327">
        <v>-0.15984290000000001</v>
      </c>
      <c r="K144"/>
      <c r="L144" s="326">
        <v>261639.94</v>
      </c>
      <c r="M144" s="327">
        <v>0.19507373</v>
      </c>
      <c r="N144"/>
      <c r="O144" s="326">
        <v>-13798.61</v>
      </c>
      <c r="P144" s="327">
        <v>-1.629104E-2</v>
      </c>
      <c r="Q144"/>
      <c r="R144" s="326">
        <v>30594.665300000001</v>
      </c>
      <c r="S144" s="327">
        <v>3.001732E-2</v>
      </c>
      <c r="T144"/>
      <c r="U144" s="326">
        <v>-36034.179700000001</v>
      </c>
      <c r="V144" s="327">
        <v>-3.8179650000000002E-2</v>
      </c>
      <c r="W144"/>
      <c r="X144" s="326">
        <v>-158251.9057</v>
      </c>
      <c r="Y144" s="327">
        <v>-0.22054470000000001</v>
      </c>
      <c r="Z144"/>
      <c r="AA144" s="326">
        <v>-3685.4706999999999</v>
      </c>
      <c r="AB144" s="327">
        <v>-3.8199599999999998E-3</v>
      </c>
      <c r="AC144"/>
      <c r="AD144" s="326">
        <v>133422.5735</v>
      </c>
      <c r="AE144" s="327">
        <v>0.11011136000000001</v>
      </c>
      <c r="AF144"/>
      <c r="AG144" s="326">
        <v>238099.92300000001</v>
      </c>
      <c r="AH144" s="327">
        <v>0.17957308</v>
      </c>
      <c r="AI144"/>
      <c r="AJ144" s="326">
        <v>130258.87450000001</v>
      </c>
      <c r="AK144" s="327">
        <v>0.10513388999999999</v>
      </c>
      <c r="AL144"/>
      <c r="AM144" s="326">
        <v>35185.205999999998</v>
      </c>
      <c r="AN144" s="327">
        <v>3.3554390000000003E-2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261020.42619999999</v>
      </c>
      <c r="D147" s="327">
        <v>2.1382559999999998E-2</v>
      </c>
      <c r="E147"/>
      <c r="F147" s="326">
        <v>-208942.58</v>
      </c>
      <c r="G147" s="327">
        <v>-0.33390819999999999</v>
      </c>
      <c r="H147"/>
      <c r="I147" s="326">
        <v>-147468.01</v>
      </c>
      <c r="J147" s="327">
        <v>-0.15984290000000001</v>
      </c>
      <c r="K147"/>
      <c r="L147" s="326">
        <v>261639.94</v>
      </c>
      <c r="M147" s="327">
        <v>0.19507373</v>
      </c>
      <c r="N147"/>
      <c r="O147" s="326">
        <v>-13798.61</v>
      </c>
      <c r="P147" s="327">
        <v>-1.629104E-2</v>
      </c>
      <c r="Q147"/>
      <c r="R147" s="326">
        <v>30594.665300000001</v>
      </c>
      <c r="S147" s="327">
        <v>3.001732E-2</v>
      </c>
      <c r="T147"/>
      <c r="U147" s="326">
        <v>-36034.179700000001</v>
      </c>
      <c r="V147" s="327">
        <v>-3.8179650000000002E-2</v>
      </c>
      <c r="W147"/>
      <c r="X147" s="326">
        <v>-158251.9057</v>
      </c>
      <c r="Y147" s="327">
        <v>-0.22054470000000001</v>
      </c>
      <c r="Z147"/>
      <c r="AA147" s="326">
        <v>-3685.4706999999999</v>
      </c>
      <c r="AB147" s="327">
        <v>-3.8199599999999998E-3</v>
      </c>
      <c r="AC147"/>
      <c r="AD147" s="326">
        <v>133422.5735</v>
      </c>
      <c r="AE147" s="327">
        <v>0.11011136000000001</v>
      </c>
      <c r="AF147"/>
      <c r="AG147" s="326">
        <v>238099.92300000001</v>
      </c>
      <c r="AH147" s="327">
        <v>0.17957308</v>
      </c>
      <c r="AI147"/>
      <c r="AJ147" s="326">
        <v>130258.87450000001</v>
      </c>
      <c r="AK147" s="327">
        <v>0.10513388999999999</v>
      </c>
      <c r="AL147"/>
      <c r="AM147" s="326">
        <v>35185.205999999998</v>
      </c>
      <c r="AN147" s="327">
        <v>3.3554390000000003E-2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261020.42619999999</v>
      </c>
      <c r="D150" s="327">
        <v>2.1382559999999998E-2</v>
      </c>
      <c r="E150"/>
      <c r="F150" s="326">
        <v>-208942.58</v>
      </c>
      <c r="G150" s="327">
        <v>-0.33390819999999999</v>
      </c>
      <c r="H150"/>
      <c r="I150" s="326">
        <v>-147468.01</v>
      </c>
      <c r="J150" s="327">
        <v>-0.15984290000000001</v>
      </c>
      <c r="K150"/>
      <c r="L150" s="326">
        <v>261639.94</v>
      </c>
      <c r="M150" s="327">
        <v>0.19507373</v>
      </c>
      <c r="N150"/>
      <c r="O150" s="326">
        <v>-13798.61</v>
      </c>
      <c r="P150" s="327">
        <v>-1.629104E-2</v>
      </c>
      <c r="Q150"/>
      <c r="R150" s="326">
        <v>30594.665300000001</v>
      </c>
      <c r="S150" s="327">
        <v>3.001732E-2</v>
      </c>
      <c r="T150"/>
      <c r="U150" s="326">
        <v>-36034.179700000001</v>
      </c>
      <c r="V150" s="327">
        <v>-3.8179650000000002E-2</v>
      </c>
      <c r="W150"/>
      <c r="X150" s="326">
        <v>-158251.9057</v>
      </c>
      <c r="Y150" s="327">
        <v>-0.22054470000000001</v>
      </c>
      <c r="Z150"/>
      <c r="AA150" s="326">
        <v>-3685.4706999999999</v>
      </c>
      <c r="AB150" s="327">
        <v>-3.8199599999999998E-3</v>
      </c>
      <c r="AC150"/>
      <c r="AD150" s="326">
        <v>133422.5735</v>
      </c>
      <c r="AE150" s="327">
        <v>0.11011136000000001</v>
      </c>
      <c r="AF150"/>
      <c r="AG150" s="326">
        <v>238099.92300000001</v>
      </c>
      <c r="AH150" s="327">
        <v>0.17957308</v>
      </c>
      <c r="AI150"/>
      <c r="AJ150" s="326">
        <v>130258.87450000001</v>
      </c>
      <c r="AK150" s="327">
        <v>0.10513388999999999</v>
      </c>
      <c r="AL150"/>
      <c r="AM150" s="326">
        <v>35185.205999999998</v>
      </c>
      <c r="AN150" s="327">
        <v>3.3554390000000003E-2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281020.42619999999</v>
      </c>
      <c r="D153" s="7">
        <v>2.302094E-2</v>
      </c>
      <c r="E153"/>
      <c r="F153" s="8">
        <v>-208942.58</v>
      </c>
      <c r="G153" s="7">
        <v>-0.33390819999999999</v>
      </c>
      <c r="H153"/>
      <c r="I153" s="8">
        <v>-147468.01</v>
      </c>
      <c r="J153" s="7">
        <v>-0.15984290000000001</v>
      </c>
      <c r="K153"/>
      <c r="L153" s="8">
        <v>263639.94</v>
      </c>
      <c r="M153" s="7">
        <v>0.19656488999999999</v>
      </c>
      <c r="N153"/>
      <c r="O153" s="8">
        <v>-11798.61</v>
      </c>
      <c r="P153" s="7">
        <v>-1.3929779999999999E-2</v>
      </c>
      <c r="Q153"/>
      <c r="R153" s="8">
        <v>32594.665300000001</v>
      </c>
      <c r="S153" s="7">
        <v>3.1979580000000001E-2</v>
      </c>
      <c r="T153"/>
      <c r="U153" s="8">
        <v>-34034.179700000001</v>
      </c>
      <c r="V153" s="7">
        <v>-3.606057E-2</v>
      </c>
      <c r="W153"/>
      <c r="X153" s="8">
        <v>-156251.9057</v>
      </c>
      <c r="Y153" s="7">
        <v>-0.21775744</v>
      </c>
      <c r="Z153"/>
      <c r="AA153" s="8">
        <v>-1685.4707000000001</v>
      </c>
      <c r="AB153" s="7">
        <v>-1.74698E-3</v>
      </c>
      <c r="AC153"/>
      <c r="AD153" s="8">
        <v>135422.5735</v>
      </c>
      <c r="AE153" s="7">
        <v>0.11176192</v>
      </c>
      <c r="AF153"/>
      <c r="AG153" s="8">
        <v>240099.92300000001</v>
      </c>
      <c r="AH153" s="7">
        <v>0.18108146</v>
      </c>
      <c r="AI153"/>
      <c r="AJ153" s="8">
        <v>132258.87450000001</v>
      </c>
      <c r="AK153" s="7">
        <v>0.10674812</v>
      </c>
      <c r="AL153"/>
      <c r="AM153" s="8">
        <v>37185.205999999998</v>
      </c>
      <c r="AN153" s="7">
        <v>3.5461689999999997E-2</v>
      </c>
    </row>
    <row r="154" spans="2:40" s="314" customFormat="1" ht="12.75" customHeight="1" x14ac:dyDescent="0.15">
      <c r="B154" s="5" t="s">
        <v>107</v>
      </c>
      <c r="C154" s="6">
        <v>261020.42619999999</v>
      </c>
      <c r="D154" s="7">
        <v>2.1382559999999998E-2</v>
      </c>
      <c r="E154"/>
      <c r="F154" s="8">
        <v>-208942.58</v>
      </c>
      <c r="G154" s="7">
        <v>-0.33390819999999999</v>
      </c>
      <c r="H154"/>
      <c r="I154" s="8">
        <v>-147468.01</v>
      </c>
      <c r="J154" s="7">
        <v>-0.15984290000000001</v>
      </c>
      <c r="K154"/>
      <c r="L154" s="8">
        <v>261639.94</v>
      </c>
      <c r="M154" s="7">
        <v>0.19507373</v>
      </c>
      <c r="N154"/>
      <c r="O154" s="8">
        <v>-13798.61</v>
      </c>
      <c r="P154" s="7">
        <v>-1.629104E-2</v>
      </c>
      <c r="Q154"/>
      <c r="R154" s="8">
        <v>30594.665300000001</v>
      </c>
      <c r="S154" s="7">
        <v>3.001732E-2</v>
      </c>
      <c r="T154"/>
      <c r="U154" s="8">
        <v>-36034.179700000001</v>
      </c>
      <c r="V154" s="7">
        <v>-3.8179650000000002E-2</v>
      </c>
      <c r="W154"/>
      <c r="X154" s="8">
        <v>-158251.9057</v>
      </c>
      <c r="Y154" s="7">
        <v>-0.22054470000000001</v>
      </c>
      <c r="Z154"/>
      <c r="AA154" s="8">
        <v>-3685.4706999999999</v>
      </c>
      <c r="AB154" s="7">
        <v>-3.8199599999999998E-3</v>
      </c>
      <c r="AC154"/>
      <c r="AD154" s="8">
        <v>133422.5735</v>
      </c>
      <c r="AE154" s="7">
        <v>0.11011136000000001</v>
      </c>
      <c r="AF154"/>
      <c r="AG154" s="8">
        <v>238099.92300000001</v>
      </c>
      <c r="AH154" s="7">
        <v>0.17957308</v>
      </c>
      <c r="AI154"/>
      <c r="AJ154" s="8">
        <v>130258.87450000001</v>
      </c>
      <c r="AK154" s="7">
        <v>0.10513388999999999</v>
      </c>
      <c r="AL154"/>
      <c r="AM154" s="8">
        <v>35185.205999999998</v>
      </c>
      <c r="AN154" s="7">
        <v>3.3554390000000003E-2</v>
      </c>
    </row>
    <row r="155" spans="2:40" s="314" customFormat="1" ht="12.75" customHeight="1" x14ac:dyDescent="0.15">
      <c r="B155" s="325" t="s">
        <v>108</v>
      </c>
      <c r="C155" s="330">
        <v>529532.25260000001</v>
      </c>
      <c r="D155" s="327">
        <v>4.3378800000000002E-2</v>
      </c>
      <c r="E155"/>
      <c r="F155" s="326">
        <v>31198.05</v>
      </c>
      <c r="G155" s="327">
        <v>4.9857159999999998E-2</v>
      </c>
      <c r="H155"/>
      <c r="I155" s="326">
        <v>45700.36</v>
      </c>
      <c r="J155" s="327">
        <v>4.9535339999999997E-2</v>
      </c>
      <c r="K155"/>
      <c r="L155" s="326">
        <v>67061.19</v>
      </c>
      <c r="M155" s="327">
        <v>4.9999540000000002E-2</v>
      </c>
      <c r="N155"/>
      <c r="O155" s="326">
        <v>42348.89</v>
      </c>
      <c r="P155" s="327">
        <v>4.9998340000000002E-2</v>
      </c>
      <c r="Q155"/>
      <c r="R155" s="326">
        <v>41319.350100000003</v>
      </c>
      <c r="S155" s="327">
        <v>4.0539620000000012E-2</v>
      </c>
      <c r="T155"/>
      <c r="U155" s="326">
        <v>38302.237000000001</v>
      </c>
      <c r="V155" s="327">
        <v>4.0582750000000001E-2</v>
      </c>
      <c r="W155"/>
      <c r="X155" s="326">
        <v>29252.009699999999</v>
      </c>
      <c r="Y155" s="327">
        <v>4.0766499999999997E-2</v>
      </c>
      <c r="Z155"/>
      <c r="AA155" s="326">
        <v>39141.721599999997</v>
      </c>
      <c r="AB155" s="327">
        <v>4.0570069999999993E-2</v>
      </c>
      <c r="AC155"/>
      <c r="AD155" s="326">
        <v>49018.233399999997</v>
      </c>
      <c r="AE155" s="327">
        <v>4.0453910000000003E-2</v>
      </c>
      <c r="AF155"/>
      <c r="AG155" s="326">
        <v>53586.887000000002</v>
      </c>
      <c r="AH155" s="327">
        <v>4.0414810000000002E-2</v>
      </c>
      <c r="AI155"/>
      <c r="AJ155" s="326">
        <v>50109.233800000002</v>
      </c>
      <c r="AK155" s="327">
        <v>4.044391E-2</v>
      </c>
      <c r="AL155"/>
      <c r="AM155" s="326">
        <v>42494.09</v>
      </c>
      <c r="AN155" s="327">
        <v>4.0524509999999993E-2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126367.64049999999</v>
      </c>
      <c r="D158" s="7">
        <v>1.0351920000000001E-2</v>
      </c>
      <c r="E158"/>
      <c r="F158" s="8">
        <v>6239.61</v>
      </c>
      <c r="G158" s="7">
        <v>9.9714299999999999E-3</v>
      </c>
      <c r="H158"/>
      <c r="I158" s="8">
        <v>9140.07</v>
      </c>
      <c r="J158" s="7">
        <v>9.9070700000000005E-3</v>
      </c>
      <c r="K158"/>
      <c r="L158" s="8">
        <v>13412.24</v>
      </c>
      <c r="M158" s="7">
        <v>9.999909999999999E-3</v>
      </c>
      <c r="N158"/>
      <c r="O158" s="8">
        <v>8469.7800000000007</v>
      </c>
      <c r="P158" s="7">
        <v>9.9996700000000004E-3</v>
      </c>
      <c r="Q158"/>
      <c r="R158" s="8">
        <v>10742.3375</v>
      </c>
      <c r="S158" s="7">
        <v>1.053962E-2</v>
      </c>
      <c r="T158"/>
      <c r="U158" s="8">
        <v>9988.0591999999997</v>
      </c>
      <c r="V158" s="7">
        <v>1.058275E-2</v>
      </c>
      <c r="W158"/>
      <c r="X158" s="8">
        <v>7725.5024000000003</v>
      </c>
      <c r="Y158" s="7">
        <v>1.07665E-2</v>
      </c>
      <c r="Z158"/>
      <c r="AA158" s="8">
        <v>10197.930399999999</v>
      </c>
      <c r="AB158" s="7">
        <v>1.0570070000000001E-2</v>
      </c>
      <c r="AC158"/>
      <c r="AD158" s="8">
        <v>12667.058300000001</v>
      </c>
      <c r="AE158" s="7">
        <v>1.045391E-2</v>
      </c>
      <c r="AF158"/>
      <c r="AG158" s="8">
        <v>13809.221799999999</v>
      </c>
      <c r="AH158" s="7">
        <v>1.041481E-2</v>
      </c>
      <c r="AI158"/>
      <c r="AJ158" s="8">
        <v>12939.8084</v>
      </c>
      <c r="AK158" s="7">
        <v>1.0443910000000001E-2</v>
      </c>
      <c r="AL158"/>
      <c r="AM158" s="8">
        <v>11036.022499999999</v>
      </c>
      <c r="AN158" s="7">
        <v>1.0524510000000001E-2</v>
      </c>
    </row>
    <row r="159" spans="2:40" s="314" customFormat="1" ht="12.75" customHeight="1" x14ac:dyDescent="0.15">
      <c r="B159" s="5" t="s">
        <v>112</v>
      </c>
      <c r="C159" s="6">
        <v>230144.84150000001</v>
      </c>
      <c r="D159" s="7">
        <v>1.885326E-2</v>
      </c>
      <c r="E159"/>
      <c r="F159" s="8">
        <v>-8466.1299999999992</v>
      </c>
      <c r="G159" s="7">
        <v>-1.3529599999999999E-2</v>
      </c>
      <c r="H159"/>
      <c r="I159" s="8">
        <v>6152.56</v>
      </c>
      <c r="J159" s="7">
        <v>6.6688600000000004E-3</v>
      </c>
      <c r="K159"/>
      <c r="L159" s="8">
        <v>12722.27</v>
      </c>
      <c r="M159" s="7">
        <v>9.4854799999999993E-3</v>
      </c>
      <c r="N159"/>
      <c r="O159" s="8">
        <v>7971.29</v>
      </c>
      <c r="P159" s="7">
        <v>9.4111400000000001E-3</v>
      </c>
      <c r="Q159"/>
      <c r="R159" s="8">
        <v>25480.843799999999</v>
      </c>
      <c r="S159" s="7">
        <v>2.5000000000000001E-2</v>
      </c>
      <c r="T159"/>
      <c r="U159" s="8">
        <v>23595.148099999999</v>
      </c>
      <c r="V159" s="7">
        <v>2.5000000000000001E-2</v>
      </c>
      <c r="W159"/>
      <c r="X159" s="8">
        <v>17938.756000000001</v>
      </c>
      <c r="Y159" s="7">
        <v>2.5000000000000001E-2</v>
      </c>
      <c r="Z159"/>
      <c r="AA159" s="8">
        <v>24119.826000000001</v>
      </c>
      <c r="AB159" s="7">
        <v>2.5000000000000001E-2</v>
      </c>
      <c r="AC159"/>
      <c r="AD159" s="8">
        <v>30292.6459</v>
      </c>
      <c r="AE159" s="7">
        <v>2.5000000000000001E-2</v>
      </c>
      <c r="AF159"/>
      <c r="AG159" s="8">
        <v>33148.054400000001</v>
      </c>
      <c r="AH159" s="7">
        <v>2.5000000000000001E-2</v>
      </c>
      <c r="AI159"/>
      <c r="AJ159" s="8">
        <v>30974.521100000002</v>
      </c>
      <c r="AK159" s="7">
        <v>2.5000000000000001E-2</v>
      </c>
      <c r="AL159"/>
      <c r="AM159" s="8">
        <v>26215.056199999999</v>
      </c>
      <c r="AN159" s="7">
        <v>2.5000000000000001E-2</v>
      </c>
    </row>
    <row r="160" spans="2:40" s="314" customFormat="1" ht="12.75" customHeight="1" x14ac:dyDescent="0.15">
      <c r="B160" s="5" t="s">
        <v>113</v>
      </c>
      <c r="C160" s="6">
        <v>365902.91190000001</v>
      </c>
      <c r="D160" s="7">
        <v>2.9974440000000001E-2</v>
      </c>
      <c r="E160"/>
      <c r="F160" s="8">
        <v>18718.830000000002</v>
      </c>
      <c r="G160" s="7">
        <v>2.9914300000000001E-2</v>
      </c>
      <c r="H160"/>
      <c r="I160" s="8">
        <v>27420.22</v>
      </c>
      <c r="J160" s="7">
        <v>2.9721210000000001E-2</v>
      </c>
      <c r="K160"/>
      <c r="L160" s="8">
        <v>40236.71</v>
      </c>
      <c r="M160" s="7">
        <v>2.9999720000000001E-2</v>
      </c>
      <c r="N160"/>
      <c r="O160" s="8">
        <v>25409.33</v>
      </c>
      <c r="P160" s="7">
        <v>2.9999000000000001E-2</v>
      </c>
      <c r="Q160"/>
      <c r="R160" s="8">
        <v>30577.012599999998</v>
      </c>
      <c r="S160" s="7">
        <v>0.03</v>
      </c>
      <c r="T160"/>
      <c r="U160" s="8">
        <v>28314.1777</v>
      </c>
      <c r="V160" s="7">
        <v>0.03</v>
      </c>
      <c r="W160"/>
      <c r="X160" s="8">
        <v>21526.507300000001</v>
      </c>
      <c r="Y160" s="7">
        <v>0.03</v>
      </c>
      <c r="Z160"/>
      <c r="AA160" s="8">
        <v>28943.7912</v>
      </c>
      <c r="AB160" s="7">
        <v>0.03</v>
      </c>
      <c r="AC160"/>
      <c r="AD160" s="8">
        <v>36351.175000000003</v>
      </c>
      <c r="AE160" s="7">
        <v>0.03</v>
      </c>
      <c r="AF160"/>
      <c r="AG160" s="8">
        <v>39777.665300000001</v>
      </c>
      <c r="AH160" s="7">
        <v>0.03</v>
      </c>
      <c r="AI160"/>
      <c r="AJ160" s="8">
        <v>37169.425300000003</v>
      </c>
      <c r="AK160" s="7">
        <v>0.03</v>
      </c>
      <c r="AL160"/>
      <c r="AM160" s="8">
        <v>31458.067500000001</v>
      </c>
      <c r="AN160" s="7">
        <v>0.03</v>
      </c>
    </row>
    <row r="161" spans="2:40" s="314" customFormat="1" ht="12.75" customHeight="1" x14ac:dyDescent="0.15">
      <c r="B161" s="5" t="s">
        <v>114</v>
      </c>
      <c r="C161" s="6">
        <v>37261.699999999997</v>
      </c>
      <c r="D161" s="7">
        <v>3.05244E-3</v>
      </c>
      <c r="E161"/>
      <c r="F161" s="8">
        <v>6239.61</v>
      </c>
      <c r="G161" s="7">
        <v>9.9714299999999999E-3</v>
      </c>
      <c r="H161"/>
      <c r="I161" s="8">
        <v>9140.07</v>
      </c>
      <c r="J161" s="7">
        <v>9.9070700000000005E-3</v>
      </c>
      <c r="K161"/>
      <c r="L161" s="8">
        <v>13412.24</v>
      </c>
      <c r="M161" s="7">
        <v>9.999909999999999E-3</v>
      </c>
      <c r="N161"/>
      <c r="O161" s="8">
        <v>8469.7800000000007</v>
      </c>
      <c r="P161" s="7">
        <v>9.9996700000000004E-3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664742.78529999999</v>
      </c>
      <c r="D162" s="327">
        <v>5.4455129999999997E-2</v>
      </c>
      <c r="E162"/>
      <c r="F162" s="326">
        <v>33531.5</v>
      </c>
      <c r="G162" s="327">
        <v>5.3586219999999997E-2</v>
      </c>
      <c r="H162"/>
      <c r="I162" s="326">
        <v>48743.99</v>
      </c>
      <c r="J162" s="327">
        <v>5.283438E-2</v>
      </c>
      <c r="K162"/>
      <c r="L162" s="326">
        <v>64428.23</v>
      </c>
      <c r="M162" s="327">
        <v>4.8036450000000001E-2</v>
      </c>
      <c r="N162"/>
      <c r="O162" s="326">
        <v>70124.5</v>
      </c>
      <c r="P162" s="327">
        <v>8.2791039999999996E-2</v>
      </c>
      <c r="Q162"/>
      <c r="R162" s="326">
        <v>57589.048799999997</v>
      </c>
      <c r="S162" s="327">
        <v>5.6502299999999998E-2</v>
      </c>
      <c r="T162"/>
      <c r="U162" s="326">
        <v>50487.389600000002</v>
      </c>
      <c r="V162" s="327">
        <v>5.3493400000000003E-2</v>
      </c>
      <c r="W162"/>
      <c r="X162" s="326">
        <v>38554.831200000001</v>
      </c>
      <c r="Y162" s="327">
        <v>5.3731189999999998E-2</v>
      </c>
      <c r="Z162"/>
      <c r="AA162" s="326">
        <v>54712.265200000002</v>
      </c>
      <c r="AB162" s="327">
        <v>5.6708809999999998E-2</v>
      </c>
      <c r="AC162"/>
      <c r="AD162" s="326">
        <v>62203.379200000003</v>
      </c>
      <c r="AE162" s="327">
        <v>5.133538E-2</v>
      </c>
      <c r="AF162"/>
      <c r="AG162" s="326">
        <v>75088.710900000005</v>
      </c>
      <c r="AH162" s="327">
        <v>5.6631309999999997E-2</v>
      </c>
      <c r="AI162"/>
      <c r="AJ162" s="326">
        <v>58989.729200000002</v>
      </c>
      <c r="AK162" s="327">
        <v>4.7611489999999999E-2</v>
      </c>
      <c r="AL162"/>
      <c r="AM162" s="326">
        <v>50289.211199999998</v>
      </c>
      <c r="AN162" s="327">
        <v>4.795833E-2</v>
      </c>
    </row>
    <row r="163" spans="2:40" s="314" customFormat="1" ht="12.75" customHeight="1" x14ac:dyDescent="0.15">
      <c r="B163" s="5" t="s">
        <v>116</v>
      </c>
      <c r="C163" s="6">
        <v>325823.01500000001</v>
      </c>
      <c r="D163" s="7">
        <v>2.669113E-2</v>
      </c>
      <c r="E163"/>
      <c r="F163" s="8">
        <v>12977.09</v>
      </c>
      <c r="G163" s="7">
        <v>2.07385E-2</v>
      </c>
      <c r="H163"/>
      <c r="I163" s="8">
        <v>25332.49</v>
      </c>
      <c r="J163" s="7">
        <v>2.7458280000000002E-2</v>
      </c>
      <c r="K163"/>
      <c r="L163" s="8">
        <v>29887.37</v>
      </c>
      <c r="M163" s="7">
        <v>2.228345E-2</v>
      </c>
      <c r="N163"/>
      <c r="O163" s="8">
        <v>48882.04</v>
      </c>
      <c r="P163" s="7">
        <v>5.7711569999999997E-2</v>
      </c>
      <c r="Q163"/>
      <c r="R163" s="8">
        <v>27069.35</v>
      </c>
      <c r="S163" s="7">
        <v>2.655853E-2</v>
      </c>
      <c r="T163"/>
      <c r="U163" s="8">
        <v>23608.2</v>
      </c>
      <c r="V163" s="7">
        <v>2.5013830000000001E-2</v>
      </c>
      <c r="W163"/>
      <c r="X163" s="8">
        <v>18040.224999999999</v>
      </c>
      <c r="Y163" s="7">
        <v>2.5141409999999999E-2</v>
      </c>
      <c r="Z163"/>
      <c r="AA163" s="8">
        <v>25737.25</v>
      </c>
      <c r="AB163" s="7">
        <v>2.6676450000000001E-2</v>
      </c>
      <c r="AC163"/>
      <c r="AD163" s="8">
        <v>28738.5</v>
      </c>
      <c r="AE163" s="7">
        <v>2.3717390000000001E-2</v>
      </c>
      <c r="AF163"/>
      <c r="AG163" s="8">
        <v>35295.75</v>
      </c>
      <c r="AH163" s="7">
        <v>2.6619779999999999E-2</v>
      </c>
      <c r="AI163"/>
      <c r="AJ163" s="8">
        <v>27018.25</v>
      </c>
      <c r="AK163" s="7">
        <v>2.1806829999999999E-2</v>
      </c>
      <c r="AL163"/>
      <c r="AM163" s="8">
        <v>23236.5</v>
      </c>
      <c r="AN163" s="7">
        <v>2.2159499999999999E-2</v>
      </c>
    </row>
    <row r="164" spans="2:40" s="314" customFormat="1" ht="12.75" customHeight="1" x14ac:dyDescent="0.15">
      <c r="B164" s="5" t="s">
        <v>117</v>
      </c>
      <c r="C164" s="6">
        <v>204699.94500000001</v>
      </c>
      <c r="D164" s="7">
        <v>1.6768829999999998E-2</v>
      </c>
      <c r="E164"/>
      <c r="F164" s="8">
        <v>13408.36</v>
      </c>
      <c r="G164" s="7">
        <v>2.1427709999999999E-2</v>
      </c>
      <c r="H164"/>
      <c r="I164" s="8">
        <v>14016.62</v>
      </c>
      <c r="J164" s="7">
        <v>1.5192840000000001E-2</v>
      </c>
      <c r="K164"/>
      <c r="L164" s="8">
        <v>21783.279999999999</v>
      </c>
      <c r="M164" s="7">
        <v>1.6241200000000001E-2</v>
      </c>
      <c r="N164"/>
      <c r="O164" s="8">
        <v>6988.81</v>
      </c>
      <c r="P164" s="7">
        <v>8.2511900000000003E-3</v>
      </c>
      <c r="Q164"/>
      <c r="R164" s="8">
        <v>19260.25</v>
      </c>
      <c r="S164" s="7">
        <v>1.889679E-2</v>
      </c>
      <c r="T164"/>
      <c r="U164" s="8">
        <v>16788</v>
      </c>
      <c r="V164" s="7">
        <v>1.7787560000000001E-2</v>
      </c>
      <c r="W164"/>
      <c r="X164" s="8">
        <v>12823.375</v>
      </c>
      <c r="Y164" s="7">
        <v>1.7871049999999999E-2</v>
      </c>
      <c r="Z164"/>
      <c r="AA164" s="8">
        <v>18296.25</v>
      </c>
      <c r="AB164" s="7">
        <v>1.896391E-2</v>
      </c>
      <c r="AC164"/>
      <c r="AD164" s="8">
        <v>20452.5</v>
      </c>
      <c r="AE164" s="7">
        <v>1.6879100000000001E-2</v>
      </c>
      <c r="AF164"/>
      <c r="AG164" s="8">
        <v>25123.75</v>
      </c>
      <c r="AH164" s="7">
        <v>1.8948130000000001E-2</v>
      </c>
      <c r="AI164"/>
      <c r="AJ164" s="8">
        <v>19236.25</v>
      </c>
      <c r="AK164" s="7">
        <v>1.5525870000000001E-2</v>
      </c>
      <c r="AL164"/>
      <c r="AM164" s="8">
        <v>16522.5</v>
      </c>
      <c r="AN164" s="7">
        <v>1.575669E-2</v>
      </c>
    </row>
    <row r="165" spans="2:40" s="314" customFormat="1" ht="12.75" customHeight="1" x14ac:dyDescent="0.15">
      <c r="B165" s="5" t="s">
        <v>118</v>
      </c>
      <c r="C165" s="6">
        <v>68658.205000000002</v>
      </c>
      <c r="D165" s="7">
        <v>5.6244199999999998E-3</v>
      </c>
      <c r="E165"/>
      <c r="F165" s="8">
        <v>4017.31</v>
      </c>
      <c r="G165" s="7">
        <v>6.4200100000000003E-3</v>
      </c>
      <c r="H165"/>
      <c r="I165" s="8">
        <v>2244.7600000000002</v>
      </c>
      <c r="J165" s="7">
        <v>2.4331299999999999E-3</v>
      </c>
      <c r="K165"/>
      <c r="L165" s="8">
        <v>6106.56</v>
      </c>
      <c r="M165" s="7">
        <v>4.5529300000000002E-3</v>
      </c>
      <c r="N165"/>
      <c r="O165" s="8">
        <v>7974.88</v>
      </c>
      <c r="P165" s="7">
        <v>9.4153799999999992E-3</v>
      </c>
      <c r="Q165"/>
      <c r="R165" s="8">
        <v>6163.28</v>
      </c>
      <c r="S165" s="7">
        <v>6.0469699999999996E-3</v>
      </c>
      <c r="T165"/>
      <c r="U165" s="8">
        <v>5372.16</v>
      </c>
      <c r="V165" s="7">
        <v>5.6920199999999999E-3</v>
      </c>
      <c r="W165"/>
      <c r="X165" s="8">
        <v>4103.4799999999996</v>
      </c>
      <c r="Y165" s="7">
        <v>5.7187399999999999E-3</v>
      </c>
      <c r="Z165"/>
      <c r="AA165" s="8">
        <v>5854.8</v>
      </c>
      <c r="AB165" s="7">
        <v>6.0684500000000004E-3</v>
      </c>
      <c r="AC165"/>
      <c r="AD165" s="8">
        <v>6953.85</v>
      </c>
      <c r="AE165" s="7">
        <v>5.73889E-3</v>
      </c>
      <c r="AF165"/>
      <c r="AG165" s="8">
        <v>8039.6</v>
      </c>
      <c r="AH165" s="7">
        <v>6.0634E-3</v>
      </c>
      <c r="AI165"/>
      <c r="AJ165" s="8">
        <v>6540.3249999999998</v>
      </c>
      <c r="AK165" s="7">
        <v>5.2787900000000002E-3</v>
      </c>
      <c r="AL165"/>
      <c r="AM165" s="8">
        <v>5287.2</v>
      </c>
      <c r="AN165" s="7">
        <v>5.0421400000000014E-3</v>
      </c>
    </row>
    <row r="166" spans="2:40" s="314" customFormat="1" ht="12.75" customHeight="1" x14ac:dyDescent="0.15">
      <c r="B166" s="5" t="s">
        <v>119</v>
      </c>
      <c r="C166" s="6">
        <v>65561.6204</v>
      </c>
      <c r="D166" s="7">
        <v>5.3707499999999997E-3</v>
      </c>
      <c r="E166"/>
      <c r="F166" s="8">
        <v>3128.74</v>
      </c>
      <c r="G166" s="7">
        <v>5.0000000000000001E-3</v>
      </c>
      <c r="H166"/>
      <c r="I166" s="8">
        <v>7150.12</v>
      </c>
      <c r="J166" s="7">
        <v>7.7501299999999992E-3</v>
      </c>
      <c r="K166"/>
      <c r="L166" s="8">
        <v>6651.02</v>
      </c>
      <c r="M166" s="7">
        <v>4.9588700000000006E-3</v>
      </c>
      <c r="N166"/>
      <c r="O166" s="8">
        <v>6278.77</v>
      </c>
      <c r="P166" s="7">
        <v>7.4129E-3</v>
      </c>
      <c r="Q166"/>
      <c r="R166" s="8">
        <v>5096.1688000000004</v>
      </c>
      <c r="S166" s="7">
        <v>5.0000000000000001E-3</v>
      </c>
      <c r="T166"/>
      <c r="U166" s="8">
        <v>4719.0295999999998</v>
      </c>
      <c r="V166" s="7">
        <v>5.0000000000000001E-3</v>
      </c>
      <c r="W166"/>
      <c r="X166" s="8">
        <v>3587.7512000000002</v>
      </c>
      <c r="Y166" s="7">
        <v>5.0000000000000001E-3</v>
      </c>
      <c r="Z166"/>
      <c r="AA166" s="8">
        <v>4823.9651999999996</v>
      </c>
      <c r="AB166" s="7">
        <v>5.0000000000000001E-3</v>
      </c>
      <c r="AC166"/>
      <c r="AD166" s="8">
        <v>6058.5291999999999</v>
      </c>
      <c r="AE166" s="7">
        <v>5.0000000000000001E-3</v>
      </c>
      <c r="AF166"/>
      <c r="AG166" s="8">
        <v>6629.6108999999997</v>
      </c>
      <c r="AH166" s="7">
        <v>5.0000000000000001E-3</v>
      </c>
      <c r="AI166"/>
      <c r="AJ166" s="8">
        <v>6194.9041999999999</v>
      </c>
      <c r="AK166" s="7">
        <v>5.0000000000000001E-3</v>
      </c>
      <c r="AL166"/>
      <c r="AM166" s="8">
        <v>5243.0113000000001</v>
      </c>
      <c r="AN166" s="7">
        <v>5.0000000000000001E-3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604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  <row r="169" spans="2:40" s="314" customFormat="1" ht="12.75" customHeight="1" x14ac:dyDescent="0.15"/>
  </sheetData>
  <sheetProtection formatCells="0" formatColumns="0" formatRows="0" insertColumns="0" insertRows="0" insertHyperlinks="0" deleteColumns="0" deleteRows="0" sort="0" autoFilter="0" pivotTables="0"/>
  <mergeCells count="13">
    <mergeCell ref="AJ10:AK10"/>
    <mergeCell ref="AM10:AN10"/>
    <mergeCell ref="R10:S10"/>
    <mergeCell ref="U10:V10"/>
    <mergeCell ref="X10:Y10"/>
    <mergeCell ref="AA10:AB10"/>
    <mergeCell ref="AD10:AE10"/>
    <mergeCell ref="AG10:AH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6CF6-B458-4C1C-BF9C-54D42722BAE1}">
  <sheetPr>
    <pageSetUpPr fitToPage="1"/>
  </sheetPr>
  <dimension ref="B2:O168"/>
  <sheetViews>
    <sheetView workbookViewId="0">
      <pane xSplit="2" ySplit="10" topLeftCell="C11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A170" sqref="A170:XFD178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28" x14ac:dyDescent="0.15">
      <c r="B3" s="35" t="s">
        <v>151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Leverkusen'!C11</f>
        <v>6159376.9483000003</v>
      </c>
      <c r="D11" s="39">
        <f>'Data Entry Leverkusen'!F11</f>
        <v>433660.89</v>
      </c>
      <c r="E11" s="39">
        <f>'Data Entry Leverkusen'!I11</f>
        <v>442754.48</v>
      </c>
      <c r="F11" s="39">
        <f>'Data Entry Leverkusen'!L11</f>
        <v>513073.42</v>
      </c>
      <c r="G11" s="39">
        <f>'Data Entry Leverkusen'!O11</f>
        <v>381746.73</v>
      </c>
      <c r="H11" s="39">
        <f>'Data Entry Leverkusen'!R11</f>
        <v>509676.14539999998</v>
      </c>
      <c r="I11" s="39">
        <f>'Data Entry Leverkusen'!U11</f>
        <v>501607.43810000003</v>
      </c>
      <c r="J11" s="39">
        <f>'Data Entry Leverkusen'!X11</f>
        <v>354405.67680000002</v>
      </c>
      <c r="K11" s="39">
        <f>'Data Entry Leverkusen'!AA11</f>
        <v>474879.81550000003</v>
      </c>
      <c r="L11" s="39">
        <f>'Data Entry Leverkusen'!AD11</f>
        <v>664803.65119999996</v>
      </c>
      <c r="M11" s="39">
        <f>'Data Entry Leverkusen'!AG11</f>
        <v>710944.29590000003</v>
      </c>
      <c r="N11" s="39">
        <f>'Data Entry Leverkusen'!AJ11</f>
        <v>654164.32209999999</v>
      </c>
      <c r="O11" s="39">
        <f>'Data Entry Leverkusen'!AM11</f>
        <v>517660.0833</v>
      </c>
    </row>
    <row r="12" spans="2:15" ht="14" x14ac:dyDescent="0.15">
      <c r="B12" s="38" t="s">
        <v>22</v>
      </c>
      <c r="C12" s="39">
        <f>'Data Entry Leverkusen'!C12</f>
        <v>2207821.0510999998</v>
      </c>
      <c r="D12" s="39">
        <f>'Data Entry Leverkusen'!F12</f>
        <v>171232.78</v>
      </c>
      <c r="E12" s="39">
        <f>'Data Entry Leverkusen'!I12</f>
        <v>206941.39</v>
      </c>
      <c r="F12" s="39">
        <f>'Data Entry Leverkusen'!L12</f>
        <v>168806.82</v>
      </c>
      <c r="G12" s="39">
        <f>'Data Entry Leverkusen'!O12</f>
        <v>181004.53</v>
      </c>
      <c r="H12" s="39">
        <f>'Data Entry Leverkusen'!R12</f>
        <v>167897.48269999999</v>
      </c>
      <c r="I12" s="39">
        <f>'Data Entry Leverkusen'!U12</f>
        <v>180317.65849999999</v>
      </c>
      <c r="J12" s="39">
        <f>'Data Entry Leverkusen'!X12</f>
        <v>175128.26439999999</v>
      </c>
      <c r="K12" s="39">
        <f>'Data Entry Leverkusen'!AA12</f>
        <v>183937.01120000001</v>
      </c>
      <c r="L12" s="39">
        <f>'Data Entry Leverkusen'!AD12</f>
        <v>185871.32639999999</v>
      </c>
      <c r="M12" s="39">
        <f>'Data Entry Leverkusen'!AG12</f>
        <v>187959.68419999999</v>
      </c>
      <c r="N12" s="39">
        <f>'Data Entry Leverkusen'!AJ12</f>
        <v>205946.53159999999</v>
      </c>
      <c r="O12" s="39">
        <f>'Data Entry Leverkusen'!AM12</f>
        <v>192777.57209999999</v>
      </c>
    </row>
    <row r="13" spans="2:15" ht="14" x14ac:dyDescent="0.15">
      <c r="B13" s="38" t="s">
        <v>23</v>
      </c>
      <c r="C13" s="39">
        <f>'Data Entry Leverkusen'!C13</f>
        <v>1873126.2204</v>
      </c>
      <c r="D13" s="39">
        <f>'Data Entry Leverkusen'!F13</f>
        <v>95107.03</v>
      </c>
      <c r="E13" s="39">
        <f>'Data Entry Leverkusen'!I13</f>
        <v>94819.62</v>
      </c>
      <c r="F13" s="39">
        <f>'Data Entry Leverkusen'!L13</f>
        <v>184123.45</v>
      </c>
      <c r="G13" s="39">
        <f>'Data Entry Leverkusen'!O13</f>
        <v>45111.16</v>
      </c>
      <c r="H13" s="39">
        <f>'Data Entry Leverkusen'!R13</f>
        <v>165482.7732</v>
      </c>
      <c r="I13" s="39">
        <f>'Data Entry Leverkusen'!U13</f>
        <v>157447.53320000001</v>
      </c>
      <c r="J13" s="39">
        <f>'Data Entry Leverkusen'!X13</f>
        <v>34889.650399999999</v>
      </c>
      <c r="K13" s="39">
        <f>'Data Entry Leverkusen'!AA13</f>
        <v>123367.4425</v>
      </c>
      <c r="L13" s="39">
        <f>'Data Entry Leverkusen'!AD13</f>
        <v>274113.37640000001</v>
      </c>
      <c r="M13" s="39">
        <f>'Data Entry Leverkusen'!AG13</f>
        <v>300665.13770000002</v>
      </c>
      <c r="N13" s="39">
        <f>'Data Entry Leverkusen'!AJ13</f>
        <v>241853.20670000001</v>
      </c>
      <c r="O13" s="39">
        <f>'Data Entry Leverkusen'!AM13</f>
        <v>156145.84030000001</v>
      </c>
    </row>
    <row r="14" spans="2:15" ht="14" x14ac:dyDescent="0.15">
      <c r="B14" s="38" t="s">
        <v>24</v>
      </c>
      <c r="C14" s="39">
        <f>'Data Entry Leverkusen'!C14</f>
        <v>44044</v>
      </c>
      <c r="D14" s="39">
        <f>'Data Entry Leverkusen'!F14</f>
        <v>3630</v>
      </c>
      <c r="E14" s="39">
        <f>'Data Entry Leverkusen'!I14</f>
        <v>3388</v>
      </c>
      <c r="F14" s="39">
        <f>'Data Entry Leverkusen'!L14</f>
        <v>3751</v>
      </c>
      <c r="G14" s="39">
        <f>'Data Entry Leverkusen'!O14</f>
        <v>3630</v>
      </c>
      <c r="H14" s="39">
        <f>'Data Entry Leverkusen'!R14</f>
        <v>3751</v>
      </c>
      <c r="I14" s="39">
        <f>'Data Entry Leverkusen'!U14</f>
        <v>3630</v>
      </c>
      <c r="J14" s="39">
        <f>'Data Entry Leverkusen'!X14</f>
        <v>3751</v>
      </c>
      <c r="K14" s="39">
        <f>'Data Entry Leverkusen'!AA14</f>
        <v>3751</v>
      </c>
      <c r="L14" s="39">
        <f>'Data Entry Leverkusen'!AD14</f>
        <v>3630</v>
      </c>
      <c r="M14" s="39">
        <f>'Data Entry Leverkusen'!AG14</f>
        <v>3751</v>
      </c>
      <c r="N14" s="39">
        <f>'Data Entry Leverkusen'!AJ14</f>
        <v>3630</v>
      </c>
      <c r="O14" s="39">
        <f>'Data Entry Leverkusen'!AM14</f>
        <v>3751</v>
      </c>
    </row>
    <row r="15" spans="2:15" ht="14" x14ac:dyDescent="0.15">
      <c r="B15" s="38" t="s">
        <v>25</v>
      </c>
      <c r="C15" s="39">
        <f>'Data Entry Leverkusen'!C15</f>
        <v>29077</v>
      </c>
      <c r="D15" s="39">
        <f>'Data Entry Leverkusen'!F15</f>
        <v>2133</v>
      </c>
      <c r="E15" s="39">
        <f>'Data Entry Leverkusen'!I15</f>
        <v>2049</v>
      </c>
      <c r="F15" s="39">
        <f>'Data Entry Leverkusen'!L15</f>
        <v>2156</v>
      </c>
      <c r="G15" s="39">
        <f>'Data Entry Leverkusen'!O15</f>
        <v>1901</v>
      </c>
      <c r="H15" s="39">
        <f>'Data Entry Leverkusen'!R15</f>
        <v>2535</v>
      </c>
      <c r="I15" s="39">
        <f>'Data Entry Leverkusen'!U15</f>
        <v>2540</v>
      </c>
      <c r="J15" s="39">
        <f>'Data Entry Leverkusen'!X15</f>
        <v>1890</v>
      </c>
      <c r="K15" s="39">
        <f>'Data Entry Leverkusen'!AA15</f>
        <v>2070</v>
      </c>
      <c r="L15" s="39">
        <f>'Data Entry Leverkusen'!AD15</f>
        <v>3010</v>
      </c>
      <c r="M15" s="39">
        <f>'Data Entry Leverkusen'!AG15</f>
        <v>3160</v>
      </c>
      <c r="N15" s="39">
        <f>'Data Entry Leverkusen'!AJ15</f>
        <v>3060</v>
      </c>
      <c r="O15" s="39">
        <f>'Data Entry Leverkusen'!AM15</f>
        <v>2573</v>
      </c>
    </row>
    <row r="16" spans="2:15" ht="14" x14ac:dyDescent="0.15">
      <c r="B16" s="38" t="s">
        <v>26</v>
      </c>
      <c r="C16" s="39">
        <f>'Data Entry Leverkusen'!C16</f>
        <v>66.029425120333997</v>
      </c>
      <c r="D16" s="39">
        <f>'Data Entry Leverkusen'!F16</f>
        <v>58.760330578511997</v>
      </c>
      <c r="E16" s="39">
        <f>'Data Entry Leverkusen'!I16</f>
        <v>60.537190082644997</v>
      </c>
      <c r="F16" s="39">
        <f>'Data Entry Leverkusen'!L16</f>
        <v>57.478005865103</v>
      </c>
      <c r="G16" s="39">
        <f>'Data Entry Leverkusen'!O16</f>
        <v>52.451790633609001</v>
      </c>
      <c r="H16" s="39">
        <f>'Data Entry Leverkusen'!R16</f>
        <v>67.581978139162999</v>
      </c>
      <c r="I16" s="39">
        <f>'Data Entry Leverkusen'!U16</f>
        <v>69.972451790633997</v>
      </c>
      <c r="J16" s="39">
        <f>'Data Entry Leverkusen'!X16</f>
        <v>50.386563583045003</v>
      </c>
      <c r="K16" s="39">
        <f>'Data Entry Leverkusen'!AA16</f>
        <v>55.185283924286999</v>
      </c>
      <c r="L16" s="39">
        <f>'Data Entry Leverkusen'!AD16</f>
        <v>82.920110192837001</v>
      </c>
      <c r="M16" s="39">
        <f>'Data Entry Leverkusen'!AG16</f>
        <v>84.244201546254004</v>
      </c>
      <c r="N16" s="39">
        <f>'Data Entry Leverkusen'!AJ16</f>
        <v>84.297520661156994</v>
      </c>
      <c r="O16" s="39">
        <f>'Data Entry Leverkusen'!AM16</f>
        <v>68.595041322314003</v>
      </c>
    </row>
    <row r="17" spans="2:15" ht="14" x14ac:dyDescent="0.15">
      <c r="B17" s="38" t="s">
        <v>27</v>
      </c>
      <c r="C17" s="39">
        <f>'Data Entry Leverkusen'!C17</f>
        <v>127.30329057330999</v>
      </c>
      <c r="D17" s="39">
        <f>'Data Entry Leverkusen'!F17</f>
        <v>110.71372714487001</v>
      </c>
      <c r="E17" s="39">
        <f>'Data Entry Leverkusen'!I17</f>
        <v>115.81129819424</v>
      </c>
      <c r="F17" s="39">
        <f>'Data Entry Leverkusen'!L17</f>
        <v>135.36262987013001</v>
      </c>
      <c r="G17" s="39">
        <f>'Data Entry Leverkusen'!O17</f>
        <v>121.85152025249999</v>
      </c>
      <c r="H17" s="39">
        <f>'Data Entry Leverkusen'!R17</f>
        <v>127.25869428007999</v>
      </c>
      <c r="I17" s="39">
        <f>'Data Entry Leverkusen'!U17</f>
        <v>127.59368897637999</v>
      </c>
      <c r="J17" s="39">
        <f>'Data Entry Leverkusen'!X17</f>
        <v>127.6977037037</v>
      </c>
      <c r="K17" s="39">
        <f>'Data Entry Leverkusen'!AA17</f>
        <v>140.37920772947001</v>
      </c>
      <c r="L17" s="39">
        <f>'Data Entry Leverkusen'!AD17</f>
        <v>130.79093023255999</v>
      </c>
      <c r="M17" s="39">
        <f>'Data Entry Leverkusen'!AG17</f>
        <v>141.62363924050999</v>
      </c>
      <c r="N17" s="39">
        <f>'Data Entry Leverkusen'!AJ17</f>
        <v>125.17343137255</v>
      </c>
      <c r="O17" s="39">
        <f>'Data Entry Leverkusen'!AM17</f>
        <v>117.29576369996001</v>
      </c>
    </row>
    <row r="18" spans="2:15" ht="14" x14ac:dyDescent="0.15">
      <c r="B18" s="38" t="s">
        <v>28</v>
      </c>
      <c r="C18" s="39">
        <f>'Data Entry Leverkusen'!C18</f>
        <v>83.292025701571006</v>
      </c>
      <c r="D18" s="39">
        <f>'Data Entry Leverkusen'!F18</f>
        <v>64.493531680440995</v>
      </c>
      <c r="E18" s="39">
        <f>'Data Entry Leverkusen'!I18</f>
        <v>68.952187131051005</v>
      </c>
      <c r="F18" s="39">
        <f>'Data Entry Leverkusen'!L18</f>
        <v>77.139773393761999</v>
      </c>
      <c r="G18" s="39">
        <f>'Data Entry Leverkusen'!O18</f>
        <v>63.133520661157</v>
      </c>
      <c r="H18" s="39">
        <f>'Data Entry Leverkusen'!R18</f>
        <v>85.284134897361</v>
      </c>
      <c r="I18" s="39">
        <f>'Data Entry Leverkusen'!U18</f>
        <v>88.453986225894994</v>
      </c>
      <c r="J18" s="39">
        <f>'Data Entry Leverkusen'!X18</f>
        <v>63.875942415356</v>
      </c>
      <c r="K18" s="39">
        <f>'Data Entry Leverkusen'!AA18</f>
        <v>77.148749666756004</v>
      </c>
      <c r="L18" s="39">
        <f>'Data Entry Leverkusen'!AD18</f>
        <v>107.62553719008</v>
      </c>
      <c r="M18" s="39">
        <f>'Data Entry Leverkusen'!AG18</f>
        <v>118.1100239936</v>
      </c>
      <c r="N18" s="39">
        <f>'Data Entry Leverkusen'!AJ18</f>
        <v>104.27842975207</v>
      </c>
      <c r="O18" s="39">
        <f>'Data Entry Leverkusen'!AM18</f>
        <v>79.992535323913998</v>
      </c>
    </row>
    <row r="19" spans="2:15" ht="14" x14ac:dyDescent="0.15">
      <c r="B19" s="38" t="s">
        <v>29</v>
      </c>
      <c r="C19" s="39">
        <f>'Data Entry Leverkusen'!C19</f>
        <v>139.84599374035</v>
      </c>
      <c r="D19" s="39">
        <f>'Data Entry Leverkusen'!F19</f>
        <v>119.46580991736</v>
      </c>
      <c r="E19" s="39">
        <f>'Data Entry Leverkusen'!I19</f>
        <v>130.68314049586999</v>
      </c>
      <c r="F19" s="39">
        <f>'Data Entry Leverkusen'!L19</f>
        <v>136.78310317249</v>
      </c>
      <c r="G19" s="39">
        <f>'Data Entry Leverkusen'!O19</f>
        <v>105.16438842975001</v>
      </c>
      <c r="H19" s="39">
        <f>'Data Entry Leverkusen'!R19</f>
        <v>135.87740479871999</v>
      </c>
      <c r="I19" s="39">
        <f>'Data Entry Leverkusen'!U19</f>
        <v>138.18386724518001</v>
      </c>
      <c r="J19" s="39">
        <f>'Data Entry Leverkusen'!X19</f>
        <v>94.482985017329</v>
      </c>
      <c r="K19" s="39">
        <f>'Data Entry Leverkusen'!AA19</f>
        <v>126.60085723807001</v>
      </c>
      <c r="L19" s="39">
        <f>'Data Entry Leverkusen'!AD19</f>
        <v>183.14150170798999</v>
      </c>
      <c r="M19" s="39">
        <f>'Data Entry Leverkusen'!AG19</f>
        <v>189.53460301253</v>
      </c>
      <c r="N19" s="39">
        <f>'Data Entry Leverkusen'!AJ19</f>
        <v>180.21055705233999</v>
      </c>
      <c r="O19" s="39">
        <f>'Data Entry Leverkusen'!AM19</f>
        <v>138.00588731005001</v>
      </c>
    </row>
    <row r="20" spans="2:15" ht="14" x14ac:dyDescent="0.15">
      <c r="B20" s="38" t="s">
        <v>30</v>
      </c>
      <c r="C20" s="39">
        <f>'Data Entry Leverkusen'!C20</f>
        <v>39412.000899999999</v>
      </c>
      <c r="D20" s="39">
        <f>'Data Entry Leverkusen'!F20</f>
        <v>2686</v>
      </c>
      <c r="E20" s="39">
        <f>'Data Entry Leverkusen'!I20</f>
        <v>2548</v>
      </c>
      <c r="F20" s="39">
        <f>'Data Entry Leverkusen'!L20</f>
        <v>2809</v>
      </c>
      <c r="G20" s="39">
        <f>'Data Entry Leverkusen'!O20</f>
        <v>2738</v>
      </c>
      <c r="H20" s="39">
        <f>'Data Entry Leverkusen'!R20</f>
        <v>3215.1</v>
      </c>
      <c r="I20" s="39">
        <f>'Data Entry Leverkusen'!U20</f>
        <v>3321.5</v>
      </c>
      <c r="J20" s="39">
        <f>'Data Entry Leverkusen'!X20</f>
        <v>2757.002</v>
      </c>
      <c r="K20" s="39">
        <f>'Data Entry Leverkusen'!AA20</f>
        <v>2996.9989</v>
      </c>
      <c r="L20" s="39">
        <f>'Data Entry Leverkusen'!AD20</f>
        <v>4042</v>
      </c>
      <c r="M20" s="39">
        <f>'Data Entry Leverkusen'!AG20</f>
        <v>4364</v>
      </c>
      <c r="N20" s="39">
        <f>'Data Entry Leverkusen'!AJ20</f>
        <v>4212</v>
      </c>
      <c r="O20" s="39">
        <f>'Data Entry Leverkusen'!AM20</f>
        <v>3722.4</v>
      </c>
    </row>
    <row r="21" spans="2:15" ht="14" x14ac:dyDescent="0.15">
      <c r="B21" s="38" t="s">
        <v>31</v>
      </c>
      <c r="C21" s="39">
        <f>'Data Entry Leverkusen'!C21</f>
        <v>1.355202561722</v>
      </c>
      <c r="D21" s="39">
        <f>'Data Entry Leverkusen'!F21</f>
        <v>1.2592592592592999</v>
      </c>
      <c r="E21" s="39">
        <f>'Data Entry Leverkusen'!I21</f>
        <v>1.2423208191126001</v>
      </c>
      <c r="F21" s="39">
        <f>'Data Entry Leverkusen'!L21</f>
        <v>1.3028756957328</v>
      </c>
      <c r="G21" s="39">
        <f>'Data Entry Leverkusen'!O21</f>
        <v>1.4380252100840001</v>
      </c>
      <c r="H21" s="39">
        <f>'Data Entry Leverkusen'!R21</f>
        <v>1.2682840236685999</v>
      </c>
      <c r="I21" s="39">
        <f>'Data Entry Leverkusen'!U21</f>
        <v>1.3076771653543</v>
      </c>
      <c r="J21" s="39">
        <f>'Data Entry Leverkusen'!X21</f>
        <v>1.4587312169311999</v>
      </c>
      <c r="K21" s="39">
        <f>'Data Entry Leverkusen'!AA21</f>
        <v>1.4478255555556001</v>
      </c>
      <c r="L21" s="39">
        <f>'Data Entry Leverkusen'!AD21</f>
        <v>1.3428571428570999</v>
      </c>
      <c r="M21" s="39">
        <f>'Data Entry Leverkusen'!AG21</f>
        <v>1.3810126582277999</v>
      </c>
      <c r="N21" s="39">
        <f>'Data Entry Leverkusen'!AJ21</f>
        <v>1.3764705882353001</v>
      </c>
      <c r="O21" s="39">
        <f>'Data Entry Leverkusen'!AM21</f>
        <v>1.4467158958413999</v>
      </c>
    </row>
    <row r="22" spans="2:15" ht="14" x14ac:dyDescent="0.15">
      <c r="B22" s="38" t="s">
        <v>32</v>
      </c>
      <c r="C22" s="39">
        <f>'Data Entry Leverkusen'!C22</f>
        <v>54205.5101</v>
      </c>
      <c r="D22" s="39">
        <f>'Data Entry Leverkusen'!F22</f>
        <v>0</v>
      </c>
      <c r="E22" s="39">
        <f>'Data Entry Leverkusen'!I22</f>
        <v>0</v>
      </c>
      <c r="F22" s="39">
        <f>'Data Entry Leverkusen'!L22</f>
        <v>0</v>
      </c>
      <c r="G22" s="39">
        <f>'Data Entry Leverkusen'!O22</f>
        <v>0</v>
      </c>
      <c r="H22" s="39">
        <f>'Data Entry Leverkusen'!R22</f>
        <v>6274.8263999999999</v>
      </c>
      <c r="I22" s="39">
        <f>'Data Entry Leverkusen'!U22</f>
        <v>5810.4360999999999</v>
      </c>
      <c r="J22" s="39">
        <f>'Data Entry Leverkusen'!X22</f>
        <v>5405.2112999999999</v>
      </c>
      <c r="K22" s="39">
        <f>'Data Entry Leverkusen'!AA22</f>
        <v>6363.2460000000001</v>
      </c>
      <c r="L22" s="39">
        <f>'Data Entry Leverkusen'!AD22</f>
        <v>7352.1729999999998</v>
      </c>
      <c r="M22" s="39">
        <f>'Data Entry Leverkusen'!AG22</f>
        <v>8199.1643000000004</v>
      </c>
      <c r="N22" s="39">
        <f>'Data Entry Leverkusen'!AJ22</f>
        <v>8262.3603999999996</v>
      </c>
      <c r="O22" s="39">
        <f>'Data Entry Leverkusen'!AM22</f>
        <v>6538.0925999999999</v>
      </c>
    </row>
    <row r="23" spans="2:15" ht="14" x14ac:dyDescent="0.15">
      <c r="B23" s="38" t="s">
        <v>33</v>
      </c>
      <c r="C23" s="39">
        <f>'Data Entry Leverkusen'!C23</f>
        <v>46.640799999999999</v>
      </c>
      <c r="D23" s="39">
        <f>'Data Entry Leverkusen'!F23</f>
        <v>49.97</v>
      </c>
      <c r="E23" s="39">
        <f>'Data Entry Leverkusen'!I23</f>
        <v>49.97</v>
      </c>
      <c r="F23" s="39">
        <f>'Data Entry Leverkusen'!L23</f>
        <v>48.25</v>
      </c>
      <c r="G23" s="39">
        <f>'Data Entry Leverkusen'!O23</f>
        <v>48.5</v>
      </c>
      <c r="H23" s="39">
        <f>'Data Entry Leverkusen'!R23</f>
        <v>42</v>
      </c>
      <c r="I23" s="39">
        <f>'Data Entry Leverkusen'!U23</f>
        <v>43</v>
      </c>
      <c r="J23" s="39">
        <f>'Data Entry Leverkusen'!X23</f>
        <v>44</v>
      </c>
      <c r="K23" s="39">
        <f>'Data Entry Leverkusen'!AA23</f>
        <v>45</v>
      </c>
      <c r="L23" s="39">
        <f>'Data Entry Leverkusen'!AD23</f>
        <v>46.5</v>
      </c>
      <c r="M23" s="39">
        <f>'Data Entry Leverkusen'!AG23</f>
        <v>47.5</v>
      </c>
      <c r="N23" s="39">
        <f>'Data Entry Leverkusen'!AJ23</f>
        <v>47.5</v>
      </c>
      <c r="O23" s="39">
        <f>'Data Entry Leverkusen'!AM23</f>
        <v>47.5</v>
      </c>
    </row>
    <row r="24" spans="2:15" x14ac:dyDescent="0.15">
      <c r="C24" s="39">
        <f>'Data Entry Leverkusen'!C24</f>
        <v>0</v>
      </c>
      <c r="D24" s="39">
        <f>'Data Entry Leverkusen'!F24</f>
        <v>0</v>
      </c>
      <c r="E24" s="39">
        <f>'Data Entry Leverkusen'!I24</f>
        <v>0</v>
      </c>
      <c r="F24" s="39">
        <f>'Data Entry Leverkusen'!L24</f>
        <v>0</v>
      </c>
      <c r="G24" s="39">
        <f>'Data Entry Leverkusen'!O24</f>
        <v>0</v>
      </c>
      <c r="H24" s="39">
        <f>'Data Entry Leverkusen'!R24</f>
        <v>0</v>
      </c>
      <c r="I24" s="39">
        <f>'Data Entry Leverkusen'!U24</f>
        <v>0</v>
      </c>
      <c r="J24" s="39">
        <f>'Data Entry Leverkusen'!X24</f>
        <v>0</v>
      </c>
      <c r="K24" s="39">
        <f>'Data Entry Leverkusen'!AA24</f>
        <v>0</v>
      </c>
      <c r="L24" s="39">
        <f>'Data Entry Leverkusen'!AD24</f>
        <v>0</v>
      </c>
      <c r="M24" s="39">
        <f>'Data Entry Leverkusen'!AG24</f>
        <v>0</v>
      </c>
      <c r="N24" s="39">
        <f>'Data Entry Leverkusen'!AJ24</f>
        <v>0</v>
      </c>
      <c r="O24" s="39">
        <f>'Data Entry Leverkusen'!AM24</f>
        <v>0</v>
      </c>
    </row>
    <row r="25" spans="2:15" ht="14" x14ac:dyDescent="0.15">
      <c r="B25" s="38" t="s">
        <v>34</v>
      </c>
      <c r="C25" s="39">
        <f>'Data Entry Leverkusen'!C25</f>
        <v>0</v>
      </c>
      <c r="D25" s="39">
        <f>'Data Entry Leverkusen'!F25</f>
        <v>0</v>
      </c>
      <c r="E25" s="39">
        <f>'Data Entry Leverkusen'!I25</f>
        <v>0</v>
      </c>
      <c r="F25" s="39">
        <f>'Data Entry Leverkusen'!L25</f>
        <v>0</v>
      </c>
      <c r="G25" s="39">
        <f>'Data Entry Leverkusen'!O25</f>
        <v>0</v>
      </c>
      <c r="H25" s="39">
        <f>'Data Entry Leverkusen'!R25</f>
        <v>0</v>
      </c>
      <c r="I25" s="39">
        <f>'Data Entry Leverkusen'!U25</f>
        <v>0</v>
      </c>
      <c r="J25" s="39">
        <f>'Data Entry Leverkusen'!X25</f>
        <v>0</v>
      </c>
      <c r="K25" s="39">
        <f>'Data Entry Leverkusen'!AA25</f>
        <v>0</v>
      </c>
      <c r="L25" s="39">
        <f>'Data Entry Leverkusen'!AD25</f>
        <v>0</v>
      </c>
      <c r="M25" s="39">
        <f>'Data Entry Leverkusen'!AG25</f>
        <v>0</v>
      </c>
      <c r="N25" s="39">
        <f>'Data Entry Leverkusen'!AJ25</f>
        <v>0</v>
      </c>
      <c r="O25" s="39">
        <f>'Data Entry Leverkusen'!AM25</f>
        <v>0</v>
      </c>
    </row>
    <row r="26" spans="2:15" x14ac:dyDescent="0.15">
      <c r="B26" s="40"/>
      <c r="C26" s="39">
        <f>'Data Entry Leverkusen'!C26</f>
        <v>0</v>
      </c>
      <c r="D26" s="39">
        <f>'Data Entry Leverkusen'!F26</f>
        <v>0</v>
      </c>
      <c r="E26" s="39">
        <f>'Data Entry Leverkusen'!I26</f>
        <v>0</v>
      </c>
      <c r="F26" s="39">
        <f>'Data Entry Leverkusen'!L26</f>
        <v>0</v>
      </c>
      <c r="G26" s="39">
        <f>'Data Entry Leverkusen'!O26</f>
        <v>0</v>
      </c>
      <c r="H26" s="39">
        <f>'Data Entry Leverkusen'!R26</f>
        <v>0</v>
      </c>
      <c r="I26" s="39">
        <f>'Data Entry Leverkusen'!U26</f>
        <v>0</v>
      </c>
      <c r="J26" s="39">
        <f>'Data Entry Leverkusen'!X26</f>
        <v>0</v>
      </c>
      <c r="K26" s="39">
        <f>'Data Entry Leverkusen'!AA26</f>
        <v>0</v>
      </c>
      <c r="L26" s="39">
        <f>'Data Entry Leverkusen'!AD26</f>
        <v>0</v>
      </c>
      <c r="M26" s="39">
        <f>'Data Entry Leverkusen'!AG26</f>
        <v>0</v>
      </c>
      <c r="N26" s="39">
        <f>'Data Entry Leverkusen'!AJ26</f>
        <v>0</v>
      </c>
      <c r="O26" s="39">
        <f>'Data Entry Leverkusen'!AM26</f>
        <v>0</v>
      </c>
    </row>
    <row r="27" spans="2:15" ht="14" x14ac:dyDescent="0.15">
      <c r="B27" s="42" t="s">
        <v>21</v>
      </c>
      <c r="C27" s="39">
        <f>'Data Entry Leverkusen'!C27</f>
        <v>6159376.9483000003</v>
      </c>
      <c r="D27" s="39">
        <f>'Data Entry Leverkusen'!F27</f>
        <v>433660.89</v>
      </c>
      <c r="E27" s="39">
        <f>'Data Entry Leverkusen'!I27</f>
        <v>442754.48</v>
      </c>
      <c r="F27" s="39">
        <f>'Data Entry Leverkusen'!L27</f>
        <v>513073.42</v>
      </c>
      <c r="G27" s="39">
        <f>'Data Entry Leverkusen'!O27</f>
        <v>381746.73</v>
      </c>
      <c r="H27" s="39">
        <f>'Data Entry Leverkusen'!R27</f>
        <v>509676.14539999998</v>
      </c>
      <c r="I27" s="39">
        <f>'Data Entry Leverkusen'!U27</f>
        <v>501607.43810000003</v>
      </c>
      <c r="J27" s="39">
        <f>'Data Entry Leverkusen'!X27</f>
        <v>354405.67680000002</v>
      </c>
      <c r="K27" s="39">
        <f>'Data Entry Leverkusen'!AA27</f>
        <v>474879.81550000003</v>
      </c>
      <c r="L27" s="39">
        <f>'Data Entry Leverkusen'!AD27</f>
        <v>664803.65119999996</v>
      </c>
      <c r="M27" s="39">
        <f>'Data Entry Leverkusen'!AG27</f>
        <v>710944.29590000003</v>
      </c>
      <c r="N27" s="39">
        <f>'Data Entry Leverkusen'!AJ27</f>
        <v>654164.32209999999</v>
      </c>
      <c r="O27" s="39">
        <f>'Data Entry Leverkusen'!AM27</f>
        <v>517660.0833</v>
      </c>
    </row>
    <row r="28" spans="2:15" ht="14" x14ac:dyDescent="0.15">
      <c r="B28" s="38" t="s">
        <v>35</v>
      </c>
      <c r="C28" s="39">
        <f>'Data Entry Leverkusen'!C28</f>
        <v>3701597.78</v>
      </c>
      <c r="D28" s="39">
        <f>'Data Entry Leverkusen'!F28</f>
        <v>236152.38</v>
      </c>
      <c r="E28" s="39">
        <f>'Data Entry Leverkusen'!I28</f>
        <v>237297.35</v>
      </c>
      <c r="F28" s="39">
        <f>'Data Entry Leverkusen'!L28</f>
        <v>291841.83</v>
      </c>
      <c r="G28" s="39">
        <f>'Data Entry Leverkusen'!O28</f>
        <v>231639.74</v>
      </c>
      <c r="H28" s="39">
        <f>'Data Entry Leverkusen'!R28</f>
        <v>322600.78999999998</v>
      </c>
      <c r="I28" s="39">
        <f>'Data Entry Leverkusen'!U28</f>
        <v>324087.96999999997</v>
      </c>
      <c r="J28" s="39">
        <f>'Data Entry Leverkusen'!X28</f>
        <v>241348.66</v>
      </c>
      <c r="K28" s="39">
        <f>'Data Entry Leverkusen'!AA28</f>
        <v>290584.96000000002</v>
      </c>
      <c r="L28" s="39">
        <f>'Data Entry Leverkusen'!AD28</f>
        <v>393680.7</v>
      </c>
      <c r="M28" s="39">
        <f>'Data Entry Leverkusen'!AG28</f>
        <v>447530.7</v>
      </c>
      <c r="N28" s="39">
        <f>'Data Entry Leverkusen'!AJ28</f>
        <v>383030.7</v>
      </c>
      <c r="O28" s="39">
        <f>'Data Entry Leverkusen'!AM28</f>
        <v>301802</v>
      </c>
    </row>
    <row r="29" spans="2:15" ht="14" x14ac:dyDescent="0.15">
      <c r="B29" s="38" t="s">
        <v>36</v>
      </c>
      <c r="C29" s="39">
        <f>'Data Entry Leverkusen'!C29</f>
        <v>2054478.0682999999</v>
      </c>
      <c r="D29" s="39">
        <f>'Data Entry Leverkusen'!F29</f>
        <v>162161.74</v>
      </c>
      <c r="E29" s="39">
        <f>'Data Entry Leverkusen'!I29</f>
        <v>164594.54</v>
      </c>
      <c r="F29" s="39">
        <f>'Data Entry Leverkusen'!L29</f>
        <v>165989.21</v>
      </c>
      <c r="G29" s="39">
        <f>'Data Entry Leverkusen'!O29</f>
        <v>125157.93</v>
      </c>
      <c r="H29" s="39">
        <f>'Data Entry Leverkusen'!R29</f>
        <v>160330.6054</v>
      </c>
      <c r="I29" s="39">
        <f>'Data Entry Leverkusen'!U29</f>
        <v>152620.4681</v>
      </c>
      <c r="J29" s="39">
        <f>'Data Entry Leverkusen'!X29</f>
        <v>96260.516799999998</v>
      </c>
      <c r="K29" s="39">
        <f>'Data Entry Leverkusen'!AA29</f>
        <v>162735.35550000001</v>
      </c>
      <c r="L29" s="39">
        <f>'Data Entry Leverkusen'!AD29</f>
        <v>229404.45120000001</v>
      </c>
      <c r="M29" s="39">
        <f>'Data Entry Leverkusen'!AG29</f>
        <v>219667.59589999999</v>
      </c>
      <c r="N29" s="39">
        <f>'Data Entry Leverkusen'!AJ29</f>
        <v>227572.62210000001</v>
      </c>
      <c r="O29" s="39">
        <f>'Data Entry Leverkusen'!AM29</f>
        <v>187983.03330000001</v>
      </c>
    </row>
    <row r="30" spans="2:15" ht="14" x14ac:dyDescent="0.15">
      <c r="B30" s="38" t="s">
        <v>37</v>
      </c>
      <c r="C30" s="39">
        <f>'Data Entry Leverkusen'!C30</f>
        <v>304372.90999999997</v>
      </c>
      <c r="D30" s="39">
        <f>'Data Entry Leverkusen'!F30</f>
        <v>25247.599999999999</v>
      </c>
      <c r="E30" s="39">
        <f>'Data Entry Leverkusen'!I30</f>
        <v>31385.66</v>
      </c>
      <c r="F30" s="39">
        <f>'Data Entry Leverkusen'!L30</f>
        <v>28388.34</v>
      </c>
      <c r="G30" s="39">
        <f>'Data Entry Leverkusen'!O30</f>
        <v>22601.01</v>
      </c>
      <c r="H30" s="39">
        <f>'Data Entry Leverkusen'!R30</f>
        <v>22244.75</v>
      </c>
      <c r="I30" s="39">
        <f>'Data Entry Leverkusen'!U30</f>
        <v>17999</v>
      </c>
      <c r="J30" s="39">
        <f>'Data Entry Leverkusen'!X30</f>
        <v>13546.5</v>
      </c>
      <c r="K30" s="39">
        <f>'Data Entry Leverkusen'!AA30</f>
        <v>19059.5</v>
      </c>
      <c r="L30" s="39">
        <f>'Data Entry Leverkusen'!AD30</f>
        <v>32718.5</v>
      </c>
      <c r="M30" s="39">
        <f>'Data Entry Leverkusen'!AG30</f>
        <v>33746</v>
      </c>
      <c r="N30" s="39">
        <f>'Data Entry Leverkusen'!AJ30</f>
        <v>33061</v>
      </c>
      <c r="O30" s="39">
        <f>'Data Entry Leverkusen'!AM30</f>
        <v>24375.05</v>
      </c>
    </row>
    <row r="31" spans="2:15" ht="14" x14ac:dyDescent="0.15">
      <c r="B31" s="38" t="s">
        <v>38</v>
      </c>
      <c r="C31" s="39">
        <f>'Data Entry Leverkusen'!C31</f>
        <v>98928.19</v>
      </c>
      <c r="D31" s="39">
        <f>'Data Entry Leverkusen'!F31</f>
        <v>10099.17</v>
      </c>
      <c r="E31" s="39">
        <f>'Data Entry Leverkusen'!I31</f>
        <v>9476.93</v>
      </c>
      <c r="F31" s="39">
        <f>'Data Entry Leverkusen'!L31</f>
        <v>26854.04</v>
      </c>
      <c r="G31" s="39">
        <f>'Data Entry Leverkusen'!O31</f>
        <v>2348.0500000000002</v>
      </c>
      <c r="H31" s="39">
        <f>'Data Entry Leverkusen'!R31</f>
        <v>4500</v>
      </c>
      <c r="I31" s="39">
        <f>'Data Entry Leverkusen'!U31</f>
        <v>6900</v>
      </c>
      <c r="J31" s="39">
        <f>'Data Entry Leverkusen'!X31</f>
        <v>3250</v>
      </c>
      <c r="K31" s="39">
        <f>'Data Entry Leverkusen'!AA31</f>
        <v>2500</v>
      </c>
      <c r="L31" s="39">
        <f>'Data Entry Leverkusen'!AD31</f>
        <v>9000</v>
      </c>
      <c r="M31" s="39">
        <f>'Data Entry Leverkusen'!AG31</f>
        <v>10000</v>
      </c>
      <c r="N31" s="39">
        <f>'Data Entry Leverkusen'!AJ31</f>
        <v>10500</v>
      </c>
      <c r="O31" s="39">
        <f>'Data Entry Leverkusen'!AM31</f>
        <v>3500</v>
      </c>
    </row>
    <row r="32" spans="2:15" x14ac:dyDescent="0.15">
      <c r="B32" s="40"/>
      <c r="C32" s="39">
        <f>'Data Entry Leverkusen'!C32</f>
        <v>0</v>
      </c>
      <c r="D32" s="39">
        <f>'Data Entry Leverkusen'!F32</f>
        <v>0</v>
      </c>
      <c r="E32" s="39">
        <f>'Data Entry Leverkusen'!I32</f>
        <v>0</v>
      </c>
      <c r="F32" s="39">
        <f>'Data Entry Leverkusen'!L32</f>
        <v>0</v>
      </c>
      <c r="G32" s="39">
        <f>'Data Entry Leverkusen'!O32</f>
        <v>0</v>
      </c>
      <c r="H32" s="39">
        <f>'Data Entry Leverkusen'!R32</f>
        <v>0</v>
      </c>
      <c r="I32" s="39">
        <f>'Data Entry Leverkusen'!U32</f>
        <v>0</v>
      </c>
      <c r="J32" s="39">
        <f>'Data Entry Leverkusen'!X32</f>
        <v>0</v>
      </c>
      <c r="K32" s="39">
        <f>'Data Entry Leverkusen'!AA32</f>
        <v>0</v>
      </c>
      <c r="L32" s="39">
        <f>'Data Entry Leverkusen'!AD32</f>
        <v>0</v>
      </c>
      <c r="M32" s="39">
        <f>'Data Entry Leverkusen'!AG32</f>
        <v>0</v>
      </c>
      <c r="N32" s="39">
        <f>'Data Entry Leverkusen'!AJ32</f>
        <v>0</v>
      </c>
      <c r="O32" s="39">
        <f>'Data Entry Leverkusen'!AM32</f>
        <v>0</v>
      </c>
    </row>
    <row r="33" spans="2:15" ht="14" x14ac:dyDescent="0.15">
      <c r="B33" s="44" t="s">
        <v>39</v>
      </c>
      <c r="C33" s="39">
        <f>'Data Entry Leverkusen'!C33</f>
        <v>0</v>
      </c>
      <c r="D33" s="39">
        <f>'Data Entry Leverkusen'!F33</f>
        <v>0</v>
      </c>
      <c r="E33" s="39">
        <f>'Data Entry Leverkusen'!I33</f>
        <v>0</v>
      </c>
      <c r="F33" s="39">
        <f>'Data Entry Leverkusen'!L33</f>
        <v>0</v>
      </c>
      <c r="G33" s="39">
        <f>'Data Entry Leverkusen'!O33</f>
        <v>0</v>
      </c>
      <c r="H33" s="39">
        <f>'Data Entry Leverkusen'!R33</f>
        <v>0</v>
      </c>
      <c r="I33" s="39">
        <f>'Data Entry Leverkusen'!U33</f>
        <v>0</v>
      </c>
      <c r="J33" s="39">
        <f>'Data Entry Leverkusen'!X33</f>
        <v>0</v>
      </c>
      <c r="K33" s="39">
        <f>'Data Entry Leverkusen'!AA33</f>
        <v>0</v>
      </c>
      <c r="L33" s="39">
        <f>'Data Entry Leverkusen'!AD33</f>
        <v>0</v>
      </c>
      <c r="M33" s="39">
        <f>'Data Entry Leverkusen'!AG33</f>
        <v>0</v>
      </c>
      <c r="N33" s="39">
        <f>'Data Entry Leverkusen'!AJ33</f>
        <v>0</v>
      </c>
      <c r="O33" s="39">
        <f>'Data Entry Leverkusen'!AM33</f>
        <v>0</v>
      </c>
    </row>
    <row r="34" spans="2:15" ht="14" x14ac:dyDescent="0.15">
      <c r="B34" s="42" t="s">
        <v>35</v>
      </c>
      <c r="C34" s="39">
        <f>'Data Entry Leverkusen'!C34</f>
        <v>3701597.78</v>
      </c>
      <c r="D34" s="39">
        <f>'Data Entry Leverkusen'!F34</f>
        <v>236152.38</v>
      </c>
      <c r="E34" s="39">
        <f>'Data Entry Leverkusen'!I34</f>
        <v>237297.35</v>
      </c>
      <c r="F34" s="39">
        <f>'Data Entry Leverkusen'!L34</f>
        <v>291841.83</v>
      </c>
      <c r="G34" s="39">
        <f>'Data Entry Leverkusen'!O34</f>
        <v>231639.74</v>
      </c>
      <c r="H34" s="39">
        <f>'Data Entry Leverkusen'!R34</f>
        <v>322600.78999999998</v>
      </c>
      <c r="I34" s="39">
        <f>'Data Entry Leverkusen'!U34</f>
        <v>324087.96999999997</v>
      </c>
      <c r="J34" s="39">
        <f>'Data Entry Leverkusen'!X34</f>
        <v>241348.66</v>
      </c>
      <c r="K34" s="39">
        <f>'Data Entry Leverkusen'!AA34</f>
        <v>290584.96000000002</v>
      </c>
      <c r="L34" s="39">
        <f>'Data Entry Leverkusen'!AD34</f>
        <v>393680.7</v>
      </c>
      <c r="M34" s="39">
        <f>'Data Entry Leverkusen'!AG34</f>
        <v>447530.7</v>
      </c>
      <c r="N34" s="39">
        <f>'Data Entry Leverkusen'!AJ34</f>
        <v>383030.7</v>
      </c>
      <c r="O34" s="39">
        <f>'Data Entry Leverkusen'!AM34</f>
        <v>301802</v>
      </c>
    </row>
    <row r="35" spans="2:15" ht="14" x14ac:dyDescent="0.15">
      <c r="B35" s="38" t="s">
        <v>22</v>
      </c>
      <c r="C35" s="39">
        <f>'Data Entry Leverkusen'!C35</f>
        <v>753922.93429999996</v>
      </c>
      <c r="D35" s="39">
        <f>'Data Entry Leverkusen'!F35</f>
        <v>60740.3</v>
      </c>
      <c r="E35" s="39">
        <f>'Data Entry Leverkusen'!I35</f>
        <v>69901.740000000005</v>
      </c>
      <c r="F35" s="39">
        <f>'Data Entry Leverkusen'!L35</f>
        <v>58532.71</v>
      </c>
      <c r="G35" s="39">
        <f>'Data Entry Leverkusen'!O35</f>
        <v>59955.61</v>
      </c>
      <c r="H35" s="39">
        <f>'Data Entry Leverkusen'!R35</f>
        <v>59269.836000000003</v>
      </c>
      <c r="I35" s="39">
        <f>'Data Entry Leverkusen'!U35</f>
        <v>58741.470500000003</v>
      </c>
      <c r="J35" s="39">
        <f>'Data Entry Leverkusen'!X35</f>
        <v>59507.917099999999</v>
      </c>
      <c r="K35" s="39">
        <f>'Data Entry Leverkusen'!AA35</f>
        <v>62555.080199999997</v>
      </c>
      <c r="L35" s="39">
        <f>'Data Entry Leverkusen'!AD35</f>
        <v>66943.577499999999</v>
      </c>
      <c r="M35" s="39">
        <f>'Data Entry Leverkusen'!AG35</f>
        <v>59327.654900000001</v>
      </c>
      <c r="N35" s="39">
        <f>'Data Entry Leverkusen'!AJ35</f>
        <v>69519.270499999999</v>
      </c>
      <c r="O35" s="39">
        <f>'Data Entry Leverkusen'!AM35</f>
        <v>68927.767600000006</v>
      </c>
    </row>
    <row r="36" spans="2:15" ht="14" x14ac:dyDescent="0.15">
      <c r="B36" s="38" t="s">
        <v>40</v>
      </c>
      <c r="C36" s="39">
        <f>'Data Entry Leverkusen'!C36</f>
        <v>600299.02650000004</v>
      </c>
      <c r="D36" s="39">
        <f>'Data Entry Leverkusen'!F36</f>
        <v>38676.89</v>
      </c>
      <c r="E36" s="39">
        <f>'Data Entry Leverkusen'!I36</f>
        <v>38705.550000000003</v>
      </c>
      <c r="F36" s="39">
        <f>'Data Entry Leverkusen'!L36</f>
        <v>40815.730000000003</v>
      </c>
      <c r="G36" s="39">
        <f>'Data Entry Leverkusen'!O36</f>
        <v>45430.42</v>
      </c>
      <c r="H36" s="39">
        <f>'Data Entry Leverkusen'!R36</f>
        <v>49044.590100000001</v>
      </c>
      <c r="I36" s="39">
        <f>'Data Entry Leverkusen'!U36</f>
        <v>53658.397299999997</v>
      </c>
      <c r="J36" s="39">
        <f>'Data Entry Leverkusen'!X36</f>
        <v>42918.3943</v>
      </c>
      <c r="K36" s="39">
        <f>'Data Entry Leverkusen'!AA36</f>
        <v>53621.477700000003</v>
      </c>
      <c r="L36" s="39">
        <f>'Data Entry Leverkusen'!AD36</f>
        <v>64550.835700000003</v>
      </c>
      <c r="M36" s="39">
        <f>'Data Entry Leverkusen'!AG36</f>
        <v>66969.591899999999</v>
      </c>
      <c r="N36" s="39">
        <f>'Data Entry Leverkusen'!AJ36</f>
        <v>57742.3531</v>
      </c>
      <c r="O36" s="39">
        <f>'Data Entry Leverkusen'!AM36</f>
        <v>48164.796399999999</v>
      </c>
    </row>
    <row r="37" spans="2:15" ht="14" x14ac:dyDescent="0.15">
      <c r="B37" s="42" t="s">
        <v>41</v>
      </c>
      <c r="C37" s="39">
        <f>'Data Entry Leverkusen'!C37</f>
        <v>2347375.8191999998</v>
      </c>
      <c r="D37" s="39">
        <f>'Data Entry Leverkusen'!F37</f>
        <v>136735.19</v>
      </c>
      <c r="E37" s="39">
        <f>'Data Entry Leverkusen'!I37</f>
        <v>128690.06</v>
      </c>
      <c r="F37" s="39">
        <f>'Data Entry Leverkusen'!L37</f>
        <v>192493.39</v>
      </c>
      <c r="G37" s="39">
        <f>'Data Entry Leverkusen'!O37</f>
        <v>126253.71</v>
      </c>
      <c r="H37" s="39">
        <f>'Data Entry Leverkusen'!R37</f>
        <v>214286.3639</v>
      </c>
      <c r="I37" s="39">
        <f>'Data Entry Leverkusen'!U37</f>
        <v>211688.10219999999</v>
      </c>
      <c r="J37" s="39">
        <f>'Data Entry Leverkusen'!X37</f>
        <v>138922.3486</v>
      </c>
      <c r="K37" s="39">
        <f>'Data Entry Leverkusen'!AA37</f>
        <v>174408.40210000001</v>
      </c>
      <c r="L37" s="39">
        <f>'Data Entry Leverkusen'!AD37</f>
        <v>262186.2868</v>
      </c>
      <c r="M37" s="39">
        <f>'Data Entry Leverkusen'!AG37</f>
        <v>321233.45319999999</v>
      </c>
      <c r="N37" s="39">
        <f>'Data Entry Leverkusen'!AJ37</f>
        <v>255769.07639999999</v>
      </c>
      <c r="O37" s="39">
        <f>'Data Entry Leverkusen'!AM37</f>
        <v>184709.43599999999</v>
      </c>
    </row>
    <row r="38" spans="2:15" x14ac:dyDescent="0.15">
      <c r="B38" s="40"/>
      <c r="C38" s="39">
        <f>'Data Entry Leverkusen'!C38</f>
        <v>0</v>
      </c>
      <c r="D38" s="39">
        <f>'Data Entry Leverkusen'!F38</f>
        <v>0</v>
      </c>
      <c r="E38" s="39">
        <f>'Data Entry Leverkusen'!I38</f>
        <v>0</v>
      </c>
      <c r="F38" s="39">
        <f>'Data Entry Leverkusen'!L38</f>
        <v>0</v>
      </c>
      <c r="G38" s="39">
        <f>'Data Entry Leverkusen'!O38</f>
        <v>0</v>
      </c>
      <c r="H38" s="39">
        <f>'Data Entry Leverkusen'!R38</f>
        <v>0</v>
      </c>
      <c r="I38" s="39">
        <f>'Data Entry Leverkusen'!U38</f>
        <v>0</v>
      </c>
      <c r="J38" s="39">
        <f>'Data Entry Leverkusen'!X38</f>
        <v>0</v>
      </c>
      <c r="K38" s="39">
        <f>'Data Entry Leverkusen'!AA38</f>
        <v>0</v>
      </c>
      <c r="L38" s="39">
        <f>'Data Entry Leverkusen'!AD38</f>
        <v>0</v>
      </c>
      <c r="M38" s="39">
        <f>'Data Entry Leverkusen'!AG38</f>
        <v>0</v>
      </c>
      <c r="N38" s="39">
        <f>'Data Entry Leverkusen'!AJ38</f>
        <v>0</v>
      </c>
      <c r="O38" s="39">
        <f>'Data Entry Leverkusen'!AM38</f>
        <v>0</v>
      </c>
    </row>
    <row r="39" spans="2:15" ht="14" x14ac:dyDescent="0.15">
      <c r="B39" s="44" t="s">
        <v>42</v>
      </c>
      <c r="C39" s="39">
        <f>'Data Entry Leverkusen'!C39</f>
        <v>0</v>
      </c>
      <c r="D39" s="39">
        <f>'Data Entry Leverkusen'!F39</f>
        <v>0</v>
      </c>
      <c r="E39" s="39">
        <f>'Data Entry Leverkusen'!I39</f>
        <v>0</v>
      </c>
      <c r="F39" s="39">
        <f>'Data Entry Leverkusen'!L39</f>
        <v>0</v>
      </c>
      <c r="G39" s="39">
        <f>'Data Entry Leverkusen'!O39</f>
        <v>0</v>
      </c>
      <c r="H39" s="39">
        <f>'Data Entry Leverkusen'!R39</f>
        <v>0</v>
      </c>
      <c r="I39" s="39">
        <f>'Data Entry Leverkusen'!U39</f>
        <v>0</v>
      </c>
      <c r="J39" s="39">
        <f>'Data Entry Leverkusen'!X39</f>
        <v>0</v>
      </c>
      <c r="K39" s="39">
        <f>'Data Entry Leverkusen'!AA39</f>
        <v>0</v>
      </c>
      <c r="L39" s="39">
        <f>'Data Entry Leverkusen'!AD39</f>
        <v>0</v>
      </c>
      <c r="M39" s="39">
        <f>'Data Entry Leverkusen'!AG39</f>
        <v>0</v>
      </c>
      <c r="N39" s="39">
        <f>'Data Entry Leverkusen'!AJ39</f>
        <v>0</v>
      </c>
      <c r="O39" s="39">
        <f>'Data Entry Leverkusen'!AM39</f>
        <v>0</v>
      </c>
    </row>
    <row r="40" spans="2:15" ht="14" x14ac:dyDescent="0.15">
      <c r="B40" s="38" t="s">
        <v>43</v>
      </c>
      <c r="C40" s="39">
        <f>'Data Entry Leverkusen'!C40</f>
        <v>1249238.0382000001</v>
      </c>
      <c r="D40" s="39">
        <f>'Data Entry Leverkusen'!F40</f>
        <v>95706.3</v>
      </c>
      <c r="E40" s="39">
        <f>'Data Entry Leverkusen'!I40</f>
        <v>94686.54</v>
      </c>
      <c r="F40" s="39">
        <f>'Data Entry Leverkusen'!L40</f>
        <v>101374.59</v>
      </c>
      <c r="G40" s="39">
        <f>'Data Entry Leverkusen'!O40</f>
        <v>76320.08</v>
      </c>
      <c r="H40" s="39">
        <f>'Data Entry Leverkusen'!R40</f>
        <v>101092.6931</v>
      </c>
      <c r="I40" s="39">
        <f>'Data Entry Leverkusen'!U40</f>
        <v>94040.897700000001</v>
      </c>
      <c r="J40" s="39">
        <f>'Data Entry Leverkusen'!X40</f>
        <v>60674.473299999998</v>
      </c>
      <c r="K40" s="39">
        <f>'Data Entry Leverkusen'!AA40</f>
        <v>101192.8799</v>
      </c>
      <c r="L40" s="39">
        <f>'Data Entry Leverkusen'!AD40</f>
        <v>140522.23540000001</v>
      </c>
      <c r="M40" s="39">
        <f>'Data Entry Leverkusen'!AG40</f>
        <v>129379.9313</v>
      </c>
      <c r="N40" s="39">
        <f>'Data Entry Leverkusen'!AJ40</f>
        <v>135542.9613</v>
      </c>
      <c r="O40" s="39">
        <f>'Data Entry Leverkusen'!AM40</f>
        <v>118704.4562</v>
      </c>
    </row>
    <row r="41" spans="2:15" ht="14" x14ac:dyDescent="0.15">
      <c r="B41" s="38" t="s">
        <v>44</v>
      </c>
      <c r="C41" s="39">
        <f>'Data Entry Leverkusen'!C41</f>
        <v>654772.19050000003</v>
      </c>
      <c r="D41" s="39">
        <f>'Data Entry Leverkusen'!F41</f>
        <v>59539.42</v>
      </c>
      <c r="E41" s="39">
        <f>'Data Entry Leverkusen'!I41</f>
        <v>58458.35</v>
      </c>
      <c r="F41" s="39">
        <f>'Data Entry Leverkusen'!L41</f>
        <v>57474.32</v>
      </c>
      <c r="G41" s="39">
        <f>'Data Entry Leverkusen'!O41</f>
        <v>41169.78</v>
      </c>
      <c r="H41" s="39">
        <f>'Data Entry Leverkusen'!R41</f>
        <v>50566.972399999999</v>
      </c>
      <c r="I41" s="39">
        <f>'Data Entry Leverkusen'!U41</f>
        <v>49047.140399999997</v>
      </c>
      <c r="J41" s="39">
        <f>'Data Entry Leverkusen'!X41</f>
        <v>30118.243600000002</v>
      </c>
      <c r="K41" s="39">
        <f>'Data Entry Leverkusen'!AA41</f>
        <v>48194.725599999998</v>
      </c>
      <c r="L41" s="39">
        <f>'Data Entry Leverkusen'!AD41</f>
        <v>66707.685899999997</v>
      </c>
      <c r="M41" s="39">
        <f>'Data Entry Leverkusen'!AG41</f>
        <v>67800.824600000007</v>
      </c>
      <c r="N41" s="39">
        <f>'Data Entry Leverkusen'!AJ41</f>
        <v>68962.050900000002</v>
      </c>
      <c r="O41" s="39">
        <f>'Data Entry Leverkusen'!AM41</f>
        <v>56732.677100000001</v>
      </c>
    </row>
    <row r="42" spans="2:15" ht="14" x14ac:dyDescent="0.15">
      <c r="B42" s="38" t="s">
        <v>45</v>
      </c>
      <c r="C42" s="39">
        <f>'Data Entry Leverkusen'!C42</f>
        <v>150467.84</v>
      </c>
      <c r="D42" s="39">
        <f>'Data Entry Leverkusen'!F42</f>
        <v>6916.02</v>
      </c>
      <c r="E42" s="39">
        <f>'Data Entry Leverkusen'!I42</f>
        <v>11449.65</v>
      </c>
      <c r="F42" s="39">
        <f>'Data Entry Leverkusen'!L42</f>
        <v>7140.3</v>
      </c>
      <c r="G42" s="39">
        <f>'Data Entry Leverkusen'!O42</f>
        <v>7668.07</v>
      </c>
      <c r="H42" s="39">
        <f>'Data Entry Leverkusen'!R42</f>
        <v>8670.94</v>
      </c>
      <c r="I42" s="39">
        <f>'Data Entry Leverkusen'!U42</f>
        <v>9532.43</v>
      </c>
      <c r="J42" s="39">
        <f>'Data Entry Leverkusen'!X42</f>
        <v>5467.8</v>
      </c>
      <c r="K42" s="39">
        <f>'Data Entry Leverkusen'!AA42</f>
        <v>13347.75</v>
      </c>
      <c r="L42" s="39">
        <f>'Data Entry Leverkusen'!AD42</f>
        <v>22174.53</v>
      </c>
      <c r="M42" s="39">
        <f>'Data Entry Leverkusen'!AG42</f>
        <v>22486.84</v>
      </c>
      <c r="N42" s="39">
        <f>'Data Entry Leverkusen'!AJ42</f>
        <v>23067.61</v>
      </c>
      <c r="O42" s="39">
        <f>'Data Entry Leverkusen'!AM42</f>
        <v>12545.9</v>
      </c>
    </row>
    <row r="43" spans="2:15" ht="14" x14ac:dyDescent="0.15">
      <c r="B43" s="42" t="s">
        <v>36</v>
      </c>
      <c r="C43" s="39">
        <f>'Data Entry Leverkusen'!C43</f>
        <v>2054478.0682999999</v>
      </c>
      <c r="D43" s="39">
        <f>'Data Entry Leverkusen'!F43</f>
        <v>162161.74</v>
      </c>
      <c r="E43" s="39">
        <f>'Data Entry Leverkusen'!I43</f>
        <v>164594.54</v>
      </c>
      <c r="F43" s="39">
        <f>'Data Entry Leverkusen'!L43</f>
        <v>165989.21</v>
      </c>
      <c r="G43" s="39">
        <f>'Data Entry Leverkusen'!O43</f>
        <v>125157.93</v>
      </c>
      <c r="H43" s="39">
        <f>'Data Entry Leverkusen'!R43</f>
        <v>160330.6054</v>
      </c>
      <c r="I43" s="39">
        <f>'Data Entry Leverkusen'!U43</f>
        <v>152620.4681</v>
      </c>
      <c r="J43" s="39">
        <f>'Data Entry Leverkusen'!X43</f>
        <v>96260.516799999998</v>
      </c>
      <c r="K43" s="39">
        <f>'Data Entry Leverkusen'!AA43</f>
        <v>162735.35550000001</v>
      </c>
      <c r="L43" s="39">
        <f>'Data Entry Leverkusen'!AD43</f>
        <v>229404.45120000001</v>
      </c>
      <c r="M43" s="39">
        <f>'Data Entry Leverkusen'!AG43</f>
        <v>219667.59589999999</v>
      </c>
      <c r="N43" s="39">
        <f>'Data Entry Leverkusen'!AJ43</f>
        <v>227572.62210000001</v>
      </c>
      <c r="O43" s="39">
        <f>'Data Entry Leverkusen'!AM43</f>
        <v>187983.03330000001</v>
      </c>
    </row>
    <row r="44" spans="2:15" ht="14" x14ac:dyDescent="0.15">
      <c r="B44" s="38" t="s">
        <v>46</v>
      </c>
      <c r="C44" s="39">
        <f>'Data Entry Leverkusen'!C44</f>
        <v>381815.14610000001</v>
      </c>
      <c r="D44" s="39">
        <f>'Data Entry Leverkusen'!F44</f>
        <v>30048.84</v>
      </c>
      <c r="E44" s="39">
        <f>'Data Entry Leverkusen'!I44</f>
        <v>28864.880000000001</v>
      </c>
      <c r="F44" s="39">
        <f>'Data Entry Leverkusen'!L44</f>
        <v>31784.93</v>
      </c>
      <c r="G44" s="39">
        <f>'Data Entry Leverkusen'!O44</f>
        <v>23681.94</v>
      </c>
      <c r="H44" s="39">
        <f>'Data Entry Leverkusen'!R44</f>
        <v>30833.271400000001</v>
      </c>
      <c r="I44" s="39">
        <f>'Data Entry Leverkusen'!U44</f>
        <v>28756.540799999999</v>
      </c>
      <c r="J44" s="39">
        <f>'Data Entry Leverkusen'!X44</f>
        <v>18687.737799999999</v>
      </c>
      <c r="K44" s="39">
        <f>'Data Entry Leverkusen'!AA44</f>
        <v>30863.519899999999</v>
      </c>
      <c r="L44" s="39">
        <f>'Data Entry Leverkusen'!AD44</f>
        <v>42368.607499999998</v>
      </c>
      <c r="M44" s="39">
        <f>'Data Entry Leverkusen'!AG44</f>
        <v>39090.494700000003</v>
      </c>
      <c r="N44" s="39">
        <f>'Data Entry Leverkusen'!AJ44</f>
        <v>40866.933799999999</v>
      </c>
      <c r="O44" s="39">
        <f>'Data Entry Leverkusen'!AM44</f>
        <v>35967.450199999999</v>
      </c>
    </row>
    <row r="45" spans="2:15" ht="14" x14ac:dyDescent="0.15">
      <c r="B45" s="38" t="s">
        <v>47</v>
      </c>
      <c r="C45" s="39">
        <f>'Data Entry Leverkusen'!C45</f>
        <v>108459.04790000001</v>
      </c>
      <c r="D45" s="39">
        <f>'Data Entry Leverkusen'!F45</f>
        <v>9328.17</v>
      </c>
      <c r="E45" s="39">
        <f>'Data Entry Leverkusen'!I45</f>
        <v>9949.6</v>
      </c>
      <c r="F45" s="39">
        <f>'Data Entry Leverkusen'!L45</f>
        <v>10526.18</v>
      </c>
      <c r="G45" s="39">
        <f>'Data Entry Leverkusen'!O45</f>
        <v>7093.84</v>
      </c>
      <c r="H45" s="39">
        <f>'Data Entry Leverkusen'!R45</f>
        <v>8314.7978999999996</v>
      </c>
      <c r="I45" s="39">
        <f>'Data Entry Leverkusen'!U45</f>
        <v>8104.8010999999997</v>
      </c>
      <c r="J45" s="39">
        <f>'Data Entry Leverkusen'!X45</f>
        <v>5033.5</v>
      </c>
      <c r="K45" s="39">
        <f>'Data Entry Leverkusen'!AA45</f>
        <v>7886.8521000000001</v>
      </c>
      <c r="L45" s="39">
        <f>'Data Entry Leverkusen'!AD45</f>
        <v>10786.0309</v>
      </c>
      <c r="M45" s="39">
        <f>'Data Entry Leverkusen'!AG45</f>
        <v>11001.9635</v>
      </c>
      <c r="N45" s="39">
        <f>'Data Entry Leverkusen'!AJ45</f>
        <v>11150.370999999999</v>
      </c>
      <c r="O45" s="39">
        <f>'Data Entry Leverkusen'!AM45</f>
        <v>9282.9413999999997</v>
      </c>
    </row>
    <row r="46" spans="2:15" ht="14" x14ac:dyDescent="0.15">
      <c r="B46" s="38" t="s">
        <v>48</v>
      </c>
      <c r="C46" s="39">
        <f>'Data Entry Leverkusen'!C46</f>
        <v>2434.36</v>
      </c>
      <c r="D46" s="39">
        <f>'Data Entry Leverkusen'!F46</f>
        <v>199.87</v>
      </c>
      <c r="E46" s="39">
        <f>'Data Entry Leverkusen'!I46</f>
        <v>224.74</v>
      </c>
      <c r="F46" s="39">
        <f>'Data Entry Leverkusen'!L46</f>
        <v>1987.51</v>
      </c>
      <c r="G46" s="39">
        <f>'Data Entry Leverkusen'!O46</f>
        <v>22.24</v>
      </c>
      <c r="H46" s="39">
        <f>'Data Entry Leverkusen'!R46</f>
        <v>0</v>
      </c>
      <c r="I46" s="39">
        <f>'Data Entry Leverkusen'!U46</f>
        <v>0</v>
      </c>
      <c r="J46" s="39">
        <f>'Data Entry Leverkusen'!X46</f>
        <v>0</v>
      </c>
      <c r="K46" s="39">
        <f>'Data Entry Leverkusen'!AA46</f>
        <v>0</v>
      </c>
      <c r="L46" s="39">
        <f>'Data Entry Leverkusen'!AD46</f>
        <v>0</v>
      </c>
      <c r="M46" s="39">
        <f>'Data Entry Leverkusen'!AG46</f>
        <v>0</v>
      </c>
      <c r="N46" s="39">
        <f>'Data Entry Leverkusen'!AJ46</f>
        <v>0</v>
      </c>
      <c r="O46" s="39">
        <f>'Data Entry Leverkusen'!AM46</f>
        <v>0</v>
      </c>
    </row>
    <row r="47" spans="2:15" ht="14" x14ac:dyDescent="0.15">
      <c r="B47" s="42" t="s">
        <v>49</v>
      </c>
      <c r="C47" s="39">
        <f>'Data Entry Leverkusen'!C47</f>
        <v>492708.55410000001</v>
      </c>
      <c r="D47" s="39">
        <f>'Data Entry Leverkusen'!F47</f>
        <v>39576.879999999997</v>
      </c>
      <c r="E47" s="39">
        <f>'Data Entry Leverkusen'!I47</f>
        <v>39039.22</v>
      </c>
      <c r="F47" s="39">
        <f>'Data Entry Leverkusen'!L47</f>
        <v>44298.62</v>
      </c>
      <c r="G47" s="39">
        <f>'Data Entry Leverkusen'!O47</f>
        <v>30798.02</v>
      </c>
      <c r="H47" s="39">
        <f>'Data Entry Leverkusen'!R47</f>
        <v>39148.069300000003</v>
      </c>
      <c r="I47" s="39">
        <f>'Data Entry Leverkusen'!U47</f>
        <v>36861.341899999999</v>
      </c>
      <c r="J47" s="39">
        <f>'Data Entry Leverkusen'!X47</f>
        <v>23721.237799999999</v>
      </c>
      <c r="K47" s="39">
        <f>'Data Entry Leverkusen'!AA47</f>
        <v>38750.372000000003</v>
      </c>
      <c r="L47" s="39">
        <f>'Data Entry Leverkusen'!AD47</f>
        <v>53154.638400000003</v>
      </c>
      <c r="M47" s="39">
        <f>'Data Entry Leverkusen'!AG47</f>
        <v>50092.458200000001</v>
      </c>
      <c r="N47" s="39">
        <f>'Data Entry Leverkusen'!AJ47</f>
        <v>52017.304900000003</v>
      </c>
      <c r="O47" s="39">
        <f>'Data Entry Leverkusen'!AM47</f>
        <v>45250.391600000003</v>
      </c>
    </row>
    <row r="48" spans="2:15" ht="14" x14ac:dyDescent="0.15">
      <c r="B48" s="38" t="s">
        <v>22</v>
      </c>
      <c r="C48" s="39">
        <f>'Data Entry Leverkusen'!C48</f>
        <v>1004255.0178</v>
      </c>
      <c r="D48" s="39">
        <f>'Data Entry Leverkusen'!F48</f>
        <v>74929.83</v>
      </c>
      <c r="E48" s="39">
        <f>'Data Entry Leverkusen'!I48</f>
        <v>95103.67</v>
      </c>
      <c r="F48" s="39">
        <f>'Data Entry Leverkusen'!L48</f>
        <v>74083.360000000001</v>
      </c>
      <c r="G48" s="39">
        <f>'Data Entry Leverkusen'!O48</f>
        <v>85922.36</v>
      </c>
      <c r="H48" s="39">
        <f>'Data Entry Leverkusen'!R48</f>
        <v>76692.088099999994</v>
      </c>
      <c r="I48" s="39">
        <f>'Data Entry Leverkusen'!U48</f>
        <v>83995.556299999997</v>
      </c>
      <c r="J48" s="39">
        <f>'Data Entry Leverkusen'!X48</f>
        <v>77258.749500000005</v>
      </c>
      <c r="K48" s="39">
        <f>'Data Entry Leverkusen'!AA48</f>
        <v>82302.146999999997</v>
      </c>
      <c r="L48" s="39">
        <f>'Data Entry Leverkusen'!AD48</f>
        <v>87010.888399999996</v>
      </c>
      <c r="M48" s="39">
        <f>'Data Entry Leverkusen'!AG48</f>
        <v>86246.147100000002</v>
      </c>
      <c r="N48" s="39">
        <f>'Data Entry Leverkusen'!AJ48</f>
        <v>93983.880099999995</v>
      </c>
      <c r="O48" s="39">
        <f>'Data Entry Leverkusen'!AM48</f>
        <v>86726.3413</v>
      </c>
    </row>
    <row r="49" spans="2:15" ht="14" x14ac:dyDescent="0.15">
      <c r="B49" s="38" t="s">
        <v>40</v>
      </c>
      <c r="C49" s="39">
        <f>'Data Entry Leverkusen'!C49</f>
        <v>67233.388300000006</v>
      </c>
      <c r="D49" s="39">
        <f>'Data Entry Leverkusen'!F49</f>
        <v>3115.09</v>
      </c>
      <c r="E49" s="39">
        <f>'Data Entry Leverkusen'!I49</f>
        <v>4153.53</v>
      </c>
      <c r="F49" s="39">
        <f>'Data Entry Leverkusen'!L49</f>
        <v>4872.12</v>
      </c>
      <c r="G49" s="39">
        <f>'Data Entry Leverkusen'!O49</f>
        <v>5775.88</v>
      </c>
      <c r="H49" s="39">
        <f>'Data Entry Leverkusen'!R49</f>
        <v>9512.5475000000006</v>
      </c>
      <c r="I49" s="39">
        <f>'Data Entry Leverkusen'!U49</f>
        <v>5215.9121999999998</v>
      </c>
      <c r="J49" s="39">
        <f>'Data Entry Leverkusen'!X49</f>
        <v>3629.0441000000001</v>
      </c>
      <c r="K49" s="39">
        <f>'Data Entry Leverkusen'!AA49</f>
        <v>7492.4027999999998</v>
      </c>
      <c r="L49" s="39">
        <f>'Data Entry Leverkusen'!AD49</f>
        <v>5549.7156000000004</v>
      </c>
      <c r="M49" s="39">
        <f>'Data Entry Leverkusen'!AG49</f>
        <v>4824.4907999999996</v>
      </c>
      <c r="N49" s="39">
        <f>'Data Entry Leverkusen'!AJ49</f>
        <v>8587.8510000000006</v>
      </c>
      <c r="O49" s="39">
        <f>'Data Entry Leverkusen'!AM49</f>
        <v>4504.8042999999998</v>
      </c>
    </row>
    <row r="50" spans="2:15" ht="14" x14ac:dyDescent="0.15">
      <c r="B50" s="42" t="s">
        <v>41</v>
      </c>
      <c r="C50" s="39">
        <f>'Data Entry Leverkusen'!C50</f>
        <v>490281.10810000001</v>
      </c>
      <c r="D50" s="39">
        <f>'Data Entry Leverkusen'!F50</f>
        <v>44539.94</v>
      </c>
      <c r="E50" s="39">
        <f>'Data Entry Leverkusen'!I50</f>
        <v>26298.12</v>
      </c>
      <c r="F50" s="39">
        <f>'Data Entry Leverkusen'!L50</f>
        <v>42735.11</v>
      </c>
      <c r="G50" s="39">
        <f>'Data Entry Leverkusen'!O50</f>
        <v>2661.67</v>
      </c>
      <c r="H50" s="39">
        <f>'Data Entry Leverkusen'!R50</f>
        <v>34977.900500000003</v>
      </c>
      <c r="I50" s="39">
        <f>'Data Entry Leverkusen'!U50</f>
        <v>26547.6577</v>
      </c>
      <c r="J50" s="39">
        <f>'Data Entry Leverkusen'!X50</f>
        <v>-8348.5146000000004</v>
      </c>
      <c r="K50" s="39">
        <f>'Data Entry Leverkusen'!AA50</f>
        <v>34190.433599999997</v>
      </c>
      <c r="L50" s="39">
        <f>'Data Entry Leverkusen'!AD50</f>
        <v>83689.208799999993</v>
      </c>
      <c r="M50" s="39">
        <f>'Data Entry Leverkusen'!AG50</f>
        <v>78504.499800000005</v>
      </c>
      <c r="N50" s="39">
        <f>'Data Entry Leverkusen'!AJ50</f>
        <v>72983.586200000005</v>
      </c>
      <c r="O50" s="39">
        <f>'Data Entry Leverkusen'!AM50</f>
        <v>51501.496099999997</v>
      </c>
    </row>
    <row r="51" spans="2:15" x14ac:dyDescent="0.15">
      <c r="B51" s="40"/>
      <c r="C51" s="39">
        <f>'Data Entry Leverkusen'!C51</f>
        <v>0</v>
      </c>
      <c r="D51" s="39">
        <f>'Data Entry Leverkusen'!F51</f>
        <v>0</v>
      </c>
      <c r="E51" s="39">
        <f>'Data Entry Leverkusen'!I51</f>
        <v>0</v>
      </c>
      <c r="F51" s="39">
        <f>'Data Entry Leverkusen'!L51</f>
        <v>0</v>
      </c>
      <c r="G51" s="39">
        <f>'Data Entry Leverkusen'!O51</f>
        <v>0</v>
      </c>
      <c r="H51" s="39">
        <f>'Data Entry Leverkusen'!R51</f>
        <v>0</v>
      </c>
      <c r="I51" s="39">
        <f>'Data Entry Leverkusen'!U51</f>
        <v>0</v>
      </c>
      <c r="J51" s="39">
        <f>'Data Entry Leverkusen'!X51</f>
        <v>0</v>
      </c>
      <c r="K51" s="39">
        <f>'Data Entry Leverkusen'!AA51</f>
        <v>0</v>
      </c>
      <c r="L51" s="39">
        <f>'Data Entry Leverkusen'!AD51</f>
        <v>0</v>
      </c>
      <c r="M51" s="39">
        <f>'Data Entry Leverkusen'!AG51</f>
        <v>0</v>
      </c>
      <c r="N51" s="39">
        <f>'Data Entry Leverkusen'!AJ51</f>
        <v>0</v>
      </c>
      <c r="O51" s="39">
        <f>'Data Entry Leverkusen'!AM51</f>
        <v>0</v>
      </c>
    </row>
    <row r="52" spans="2:15" ht="14" x14ac:dyDescent="0.15">
      <c r="B52" s="44" t="s">
        <v>50</v>
      </c>
      <c r="C52" s="39">
        <f>'Data Entry Leverkusen'!C52</f>
        <v>0</v>
      </c>
      <c r="D52" s="39">
        <f>'Data Entry Leverkusen'!F52</f>
        <v>0</v>
      </c>
      <c r="E52" s="39">
        <f>'Data Entry Leverkusen'!I52</f>
        <v>0</v>
      </c>
      <c r="F52" s="39">
        <f>'Data Entry Leverkusen'!L52</f>
        <v>0</v>
      </c>
      <c r="G52" s="39">
        <f>'Data Entry Leverkusen'!O52</f>
        <v>0</v>
      </c>
      <c r="H52" s="39">
        <f>'Data Entry Leverkusen'!R52</f>
        <v>0</v>
      </c>
      <c r="I52" s="39">
        <f>'Data Entry Leverkusen'!U52</f>
        <v>0</v>
      </c>
      <c r="J52" s="39">
        <f>'Data Entry Leverkusen'!X52</f>
        <v>0</v>
      </c>
      <c r="K52" s="39">
        <f>'Data Entry Leverkusen'!AA52</f>
        <v>0</v>
      </c>
      <c r="L52" s="39">
        <f>'Data Entry Leverkusen'!AD52</f>
        <v>0</v>
      </c>
      <c r="M52" s="39">
        <f>'Data Entry Leverkusen'!AG52</f>
        <v>0</v>
      </c>
      <c r="N52" s="39">
        <f>'Data Entry Leverkusen'!AJ52</f>
        <v>0</v>
      </c>
      <c r="O52" s="39">
        <f>'Data Entry Leverkusen'!AM52</f>
        <v>0</v>
      </c>
    </row>
    <row r="53" spans="2:15" ht="14" x14ac:dyDescent="0.15">
      <c r="B53" s="38" t="s">
        <v>37</v>
      </c>
      <c r="C53" s="39">
        <f>'Data Entry Leverkusen'!C53</f>
        <v>304372.90999999997</v>
      </c>
      <c r="D53" s="39">
        <f>'Data Entry Leverkusen'!F53</f>
        <v>25247.599999999999</v>
      </c>
      <c r="E53" s="39">
        <f>'Data Entry Leverkusen'!I53</f>
        <v>31385.66</v>
      </c>
      <c r="F53" s="39">
        <f>'Data Entry Leverkusen'!L53</f>
        <v>28388.34</v>
      </c>
      <c r="G53" s="39">
        <f>'Data Entry Leverkusen'!O53</f>
        <v>22601.01</v>
      </c>
      <c r="H53" s="39">
        <f>'Data Entry Leverkusen'!R53</f>
        <v>22244.75</v>
      </c>
      <c r="I53" s="39">
        <f>'Data Entry Leverkusen'!U53</f>
        <v>17999</v>
      </c>
      <c r="J53" s="39">
        <f>'Data Entry Leverkusen'!X53</f>
        <v>13546.5</v>
      </c>
      <c r="K53" s="39">
        <f>'Data Entry Leverkusen'!AA53</f>
        <v>19059.5</v>
      </c>
      <c r="L53" s="39">
        <f>'Data Entry Leverkusen'!AD53</f>
        <v>32718.5</v>
      </c>
      <c r="M53" s="39">
        <f>'Data Entry Leverkusen'!AG53</f>
        <v>33746</v>
      </c>
      <c r="N53" s="39">
        <f>'Data Entry Leverkusen'!AJ53</f>
        <v>33061</v>
      </c>
      <c r="O53" s="39">
        <f>'Data Entry Leverkusen'!AM53</f>
        <v>24375.05</v>
      </c>
    </row>
    <row r="54" spans="2:15" ht="14" x14ac:dyDescent="0.15">
      <c r="B54" s="38" t="s">
        <v>49</v>
      </c>
      <c r="C54" s="39">
        <f>'Data Entry Leverkusen'!C54</f>
        <v>49454.485999999997</v>
      </c>
      <c r="D54" s="39">
        <f>'Data Entry Leverkusen'!F54</f>
        <v>6629.12</v>
      </c>
      <c r="E54" s="39">
        <f>'Data Entry Leverkusen'!I54</f>
        <v>5237.24</v>
      </c>
      <c r="F54" s="39">
        <f>'Data Entry Leverkusen'!L54</f>
        <v>7604.2</v>
      </c>
      <c r="G54" s="39">
        <f>'Data Entry Leverkusen'!O54</f>
        <v>1521.45</v>
      </c>
      <c r="H54" s="39">
        <f>'Data Entry Leverkusen'!R54</f>
        <v>1465.23</v>
      </c>
      <c r="I54" s="39">
        <f>'Data Entry Leverkusen'!U54</f>
        <v>1465.75</v>
      </c>
      <c r="J54" s="39">
        <f>'Data Entry Leverkusen'!X54</f>
        <v>1399.44</v>
      </c>
      <c r="K54" s="39">
        <f>'Data Entry Leverkusen'!AA54</f>
        <v>1417.81</v>
      </c>
      <c r="L54" s="39">
        <f>'Data Entry Leverkusen'!AD54</f>
        <v>6884.56</v>
      </c>
      <c r="M54" s="39">
        <f>'Data Entry Leverkusen'!AG54</f>
        <v>6899.86</v>
      </c>
      <c r="N54" s="39">
        <f>'Data Entry Leverkusen'!AJ54</f>
        <v>6889.66</v>
      </c>
      <c r="O54" s="39">
        <f>'Data Entry Leverkusen'!AM54</f>
        <v>2040.1659999999999</v>
      </c>
    </row>
    <row r="55" spans="2:15" ht="14" x14ac:dyDescent="0.15">
      <c r="B55" s="38" t="s">
        <v>22</v>
      </c>
      <c r="C55" s="39">
        <f>'Data Entry Leverkusen'!C55</f>
        <v>0</v>
      </c>
      <c r="D55" s="39">
        <f>'Data Entry Leverkusen'!F55</f>
        <v>0</v>
      </c>
      <c r="E55" s="39">
        <f>'Data Entry Leverkusen'!I55</f>
        <v>0</v>
      </c>
      <c r="F55" s="39">
        <f>'Data Entry Leverkusen'!L55</f>
        <v>0</v>
      </c>
      <c r="G55" s="39">
        <f>'Data Entry Leverkusen'!O55</f>
        <v>0</v>
      </c>
      <c r="H55" s="39">
        <f>'Data Entry Leverkusen'!R55</f>
        <v>0</v>
      </c>
      <c r="I55" s="39">
        <f>'Data Entry Leverkusen'!U55</f>
        <v>0</v>
      </c>
      <c r="J55" s="39">
        <f>'Data Entry Leverkusen'!X55</f>
        <v>0</v>
      </c>
      <c r="K55" s="39">
        <f>'Data Entry Leverkusen'!AA55</f>
        <v>0</v>
      </c>
      <c r="L55" s="39">
        <f>'Data Entry Leverkusen'!AD55</f>
        <v>0</v>
      </c>
      <c r="M55" s="39">
        <f>'Data Entry Leverkusen'!AG55</f>
        <v>0</v>
      </c>
      <c r="N55" s="39">
        <f>'Data Entry Leverkusen'!AJ55</f>
        <v>0</v>
      </c>
      <c r="O55" s="39">
        <f>'Data Entry Leverkusen'!AM55</f>
        <v>0</v>
      </c>
    </row>
    <row r="56" spans="2:15" ht="14" x14ac:dyDescent="0.15">
      <c r="B56" s="38" t="s">
        <v>40</v>
      </c>
      <c r="C56" s="39">
        <f>'Data Entry Leverkusen'!C56</f>
        <v>2500</v>
      </c>
      <c r="D56" s="39">
        <f>'Data Entry Leverkusen'!F56</f>
        <v>0</v>
      </c>
      <c r="E56" s="39">
        <f>'Data Entry Leverkusen'!I56</f>
        <v>0</v>
      </c>
      <c r="F56" s="39">
        <f>'Data Entry Leverkusen'!L56</f>
        <v>0</v>
      </c>
      <c r="G56" s="39">
        <f>'Data Entry Leverkusen'!O56</f>
        <v>0</v>
      </c>
      <c r="H56" s="39">
        <f>'Data Entry Leverkusen'!R56</f>
        <v>0</v>
      </c>
      <c r="I56" s="39">
        <f>'Data Entry Leverkusen'!U56</f>
        <v>0</v>
      </c>
      <c r="J56" s="39">
        <f>'Data Entry Leverkusen'!X56</f>
        <v>0</v>
      </c>
      <c r="K56" s="39">
        <f>'Data Entry Leverkusen'!AA56</f>
        <v>0</v>
      </c>
      <c r="L56" s="39">
        <f>'Data Entry Leverkusen'!AD56</f>
        <v>0</v>
      </c>
      <c r="M56" s="39">
        <f>'Data Entry Leverkusen'!AG56</f>
        <v>2500</v>
      </c>
      <c r="N56" s="39">
        <f>'Data Entry Leverkusen'!AJ56</f>
        <v>0</v>
      </c>
      <c r="O56" s="39">
        <f>'Data Entry Leverkusen'!AM56</f>
        <v>0</v>
      </c>
    </row>
    <row r="57" spans="2:15" ht="14" x14ac:dyDescent="0.15">
      <c r="B57" s="42" t="s">
        <v>41</v>
      </c>
      <c r="C57" s="39">
        <f>'Data Entry Leverkusen'!C57</f>
        <v>252418.424</v>
      </c>
      <c r="D57" s="39">
        <f>'Data Entry Leverkusen'!F57</f>
        <v>18618.48</v>
      </c>
      <c r="E57" s="39">
        <f>'Data Entry Leverkusen'!I57</f>
        <v>26148.42</v>
      </c>
      <c r="F57" s="39">
        <f>'Data Entry Leverkusen'!L57</f>
        <v>20784.14</v>
      </c>
      <c r="G57" s="39">
        <f>'Data Entry Leverkusen'!O57</f>
        <v>21079.56</v>
      </c>
      <c r="H57" s="39">
        <f>'Data Entry Leverkusen'!R57</f>
        <v>20779.52</v>
      </c>
      <c r="I57" s="39">
        <f>'Data Entry Leverkusen'!U57</f>
        <v>16533.25</v>
      </c>
      <c r="J57" s="39">
        <f>'Data Entry Leverkusen'!X57</f>
        <v>12147.06</v>
      </c>
      <c r="K57" s="39">
        <f>'Data Entry Leverkusen'!AA57</f>
        <v>17641.689999999999</v>
      </c>
      <c r="L57" s="39">
        <f>'Data Entry Leverkusen'!AD57</f>
        <v>25833.94</v>
      </c>
      <c r="M57" s="39">
        <f>'Data Entry Leverkusen'!AG57</f>
        <v>24346.14</v>
      </c>
      <c r="N57" s="39">
        <f>'Data Entry Leverkusen'!AJ57</f>
        <v>26171.34</v>
      </c>
      <c r="O57" s="39">
        <f>'Data Entry Leverkusen'!AM57</f>
        <v>22334.883999999998</v>
      </c>
    </row>
    <row r="58" spans="2:15" x14ac:dyDescent="0.15">
      <c r="B58" s="40"/>
      <c r="C58" s="39">
        <f>'Data Entry Leverkusen'!C58</f>
        <v>0</v>
      </c>
      <c r="D58" s="39">
        <f>'Data Entry Leverkusen'!F58</f>
        <v>0</v>
      </c>
      <c r="E58" s="39">
        <f>'Data Entry Leverkusen'!I58</f>
        <v>0</v>
      </c>
      <c r="F58" s="39">
        <f>'Data Entry Leverkusen'!L58</f>
        <v>0</v>
      </c>
      <c r="G58" s="39">
        <f>'Data Entry Leverkusen'!O58</f>
        <v>0</v>
      </c>
      <c r="H58" s="39">
        <f>'Data Entry Leverkusen'!R58</f>
        <v>0</v>
      </c>
      <c r="I58" s="39">
        <f>'Data Entry Leverkusen'!U58</f>
        <v>0</v>
      </c>
      <c r="J58" s="39">
        <f>'Data Entry Leverkusen'!X58</f>
        <v>0</v>
      </c>
      <c r="K58" s="39">
        <f>'Data Entry Leverkusen'!AA58</f>
        <v>0</v>
      </c>
      <c r="L58" s="39">
        <f>'Data Entry Leverkusen'!AD58</f>
        <v>0</v>
      </c>
      <c r="M58" s="39">
        <f>'Data Entry Leverkusen'!AG58</f>
        <v>0</v>
      </c>
      <c r="N58" s="39">
        <f>'Data Entry Leverkusen'!AJ58</f>
        <v>0</v>
      </c>
      <c r="O58" s="39">
        <f>'Data Entry Leverkusen'!AM58</f>
        <v>0</v>
      </c>
    </row>
    <row r="59" spans="2:15" ht="14" x14ac:dyDescent="0.15">
      <c r="B59" s="44" t="s">
        <v>38</v>
      </c>
      <c r="C59" s="39">
        <f>'Data Entry Leverkusen'!C59</f>
        <v>0</v>
      </c>
      <c r="D59" s="39">
        <f>'Data Entry Leverkusen'!F59</f>
        <v>0</v>
      </c>
      <c r="E59" s="39">
        <f>'Data Entry Leverkusen'!I59</f>
        <v>0</v>
      </c>
      <c r="F59" s="39">
        <f>'Data Entry Leverkusen'!L59</f>
        <v>0</v>
      </c>
      <c r="G59" s="39">
        <f>'Data Entry Leverkusen'!O59</f>
        <v>0</v>
      </c>
      <c r="H59" s="39">
        <f>'Data Entry Leverkusen'!R59</f>
        <v>0</v>
      </c>
      <c r="I59" s="39">
        <f>'Data Entry Leverkusen'!U59</f>
        <v>0</v>
      </c>
      <c r="J59" s="39">
        <f>'Data Entry Leverkusen'!X59</f>
        <v>0</v>
      </c>
      <c r="K59" s="39">
        <f>'Data Entry Leverkusen'!AA59</f>
        <v>0</v>
      </c>
      <c r="L59" s="39">
        <f>'Data Entry Leverkusen'!AD59</f>
        <v>0</v>
      </c>
      <c r="M59" s="39">
        <f>'Data Entry Leverkusen'!AG59</f>
        <v>0</v>
      </c>
      <c r="N59" s="39">
        <f>'Data Entry Leverkusen'!AJ59</f>
        <v>0</v>
      </c>
      <c r="O59" s="39">
        <f>'Data Entry Leverkusen'!AM59</f>
        <v>0</v>
      </c>
    </row>
    <row r="60" spans="2:15" ht="14" x14ac:dyDescent="0.15">
      <c r="B60" s="42" t="s">
        <v>38</v>
      </c>
      <c r="C60" s="39">
        <f>'Data Entry Leverkusen'!C60</f>
        <v>98928.19</v>
      </c>
      <c r="D60" s="39">
        <f>'Data Entry Leverkusen'!F60</f>
        <v>10099.17</v>
      </c>
      <c r="E60" s="39">
        <f>'Data Entry Leverkusen'!I60</f>
        <v>9476.93</v>
      </c>
      <c r="F60" s="39">
        <f>'Data Entry Leverkusen'!L60</f>
        <v>26854.04</v>
      </c>
      <c r="G60" s="39">
        <f>'Data Entry Leverkusen'!O60</f>
        <v>2348.0500000000002</v>
      </c>
      <c r="H60" s="39">
        <f>'Data Entry Leverkusen'!R60</f>
        <v>4500</v>
      </c>
      <c r="I60" s="39">
        <f>'Data Entry Leverkusen'!U60</f>
        <v>6900</v>
      </c>
      <c r="J60" s="39">
        <f>'Data Entry Leverkusen'!X60</f>
        <v>3250</v>
      </c>
      <c r="K60" s="39">
        <f>'Data Entry Leverkusen'!AA60</f>
        <v>2500</v>
      </c>
      <c r="L60" s="39">
        <f>'Data Entry Leverkusen'!AD60</f>
        <v>9000</v>
      </c>
      <c r="M60" s="39">
        <f>'Data Entry Leverkusen'!AG60</f>
        <v>10000</v>
      </c>
      <c r="N60" s="39">
        <f>'Data Entry Leverkusen'!AJ60</f>
        <v>10500</v>
      </c>
      <c r="O60" s="39">
        <f>'Data Entry Leverkusen'!AM60</f>
        <v>3500</v>
      </c>
    </row>
    <row r="61" spans="2:15" x14ac:dyDescent="0.15">
      <c r="B61" s="40"/>
      <c r="C61" s="39">
        <f>'Data Entry Leverkusen'!C61</f>
        <v>0</v>
      </c>
      <c r="D61" s="39">
        <f>'Data Entry Leverkusen'!F61</f>
        <v>0</v>
      </c>
      <c r="E61" s="39">
        <f>'Data Entry Leverkusen'!I61</f>
        <v>0</v>
      </c>
      <c r="F61" s="39">
        <f>'Data Entry Leverkusen'!L61</f>
        <v>0</v>
      </c>
      <c r="G61" s="39">
        <f>'Data Entry Leverkusen'!O61</f>
        <v>0</v>
      </c>
      <c r="H61" s="39">
        <f>'Data Entry Leverkusen'!R61</f>
        <v>0</v>
      </c>
      <c r="I61" s="39">
        <f>'Data Entry Leverkusen'!U61</f>
        <v>0</v>
      </c>
      <c r="J61" s="39">
        <f>'Data Entry Leverkusen'!X61</f>
        <v>0</v>
      </c>
      <c r="K61" s="39">
        <f>'Data Entry Leverkusen'!AA61</f>
        <v>0</v>
      </c>
      <c r="L61" s="39">
        <f>'Data Entry Leverkusen'!AD61</f>
        <v>0</v>
      </c>
      <c r="M61" s="39">
        <f>'Data Entry Leverkusen'!AG61</f>
        <v>0</v>
      </c>
      <c r="N61" s="39">
        <f>'Data Entry Leverkusen'!AJ61</f>
        <v>0</v>
      </c>
      <c r="O61" s="39">
        <f>'Data Entry Leverkusen'!AM61</f>
        <v>0</v>
      </c>
    </row>
    <row r="62" spans="2:15" ht="14" x14ac:dyDescent="0.15">
      <c r="B62" s="44" t="s">
        <v>51</v>
      </c>
      <c r="C62" s="39">
        <f>'Data Entry Leverkusen'!C62</f>
        <v>0</v>
      </c>
      <c r="D62" s="39">
        <f>'Data Entry Leverkusen'!F62</f>
        <v>0</v>
      </c>
      <c r="E62" s="39">
        <f>'Data Entry Leverkusen'!I62</f>
        <v>0</v>
      </c>
      <c r="F62" s="39">
        <f>'Data Entry Leverkusen'!L62</f>
        <v>0</v>
      </c>
      <c r="G62" s="39">
        <f>'Data Entry Leverkusen'!O62</f>
        <v>0</v>
      </c>
      <c r="H62" s="39">
        <f>'Data Entry Leverkusen'!R62</f>
        <v>0</v>
      </c>
      <c r="I62" s="39">
        <f>'Data Entry Leverkusen'!U62</f>
        <v>0</v>
      </c>
      <c r="J62" s="39">
        <f>'Data Entry Leverkusen'!X62</f>
        <v>0</v>
      </c>
      <c r="K62" s="39">
        <f>'Data Entry Leverkusen'!AA62</f>
        <v>0</v>
      </c>
      <c r="L62" s="39">
        <f>'Data Entry Leverkusen'!AD62</f>
        <v>0</v>
      </c>
      <c r="M62" s="39">
        <f>'Data Entry Leverkusen'!AG62</f>
        <v>0</v>
      </c>
      <c r="N62" s="39">
        <f>'Data Entry Leverkusen'!AJ62</f>
        <v>0</v>
      </c>
      <c r="O62" s="39">
        <f>'Data Entry Leverkusen'!AM62</f>
        <v>0</v>
      </c>
    </row>
    <row r="63" spans="2:15" ht="14" x14ac:dyDescent="0.15">
      <c r="B63" s="42" t="s">
        <v>52</v>
      </c>
      <c r="C63" s="39">
        <f>'Data Entry Leverkusen'!C63</f>
        <v>3189003.5414</v>
      </c>
      <c r="D63" s="39">
        <f>'Data Entry Leverkusen'!F63</f>
        <v>209992.78</v>
      </c>
      <c r="E63" s="39">
        <f>'Data Entry Leverkusen'!I63</f>
        <v>190613.53</v>
      </c>
      <c r="F63" s="39">
        <f>'Data Entry Leverkusen'!L63</f>
        <v>282866.68</v>
      </c>
      <c r="G63" s="39">
        <f>'Data Entry Leverkusen'!O63</f>
        <v>152342.99</v>
      </c>
      <c r="H63" s="39">
        <f>'Data Entry Leverkusen'!R63</f>
        <v>274543.78450000001</v>
      </c>
      <c r="I63" s="39">
        <f>'Data Entry Leverkusen'!U63</f>
        <v>261669.0099</v>
      </c>
      <c r="J63" s="39">
        <f>'Data Entry Leverkusen'!X63</f>
        <v>145970.894</v>
      </c>
      <c r="K63" s="39">
        <f>'Data Entry Leverkusen'!AA63</f>
        <v>228740.5257</v>
      </c>
      <c r="L63" s="39">
        <f>'Data Entry Leverkusen'!AD63</f>
        <v>380709.43560000003</v>
      </c>
      <c r="M63" s="39">
        <f>'Data Entry Leverkusen'!AG63</f>
        <v>434084.09299999999</v>
      </c>
      <c r="N63" s="39">
        <f>'Data Entry Leverkusen'!AJ63</f>
        <v>365424.00260000001</v>
      </c>
      <c r="O63" s="39">
        <f>'Data Entry Leverkusen'!AM63</f>
        <v>262045.8161</v>
      </c>
    </row>
    <row r="64" spans="2:15" x14ac:dyDescent="0.15">
      <c r="B64" s="40"/>
      <c r="C64" s="39">
        <f>'Data Entry Leverkusen'!C64</f>
        <v>0</v>
      </c>
      <c r="D64" s="39">
        <f>'Data Entry Leverkusen'!F64</f>
        <v>0</v>
      </c>
      <c r="E64" s="39">
        <f>'Data Entry Leverkusen'!I64</f>
        <v>0</v>
      </c>
      <c r="F64" s="39">
        <f>'Data Entry Leverkusen'!L64</f>
        <v>0</v>
      </c>
      <c r="G64" s="39">
        <f>'Data Entry Leverkusen'!O64</f>
        <v>0</v>
      </c>
      <c r="H64" s="39">
        <f>'Data Entry Leverkusen'!R64</f>
        <v>0</v>
      </c>
      <c r="I64" s="39">
        <f>'Data Entry Leverkusen'!U64</f>
        <v>0</v>
      </c>
      <c r="J64" s="39">
        <f>'Data Entry Leverkusen'!X64</f>
        <v>0</v>
      </c>
      <c r="K64" s="39">
        <f>'Data Entry Leverkusen'!AA64</f>
        <v>0</v>
      </c>
      <c r="L64" s="39">
        <f>'Data Entry Leverkusen'!AD64</f>
        <v>0</v>
      </c>
      <c r="M64" s="39">
        <f>'Data Entry Leverkusen'!AG64</f>
        <v>0</v>
      </c>
      <c r="N64" s="39">
        <f>'Data Entry Leverkusen'!AJ64</f>
        <v>0</v>
      </c>
      <c r="O64" s="39">
        <f>'Data Entry Leverkusen'!AM64</f>
        <v>0</v>
      </c>
    </row>
    <row r="65" spans="2:15" ht="14" x14ac:dyDescent="0.15">
      <c r="B65" s="44" t="s">
        <v>53</v>
      </c>
      <c r="C65" s="39">
        <f>'Data Entry Leverkusen'!C65</f>
        <v>0</v>
      </c>
      <c r="D65" s="39">
        <f>'Data Entry Leverkusen'!F65</f>
        <v>0</v>
      </c>
      <c r="E65" s="39">
        <f>'Data Entry Leverkusen'!I65</f>
        <v>0</v>
      </c>
      <c r="F65" s="39">
        <f>'Data Entry Leverkusen'!L65</f>
        <v>0</v>
      </c>
      <c r="G65" s="39">
        <f>'Data Entry Leverkusen'!O65</f>
        <v>0</v>
      </c>
      <c r="H65" s="39">
        <f>'Data Entry Leverkusen'!R65</f>
        <v>0</v>
      </c>
      <c r="I65" s="39">
        <f>'Data Entry Leverkusen'!U65</f>
        <v>0</v>
      </c>
      <c r="J65" s="39">
        <f>'Data Entry Leverkusen'!X65</f>
        <v>0</v>
      </c>
      <c r="K65" s="39">
        <f>'Data Entry Leverkusen'!AA65</f>
        <v>0</v>
      </c>
      <c r="L65" s="39">
        <f>'Data Entry Leverkusen'!AD65</f>
        <v>0</v>
      </c>
      <c r="M65" s="39">
        <f>'Data Entry Leverkusen'!AG65</f>
        <v>0</v>
      </c>
      <c r="N65" s="39">
        <f>'Data Entry Leverkusen'!AJ65</f>
        <v>0</v>
      </c>
      <c r="O65" s="39">
        <f>'Data Entry Leverkusen'!AM65</f>
        <v>0</v>
      </c>
    </row>
    <row r="66" spans="2:15" ht="14" x14ac:dyDescent="0.15">
      <c r="B66" s="38" t="s">
        <v>22</v>
      </c>
      <c r="C66" s="39">
        <f>'Data Entry Leverkusen'!C66</f>
        <v>256425.78409999999</v>
      </c>
      <c r="D66" s="39">
        <f>'Data Entry Leverkusen'!F66</f>
        <v>22170.87</v>
      </c>
      <c r="E66" s="39">
        <f>'Data Entry Leverkusen'!I66</f>
        <v>23046.25</v>
      </c>
      <c r="F66" s="39">
        <f>'Data Entry Leverkusen'!L66</f>
        <v>20965.37</v>
      </c>
      <c r="G66" s="39">
        <f>'Data Entry Leverkusen'!O66</f>
        <v>21059.66</v>
      </c>
      <c r="H66" s="39">
        <f>'Data Entry Leverkusen'!R66</f>
        <v>18455.4051</v>
      </c>
      <c r="I66" s="39">
        <f>'Data Entry Leverkusen'!U66</f>
        <v>23184.709599999998</v>
      </c>
      <c r="J66" s="39">
        <f>'Data Entry Leverkusen'!X66</f>
        <v>22016.759699999999</v>
      </c>
      <c r="K66" s="39">
        <f>'Data Entry Leverkusen'!AA66</f>
        <v>22792.9997</v>
      </c>
      <c r="L66" s="39">
        <f>'Data Entry Leverkusen'!AD66</f>
        <v>16226.3838</v>
      </c>
      <c r="M66" s="39">
        <f>'Data Entry Leverkusen'!AG66</f>
        <v>22706.409500000002</v>
      </c>
      <c r="N66" s="39">
        <f>'Data Entry Leverkusen'!AJ66</f>
        <v>23615.607899999999</v>
      </c>
      <c r="O66" s="39">
        <f>'Data Entry Leverkusen'!AM66</f>
        <v>20185.358800000002</v>
      </c>
    </row>
    <row r="67" spans="2:15" ht="14" x14ac:dyDescent="0.15">
      <c r="B67" s="38" t="s">
        <v>40</v>
      </c>
      <c r="C67" s="39">
        <f>'Data Entry Leverkusen'!C67</f>
        <v>172185.83780000001</v>
      </c>
      <c r="D67" s="39">
        <f>'Data Entry Leverkusen'!F67</f>
        <v>8329.48</v>
      </c>
      <c r="E67" s="39">
        <f>'Data Entry Leverkusen'!I67</f>
        <v>15820.16</v>
      </c>
      <c r="F67" s="39">
        <f>'Data Entry Leverkusen'!L67</f>
        <v>13079.24</v>
      </c>
      <c r="G67" s="39">
        <f>'Data Entry Leverkusen'!O67</f>
        <v>12479.74</v>
      </c>
      <c r="H67" s="39">
        <f>'Data Entry Leverkusen'!R67</f>
        <v>13497.034799999999</v>
      </c>
      <c r="I67" s="39">
        <f>'Data Entry Leverkusen'!U67</f>
        <v>13504.695</v>
      </c>
      <c r="J67" s="39">
        <f>'Data Entry Leverkusen'!X67</f>
        <v>11414.260700000001</v>
      </c>
      <c r="K67" s="39">
        <f>'Data Entry Leverkusen'!AA67</f>
        <v>12818.5064</v>
      </c>
      <c r="L67" s="39">
        <f>'Data Entry Leverkusen'!AD67</f>
        <v>16687.021199999999</v>
      </c>
      <c r="M67" s="39">
        <f>'Data Entry Leverkusen'!AG67</f>
        <v>18828.983800000002</v>
      </c>
      <c r="N67" s="39">
        <f>'Data Entry Leverkusen'!AJ67</f>
        <v>20486.774300000001</v>
      </c>
      <c r="O67" s="39">
        <f>'Data Entry Leverkusen'!AM67</f>
        <v>15239.9416</v>
      </c>
    </row>
    <row r="68" spans="2:15" ht="14" x14ac:dyDescent="0.15">
      <c r="B68" s="42" t="s">
        <v>41</v>
      </c>
      <c r="C68" s="39">
        <f>'Data Entry Leverkusen'!C68</f>
        <v>-428611.62190000003</v>
      </c>
      <c r="D68" s="39">
        <f>'Data Entry Leverkusen'!F68</f>
        <v>-30500.35</v>
      </c>
      <c r="E68" s="39">
        <f>'Data Entry Leverkusen'!I68</f>
        <v>-38866.410000000003</v>
      </c>
      <c r="F68" s="39">
        <f>'Data Entry Leverkusen'!L68</f>
        <v>-34044.61</v>
      </c>
      <c r="G68" s="39">
        <f>'Data Entry Leverkusen'!O68</f>
        <v>-33539.4</v>
      </c>
      <c r="H68" s="39">
        <f>'Data Entry Leverkusen'!R68</f>
        <v>-31952.439900000001</v>
      </c>
      <c r="I68" s="39">
        <f>'Data Entry Leverkusen'!U68</f>
        <v>-36689.404600000002</v>
      </c>
      <c r="J68" s="39">
        <f>'Data Entry Leverkusen'!X68</f>
        <v>-33431.020400000001</v>
      </c>
      <c r="K68" s="39">
        <f>'Data Entry Leverkusen'!AA68</f>
        <v>-35611.506099999999</v>
      </c>
      <c r="L68" s="39">
        <f>'Data Entry Leverkusen'!AD68</f>
        <v>-32913.404999999999</v>
      </c>
      <c r="M68" s="39">
        <f>'Data Entry Leverkusen'!AG68</f>
        <v>-41535.393199999999</v>
      </c>
      <c r="N68" s="39">
        <f>'Data Entry Leverkusen'!AJ68</f>
        <v>-44102.3822</v>
      </c>
      <c r="O68" s="39">
        <f>'Data Entry Leverkusen'!AM68</f>
        <v>-35425.300499999998</v>
      </c>
    </row>
    <row r="69" spans="2:15" x14ac:dyDescent="0.15">
      <c r="B69" s="40"/>
      <c r="C69" s="39">
        <f>'Data Entry Leverkusen'!C69</f>
        <v>0</v>
      </c>
      <c r="D69" s="39">
        <f>'Data Entry Leverkusen'!F69</f>
        <v>0</v>
      </c>
      <c r="E69" s="39">
        <f>'Data Entry Leverkusen'!I69</f>
        <v>0</v>
      </c>
      <c r="F69" s="39">
        <f>'Data Entry Leverkusen'!L69</f>
        <v>0</v>
      </c>
      <c r="G69" s="39">
        <f>'Data Entry Leverkusen'!O69</f>
        <v>0</v>
      </c>
      <c r="H69" s="39">
        <f>'Data Entry Leverkusen'!R69</f>
        <v>0</v>
      </c>
      <c r="I69" s="39">
        <f>'Data Entry Leverkusen'!U69</f>
        <v>0</v>
      </c>
      <c r="J69" s="39">
        <f>'Data Entry Leverkusen'!X69</f>
        <v>0</v>
      </c>
      <c r="K69" s="39">
        <f>'Data Entry Leverkusen'!AA69</f>
        <v>0</v>
      </c>
      <c r="L69" s="39">
        <f>'Data Entry Leverkusen'!AD69</f>
        <v>0</v>
      </c>
      <c r="M69" s="39">
        <f>'Data Entry Leverkusen'!AG69</f>
        <v>0</v>
      </c>
      <c r="N69" s="39">
        <f>'Data Entry Leverkusen'!AJ69</f>
        <v>0</v>
      </c>
      <c r="O69" s="39">
        <f>'Data Entry Leverkusen'!AM69</f>
        <v>0</v>
      </c>
    </row>
    <row r="70" spans="2:15" ht="14" x14ac:dyDescent="0.15">
      <c r="B70" s="44" t="s">
        <v>54</v>
      </c>
      <c r="C70" s="39">
        <f>'Data Entry Leverkusen'!C70</f>
        <v>0</v>
      </c>
      <c r="D70" s="39">
        <f>'Data Entry Leverkusen'!F70</f>
        <v>0</v>
      </c>
      <c r="E70" s="39">
        <f>'Data Entry Leverkusen'!I70</f>
        <v>0</v>
      </c>
      <c r="F70" s="39">
        <f>'Data Entry Leverkusen'!L70</f>
        <v>0</v>
      </c>
      <c r="G70" s="39">
        <f>'Data Entry Leverkusen'!O70</f>
        <v>0</v>
      </c>
      <c r="H70" s="39">
        <f>'Data Entry Leverkusen'!R70</f>
        <v>0</v>
      </c>
      <c r="I70" s="39">
        <f>'Data Entry Leverkusen'!U70</f>
        <v>0</v>
      </c>
      <c r="J70" s="39">
        <f>'Data Entry Leverkusen'!X70</f>
        <v>0</v>
      </c>
      <c r="K70" s="39">
        <f>'Data Entry Leverkusen'!AA70</f>
        <v>0</v>
      </c>
      <c r="L70" s="39">
        <f>'Data Entry Leverkusen'!AD70</f>
        <v>0</v>
      </c>
      <c r="M70" s="39">
        <f>'Data Entry Leverkusen'!AG70</f>
        <v>0</v>
      </c>
      <c r="N70" s="39">
        <f>'Data Entry Leverkusen'!AJ70</f>
        <v>0</v>
      </c>
      <c r="O70" s="39">
        <f>'Data Entry Leverkusen'!AM70</f>
        <v>0</v>
      </c>
    </row>
    <row r="71" spans="2:15" ht="14" x14ac:dyDescent="0.15">
      <c r="B71" s="38" t="s">
        <v>55</v>
      </c>
      <c r="C71" s="39">
        <f>'Data Entry Leverkusen'!C71</f>
        <v>36682.39</v>
      </c>
      <c r="D71" s="39">
        <f>'Data Entry Leverkusen'!F71</f>
        <v>2941.35</v>
      </c>
      <c r="E71" s="39">
        <f>'Data Entry Leverkusen'!I71</f>
        <v>3167.92</v>
      </c>
      <c r="F71" s="39">
        <f>'Data Entry Leverkusen'!L71</f>
        <v>2641.13</v>
      </c>
      <c r="G71" s="39">
        <f>'Data Entry Leverkusen'!O71</f>
        <v>2921.91</v>
      </c>
      <c r="H71" s="39">
        <f>'Data Entry Leverkusen'!R71</f>
        <v>3126.26</v>
      </c>
      <c r="I71" s="39">
        <f>'Data Entry Leverkusen'!U71</f>
        <v>3126.26</v>
      </c>
      <c r="J71" s="39">
        <f>'Data Entry Leverkusen'!X71</f>
        <v>3126.26</v>
      </c>
      <c r="K71" s="39">
        <f>'Data Entry Leverkusen'!AA71</f>
        <v>3126.26</v>
      </c>
      <c r="L71" s="39">
        <f>'Data Entry Leverkusen'!AD71</f>
        <v>3126.26</v>
      </c>
      <c r="M71" s="39">
        <f>'Data Entry Leverkusen'!AG71</f>
        <v>3126.26</v>
      </c>
      <c r="N71" s="39">
        <f>'Data Entry Leverkusen'!AJ71</f>
        <v>3126.26</v>
      </c>
      <c r="O71" s="39">
        <f>'Data Entry Leverkusen'!AM71</f>
        <v>3126.26</v>
      </c>
    </row>
    <row r="72" spans="2:15" ht="14" x14ac:dyDescent="0.15">
      <c r="B72" s="38" t="s">
        <v>56</v>
      </c>
      <c r="C72" s="39">
        <f>'Data Entry Leverkusen'!C72</f>
        <v>107630.24400000001</v>
      </c>
      <c r="D72" s="39">
        <f>'Data Entry Leverkusen'!F72</f>
        <v>11788.25</v>
      </c>
      <c r="E72" s="39">
        <f>'Data Entry Leverkusen'!I72</f>
        <v>10122.870000000001</v>
      </c>
      <c r="F72" s="39">
        <f>'Data Entry Leverkusen'!L72</f>
        <v>2579.84</v>
      </c>
      <c r="G72" s="39">
        <f>'Data Entry Leverkusen'!O72</f>
        <v>11346.7</v>
      </c>
      <c r="H72" s="39">
        <f>'Data Entry Leverkusen'!R72</f>
        <v>7753.7430000000004</v>
      </c>
      <c r="I72" s="39">
        <f>'Data Entry Leverkusen'!U72</f>
        <v>7623.7430000000004</v>
      </c>
      <c r="J72" s="39">
        <f>'Data Entry Leverkusen'!X72</f>
        <v>14561.043</v>
      </c>
      <c r="K72" s="39">
        <f>'Data Entry Leverkusen'!AA72</f>
        <v>7123.7430000000004</v>
      </c>
      <c r="L72" s="39">
        <f>'Data Entry Leverkusen'!AD72</f>
        <v>7123.7430000000004</v>
      </c>
      <c r="M72" s="39">
        <f>'Data Entry Leverkusen'!AG72</f>
        <v>13359.043</v>
      </c>
      <c r="N72" s="39">
        <f>'Data Entry Leverkusen'!AJ72</f>
        <v>7123.7430000000004</v>
      </c>
      <c r="O72" s="39">
        <f>'Data Entry Leverkusen'!AM72</f>
        <v>7123.7830000000004</v>
      </c>
    </row>
    <row r="73" spans="2:15" ht="14" x14ac:dyDescent="0.15">
      <c r="B73" s="38" t="s">
        <v>40</v>
      </c>
      <c r="C73" s="39">
        <f>'Data Entry Leverkusen'!C73</f>
        <v>5005</v>
      </c>
      <c r="D73" s="39">
        <f>'Data Entry Leverkusen'!F73</f>
        <v>455</v>
      </c>
      <c r="E73" s="39">
        <f>'Data Entry Leverkusen'!I73</f>
        <v>455</v>
      </c>
      <c r="F73" s="39">
        <f>'Data Entry Leverkusen'!L73</f>
        <v>455</v>
      </c>
      <c r="G73" s="39">
        <f>'Data Entry Leverkusen'!O73</f>
        <v>0</v>
      </c>
      <c r="H73" s="39">
        <f>'Data Entry Leverkusen'!R73</f>
        <v>455</v>
      </c>
      <c r="I73" s="39">
        <f>'Data Entry Leverkusen'!U73</f>
        <v>455</v>
      </c>
      <c r="J73" s="39">
        <f>'Data Entry Leverkusen'!X73</f>
        <v>455</v>
      </c>
      <c r="K73" s="39">
        <f>'Data Entry Leverkusen'!AA73</f>
        <v>455</v>
      </c>
      <c r="L73" s="39">
        <f>'Data Entry Leverkusen'!AD73</f>
        <v>455</v>
      </c>
      <c r="M73" s="39">
        <f>'Data Entry Leverkusen'!AG73</f>
        <v>455</v>
      </c>
      <c r="N73" s="39">
        <f>'Data Entry Leverkusen'!AJ73</f>
        <v>455</v>
      </c>
      <c r="O73" s="39">
        <f>'Data Entry Leverkusen'!AM73</f>
        <v>455</v>
      </c>
    </row>
    <row r="74" spans="2:15" ht="14" x14ac:dyDescent="0.15">
      <c r="B74" s="42" t="s">
        <v>41</v>
      </c>
      <c r="C74" s="39">
        <f>'Data Entry Leverkusen'!C74</f>
        <v>-149317.63399999999</v>
      </c>
      <c r="D74" s="39">
        <f>'Data Entry Leverkusen'!F74</f>
        <v>-15184.6</v>
      </c>
      <c r="E74" s="39">
        <f>'Data Entry Leverkusen'!I74</f>
        <v>-13745.79</v>
      </c>
      <c r="F74" s="39">
        <f>'Data Entry Leverkusen'!L74</f>
        <v>-5675.97</v>
      </c>
      <c r="G74" s="39">
        <f>'Data Entry Leverkusen'!O74</f>
        <v>-14268.61</v>
      </c>
      <c r="H74" s="39">
        <f>'Data Entry Leverkusen'!R74</f>
        <v>-11335.003000000001</v>
      </c>
      <c r="I74" s="39">
        <f>'Data Entry Leverkusen'!U74</f>
        <v>-11205.003000000001</v>
      </c>
      <c r="J74" s="39">
        <f>'Data Entry Leverkusen'!X74</f>
        <v>-18142.303</v>
      </c>
      <c r="K74" s="39">
        <f>'Data Entry Leverkusen'!AA74</f>
        <v>-10705.003000000001</v>
      </c>
      <c r="L74" s="39">
        <f>'Data Entry Leverkusen'!AD74</f>
        <v>-10705.003000000001</v>
      </c>
      <c r="M74" s="39">
        <f>'Data Entry Leverkusen'!AG74</f>
        <v>-16940.303</v>
      </c>
      <c r="N74" s="39">
        <f>'Data Entry Leverkusen'!AJ74</f>
        <v>-10705.003000000001</v>
      </c>
      <c r="O74" s="39">
        <f>'Data Entry Leverkusen'!AM74</f>
        <v>-10705.043</v>
      </c>
    </row>
    <row r="75" spans="2:15" x14ac:dyDescent="0.15">
      <c r="B75" s="40"/>
      <c r="C75" s="39">
        <f>'Data Entry Leverkusen'!C75</f>
        <v>0</v>
      </c>
      <c r="D75" s="39">
        <f>'Data Entry Leverkusen'!F75</f>
        <v>0</v>
      </c>
      <c r="E75" s="39">
        <f>'Data Entry Leverkusen'!I75</f>
        <v>0</v>
      </c>
      <c r="F75" s="39">
        <f>'Data Entry Leverkusen'!L75</f>
        <v>0</v>
      </c>
      <c r="G75" s="39">
        <f>'Data Entry Leverkusen'!O75</f>
        <v>0</v>
      </c>
      <c r="H75" s="39">
        <f>'Data Entry Leverkusen'!R75</f>
        <v>0</v>
      </c>
      <c r="I75" s="39">
        <f>'Data Entry Leverkusen'!U75</f>
        <v>0</v>
      </c>
      <c r="J75" s="39">
        <f>'Data Entry Leverkusen'!X75</f>
        <v>0</v>
      </c>
      <c r="K75" s="39">
        <f>'Data Entry Leverkusen'!AA75</f>
        <v>0</v>
      </c>
      <c r="L75" s="39">
        <f>'Data Entry Leverkusen'!AD75</f>
        <v>0</v>
      </c>
      <c r="M75" s="39">
        <f>'Data Entry Leverkusen'!AG75</f>
        <v>0</v>
      </c>
      <c r="N75" s="39">
        <f>'Data Entry Leverkusen'!AJ75</f>
        <v>0</v>
      </c>
      <c r="O75" s="39">
        <f>'Data Entry Leverkusen'!AM75</f>
        <v>0</v>
      </c>
    </row>
    <row r="76" spans="2:15" ht="14" x14ac:dyDescent="0.15">
      <c r="B76" s="44" t="s">
        <v>57</v>
      </c>
      <c r="C76" s="39">
        <f>'Data Entry Leverkusen'!C76</f>
        <v>0</v>
      </c>
      <c r="D76" s="39">
        <f>'Data Entry Leverkusen'!F76</f>
        <v>0</v>
      </c>
      <c r="E76" s="39">
        <f>'Data Entry Leverkusen'!I76</f>
        <v>0</v>
      </c>
      <c r="F76" s="39">
        <f>'Data Entry Leverkusen'!L76</f>
        <v>0</v>
      </c>
      <c r="G76" s="39">
        <f>'Data Entry Leverkusen'!O76</f>
        <v>0</v>
      </c>
      <c r="H76" s="39">
        <f>'Data Entry Leverkusen'!R76</f>
        <v>0</v>
      </c>
      <c r="I76" s="39">
        <f>'Data Entry Leverkusen'!U76</f>
        <v>0</v>
      </c>
      <c r="J76" s="39">
        <f>'Data Entry Leverkusen'!X76</f>
        <v>0</v>
      </c>
      <c r="K76" s="39">
        <f>'Data Entry Leverkusen'!AA76</f>
        <v>0</v>
      </c>
      <c r="L76" s="39">
        <f>'Data Entry Leverkusen'!AD76</f>
        <v>0</v>
      </c>
      <c r="M76" s="39">
        <f>'Data Entry Leverkusen'!AG76</f>
        <v>0</v>
      </c>
      <c r="N76" s="39">
        <f>'Data Entry Leverkusen'!AJ76</f>
        <v>0</v>
      </c>
      <c r="O76" s="39">
        <f>'Data Entry Leverkusen'!AM76</f>
        <v>0</v>
      </c>
    </row>
    <row r="77" spans="2:15" ht="14" x14ac:dyDescent="0.15">
      <c r="B77" s="38" t="s">
        <v>22</v>
      </c>
      <c r="C77" s="39">
        <f>'Data Entry Leverkusen'!C77</f>
        <v>95635.4084</v>
      </c>
      <c r="D77" s="39">
        <f>'Data Entry Leverkusen'!F77</f>
        <v>5893.9</v>
      </c>
      <c r="E77" s="39">
        <f>'Data Entry Leverkusen'!I77</f>
        <v>9745.41</v>
      </c>
      <c r="F77" s="39">
        <f>'Data Entry Leverkusen'!L77</f>
        <v>7699.83</v>
      </c>
      <c r="G77" s="39">
        <f>'Data Entry Leverkusen'!O77</f>
        <v>5788.06</v>
      </c>
      <c r="H77" s="39">
        <f>'Data Entry Leverkusen'!R77</f>
        <v>7721.6027000000004</v>
      </c>
      <c r="I77" s="39">
        <f>'Data Entry Leverkusen'!U77</f>
        <v>7598.7938999999997</v>
      </c>
      <c r="J77" s="39">
        <f>'Data Entry Leverkusen'!X77</f>
        <v>5389.0702000000001</v>
      </c>
      <c r="K77" s="39">
        <f>'Data Entry Leverkusen'!AA77</f>
        <v>7250.1158999999998</v>
      </c>
      <c r="L77" s="39">
        <f>'Data Entry Leverkusen'!AD77</f>
        <v>10041.1158</v>
      </c>
      <c r="M77" s="39">
        <f>'Data Entry Leverkusen'!AG77</f>
        <v>10731.7716</v>
      </c>
      <c r="N77" s="39">
        <f>'Data Entry Leverkusen'!AJ77</f>
        <v>9880.0720000000001</v>
      </c>
      <c r="O77" s="39">
        <f>'Data Entry Leverkusen'!AM77</f>
        <v>7895.6662999999999</v>
      </c>
    </row>
    <row r="78" spans="2:15" ht="14" x14ac:dyDescent="0.15">
      <c r="B78" s="38" t="s">
        <v>40</v>
      </c>
      <c r="C78" s="39">
        <f>'Data Entry Leverkusen'!C78</f>
        <v>263524.40330000001</v>
      </c>
      <c r="D78" s="39">
        <f>'Data Entry Leverkusen'!F78</f>
        <v>21951.14</v>
      </c>
      <c r="E78" s="39">
        <f>'Data Entry Leverkusen'!I78</f>
        <v>12000.24</v>
      </c>
      <c r="F78" s="39">
        <f>'Data Entry Leverkusen'!L78</f>
        <v>21416.639999999999</v>
      </c>
      <c r="G78" s="39">
        <f>'Data Entry Leverkusen'!O78</f>
        <v>18110.88</v>
      </c>
      <c r="H78" s="39">
        <f>'Data Entry Leverkusen'!R78</f>
        <v>22523.121899999998</v>
      </c>
      <c r="I78" s="39">
        <f>'Data Entry Leverkusen'!U78</f>
        <v>22431.770799999998</v>
      </c>
      <c r="J78" s="39">
        <f>'Data Entry Leverkusen'!X78</f>
        <v>18884.011699999999</v>
      </c>
      <c r="K78" s="39">
        <f>'Data Entry Leverkusen'!AA78</f>
        <v>21238.281200000001</v>
      </c>
      <c r="L78" s="39">
        <f>'Data Entry Leverkusen'!AD78</f>
        <v>26619.532299999999</v>
      </c>
      <c r="M78" s="39">
        <f>'Data Entry Leverkusen'!AG78</f>
        <v>29317.891899999999</v>
      </c>
      <c r="N78" s="39">
        <f>'Data Entry Leverkusen'!AJ78</f>
        <v>26156.192299999999</v>
      </c>
      <c r="O78" s="39">
        <f>'Data Entry Leverkusen'!AM78</f>
        <v>22874.7012</v>
      </c>
    </row>
    <row r="79" spans="2:15" ht="14" x14ac:dyDescent="0.15">
      <c r="B79" s="42" t="s">
        <v>41</v>
      </c>
      <c r="C79" s="39">
        <f>'Data Entry Leverkusen'!C79</f>
        <v>-359159.81170000002</v>
      </c>
      <c r="D79" s="39">
        <f>'Data Entry Leverkusen'!F79</f>
        <v>-27845.040000000001</v>
      </c>
      <c r="E79" s="39">
        <f>'Data Entry Leverkusen'!I79</f>
        <v>-21745.65</v>
      </c>
      <c r="F79" s="39">
        <f>'Data Entry Leverkusen'!L79</f>
        <v>-29116.47</v>
      </c>
      <c r="G79" s="39">
        <f>'Data Entry Leverkusen'!O79</f>
        <v>-23898.94</v>
      </c>
      <c r="H79" s="39">
        <f>'Data Entry Leverkusen'!R79</f>
        <v>-30244.724600000001</v>
      </c>
      <c r="I79" s="39">
        <f>'Data Entry Leverkusen'!U79</f>
        <v>-30030.564699999999</v>
      </c>
      <c r="J79" s="39">
        <f>'Data Entry Leverkusen'!X79</f>
        <v>-24273.0818</v>
      </c>
      <c r="K79" s="39">
        <f>'Data Entry Leverkusen'!AA79</f>
        <v>-28488.397099999998</v>
      </c>
      <c r="L79" s="39">
        <f>'Data Entry Leverkusen'!AD79</f>
        <v>-36660.648099999999</v>
      </c>
      <c r="M79" s="39">
        <f>'Data Entry Leverkusen'!AG79</f>
        <v>-40049.663500000002</v>
      </c>
      <c r="N79" s="39">
        <f>'Data Entry Leverkusen'!AJ79</f>
        <v>-36036.264300000003</v>
      </c>
      <c r="O79" s="39">
        <f>'Data Entry Leverkusen'!AM79</f>
        <v>-30770.367600000001</v>
      </c>
    </row>
    <row r="80" spans="2:15" x14ac:dyDescent="0.15">
      <c r="B80" s="40"/>
      <c r="C80" s="39">
        <f>'Data Entry Leverkusen'!C80</f>
        <v>0</v>
      </c>
      <c r="D80" s="39">
        <f>'Data Entry Leverkusen'!F80</f>
        <v>0</v>
      </c>
      <c r="E80" s="39">
        <f>'Data Entry Leverkusen'!I80</f>
        <v>0</v>
      </c>
      <c r="F80" s="39">
        <f>'Data Entry Leverkusen'!L80</f>
        <v>0</v>
      </c>
      <c r="G80" s="39">
        <f>'Data Entry Leverkusen'!O80</f>
        <v>0</v>
      </c>
      <c r="H80" s="39">
        <f>'Data Entry Leverkusen'!R80</f>
        <v>0</v>
      </c>
      <c r="I80" s="39">
        <f>'Data Entry Leverkusen'!U80</f>
        <v>0</v>
      </c>
      <c r="J80" s="39">
        <f>'Data Entry Leverkusen'!X80</f>
        <v>0</v>
      </c>
      <c r="K80" s="39">
        <f>'Data Entry Leverkusen'!AA80</f>
        <v>0</v>
      </c>
      <c r="L80" s="39">
        <f>'Data Entry Leverkusen'!AD80</f>
        <v>0</v>
      </c>
      <c r="M80" s="39">
        <f>'Data Entry Leverkusen'!AG80</f>
        <v>0</v>
      </c>
      <c r="N80" s="39">
        <f>'Data Entry Leverkusen'!AJ80</f>
        <v>0</v>
      </c>
      <c r="O80" s="39">
        <f>'Data Entry Leverkusen'!AM80</f>
        <v>0</v>
      </c>
    </row>
    <row r="81" spans="2:15" ht="14" x14ac:dyDescent="0.15">
      <c r="B81" s="44" t="s">
        <v>58</v>
      </c>
      <c r="C81" s="39">
        <f>'Data Entry Leverkusen'!C81</f>
        <v>0</v>
      </c>
      <c r="D81" s="39">
        <f>'Data Entry Leverkusen'!F81</f>
        <v>0</v>
      </c>
      <c r="E81" s="39">
        <f>'Data Entry Leverkusen'!I81</f>
        <v>0</v>
      </c>
      <c r="F81" s="39">
        <f>'Data Entry Leverkusen'!L81</f>
        <v>0</v>
      </c>
      <c r="G81" s="39">
        <f>'Data Entry Leverkusen'!O81</f>
        <v>0</v>
      </c>
      <c r="H81" s="39">
        <f>'Data Entry Leverkusen'!R81</f>
        <v>0</v>
      </c>
      <c r="I81" s="39">
        <f>'Data Entry Leverkusen'!U81</f>
        <v>0</v>
      </c>
      <c r="J81" s="39">
        <f>'Data Entry Leverkusen'!X81</f>
        <v>0</v>
      </c>
      <c r="K81" s="39">
        <f>'Data Entry Leverkusen'!AA81</f>
        <v>0</v>
      </c>
      <c r="L81" s="39">
        <f>'Data Entry Leverkusen'!AD81</f>
        <v>0</v>
      </c>
      <c r="M81" s="39">
        <f>'Data Entry Leverkusen'!AG81</f>
        <v>0</v>
      </c>
      <c r="N81" s="39">
        <f>'Data Entry Leverkusen'!AJ81</f>
        <v>0</v>
      </c>
      <c r="O81" s="39">
        <f>'Data Entry Leverkusen'!AM81</f>
        <v>0</v>
      </c>
    </row>
    <row r="82" spans="2:15" ht="14" x14ac:dyDescent="0.15">
      <c r="B82" s="38" t="s">
        <v>22</v>
      </c>
      <c r="C82" s="39">
        <f>'Data Entry Leverkusen'!C82</f>
        <v>97581.906400000007</v>
      </c>
      <c r="D82" s="39">
        <f>'Data Entry Leverkusen'!F82</f>
        <v>7497.88</v>
      </c>
      <c r="E82" s="39">
        <f>'Data Entry Leverkusen'!I82</f>
        <v>9144.32</v>
      </c>
      <c r="F82" s="39">
        <f>'Data Entry Leverkusen'!L82</f>
        <v>7525.55</v>
      </c>
      <c r="G82" s="39">
        <f>'Data Entry Leverkusen'!O82</f>
        <v>8278.84</v>
      </c>
      <c r="H82" s="39">
        <f>'Data Entry Leverkusen'!R82</f>
        <v>5758.5508</v>
      </c>
      <c r="I82" s="39">
        <f>'Data Entry Leverkusen'!U82</f>
        <v>6797.1282000000001</v>
      </c>
      <c r="J82" s="39">
        <f>'Data Entry Leverkusen'!X82</f>
        <v>10955.767900000001</v>
      </c>
      <c r="K82" s="39">
        <f>'Data Entry Leverkusen'!AA82</f>
        <v>9036.6684000000005</v>
      </c>
      <c r="L82" s="39">
        <f>'Data Entry Leverkusen'!AD82</f>
        <v>5649.3608999999997</v>
      </c>
      <c r="M82" s="39">
        <f>'Data Entry Leverkusen'!AG82</f>
        <v>8947.7011000000002</v>
      </c>
      <c r="N82" s="39">
        <f>'Data Entry Leverkusen'!AJ82</f>
        <v>8947.7011000000002</v>
      </c>
      <c r="O82" s="39">
        <f>'Data Entry Leverkusen'!AM82</f>
        <v>9042.4380000000001</v>
      </c>
    </row>
    <row r="83" spans="2:15" ht="14" x14ac:dyDescent="0.15">
      <c r="B83" s="38" t="s">
        <v>40</v>
      </c>
      <c r="C83" s="39">
        <f>'Data Entry Leverkusen'!C83</f>
        <v>108762.31</v>
      </c>
      <c r="D83" s="39">
        <f>'Data Entry Leverkusen'!F83</f>
        <v>18748.09</v>
      </c>
      <c r="E83" s="39">
        <f>'Data Entry Leverkusen'!I83</f>
        <v>6512.34</v>
      </c>
      <c r="F83" s="39">
        <f>'Data Entry Leverkusen'!L83</f>
        <v>7338.57</v>
      </c>
      <c r="G83" s="39">
        <f>'Data Entry Leverkusen'!O83</f>
        <v>14095.31</v>
      </c>
      <c r="H83" s="39">
        <f>'Data Entry Leverkusen'!R83</f>
        <v>17265</v>
      </c>
      <c r="I83" s="39">
        <f>'Data Entry Leverkusen'!U83</f>
        <v>4855</v>
      </c>
      <c r="J83" s="39">
        <f>'Data Entry Leverkusen'!X83</f>
        <v>8109</v>
      </c>
      <c r="K83" s="39">
        <f>'Data Entry Leverkusen'!AA83</f>
        <v>6155</v>
      </c>
      <c r="L83" s="39">
        <f>'Data Entry Leverkusen'!AD83</f>
        <v>5589</v>
      </c>
      <c r="M83" s="39">
        <f>'Data Entry Leverkusen'!AG83</f>
        <v>9325</v>
      </c>
      <c r="N83" s="39">
        <f>'Data Entry Leverkusen'!AJ83</f>
        <v>5915</v>
      </c>
      <c r="O83" s="39">
        <f>'Data Entry Leverkusen'!AM83</f>
        <v>4855</v>
      </c>
    </row>
    <row r="84" spans="2:15" ht="14" x14ac:dyDescent="0.15">
      <c r="B84" s="42" t="s">
        <v>41</v>
      </c>
      <c r="C84" s="39">
        <f>'Data Entry Leverkusen'!C84</f>
        <v>-206344.2164</v>
      </c>
      <c r="D84" s="39">
        <f>'Data Entry Leverkusen'!F84</f>
        <v>-26245.97</v>
      </c>
      <c r="E84" s="39">
        <f>'Data Entry Leverkusen'!I84</f>
        <v>-15656.66</v>
      </c>
      <c r="F84" s="39">
        <f>'Data Entry Leverkusen'!L84</f>
        <v>-14864.12</v>
      </c>
      <c r="G84" s="39">
        <f>'Data Entry Leverkusen'!O84</f>
        <v>-22374.15</v>
      </c>
      <c r="H84" s="39">
        <f>'Data Entry Leverkusen'!R84</f>
        <v>-23023.550800000001</v>
      </c>
      <c r="I84" s="39">
        <f>'Data Entry Leverkusen'!U84</f>
        <v>-11652.128199999999</v>
      </c>
      <c r="J84" s="39">
        <f>'Data Entry Leverkusen'!X84</f>
        <v>-19064.767899999999</v>
      </c>
      <c r="K84" s="39">
        <f>'Data Entry Leverkusen'!AA84</f>
        <v>-15191.6684</v>
      </c>
      <c r="L84" s="39">
        <f>'Data Entry Leverkusen'!AD84</f>
        <v>-11238.3609</v>
      </c>
      <c r="M84" s="39">
        <f>'Data Entry Leverkusen'!AG84</f>
        <v>-18272.701099999998</v>
      </c>
      <c r="N84" s="39">
        <f>'Data Entry Leverkusen'!AJ84</f>
        <v>-14862.7011</v>
      </c>
      <c r="O84" s="39">
        <f>'Data Entry Leverkusen'!AM84</f>
        <v>-13897.438</v>
      </c>
    </row>
    <row r="85" spans="2:15" x14ac:dyDescent="0.15">
      <c r="B85" s="40"/>
      <c r="C85" s="39">
        <f>'Data Entry Leverkusen'!C85</f>
        <v>0</v>
      </c>
      <c r="D85" s="39">
        <f>'Data Entry Leverkusen'!F85</f>
        <v>0</v>
      </c>
      <c r="E85" s="39">
        <f>'Data Entry Leverkusen'!I85</f>
        <v>0</v>
      </c>
      <c r="F85" s="39">
        <f>'Data Entry Leverkusen'!L85</f>
        <v>0</v>
      </c>
      <c r="G85" s="39">
        <f>'Data Entry Leverkusen'!O85</f>
        <v>0</v>
      </c>
      <c r="H85" s="39">
        <f>'Data Entry Leverkusen'!R85</f>
        <v>0</v>
      </c>
      <c r="I85" s="39">
        <f>'Data Entry Leverkusen'!U85</f>
        <v>0</v>
      </c>
      <c r="J85" s="39">
        <f>'Data Entry Leverkusen'!X85</f>
        <v>0</v>
      </c>
      <c r="K85" s="39">
        <f>'Data Entry Leverkusen'!AA85</f>
        <v>0</v>
      </c>
      <c r="L85" s="39">
        <f>'Data Entry Leverkusen'!AD85</f>
        <v>0</v>
      </c>
      <c r="M85" s="39">
        <f>'Data Entry Leverkusen'!AG85</f>
        <v>0</v>
      </c>
      <c r="N85" s="39">
        <f>'Data Entry Leverkusen'!AJ85</f>
        <v>0</v>
      </c>
      <c r="O85" s="39">
        <f>'Data Entry Leverkusen'!AM85</f>
        <v>0</v>
      </c>
    </row>
    <row r="86" spans="2:15" ht="14" x14ac:dyDescent="0.15">
      <c r="B86" s="44" t="s">
        <v>59</v>
      </c>
      <c r="C86" s="39">
        <f>'Data Entry Leverkusen'!C86</f>
        <v>0</v>
      </c>
      <c r="D86" s="39">
        <f>'Data Entry Leverkusen'!F86</f>
        <v>0</v>
      </c>
      <c r="E86" s="39">
        <f>'Data Entry Leverkusen'!I86</f>
        <v>0</v>
      </c>
      <c r="F86" s="39">
        <f>'Data Entry Leverkusen'!L86</f>
        <v>0</v>
      </c>
      <c r="G86" s="39">
        <f>'Data Entry Leverkusen'!O86</f>
        <v>0</v>
      </c>
      <c r="H86" s="39">
        <f>'Data Entry Leverkusen'!R86</f>
        <v>0</v>
      </c>
      <c r="I86" s="39">
        <f>'Data Entry Leverkusen'!U86</f>
        <v>0</v>
      </c>
      <c r="J86" s="39">
        <f>'Data Entry Leverkusen'!X86</f>
        <v>0</v>
      </c>
      <c r="K86" s="39">
        <f>'Data Entry Leverkusen'!AA86</f>
        <v>0</v>
      </c>
      <c r="L86" s="39">
        <f>'Data Entry Leverkusen'!AD86</f>
        <v>0</v>
      </c>
      <c r="M86" s="39">
        <f>'Data Entry Leverkusen'!AG86</f>
        <v>0</v>
      </c>
      <c r="N86" s="39">
        <f>'Data Entry Leverkusen'!AJ86</f>
        <v>0</v>
      </c>
      <c r="O86" s="39">
        <f>'Data Entry Leverkusen'!AM86</f>
        <v>0</v>
      </c>
    </row>
    <row r="87" spans="2:15" ht="14" x14ac:dyDescent="0.15">
      <c r="B87" s="42" t="s">
        <v>41</v>
      </c>
      <c r="C87" s="39">
        <f>'Data Entry Leverkusen'!C87</f>
        <v>-172444.0367</v>
      </c>
      <c r="D87" s="39">
        <f>'Data Entry Leverkusen'!F87</f>
        <v>-15109.79</v>
      </c>
      <c r="E87" s="39">
        <f>'Data Entry Leverkusen'!I87</f>
        <v>-5779.4</v>
      </c>
      <c r="F87" s="39">
        <f>'Data Entry Leverkusen'!L87</f>
        <v>-15042.06</v>
      </c>
      <c r="G87" s="39">
        <f>'Data Entry Leverkusen'!O87</f>
        <v>-13150.73</v>
      </c>
      <c r="H87" s="39">
        <f>'Data Entry Leverkusen'!R87</f>
        <v>-12505.292799999999</v>
      </c>
      <c r="I87" s="39">
        <f>'Data Entry Leverkusen'!U87</f>
        <v>-14644.376099999999</v>
      </c>
      <c r="J87" s="39">
        <f>'Data Entry Leverkusen'!X87</f>
        <v>-16170.0705</v>
      </c>
      <c r="K87" s="39">
        <f>'Data Entry Leverkusen'!AA87</f>
        <v>-15376.508599999999</v>
      </c>
      <c r="L87" s="39">
        <f>'Data Entry Leverkusen'!AD87</f>
        <v>-15078.6422</v>
      </c>
      <c r="M87" s="39">
        <f>'Data Entry Leverkusen'!AG87</f>
        <v>-16620.894400000001</v>
      </c>
      <c r="N87" s="39">
        <f>'Data Entry Leverkusen'!AJ87</f>
        <v>-17864.445299999999</v>
      </c>
      <c r="O87" s="39">
        <f>'Data Entry Leverkusen'!AM87</f>
        <v>-15101.826800000001</v>
      </c>
    </row>
    <row r="88" spans="2:15" x14ac:dyDescent="0.15">
      <c r="B88" s="40"/>
      <c r="C88" s="39">
        <f>'Data Entry Leverkusen'!C88</f>
        <v>0</v>
      </c>
      <c r="D88" s="39">
        <f>'Data Entry Leverkusen'!F88</f>
        <v>0</v>
      </c>
      <c r="E88" s="39">
        <f>'Data Entry Leverkusen'!I88</f>
        <v>0</v>
      </c>
      <c r="F88" s="39">
        <f>'Data Entry Leverkusen'!L88</f>
        <v>0</v>
      </c>
      <c r="G88" s="39">
        <f>'Data Entry Leverkusen'!O88</f>
        <v>0</v>
      </c>
      <c r="H88" s="39">
        <f>'Data Entry Leverkusen'!R88</f>
        <v>0</v>
      </c>
      <c r="I88" s="39">
        <f>'Data Entry Leverkusen'!U88</f>
        <v>0</v>
      </c>
      <c r="J88" s="39">
        <f>'Data Entry Leverkusen'!X88</f>
        <v>0</v>
      </c>
      <c r="K88" s="39">
        <f>'Data Entry Leverkusen'!AA88</f>
        <v>0</v>
      </c>
      <c r="L88" s="39">
        <f>'Data Entry Leverkusen'!AD88</f>
        <v>0</v>
      </c>
      <c r="M88" s="39">
        <f>'Data Entry Leverkusen'!AG88</f>
        <v>0</v>
      </c>
      <c r="N88" s="39">
        <f>'Data Entry Leverkusen'!AJ88</f>
        <v>0</v>
      </c>
      <c r="O88" s="39">
        <f>'Data Entry Leverkusen'!AM88</f>
        <v>0</v>
      </c>
    </row>
    <row r="89" spans="2:15" ht="14" x14ac:dyDescent="0.15">
      <c r="B89" s="42" t="s">
        <v>23</v>
      </c>
      <c r="C89" s="39">
        <f>'Data Entry Leverkusen'!C89</f>
        <v>1873126.2204</v>
      </c>
      <c r="D89" s="39">
        <f>'Data Entry Leverkusen'!F89</f>
        <v>95107.03</v>
      </c>
      <c r="E89" s="39">
        <f>'Data Entry Leverkusen'!I89</f>
        <v>94819.62</v>
      </c>
      <c r="F89" s="39">
        <f>'Data Entry Leverkusen'!L89</f>
        <v>184123.45</v>
      </c>
      <c r="G89" s="39">
        <f>'Data Entry Leverkusen'!O89</f>
        <v>45111.16</v>
      </c>
      <c r="H89" s="39">
        <f>'Data Entry Leverkusen'!R89</f>
        <v>165482.7732</v>
      </c>
      <c r="I89" s="39">
        <f>'Data Entry Leverkusen'!U89</f>
        <v>157447.53320000001</v>
      </c>
      <c r="J89" s="39">
        <f>'Data Entry Leverkusen'!X89</f>
        <v>34889.650399999999</v>
      </c>
      <c r="K89" s="39">
        <f>'Data Entry Leverkusen'!AA89</f>
        <v>123367.4425</v>
      </c>
      <c r="L89" s="39">
        <f>'Data Entry Leverkusen'!AD89</f>
        <v>274113.37640000001</v>
      </c>
      <c r="M89" s="39">
        <f>'Data Entry Leverkusen'!AG89</f>
        <v>300665.13770000002</v>
      </c>
      <c r="N89" s="39">
        <f>'Data Entry Leverkusen'!AJ89</f>
        <v>241853.20670000001</v>
      </c>
      <c r="O89" s="39">
        <f>'Data Entry Leverkusen'!AM89</f>
        <v>156145.84030000001</v>
      </c>
    </row>
    <row r="90" spans="2:15" x14ac:dyDescent="0.15">
      <c r="B90" s="40"/>
      <c r="C90" s="39">
        <f>'Data Entry Leverkusen'!C90</f>
        <v>0</v>
      </c>
      <c r="D90" s="39">
        <f>'Data Entry Leverkusen'!F90</f>
        <v>0</v>
      </c>
      <c r="E90" s="39">
        <f>'Data Entry Leverkusen'!I90</f>
        <v>0</v>
      </c>
      <c r="F90" s="39">
        <f>'Data Entry Leverkusen'!L90</f>
        <v>0</v>
      </c>
      <c r="G90" s="39">
        <f>'Data Entry Leverkusen'!O90</f>
        <v>0</v>
      </c>
      <c r="H90" s="39">
        <f>'Data Entry Leverkusen'!R90</f>
        <v>0</v>
      </c>
      <c r="I90" s="39">
        <f>'Data Entry Leverkusen'!U90</f>
        <v>0</v>
      </c>
      <c r="J90" s="39">
        <f>'Data Entry Leverkusen'!X90</f>
        <v>0</v>
      </c>
      <c r="K90" s="39">
        <f>'Data Entry Leverkusen'!AA90</f>
        <v>0</v>
      </c>
      <c r="L90" s="39">
        <f>'Data Entry Leverkusen'!AD90</f>
        <v>0</v>
      </c>
      <c r="M90" s="39">
        <f>'Data Entry Leverkusen'!AG90</f>
        <v>0</v>
      </c>
      <c r="N90" s="39">
        <f>'Data Entry Leverkusen'!AJ90</f>
        <v>0</v>
      </c>
      <c r="O90" s="39">
        <f>'Data Entry Leverkusen'!AM90</f>
        <v>0</v>
      </c>
    </row>
    <row r="91" spans="2:15" ht="14" x14ac:dyDescent="0.15">
      <c r="B91" s="42" t="s">
        <v>60</v>
      </c>
      <c r="C91" s="39">
        <f>'Data Entry Leverkusen'!C91</f>
        <v>81826.63</v>
      </c>
      <c r="D91" s="39">
        <f>'Data Entry Leverkusen'!F91</f>
        <v>22394.720000000001</v>
      </c>
      <c r="E91" s="39">
        <f>'Data Entry Leverkusen'!I91</f>
        <v>3910.8</v>
      </c>
      <c r="F91" s="39">
        <f>'Data Entry Leverkusen'!L91</f>
        <v>2376.91</v>
      </c>
      <c r="G91" s="39">
        <f>'Data Entry Leverkusen'!O91</f>
        <v>2360.1999999999998</v>
      </c>
      <c r="H91" s="39">
        <f>'Data Entry Leverkusen'!R91</f>
        <v>6348</v>
      </c>
      <c r="I91" s="39">
        <f>'Data Entry Leverkusen'!U91</f>
        <v>6348</v>
      </c>
      <c r="J91" s="39">
        <f>'Data Entry Leverkusen'!X91</f>
        <v>6348</v>
      </c>
      <c r="K91" s="39">
        <f>'Data Entry Leverkusen'!AA91</f>
        <v>6348</v>
      </c>
      <c r="L91" s="39">
        <f>'Data Entry Leverkusen'!AD91</f>
        <v>6348</v>
      </c>
      <c r="M91" s="39">
        <f>'Data Entry Leverkusen'!AG91</f>
        <v>6348</v>
      </c>
      <c r="N91" s="39">
        <f>'Data Entry Leverkusen'!AJ91</f>
        <v>6348</v>
      </c>
      <c r="O91" s="39">
        <f>'Data Entry Leverkusen'!AM91</f>
        <v>6348</v>
      </c>
    </row>
    <row r="92" spans="2:15" ht="14" x14ac:dyDescent="0.15">
      <c r="B92" s="38" t="s">
        <v>61</v>
      </c>
      <c r="C92" s="39">
        <f>'Data Entry Leverkusen'!C92</f>
        <v>30064.53</v>
      </c>
      <c r="D92" s="39">
        <f>'Data Entry Leverkusen'!F92</f>
        <v>22188.53</v>
      </c>
      <c r="E92" s="39">
        <f>'Data Entry Leverkusen'!I92</f>
        <v>716</v>
      </c>
      <c r="F92" s="39">
        <f>'Data Entry Leverkusen'!L92</f>
        <v>716</v>
      </c>
      <c r="G92" s="39">
        <f>'Data Entry Leverkusen'!O92</f>
        <v>716</v>
      </c>
      <c r="H92" s="39">
        <f>'Data Entry Leverkusen'!R92</f>
        <v>716</v>
      </c>
      <c r="I92" s="39">
        <f>'Data Entry Leverkusen'!U92</f>
        <v>716</v>
      </c>
      <c r="J92" s="39">
        <f>'Data Entry Leverkusen'!X92</f>
        <v>716</v>
      </c>
      <c r="K92" s="39">
        <f>'Data Entry Leverkusen'!AA92</f>
        <v>716</v>
      </c>
      <c r="L92" s="39">
        <f>'Data Entry Leverkusen'!AD92</f>
        <v>716</v>
      </c>
      <c r="M92" s="39">
        <f>'Data Entry Leverkusen'!AG92</f>
        <v>716</v>
      </c>
      <c r="N92" s="39">
        <f>'Data Entry Leverkusen'!AJ92</f>
        <v>716</v>
      </c>
      <c r="O92" s="39">
        <f>'Data Entry Leverkusen'!AM92</f>
        <v>716</v>
      </c>
    </row>
    <row r="93" spans="2:15" ht="14" x14ac:dyDescent="0.15">
      <c r="B93" s="38" t="s">
        <v>62</v>
      </c>
      <c r="C93" s="39">
        <f>'Data Entry Leverkusen'!C93</f>
        <v>51762.1</v>
      </c>
      <c r="D93" s="39">
        <f>'Data Entry Leverkusen'!F93</f>
        <v>206.19</v>
      </c>
      <c r="E93" s="39">
        <f>'Data Entry Leverkusen'!I93</f>
        <v>3194.8</v>
      </c>
      <c r="F93" s="39">
        <f>'Data Entry Leverkusen'!L93</f>
        <v>1660.91</v>
      </c>
      <c r="G93" s="39">
        <f>'Data Entry Leverkusen'!O93</f>
        <v>1644.2</v>
      </c>
      <c r="H93" s="39">
        <f>'Data Entry Leverkusen'!R93</f>
        <v>5632</v>
      </c>
      <c r="I93" s="39">
        <f>'Data Entry Leverkusen'!U93</f>
        <v>5632</v>
      </c>
      <c r="J93" s="39">
        <f>'Data Entry Leverkusen'!X93</f>
        <v>5632</v>
      </c>
      <c r="K93" s="39">
        <f>'Data Entry Leverkusen'!AA93</f>
        <v>5632</v>
      </c>
      <c r="L93" s="39">
        <f>'Data Entry Leverkusen'!AD93</f>
        <v>5632</v>
      </c>
      <c r="M93" s="39">
        <f>'Data Entry Leverkusen'!AG93</f>
        <v>5632</v>
      </c>
      <c r="N93" s="39">
        <f>'Data Entry Leverkusen'!AJ93</f>
        <v>5632</v>
      </c>
      <c r="O93" s="39">
        <f>'Data Entry Leverkusen'!AM93</f>
        <v>5632</v>
      </c>
    </row>
    <row r="94" spans="2:15" ht="14" x14ac:dyDescent="0.15">
      <c r="B94" s="38" t="s">
        <v>63</v>
      </c>
      <c r="C94" s="39">
        <f>'Data Entry Leverkusen'!C94</f>
        <v>0</v>
      </c>
      <c r="D94" s="39">
        <f>'Data Entry Leverkusen'!F94</f>
        <v>0</v>
      </c>
      <c r="E94" s="39">
        <f>'Data Entry Leverkusen'!I94</f>
        <v>0</v>
      </c>
      <c r="F94" s="39">
        <f>'Data Entry Leverkusen'!L94</f>
        <v>0</v>
      </c>
      <c r="G94" s="39">
        <f>'Data Entry Leverkusen'!O94</f>
        <v>0</v>
      </c>
      <c r="H94" s="39">
        <f>'Data Entry Leverkusen'!R94</f>
        <v>0</v>
      </c>
      <c r="I94" s="39">
        <f>'Data Entry Leverkusen'!U94</f>
        <v>0</v>
      </c>
      <c r="J94" s="39">
        <f>'Data Entry Leverkusen'!X94</f>
        <v>0</v>
      </c>
      <c r="K94" s="39">
        <f>'Data Entry Leverkusen'!AA94</f>
        <v>0</v>
      </c>
      <c r="L94" s="39">
        <f>'Data Entry Leverkusen'!AD94</f>
        <v>0</v>
      </c>
      <c r="M94" s="39">
        <f>'Data Entry Leverkusen'!AG94</f>
        <v>0</v>
      </c>
      <c r="N94" s="39">
        <f>'Data Entry Leverkusen'!AJ94</f>
        <v>0</v>
      </c>
      <c r="O94" s="39">
        <f>'Data Entry Leverkusen'!AM94</f>
        <v>0</v>
      </c>
    </row>
    <row r="95" spans="2:15" ht="14" x14ac:dyDescent="0.15">
      <c r="B95" s="38" t="s">
        <v>64</v>
      </c>
      <c r="C95" s="39">
        <f>'Data Entry Leverkusen'!C95</f>
        <v>0</v>
      </c>
      <c r="D95" s="39">
        <f>'Data Entry Leverkusen'!F95</f>
        <v>0</v>
      </c>
      <c r="E95" s="39">
        <f>'Data Entry Leverkusen'!I95</f>
        <v>0</v>
      </c>
      <c r="F95" s="39">
        <f>'Data Entry Leverkusen'!L95</f>
        <v>0</v>
      </c>
      <c r="G95" s="39">
        <f>'Data Entry Leverkusen'!O95</f>
        <v>0</v>
      </c>
      <c r="H95" s="39">
        <f>'Data Entry Leverkusen'!R95</f>
        <v>0</v>
      </c>
      <c r="I95" s="39">
        <f>'Data Entry Leverkusen'!U95</f>
        <v>0</v>
      </c>
      <c r="J95" s="39">
        <f>'Data Entry Leverkusen'!X95</f>
        <v>0</v>
      </c>
      <c r="K95" s="39">
        <f>'Data Entry Leverkusen'!AA95</f>
        <v>0</v>
      </c>
      <c r="L95" s="39">
        <f>'Data Entry Leverkusen'!AD95</f>
        <v>0</v>
      </c>
      <c r="M95" s="39">
        <f>'Data Entry Leverkusen'!AG95</f>
        <v>0</v>
      </c>
      <c r="N95" s="39">
        <f>'Data Entry Leverkusen'!AJ95</f>
        <v>0</v>
      </c>
      <c r="O95" s="39">
        <f>'Data Entry Leverkusen'!AM95</f>
        <v>0</v>
      </c>
    </row>
    <row r="96" spans="2:15" x14ac:dyDescent="0.15">
      <c r="B96" s="40"/>
      <c r="C96" s="39">
        <f>'Data Entry Leverkusen'!C96</f>
        <v>0</v>
      </c>
      <c r="D96" s="39">
        <f>'Data Entry Leverkusen'!F96</f>
        <v>0</v>
      </c>
      <c r="E96" s="39">
        <f>'Data Entry Leverkusen'!I96</f>
        <v>0</v>
      </c>
      <c r="F96" s="39">
        <f>'Data Entry Leverkusen'!L96</f>
        <v>0</v>
      </c>
      <c r="G96" s="39">
        <f>'Data Entry Leverkusen'!O96</f>
        <v>0</v>
      </c>
      <c r="H96" s="39">
        <f>'Data Entry Leverkusen'!R96</f>
        <v>0</v>
      </c>
      <c r="I96" s="39">
        <f>'Data Entry Leverkusen'!U96</f>
        <v>0</v>
      </c>
      <c r="J96" s="39">
        <f>'Data Entry Leverkusen'!X96</f>
        <v>0</v>
      </c>
      <c r="K96" s="39">
        <f>'Data Entry Leverkusen'!AA96</f>
        <v>0</v>
      </c>
      <c r="L96" s="39">
        <f>'Data Entry Leverkusen'!AD96</f>
        <v>0</v>
      </c>
      <c r="M96" s="39">
        <f>'Data Entry Leverkusen'!AG96</f>
        <v>0</v>
      </c>
      <c r="N96" s="39">
        <f>'Data Entry Leverkusen'!AJ96</f>
        <v>0</v>
      </c>
      <c r="O96" s="39">
        <f>'Data Entry Leverkusen'!AM96</f>
        <v>0</v>
      </c>
    </row>
    <row r="97" spans="2:15" ht="14" x14ac:dyDescent="0.15">
      <c r="B97" s="42" t="s">
        <v>65</v>
      </c>
      <c r="C97" s="39">
        <f>'Data Entry Leverkusen'!C97</f>
        <v>51762.1</v>
      </c>
      <c r="D97" s="39">
        <f>'Data Entry Leverkusen'!F97</f>
        <v>206.19</v>
      </c>
      <c r="E97" s="39">
        <f>'Data Entry Leverkusen'!I97</f>
        <v>3194.8</v>
      </c>
      <c r="F97" s="39">
        <f>'Data Entry Leverkusen'!L97</f>
        <v>1660.91</v>
      </c>
      <c r="G97" s="39">
        <f>'Data Entry Leverkusen'!O97</f>
        <v>1644.2</v>
      </c>
      <c r="H97" s="39">
        <f>'Data Entry Leverkusen'!R97</f>
        <v>5632</v>
      </c>
      <c r="I97" s="39">
        <f>'Data Entry Leverkusen'!U97</f>
        <v>5632</v>
      </c>
      <c r="J97" s="39">
        <f>'Data Entry Leverkusen'!X97</f>
        <v>5632</v>
      </c>
      <c r="K97" s="39">
        <f>'Data Entry Leverkusen'!AA97</f>
        <v>5632</v>
      </c>
      <c r="L97" s="39">
        <f>'Data Entry Leverkusen'!AD97</f>
        <v>5632</v>
      </c>
      <c r="M97" s="39">
        <f>'Data Entry Leverkusen'!AG97</f>
        <v>5632</v>
      </c>
      <c r="N97" s="39">
        <f>'Data Entry Leverkusen'!AJ97</f>
        <v>5632</v>
      </c>
      <c r="O97" s="39">
        <f>'Data Entry Leverkusen'!AM97</f>
        <v>5632</v>
      </c>
    </row>
    <row r="98" spans="2:15" ht="14" x14ac:dyDescent="0.15">
      <c r="B98" s="38" t="s">
        <v>66</v>
      </c>
      <c r="C98" s="39">
        <f>'Data Entry Leverkusen'!C98</f>
        <v>0</v>
      </c>
      <c r="D98" s="39">
        <f>'Data Entry Leverkusen'!F98</f>
        <v>0</v>
      </c>
      <c r="E98" s="39">
        <f>'Data Entry Leverkusen'!I98</f>
        <v>0</v>
      </c>
      <c r="F98" s="39">
        <f>'Data Entry Leverkusen'!L98</f>
        <v>0</v>
      </c>
      <c r="G98" s="39">
        <f>'Data Entry Leverkusen'!O98</f>
        <v>0</v>
      </c>
      <c r="H98" s="39">
        <f>'Data Entry Leverkusen'!R98</f>
        <v>0</v>
      </c>
      <c r="I98" s="39">
        <f>'Data Entry Leverkusen'!U98</f>
        <v>0</v>
      </c>
      <c r="J98" s="39">
        <f>'Data Entry Leverkusen'!X98</f>
        <v>0</v>
      </c>
      <c r="K98" s="39">
        <f>'Data Entry Leverkusen'!AA98</f>
        <v>0</v>
      </c>
      <c r="L98" s="39">
        <f>'Data Entry Leverkusen'!AD98</f>
        <v>0</v>
      </c>
      <c r="M98" s="39">
        <f>'Data Entry Leverkusen'!AG98</f>
        <v>0</v>
      </c>
      <c r="N98" s="39">
        <f>'Data Entry Leverkusen'!AJ98</f>
        <v>0</v>
      </c>
      <c r="O98" s="39">
        <f>'Data Entry Leverkusen'!AM98</f>
        <v>0</v>
      </c>
    </row>
    <row r="99" spans="2:15" ht="14" x14ac:dyDescent="0.15">
      <c r="B99" s="38" t="s">
        <v>67</v>
      </c>
      <c r="C99" s="39">
        <f>'Data Entry Leverkusen'!C99</f>
        <v>51762.1</v>
      </c>
      <c r="D99" s="39">
        <f>'Data Entry Leverkusen'!F99</f>
        <v>206.19</v>
      </c>
      <c r="E99" s="39">
        <f>'Data Entry Leverkusen'!I99</f>
        <v>3194.8</v>
      </c>
      <c r="F99" s="39">
        <f>'Data Entry Leverkusen'!L99</f>
        <v>1660.91</v>
      </c>
      <c r="G99" s="39">
        <f>'Data Entry Leverkusen'!O99</f>
        <v>1644.2</v>
      </c>
      <c r="H99" s="39">
        <f>'Data Entry Leverkusen'!R99</f>
        <v>5632</v>
      </c>
      <c r="I99" s="39">
        <f>'Data Entry Leverkusen'!U99</f>
        <v>5632</v>
      </c>
      <c r="J99" s="39">
        <f>'Data Entry Leverkusen'!X99</f>
        <v>5632</v>
      </c>
      <c r="K99" s="39">
        <f>'Data Entry Leverkusen'!AA99</f>
        <v>5632</v>
      </c>
      <c r="L99" s="39">
        <f>'Data Entry Leverkusen'!AD99</f>
        <v>5632</v>
      </c>
      <c r="M99" s="39">
        <f>'Data Entry Leverkusen'!AG99</f>
        <v>5632</v>
      </c>
      <c r="N99" s="39">
        <f>'Data Entry Leverkusen'!AJ99</f>
        <v>5632</v>
      </c>
      <c r="O99" s="39">
        <f>'Data Entry Leverkusen'!AM99</f>
        <v>5632</v>
      </c>
    </row>
    <row r="100" spans="2:15" x14ac:dyDescent="0.15">
      <c r="B100" s="40"/>
      <c r="C100" s="39">
        <f>'Data Entry Leverkusen'!C100</f>
        <v>0</v>
      </c>
      <c r="D100" s="39">
        <f>'Data Entry Leverkusen'!F100</f>
        <v>0</v>
      </c>
      <c r="E100" s="39">
        <f>'Data Entry Leverkusen'!I100</f>
        <v>0</v>
      </c>
      <c r="F100" s="39">
        <f>'Data Entry Leverkusen'!L100</f>
        <v>0</v>
      </c>
      <c r="G100" s="39">
        <f>'Data Entry Leverkusen'!O100</f>
        <v>0</v>
      </c>
      <c r="H100" s="39">
        <f>'Data Entry Leverkusen'!R100</f>
        <v>0</v>
      </c>
      <c r="I100" s="39">
        <f>'Data Entry Leverkusen'!U100</f>
        <v>0</v>
      </c>
      <c r="J100" s="39">
        <f>'Data Entry Leverkusen'!X100</f>
        <v>0</v>
      </c>
      <c r="K100" s="39">
        <f>'Data Entry Leverkusen'!AA100</f>
        <v>0</v>
      </c>
      <c r="L100" s="39">
        <f>'Data Entry Leverkusen'!AD100</f>
        <v>0</v>
      </c>
      <c r="M100" s="39">
        <f>'Data Entry Leverkusen'!AG100</f>
        <v>0</v>
      </c>
      <c r="N100" s="39">
        <f>'Data Entry Leverkusen'!AJ100</f>
        <v>0</v>
      </c>
      <c r="O100" s="39">
        <f>'Data Entry Leverkusen'!AM100</f>
        <v>0</v>
      </c>
    </row>
    <row r="101" spans="2:15" ht="28" x14ac:dyDescent="0.15">
      <c r="B101" s="42" t="s">
        <v>68</v>
      </c>
      <c r="C101" s="39">
        <f>'Data Entry Leverkusen'!C101</f>
        <v>30064.53</v>
      </c>
      <c r="D101" s="39">
        <f>'Data Entry Leverkusen'!F101</f>
        <v>22188.53</v>
      </c>
      <c r="E101" s="39">
        <f>'Data Entry Leverkusen'!I101</f>
        <v>716</v>
      </c>
      <c r="F101" s="39">
        <f>'Data Entry Leverkusen'!L101</f>
        <v>716</v>
      </c>
      <c r="G101" s="39">
        <f>'Data Entry Leverkusen'!O101</f>
        <v>716</v>
      </c>
      <c r="H101" s="39">
        <f>'Data Entry Leverkusen'!R101</f>
        <v>716</v>
      </c>
      <c r="I101" s="39">
        <f>'Data Entry Leverkusen'!U101</f>
        <v>716</v>
      </c>
      <c r="J101" s="39">
        <f>'Data Entry Leverkusen'!X101</f>
        <v>716</v>
      </c>
      <c r="K101" s="39">
        <f>'Data Entry Leverkusen'!AA101</f>
        <v>716</v>
      </c>
      <c r="L101" s="39">
        <f>'Data Entry Leverkusen'!AD101</f>
        <v>716</v>
      </c>
      <c r="M101" s="39">
        <f>'Data Entry Leverkusen'!AG101</f>
        <v>716</v>
      </c>
      <c r="N101" s="39">
        <f>'Data Entry Leverkusen'!AJ101</f>
        <v>716</v>
      </c>
      <c r="O101" s="39">
        <f>'Data Entry Leverkusen'!AM101</f>
        <v>716</v>
      </c>
    </row>
    <row r="102" spans="2:15" x14ac:dyDescent="0.15">
      <c r="B102" s="40"/>
      <c r="C102" s="39">
        <f>'Data Entry Leverkusen'!C102</f>
        <v>0</v>
      </c>
      <c r="D102" s="39">
        <f>'Data Entry Leverkusen'!F102</f>
        <v>0</v>
      </c>
      <c r="E102" s="39">
        <f>'Data Entry Leverkusen'!I102</f>
        <v>0</v>
      </c>
      <c r="F102" s="39">
        <f>'Data Entry Leverkusen'!L102</f>
        <v>0</v>
      </c>
      <c r="G102" s="39">
        <f>'Data Entry Leverkusen'!O102</f>
        <v>0</v>
      </c>
      <c r="H102" s="39">
        <f>'Data Entry Leverkusen'!R102</f>
        <v>0</v>
      </c>
      <c r="I102" s="39">
        <f>'Data Entry Leverkusen'!U102</f>
        <v>0</v>
      </c>
      <c r="J102" s="39">
        <f>'Data Entry Leverkusen'!X102</f>
        <v>0</v>
      </c>
      <c r="K102" s="39">
        <f>'Data Entry Leverkusen'!AA102</f>
        <v>0</v>
      </c>
      <c r="L102" s="39">
        <f>'Data Entry Leverkusen'!AD102</f>
        <v>0</v>
      </c>
      <c r="M102" s="39">
        <f>'Data Entry Leverkusen'!AG102</f>
        <v>0</v>
      </c>
      <c r="N102" s="39">
        <f>'Data Entry Leverkusen'!AJ102</f>
        <v>0</v>
      </c>
      <c r="O102" s="39">
        <f>'Data Entry Leverkusen'!AM102</f>
        <v>0</v>
      </c>
    </row>
    <row r="103" spans="2:15" ht="14" x14ac:dyDescent="0.15">
      <c r="B103" s="42" t="s">
        <v>69</v>
      </c>
      <c r="C103" s="39">
        <f>'Data Entry Leverkusen'!C103</f>
        <v>1903190.7504</v>
      </c>
      <c r="D103" s="39">
        <f>'Data Entry Leverkusen'!F103</f>
        <v>117295.56</v>
      </c>
      <c r="E103" s="39">
        <f>'Data Entry Leverkusen'!I103</f>
        <v>95535.62</v>
      </c>
      <c r="F103" s="39">
        <f>'Data Entry Leverkusen'!L103</f>
        <v>184839.45</v>
      </c>
      <c r="G103" s="39">
        <f>'Data Entry Leverkusen'!O103</f>
        <v>45827.16</v>
      </c>
      <c r="H103" s="39">
        <f>'Data Entry Leverkusen'!R103</f>
        <v>166198.7732</v>
      </c>
      <c r="I103" s="39">
        <f>'Data Entry Leverkusen'!U103</f>
        <v>158163.53320000001</v>
      </c>
      <c r="J103" s="39">
        <f>'Data Entry Leverkusen'!X103</f>
        <v>35605.650399999999</v>
      </c>
      <c r="K103" s="39">
        <f>'Data Entry Leverkusen'!AA103</f>
        <v>124083.4425</v>
      </c>
      <c r="L103" s="39">
        <f>'Data Entry Leverkusen'!AD103</f>
        <v>274829.37640000001</v>
      </c>
      <c r="M103" s="39">
        <f>'Data Entry Leverkusen'!AG103</f>
        <v>301381.13770000002</v>
      </c>
      <c r="N103" s="39">
        <f>'Data Entry Leverkusen'!AJ103</f>
        <v>242569.20670000001</v>
      </c>
      <c r="O103" s="39">
        <f>'Data Entry Leverkusen'!AM103</f>
        <v>156861.84030000001</v>
      </c>
    </row>
    <row r="104" spans="2:15" x14ac:dyDescent="0.15">
      <c r="B104" s="40"/>
      <c r="C104" s="39">
        <f>'Data Entry Leverkusen'!C104</f>
        <v>0</v>
      </c>
      <c r="D104" s="39">
        <f>'Data Entry Leverkusen'!F104</f>
        <v>0</v>
      </c>
      <c r="E104" s="39">
        <f>'Data Entry Leverkusen'!I104</f>
        <v>0</v>
      </c>
      <c r="F104" s="39">
        <f>'Data Entry Leverkusen'!L104</f>
        <v>0</v>
      </c>
      <c r="G104" s="39">
        <f>'Data Entry Leverkusen'!O104</f>
        <v>0</v>
      </c>
      <c r="H104" s="39">
        <f>'Data Entry Leverkusen'!R104</f>
        <v>0</v>
      </c>
      <c r="I104" s="39">
        <f>'Data Entry Leverkusen'!U104</f>
        <v>0</v>
      </c>
      <c r="J104" s="39">
        <f>'Data Entry Leverkusen'!X104</f>
        <v>0</v>
      </c>
      <c r="K104" s="39">
        <f>'Data Entry Leverkusen'!AA104</f>
        <v>0</v>
      </c>
      <c r="L104" s="39">
        <f>'Data Entry Leverkusen'!AD104</f>
        <v>0</v>
      </c>
      <c r="M104" s="39">
        <f>'Data Entry Leverkusen'!AG104</f>
        <v>0</v>
      </c>
      <c r="N104" s="39">
        <f>'Data Entry Leverkusen'!AJ104</f>
        <v>0</v>
      </c>
      <c r="O104" s="39">
        <f>'Data Entry Leverkusen'!AM104</f>
        <v>0</v>
      </c>
    </row>
    <row r="105" spans="2:15" ht="14" x14ac:dyDescent="0.15">
      <c r="B105" s="42" t="s">
        <v>70</v>
      </c>
      <c r="C105" s="39">
        <f>'Data Entry Leverkusen'!C105</f>
        <v>95313.36</v>
      </c>
      <c r="D105" s="39">
        <f>'Data Entry Leverkusen'!F105</f>
        <v>5661.08</v>
      </c>
      <c r="E105" s="39">
        <f>'Data Entry Leverkusen'!I105</f>
        <v>7661.08</v>
      </c>
      <c r="F105" s="39">
        <f>'Data Entry Leverkusen'!L105</f>
        <v>7661.08</v>
      </c>
      <c r="G105" s="39">
        <f>'Data Entry Leverkusen'!O105</f>
        <v>7661.08</v>
      </c>
      <c r="H105" s="39">
        <f>'Data Entry Leverkusen'!R105</f>
        <v>8333.6299999999992</v>
      </c>
      <c r="I105" s="39">
        <f>'Data Entry Leverkusen'!U105</f>
        <v>8333.6299999999992</v>
      </c>
      <c r="J105" s="39">
        <f>'Data Entry Leverkusen'!X105</f>
        <v>8333.6299999999992</v>
      </c>
      <c r="K105" s="39">
        <f>'Data Entry Leverkusen'!AA105</f>
        <v>8333.6299999999992</v>
      </c>
      <c r="L105" s="39">
        <f>'Data Entry Leverkusen'!AD105</f>
        <v>8333.6299999999992</v>
      </c>
      <c r="M105" s="39">
        <f>'Data Entry Leverkusen'!AG105</f>
        <v>8333.6299999999992</v>
      </c>
      <c r="N105" s="39">
        <f>'Data Entry Leverkusen'!AJ105</f>
        <v>8333.6299999999992</v>
      </c>
      <c r="O105" s="39">
        <f>'Data Entry Leverkusen'!AM105</f>
        <v>8333.6299999999992</v>
      </c>
    </row>
    <row r="106" spans="2:15" ht="14" x14ac:dyDescent="0.15">
      <c r="B106" s="38" t="s">
        <v>71</v>
      </c>
      <c r="C106" s="39">
        <f>'Data Entry Leverkusen'!C106</f>
        <v>20029.32</v>
      </c>
      <c r="D106" s="39">
        <f>'Data Entry Leverkusen'!F106</f>
        <v>1683.33</v>
      </c>
      <c r="E106" s="39">
        <f>'Data Entry Leverkusen'!I106</f>
        <v>1683.33</v>
      </c>
      <c r="F106" s="39">
        <f>'Data Entry Leverkusen'!L106</f>
        <v>1683.33</v>
      </c>
      <c r="G106" s="39">
        <f>'Data Entry Leverkusen'!O106</f>
        <v>1683.33</v>
      </c>
      <c r="H106" s="39">
        <f>'Data Entry Leverkusen'!R106</f>
        <v>1662</v>
      </c>
      <c r="I106" s="39">
        <f>'Data Entry Leverkusen'!U106</f>
        <v>1662</v>
      </c>
      <c r="J106" s="39">
        <f>'Data Entry Leverkusen'!X106</f>
        <v>1662</v>
      </c>
      <c r="K106" s="39">
        <f>'Data Entry Leverkusen'!AA106</f>
        <v>1662</v>
      </c>
      <c r="L106" s="39">
        <f>'Data Entry Leverkusen'!AD106</f>
        <v>1662</v>
      </c>
      <c r="M106" s="39">
        <f>'Data Entry Leverkusen'!AG106</f>
        <v>1662</v>
      </c>
      <c r="N106" s="39">
        <f>'Data Entry Leverkusen'!AJ106</f>
        <v>1662</v>
      </c>
      <c r="O106" s="39">
        <f>'Data Entry Leverkusen'!AM106</f>
        <v>1662</v>
      </c>
    </row>
    <row r="107" spans="2:15" ht="14" x14ac:dyDescent="0.15">
      <c r="B107" s="38" t="s">
        <v>72</v>
      </c>
      <c r="C107" s="39">
        <f>'Data Entry Leverkusen'!C107</f>
        <v>4496.08</v>
      </c>
      <c r="D107" s="39">
        <f>'Data Entry Leverkusen'!F107</f>
        <v>0</v>
      </c>
      <c r="E107" s="39">
        <f>'Data Entry Leverkusen'!I107</f>
        <v>0</v>
      </c>
      <c r="F107" s="39">
        <f>'Data Entry Leverkusen'!L107</f>
        <v>0</v>
      </c>
      <c r="G107" s="39">
        <f>'Data Entry Leverkusen'!O107</f>
        <v>0</v>
      </c>
      <c r="H107" s="39">
        <f>'Data Entry Leverkusen'!R107</f>
        <v>562.01</v>
      </c>
      <c r="I107" s="39">
        <f>'Data Entry Leverkusen'!U107</f>
        <v>562.01</v>
      </c>
      <c r="J107" s="39">
        <f>'Data Entry Leverkusen'!X107</f>
        <v>562.01</v>
      </c>
      <c r="K107" s="39">
        <f>'Data Entry Leverkusen'!AA107</f>
        <v>562.01</v>
      </c>
      <c r="L107" s="39">
        <f>'Data Entry Leverkusen'!AD107</f>
        <v>562.01</v>
      </c>
      <c r="M107" s="39">
        <f>'Data Entry Leverkusen'!AG107</f>
        <v>562.01</v>
      </c>
      <c r="N107" s="39">
        <f>'Data Entry Leverkusen'!AJ107</f>
        <v>562.01</v>
      </c>
      <c r="O107" s="39">
        <f>'Data Entry Leverkusen'!AM107</f>
        <v>562.01</v>
      </c>
    </row>
    <row r="108" spans="2:15" ht="14" x14ac:dyDescent="0.15">
      <c r="B108" s="38" t="s">
        <v>73</v>
      </c>
      <c r="C108" s="39">
        <f>'Data Entry Leverkusen'!C108</f>
        <v>22000</v>
      </c>
      <c r="D108" s="39">
        <f>'Data Entry Leverkusen'!F108</f>
        <v>0</v>
      </c>
      <c r="E108" s="39">
        <f>'Data Entry Leverkusen'!I108</f>
        <v>2000</v>
      </c>
      <c r="F108" s="39">
        <f>'Data Entry Leverkusen'!L108</f>
        <v>2000</v>
      </c>
      <c r="G108" s="39">
        <f>'Data Entry Leverkusen'!O108</f>
        <v>2000</v>
      </c>
      <c r="H108" s="39">
        <f>'Data Entry Leverkusen'!R108</f>
        <v>2000</v>
      </c>
      <c r="I108" s="39">
        <f>'Data Entry Leverkusen'!U108</f>
        <v>2000</v>
      </c>
      <c r="J108" s="39">
        <f>'Data Entry Leverkusen'!X108</f>
        <v>2000</v>
      </c>
      <c r="K108" s="39">
        <f>'Data Entry Leverkusen'!AA108</f>
        <v>2000</v>
      </c>
      <c r="L108" s="39">
        <f>'Data Entry Leverkusen'!AD108</f>
        <v>2000</v>
      </c>
      <c r="M108" s="39">
        <f>'Data Entry Leverkusen'!AG108</f>
        <v>2000</v>
      </c>
      <c r="N108" s="39">
        <f>'Data Entry Leverkusen'!AJ108</f>
        <v>2000</v>
      </c>
      <c r="O108" s="39">
        <f>'Data Entry Leverkusen'!AM108</f>
        <v>2000</v>
      </c>
    </row>
    <row r="109" spans="2:15" ht="14" x14ac:dyDescent="0.15">
      <c r="B109" s="38" t="s">
        <v>74</v>
      </c>
      <c r="C109" s="39">
        <f>'Data Entry Leverkusen'!C109</f>
        <v>4193</v>
      </c>
      <c r="D109" s="39">
        <f>'Data Entry Leverkusen'!F109</f>
        <v>352.75</v>
      </c>
      <c r="E109" s="39">
        <f>'Data Entry Leverkusen'!I109</f>
        <v>352.75</v>
      </c>
      <c r="F109" s="39">
        <f>'Data Entry Leverkusen'!L109</f>
        <v>352.75</v>
      </c>
      <c r="G109" s="39">
        <f>'Data Entry Leverkusen'!O109</f>
        <v>352.75</v>
      </c>
      <c r="H109" s="39">
        <f>'Data Entry Leverkusen'!R109</f>
        <v>347.75</v>
      </c>
      <c r="I109" s="39">
        <f>'Data Entry Leverkusen'!U109</f>
        <v>347.75</v>
      </c>
      <c r="J109" s="39">
        <f>'Data Entry Leverkusen'!X109</f>
        <v>347.75</v>
      </c>
      <c r="K109" s="39">
        <f>'Data Entry Leverkusen'!AA109</f>
        <v>347.75</v>
      </c>
      <c r="L109" s="39">
        <f>'Data Entry Leverkusen'!AD109</f>
        <v>347.75</v>
      </c>
      <c r="M109" s="39">
        <f>'Data Entry Leverkusen'!AG109</f>
        <v>347.75</v>
      </c>
      <c r="N109" s="39">
        <f>'Data Entry Leverkusen'!AJ109</f>
        <v>347.75</v>
      </c>
      <c r="O109" s="39">
        <f>'Data Entry Leverkusen'!AM109</f>
        <v>347.75</v>
      </c>
    </row>
    <row r="110" spans="2:15" ht="14" x14ac:dyDescent="0.15">
      <c r="B110" s="38" t="s">
        <v>75</v>
      </c>
      <c r="C110" s="39">
        <f>'Data Entry Leverkusen'!C110</f>
        <v>44594.96</v>
      </c>
      <c r="D110" s="39">
        <f>'Data Entry Leverkusen'!F110</f>
        <v>3625</v>
      </c>
      <c r="E110" s="39">
        <f>'Data Entry Leverkusen'!I110</f>
        <v>3625</v>
      </c>
      <c r="F110" s="39">
        <f>'Data Entry Leverkusen'!L110</f>
        <v>3625</v>
      </c>
      <c r="G110" s="39">
        <f>'Data Entry Leverkusen'!O110</f>
        <v>3625</v>
      </c>
      <c r="H110" s="39">
        <f>'Data Entry Leverkusen'!R110</f>
        <v>3761.87</v>
      </c>
      <c r="I110" s="39">
        <f>'Data Entry Leverkusen'!U110</f>
        <v>3761.87</v>
      </c>
      <c r="J110" s="39">
        <f>'Data Entry Leverkusen'!X110</f>
        <v>3761.87</v>
      </c>
      <c r="K110" s="39">
        <f>'Data Entry Leverkusen'!AA110</f>
        <v>3761.87</v>
      </c>
      <c r="L110" s="39">
        <f>'Data Entry Leverkusen'!AD110</f>
        <v>3761.87</v>
      </c>
      <c r="M110" s="39">
        <f>'Data Entry Leverkusen'!AG110</f>
        <v>3761.87</v>
      </c>
      <c r="N110" s="39">
        <f>'Data Entry Leverkusen'!AJ110</f>
        <v>3761.87</v>
      </c>
      <c r="O110" s="39">
        <f>'Data Entry Leverkusen'!AM110</f>
        <v>3761.87</v>
      </c>
    </row>
    <row r="111" spans="2:15" ht="14" x14ac:dyDescent="0.15">
      <c r="B111" s="38" t="s">
        <v>76</v>
      </c>
      <c r="C111" s="39">
        <f>'Data Entry Leverkusen'!C111</f>
        <v>0</v>
      </c>
      <c r="D111" s="39">
        <f>'Data Entry Leverkusen'!F111</f>
        <v>0</v>
      </c>
      <c r="E111" s="39">
        <f>'Data Entry Leverkusen'!I111</f>
        <v>0</v>
      </c>
      <c r="F111" s="39">
        <f>'Data Entry Leverkusen'!L111</f>
        <v>0</v>
      </c>
      <c r="G111" s="39">
        <f>'Data Entry Leverkusen'!O111</f>
        <v>0</v>
      </c>
      <c r="H111" s="39">
        <f>'Data Entry Leverkusen'!R111</f>
        <v>0</v>
      </c>
      <c r="I111" s="39">
        <f>'Data Entry Leverkusen'!U111</f>
        <v>0</v>
      </c>
      <c r="J111" s="39">
        <f>'Data Entry Leverkusen'!X111</f>
        <v>0</v>
      </c>
      <c r="K111" s="39">
        <f>'Data Entry Leverkusen'!AA111</f>
        <v>0</v>
      </c>
      <c r="L111" s="39">
        <f>'Data Entry Leverkusen'!AD111</f>
        <v>0</v>
      </c>
      <c r="M111" s="39">
        <f>'Data Entry Leverkusen'!AG111</f>
        <v>0</v>
      </c>
      <c r="N111" s="39">
        <f>'Data Entry Leverkusen'!AJ111</f>
        <v>0</v>
      </c>
      <c r="O111" s="39">
        <f>'Data Entry Leverkusen'!AM111</f>
        <v>0</v>
      </c>
    </row>
    <row r="112" spans="2:15" ht="14" x14ac:dyDescent="0.15">
      <c r="B112" s="38" t="s">
        <v>77</v>
      </c>
      <c r="C112" s="39">
        <f>'Data Entry Leverkusen'!C112</f>
        <v>0</v>
      </c>
      <c r="D112" s="39">
        <f>'Data Entry Leverkusen'!F112</f>
        <v>0</v>
      </c>
      <c r="E112" s="39">
        <f>'Data Entry Leverkusen'!I112</f>
        <v>0</v>
      </c>
      <c r="F112" s="39">
        <f>'Data Entry Leverkusen'!L112</f>
        <v>0</v>
      </c>
      <c r="G112" s="39">
        <f>'Data Entry Leverkusen'!O112</f>
        <v>0</v>
      </c>
      <c r="H112" s="39">
        <f>'Data Entry Leverkusen'!R112</f>
        <v>0</v>
      </c>
      <c r="I112" s="39">
        <f>'Data Entry Leverkusen'!U112</f>
        <v>0</v>
      </c>
      <c r="J112" s="39">
        <f>'Data Entry Leverkusen'!X112</f>
        <v>0</v>
      </c>
      <c r="K112" s="39">
        <f>'Data Entry Leverkusen'!AA112</f>
        <v>0</v>
      </c>
      <c r="L112" s="39">
        <f>'Data Entry Leverkusen'!AD112</f>
        <v>0</v>
      </c>
      <c r="M112" s="39">
        <f>'Data Entry Leverkusen'!AG112</f>
        <v>0</v>
      </c>
      <c r="N112" s="39">
        <f>'Data Entry Leverkusen'!AJ112</f>
        <v>0</v>
      </c>
      <c r="O112" s="39">
        <f>'Data Entry Leverkusen'!AM112</f>
        <v>0</v>
      </c>
    </row>
    <row r="113" spans="2:15" ht="14" x14ac:dyDescent="0.15">
      <c r="B113" s="38" t="s">
        <v>78</v>
      </c>
      <c r="C113" s="39">
        <f>'Data Entry Leverkusen'!C113</f>
        <v>0</v>
      </c>
      <c r="D113" s="39">
        <f>'Data Entry Leverkusen'!F113</f>
        <v>0</v>
      </c>
      <c r="E113" s="39">
        <f>'Data Entry Leverkusen'!I113</f>
        <v>0</v>
      </c>
      <c r="F113" s="39">
        <f>'Data Entry Leverkusen'!L113</f>
        <v>0</v>
      </c>
      <c r="G113" s="39">
        <f>'Data Entry Leverkusen'!O113</f>
        <v>0</v>
      </c>
      <c r="H113" s="39">
        <f>'Data Entry Leverkusen'!R113</f>
        <v>0</v>
      </c>
      <c r="I113" s="39">
        <f>'Data Entry Leverkusen'!U113</f>
        <v>0</v>
      </c>
      <c r="J113" s="39">
        <f>'Data Entry Leverkusen'!X113</f>
        <v>0</v>
      </c>
      <c r="K113" s="39">
        <f>'Data Entry Leverkusen'!AA113</f>
        <v>0</v>
      </c>
      <c r="L113" s="39">
        <f>'Data Entry Leverkusen'!AD113</f>
        <v>0</v>
      </c>
      <c r="M113" s="39">
        <f>'Data Entry Leverkusen'!AG113</f>
        <v>0</v>
      </c>
      <c r="N113" s="39">
        <f>'Data Entry Leverkusen'!AJ113</f>
        <v>0</v>
      </c>
      <c r="O113" s="39">
        <f>'Data Entry Leverkusen'!AM113</f>
        <v>0</v>
      </c>
    </row>
    <row r="114" spans="2:15" ht="14" x14ac:dyDescent="0.15">
      <c r="B114" s="38" t="s">
        <v>79</v>
      </c>
      <c r="C114" s="39">
        <f>'Data Entry Leverkusen'!C114</f>
        <v>0</v>
      </c>
      <c r="D114" s="39">
        <f>'Data Entry Leverkusen'!F114</f>
        <v>0</v>
      </c>
      <c r="E114" s="39">
        <f>'Data Entry Leverkusen'!I114</f>
        <v>0</v>
      </c>
      <c r="F114" s="39">
        <f>'Data Entry Leverkusen'!L114</f>
        <v>0</v>
      </c>
      <c r="G114" s="39">
        <f>'Data Entry Leverkusen'!O114</f>
        <v>0</v>
      </c>
      <c r="H114" s="39">
        <f>'Data Entry Leverkusen'!R114</f>
        <v>0</v>
      </c>
      <c r="I114" s="39">
        <f>'Data Entry Leverkusen'!U114</f>
        <v>0</v>
      </c>
      <c r="J114" s="39">
        <f>'Data Entry Leverkusen'!X114</f>
        <v>0</v>
      </c>
      <c r="K114" s="39">
        <f>'Data Entry Leverkusen'!AA114</f>
        <v>0</v>
      </c>
      <c r="L114" s="39">
        <f>'Data Entry Leverkusen'!AD114</f>
        <v>0</v>
      </c>
      <c r="M114" s="39">
        <f>'Data Entry Leverkusen'!AG114</f>
        <v>0</v>
      </c>
      <c r="N114" s="39">
        <f>'Data Entry Leverkusen'!AJ114</f>
        <v>0</v>
      </c>
      <c r="O114" s="39">
        <f>'Data Entry Leverkusen'!AM114</f>
        <v>0</v>
      </c>
    </row>
    <row r="115" spans="2:15" ht="14" x14ac:dyDescent="0.15">
      <c r="B115" s="38" t="s">
        <v>80</v>
      </c>
      <c r="C115" s="39">
        <f>'Data Entry Leverkusen'!C115</f>
        <v>0</v>
      </c>
      <c r="D115" s="39">
        <f>'Data Entry Leverkusen'!F115</f>
        <v>0</v>
      </c>
      <c r="E115" s="39">
        <f>'Data Entry Leverkusen'!I115</f>
        <v>0</v>
      </c>
      <c r="F115" s="39">
        <f>'Data Entry Leverkusen'!L115</f>
        <v>0</v>
      </c>
      <c r="G115" s="39">
        <f>'Data Entry Leverkusen'!O115</f>
        <v>0</v>
      </c>
      <c r="H115" s="39">
        <f>'Data Entry Leverkusen'!R115</f>
        <v>0</v>
      </c>
      <c r="I115" s="39">
        <f>'Data Entry Leverkusen'!U115</f>
        <v>0</v>
      </c>
      <c r="J115" s="39">
        <f>'Data Entry Leverkusen'!X115</f>
        <v>0</v>
      </c>
      <c r="K115" s="39">
        <f>'Data Entry Leverkusen'!AA115</f>
        <v>0</v>
      </c>
      <c r="L115" s="39">
        <f>'Data Entry Leverkusen'!AD115</f>
        <v>0</v>
      </c>
      <c r="M115" s="39">
        <f>'Data Entry Leverkusen'!AG115</f>
        <v>0</v>
      </c>
      <c r="N115" s="39">
        <f>'Data Entry Leverkusen'!AJ115</f>
        <v>0</v>
      </c>
      <c r="O115" s="39">
        <f>'Data Entry Leverkusen'!AM115</f>
        <v>0</v>
      </c>
    </row>
    <row r="116" spans="2:15" x14ac:dyDescent="0.15">
      <c r="B116" s="40"/>
      <c r="C116" s="39">
        <f>'Data Entry Leverkusen'!C116</f>
        <v>0</v>
      </c>
      <c r="D116" s="39">
        <f>'Data Entry Leverkusen'!F116</f>
        <v>0</v>
      </c>
      <c r="E116" s="39">
        <f>'Data Entry Leverkusen'!I116</f>
        <v>0</v>
      </c>
      <c r="F116" s="39">
        <f>'Data Entry Leverkusen'!L116</f>
        <v>0</v>
      </c>
      <c r="G116" s="39">
        <f>'Data Entry Leverkusen'!O116</f>
        <v>0</v>
      </c>
      <c r="H116" s="39">
        <f>'Data Entry Leverkusen'!R116</f>
        <v>0</v>
      </c>
      <c r="I116" s="39">
        <f>'Data Entry Leverkusen'!U116</f>
        <v>0</v>
      </c>
      <c r="J116" s="39">
        <f>'Data Entry Leverkusen'!X116</f>
        <v>0</v>
      </c>
      <c r="K116" s="39">
        <f>'Data Entry Leverkusen'!AA116</f>
        <v>0</v>
      </c>
      <c r="L116" s="39">
        <f>'Data Entry Leverkusen'!AD116</f>
        <v>0</v>
      </c>
      <c r="M116" s="39">
        <f>'Data Entry Leverkusen'!AG116</f>
        <v>0</v>
      </c>
      <c r="N116" s="39">
        <f>'Data Entry Leverkusen'!AJ116</f>
        <v>0</v>
      </c>
      <c r="O116" s="39">
        <f>'Data Entry Leverkusen'!AM116</f>
        <v>0</v>
      </c>
    </row>
    <row r="117" spans="2:15" ht="14" x14ac:dyDescent="0.15">
      <c r="B117" s="42" t="s">
        <v>81</v>
      </c>
      <c r="C117" s="39">
        <f>'Data Entry Leverkusen'!C117</f>
        <v>0</v>
      </c>
      <c r="D117" s="39">
        <f>'Data Entry Leverkusen'!F117</f>
        <v>0</v>
      </c>
      <c r="E117" s="39">
        <f>'Data Entry Leverkusen'!I117</f>
        <v>0</v>
      </c>
      <c r="F117" s="39">
        <f>'Data Entry Leverkusen'!L117</f>
        <v>0</v>
      </c>
      <c r="G117" s="39">
        <f>'Data Entry Leverkusen'!O117</f>
        <v>0</v>
      </c>
      <c r="H117" s="39">
        <f>'Data Entry Leverkusen'!R117</f>
        <v>0</v>
      </c>
      <c r="I117" s="39">
        <f>'Data Entry Leverkusen'!U117</f>
        <v>0</v>
      </c>
      <c r="J117" s="39">
        <f>'Data Entry Leverkusen'!X117</f>
        <v>0</v>
      </c>
      <c r="K117" s="39">
        <f>'Data Entry Leverkusen'!AA117</f>
        <v>0</v>
      </c>
      <c r="L117" s="39">
        <f>'Data Entry Leverkusen'!AD117</f>
        <v>0</v>
      </c>
      <c r="M117" s="39">
        <f>'Data Entry Leverkusen'!AG117</f>
        <v>0</v>
      </c>
      <c r="N117" s="39">
        <f>'Data Entry Leverkusen'!AJ117</f>
        <v>0</v>
      </c>
      <c r="O117" s="39">
        <f>'Data Entry Leverkusen'!AM117</f>
        <v>0</v>
      </c>
    </row>
    <row r="118" spans="2:15" ht="14" x14ac:dyDescent="0.15">
      <c r="B118" s="38" t="s">
        <v>82</v>
      </c>
      <c r="C118" s="39">
        <f>'Data Entry Leverkusen'!C118</f>
        <v>0</v>
      </c>
      <c r="D118" s="39">
        <f>'Data Entry Leverkusen'!F118</f>
        <v>0</v>
      </c>
      <c r="E118" s="39">
        <f>'Data Entry Leverkusen'!I118</f>
        <v>0</v>
      </c>
      <c r="F118" s="39">
        <f>'Data Entry Leverkusen'!L118</f>
        <v>0</v>
      </c>
      <c r="G118" s="39">
        <f>'Data Entry Leverkusen'!O118</f>
        <v>0</v>
      </c>
      <c r="H118" s="39">
        <f>'Data Entry Leverkusen'!R118</f>
        <v>0</v>
      </c>
      <c r="I118" s="39">
        <f>'Data Entry Leverkusen'!U118</f>
        <v>0</v>
      </c>
      <c r="J118" s="39">
        <f>'Data Entry Leverkusen'!X118</f>
        <v>0</v>
      </c>
      <c r="K118" s="39">
        <f>'Data Entry Leverkusen'!AA118</f>
        <v>0</v>
      </c>
      <c r="L118" s="39">
        <f>'Data Entry Leverkusen'!AD118</f>
        <v>0</v>
      </c>
      <c r="M118" s="39">
        <f>'Data Entry Leverkusen'!AG118</f>
        <v>0</v>
      </c>
      <c r="N118" s="39">
        <f>'Data Entry Leverkusen'!AJ118</f>
        <v>0</v>
      </c>
      <c r="O118" s="39">
        <f>'Data Entry Leverkusen'!AM118</f>
        <v>0</v>
      </c>
    </row>
    <row r="119" spans="2:15" ht="14" x14ac:dyDescent="0.15">
      <c r="B119" s="38" t="s">
        <v>83</v>
      </c>
      <c r="C119" s="39">
        <f>'Data Entry Leverkusen'!C119</f>
        <v>0</v>
      </c>
      <c r="D119" s="39">
        <f>'Data Entry Leverkusen'!F119</f>
        <v>0</v>
      </c>
      <c r="E119" s="39">
        <f>'Data Entry Leverkusen'!I119</f>
        <v>0</v>
      </c>
      <c r="F119" s="39">
        <f>'Data Entry Leverkusen'!L119</f>
        <v>0</v>
      </c>
      <c r="G119" s="39">
        <f>'Data Entry Leverkusen'!O119</f>
        <v>0</v>
      </c>
      <c r="H119" s="39">
        <f>'Data Entry Leverkusen'!R119</f>
        <v>0</v>
      </c>
      <c r="I119" s="39">
        <f>'Data Entry Leverkusen'!U119</f>
        <v>0</v>
      </c>
      <c r="J119" s="39">
        <f>'Data Entry Leverkusen'!X119</f>
        <v>0</v>
      </c>
      <c r="K119" s="39">
        <f>'Data Entry Leverkusen'!AA119</f>
        <v>0</v>
      </c>
      <c r="L119" s="39">
        <f>'Data Entry Leverkusen'!AD119</f>
        <v>0</v>
      </c>
      <c r="M119" s="39">
        <f>'Data Entry Leverkusen'!AG119</f>
        <v>0</v>
      </c>
      <c r="N119" s="39">
        <f>'Data Entry Leverkusen'!AJ119</f>
        <v>0</v>
      </c>
      <c r="O119" s="39">
        <f>'Data Entry Leverkusen'!AM119</f>
        <v>0</v>
      </c>
    </row>
    <row r="120" spans="2:15" x14ac:dyDescent="0.15">
      <c r="B120" s="40"/>
      <c r="C120" s="39">
        <f>'Data Entry Leverkusen'!C120</f>
        <v>0</v>
      </c>
      <c r="D120" s="39">
        <f>'Data Entry Leverkusen'!F120</f>
        <v>0</v>
      </c>
      <c r="E120" s="39">
        <f>'Data Entry Leverkusen'!I120</f>
        <v>0</v>
      </c>
      <c r="F120" s="39">
        <f>'Data Entry Leverkusen'!L120</f>
        <v>0</v>
      </c>
      <c r="G120" s="39">
        <f>'Data Entry Leverkusen'!O120</f>
        <v>0</v>
      </c>
      <c r="H120" s="39">
        <f>'Data Entry Leverkusen'!R120</f>
        <v>0</v>
      </c>
      <c r="I120" s="39">
        <f>'Data Entry Leverkusen'!U120</f>
        <v>0</v>
      </c>
      <c r="J120" s="39">
        <f>'Data Entry Leverkusen'!X120</f>
        <v>0</v>
      </c>
      <c r="K120" s="39">
        <f>'Data Entry Leverkusen'!AA120</f>
        <v>0</v>
      </c>
      <c r="L120" s="39">
        <f>'Data Entry Leverkusen'!AD120</f>
        <v>0</v>
      </c>
      <c r="M120" s="39">
        <f>'Data Entry Leverkusen'!AG120</f>
        <v>0</v>
      </c>
      <c r="N120" s="39">
        <f>'Data Entry Leverkusen'!AJ120</f>
        <v>0</v>
      </c>
      <c r="O120" s="39">
        <f>'Data Entry Leverkusen'!AM120</f>
        <v>0</v>
      </c>
    </row>
    <row r="121" spans="2:15" ht="14" x14ac:dyDescent="0.15">
      <c r="B121" s="42" t="s">
        <v>84</v>
      </c>
      <c r="C121" s="39">
        <f>'Data Entry Leverkusen'!C121</f>
        <v>1807877.3903999999</v>
      </c>
      <c r="D121" s="39">
        <f>'Data Entry Leverkusen'!F121</f>
        <v>111634.48</v>
      </c>
      <c r="E121" s="39">
        <f>'Data Entry Leverkusen'!I121</f>
        <v>87874.54</v>
      </c>
      <c r="F121" s="39">
        <f>'Data Entry Leverkusen'!L121</f>
        <v>177178.37</v>
      </c>
      <c r="G121" s="39">
        <f>'Data Entry Leverkusen'!O121</f>
        <v>38166.080000000002</v>
      </c>
      <c r="H121" s="39">
        <f>'Data Entry Leverkusen'!R121</f>
        <v>157865.14319999999</v>
      </c>
      <c r="I121" s="39">
        <f>'Data Entry Leverkusen'!U121</f>
        <v>149829.9032</v>
      </c>
      <c r="J121" s="39">
        <f>'Data Entry Leverkusen'!X121</f>
        <v>27272.020400000001</v>
      </c>
      <c r="K121" s="39">
        <f>'Data Entry Leverkusen'!AA121</f>
        <v>115749.8125</v>
      </c>
      <c r="L121" s="39">
        <f>'Data Entry Leverkusen'!AD121</f>
        <v>266495.7464</v>
      </c>
      <c r="M121" s="39">
        <f>'Data Entry Leverkusen'!AG121</f>
        <v>293047.50770000002</v>
      </c>
      <c r="N121" s="39">
        <f>'Data Entry Leverkusen'!AJ121</f>
        <v>234235.57670000001</v>
      </c>
      <c r="O121" s="39">
        <f>'Data Entry Leverkusen'!AM121</f>
        <v>148528.21030000001</v>
      </c>
    </row>
    <row r="122" spans="2:15" ht="14" x14ac:dyDescent="0.15">
      <c r="B122" s="38" t="s">
        <v>85</v>
      </c>
      <c r="C122" s="39">
        <f>'Data Entry Leverkusen'!C122</f>
        <v>67857.386499999993</v>
      </c>
      <c r="D122" s="39">
        <f>'Data Entry Leverkusen'!F122</f>
        <v>0</v>
      </c>
      <c r="E122" s="39">
        <f>'Data Entry Leverkusen'!I122</f>
        <v>5797.92</v>
      </c>
      <c r="F122" s="39">
        <f>'Data Entry Leverkusen'!L122</f>
        <v>5797.92</v>
      </c>
      <c r="G122" s="39">
        <f>'Data Entry Leverkusen'!O122</f>
        <v>5797.92</v>
      </c>
      <c r="H122" s="39">
        <f>'Data Entry Leverkusen'!R122</f>
        <v>5861.2757000000001</v>
      </c>
      <c r="I122" s="39">
        <f>'Data Entry Leverkusen'!U122</f>
        <v>5768.4854999999998</v>
      </c>
      <c r="J122" s="39">
        <f>'Data Entry Leverkusen'!X122</f>
        <v>4075.6653000000001</v>
      </c>
      <c r="K122" s="39">
        <f>'Data Entry Leverkusen'!AA122</f>
        <v>5461.1179000000002</v>
      </c>
      <c r="L122" s="39">
        <f>'Data Entry Leverkusen'!AD122</f>
        <v>7645.2420000000002</v>
      </c>
      <c r="M122" s="39">
        <f>'Data Entry Leverkusen'!AG122</f>
        <v>8175.8594000000003</v>
      </c>
      <c r="N122" s="39">
        <f>'Data Entry Leverkusen'!AJ122</f>
        <v>7522.8896999999997</v>
      </c>
      <c r="O122" s="39">
        <f>'Data Entry Leverkusen'!AM122</f>
        <v>5953.0910000000003</v>
      </c>
    </row>
    <row r="123" spans="2:15" x14ac:dyDescent="0.15">
      <c r="B123" s="40"/>
      <c r="C123" s="39">
        <f>'Data Entry Leverkusen'!C123</f>
        <v>0</v>
      </c>
      <c r="D123" s="39">
        <f>'Data Entry Leverkusen'!F123</f>
        <v>0</v>
      </c>
      <c r="E123" s="39">
        <f>'Data Entry Leverkusen'!I123</f>
        <v>0</v>
      </c>
      <c r="F123" s="39">
        <f>'Data Entry Leverkusen'!L123</f>
        <v>0</v>
      </c>
      <c r="G123" s="39">
        <f>'Data Entry Leverkusen'!O123</f>
        <v>0</v>
      </c>
      <c r="H123" s="39">
        <f>'Data Entry Leverkusen'!R123</f>
        <v>0</v>
      </c>
      <c r="I123" s="39">
        <f>'Data Entry Leverkusen'!U123</f>
        <v>0</v>
      </c>
      <c r="J123" s="39">
        <f>'Data Entry Leverkusen'!X123</f>
        <v>0</v>
      </c>
      <c r="K123" s="39">
        <f>'Data Entry Leverkusen'!AA123</f>
        <v>0</v>
      </c>
      <c r="L123" s="39">
        <f>'Data Entry Leverkusen'!AD123</f>
        <v>0</v>
      </c>
      <c r="M123" s="39">
        <f>'Data Entry Leverkusen'!AG123</f>
        <v>0</v>
      </c>
      <c r="N123" s="39">
        <f>'Data Entry Leverkusen'!AJ123</f>
        <v>0</v>
      </c>
      <c r="O123" s="39">
        <f>'Data Entry Leverkusen'!AM123</f>
        <v>0</v>
      </c>
    </row>
    <row r="124" spans="2:15" ht="14" x14ac:dyDescent="0.15">
      <c r="B124" s="42" t="s">
        <v>86</v>
      </c>
      <c r="C124" s="39">
        <f>'Data Entry Leverkusen'!C124</f>
        <v>1740020.0038999999</v>
      </c>
      <c r="D124" s="39">
        <f>'Data Entry Leverkusen'!F124</f>
        <v>111634.48</v>
      </c>
      <c r="E124" s="39">
        <f>'Data Entry Leverkusen'!I124</f>
        <v>82076.62</v>
      </c>
      <c r="F124" s="39">
        <f>'Data Entry Leverkusen'!L124</f>
        <v>171380.45</v>
      </c>
      <c r="G124" s="39">
        <f>'Data Entry Leverkusen'!O124</f>
        <v>32368.16</v>
      </c>
      <c r="H124" s="39">
        <f>'Data Entry Leverkusen'!R124</f>
        <v>152003.8676</v>
      </c>
      <c r="I124" s="39">
        <f>'Data Entry Leverkusen'!U124</f>
        <v>144061.41769999999</v>
      </c>
      <c r="J124" s="39">
        <f>'Data Entry Leverkusen'!X124</f>
        <v>23196.355100000001</v>
      </c>
      <c r="K124" s="39">
        <f>'Data Entry Leverkusen'!AA124</f>
        <v>110288.6946</v>
      </c>
      <c r="L124" s="39">
        <f>'Data Entry Leverkusen'!AD124</f>
        <v>258850.50440000001</v>
      </c>
      <c r="M124" s="39">
        <f>'Data Entry Leverkusen'!AG124</f>
        <v>284871.6483</v>
      </c>
      <c r="N124" s="39">
        <f>'Data Entry Leverkusen'!AJ124</f>
        <v>226712.6869</v>
      </c>
      <c r="O124" s="39">
        <f>'Data Entry Leverkusen'!AM124</f>
        <v>142575.11929999999</v>
      </c>
    </row>
    <row r="125" spans="2:15" ht="14" x14ac:dyDescent="0.15">
      <c r="B125" s="38" t="s">
        <v>87</v>
      </c>
      <c r="C125" s="39">
        <f>'Data Entry Leverkusen'!C125</f>
        <v>0</v>
      </c>
      <c r="D125" s="39">
        <f>'Data Entry Leverkusen'!F125</f>
        <v>0</v>
      </c>
      <c r="E125" s="39">
        <f>'Data Entry Leverkusen'!I125</f>
        <v>0</v>
      </c>
      <c r="F125" s="39">
        <f>'Data Entry Leverkusen'!L125</f>
        <v>0</v>
      </c>
      <c r="G125" s="39">
        <f>'Data Entry Leverkusen'!O125</f>
        <v>0</v>
      </c>
      <c r="H125" s="39">
        <f>'Data Entry Leverkusen'!R125</f>
        <v>0</v>
      </c>
      <c r="I125" s="39">
        <f>'Data Entry Leverkusen'!U125</f>
        <v>0</v>
      </c>
      <c r="J125" s="39">
        <f>'Data Entry Leverkusen'!X125</f>
        <v>0</v>
      </c>
      <c r="K125" s="39">
        <f>'Data Entry Leverkusen'!AA125</f>
        <v>0</v>
      </c>
      <c r="L125" s="39">
        <f>'Data Entry Leverkusen'!AD125</f>
        <v>0</v>
      </c>
      <c r="M125" s="39">
        <f>'Data Entry Leverkusen'!AG125</f>
        <v>0</v>
      </c>
      <c r="N125" s="39">
        <f>'Data Entry Leverkusen'!AJ125</f>
        <v>0</v>
      </c>
      <c r="O125" s="39">
        <f>'Data Entry Leverkusen'!AM125</f>
        <v>0</v>
      </c>
    </row>
    <row r="126" spans="2:15" x14ac:dyDescent="0.15">
      <c r="B126" s="40"/>
      <c r="C126" s="39">
        <f>'Data Entry Leverkusen'!C126</f>
        <v>0</v>
      </c>
      <c r="D126" s="39">
        <f>'Data Entry Leverkusen'!F126</f>
        <v>0</v>
      </c>
      <c r="E126" s="39">
        <f>'Data Entry Leverkusen'!I126</f>
        <v>0</v>
      </c>
      <c r="F126" s="39">
        <f>'Data Entry Leverkusen'!L126</f>
        <v>0</v>
      </c>
      <c r="G126" s="39">
        <f>'Data Entry Leverkusen'!O126</f>
        <v>0</v>
      </c>
      <c r="H126" s="39">
        <f>'Data Entry Leverkusen'!R126</f>
        <v>0</v>
      </c>
      <c r="I126" s="39">
        <f>'Data Entry Leverkusen'!U126</f>
        <v>0</v>
      </c>
      <c r="J126" s="39">
        <f>'Data Entry Leverkusen'!X126</f>
        <v>0</v>
      </c>
      <c r="K126" s="39">
        <f>'Data Entry Leverkusen'!AA126</f>
        <v>0</v>
      </c>
      <c r="L126" s="39">
        <f>'Data Entry Leverkusen'!AD126</f>
        <v>0</v>
      </c>
      <c r="M126" s="39">
        <f>'Data Entry Leverkusen'!AG126</f>
        <v>0</v>
      </c>
      <c r="N126" s="39">
        <f>'Data Entry Leverkusen'!AJ126</f>
        <v>0</v>
      </c>
      <c r="O126" s="39">
        <f>'Data Entry Leverkusen'!AM126</f>
        <v>0</v>
      </c>
    </row>
    <row r="127" spans="2:15" ht="14" x14ac:dyDescent="0.15">
      <c r="B127" s="42" t="s">
        <v>88</v>
      </c>
      <c r="C127" s="39">
        <f>'Data Entry Leverkusen'!C127</f>
        <v>1740020.0038999999</v>
      </c>
      <c r="D127" s="39">
        <f>'Data Entry Leverkusen'!F127</f>
        <v>111634.48</v>
      </c>
      <c r="E127" s="39">
        <f>'Data Entry Leverkusen'!I127</f>
        <v>82076.62</v>
      </c>
      <c r="F127" s="39">
        <f>'Data Entry Leverkusen'!L127</f>
        <v>171380.45</v>
      </c>
      <c r="G127" s="39">
        <f>'Data Entry Leverkusen'!O127</f>
        <v>32368.16</v>
      </c>
      <c r="H127" s="39">
        <f>'Data Entry Leverkusen'!R127</f>
        <v>152003.8676</v>
      </c>
      <c r="I127" s="39">
        <f>'Data Entry Leverkusen'!U127</f>
        <v>144061.41769999999</v>
      </c>
      <c r="J127" s="39">
        <f>'Data Entry Leverkusen'!X127</f>
        <v>23196.355100000001</v>
      </c>
      <c r="K127" s="39">
        <f>'Data Entry Leverkusen'!AA127</f>
        <v>110288.6946</v>
      </c>
      <c r="L127" s="39">
        <f>'Data Entry Leverkusen'!AD127</f>
        <v>258850.50440000001</v>
      </c>
      <c r="M127" s="39">
        <f>'Data Entry Leverkusen'!AG127</f>
        <v>284871.6483</v>
      </c>
      <c r="N127" s="39">
        <f>'Data Entry Leverkusen'!AJ127</f>
        <v>226712.6869</v>
      </c>
      <c r="O127" s="39">
        <f>'Data Entry Leverkusen'!AM127</f>
        <v>142575.11929999999</v>
      </c>
    </row>
    <row r="128" spans="2:15" x14ac:dyDescent="0.15">
      <c r="B128" s="40"/>
      <c r="C128" s="39">
        <f>'Data Entry Leverkusen'!C128</f>
        <v>0</v>
      </c>
      <c r="D128" s="39">
        <f>'Data Entry Leverkusen'!F128</f>
        <v>0</v>
      </c>
      <c r="E128" s="39">
        <f>'Data Entry Leverkusen'!I128</f>
        <v>0</v>
      </c>
      <c r="F128" s="39">
        <f>'Data Entry Leverkusen'!L128</f>
        <v>0</v>
      </c>
      <c r="G128" s="39">
        <f>'Data Entry Leverkusen'!O128</f>
        <v>0</v>
      </c>
      <c r="H128" s="39">
        <f>'Data Entry Leverkusen'!R128</f>
        <v>0</v>
      </c>
      <c r="I128" s="39">
        <f>'Data Entry Leverkusen'!U128</f>
        <v>0</v>
      </c>
      <c r="J128" s="39">
        <f>'Data Entry Leverkusen'!X128</f>
        <v>0</v>
      </c>
      <c r="K128" s="39">
        <f>'Data Entry Leverkusen'!AA128</f>
        <v>0</v>
      </c>
      <c r="L128" s="39">
        <f>'Data Entry Leverkusen'!AD128</f>
        <v>0</v>
      </c>
      <c r="M128" s="39">
        <f>'Data Entry Leverkusen'!AG128</f>
        <v>0</v>
      </c>
      <c r="N128" s="39">
        <f>'Data Entry Leverkusen'!AJ128</f>
        <v>0</v>
      </c>
      <c r="O128" s="39">
        <f>'Data Entry Leverkusen'!AM128</f>
        <v>0</v>
      </c>
    </row>
    <row r="129" spans="2:15" ht="14" x14ac:dyDescent="0.15">
      <c r="B129" s="42" t="s">
        <v>89</v>
      </c>
      <c r="C129" s="39">
        <f>'Data Entry Leverkusen'!C129</f>
        <v>141098.70850000001</v>
      </c>
      <c r="D129" s="39">
        <f>'Data Entry Leverkusen'!F129</f>
        <v>13188.94</v>
      </c>
      <c r="E129" s="39">
        <f>'Data Entry Leverkusen'!I129</f>
        <v>13287.04</v>
      </c>
      <c r="F129" s="39">
        <f>'Data Entry Leverkusen'!L129</f>
        <v>15399.66</v>
      </c>
      <c r="G129" s="39">
        <f>'Data Entry Leverkusen'!O129</f>
        <v>11460.24</v>
      </c>
      <c r="H129" s="39">
        <f>'Data Entry Leverkusen'!R129</f>
        <v>10193.5229</v>
      </c>
      <c r="I129" s="39">
        <f>'Data Entry Leverkusen'!U129</f>
        <v>10032.148800000001</v>
      </c>
      <c r="J129" s="39">
        <f>'Data Entry Leverkusen'!X129</f>
        <v>7088.1135000000004</v>
      </c>
      <c r="K129" s="39">
        <f>'Data Entry Leverkusen'!AA129</f>
        <v>9497.5962999999992</v>
      </c>
      <c r="L129" s="39">
        <f>'Data Entry Leverkusen'!AD129</f>
        <v>13296.073</v>
      </c>
      <c r="M129" s="39">
        <f>'Data Entry Leverkusen'!AG129</f>
        <v>14218.885899999999</v>
      </c>
      <c r="N129" s="39">
        <f>'Data Entry Leverkusen'!AJ129</f>
        <v>13083.286400000001</v>
      </c>
      <c r="O129" s="39">
        <f>'Data Entry Leverkusen'!AM129</f>
        <v>10353.2017</v>
      </c>
    </row>
    <row r="130" spans="2:15" ht="14" x14ac:dyDescent="0.15">
      <c r="B130" s="38" t="s">
        <v>90</v>
      </c>
      <c r="C130" s="39">
        <f>'Data Entry Leverkusen'!C130</f>
        <v>141098.70850000001</v>
      </c>
      <c r="D130" s="39">
        <f>'Data Entry Leverkusen'!F130</f>
        <v>13188.94</v>
      </c>
      <c r="E130" s="39">
        <f>'Data Entry Leverkusen'!I130</f>
        <v>13287.04</v>
      </c>
      <c r="F130" s="39">
        <f>'Data Entry Leverkusen'!L130</f>
        <v>15399.66</v>
      </c>
      <c r="G130" s="39">
        <f>'Data Entry Leverkusen'!O130</f>
        <v>11460.24</v>
      </c>
      <c r="H130" s="39">
        <f>'Data Entry Leverkusen'!R130</f>
        <v>10193.5229</v>
      </c>
      <c r="I130" s="39">
        <f>'Data Entry Leverkusen'!U130</f>
        <v>10032.148800000001</v>
      </c>
      <c r="J130" s="39">
        <f>'Data Entry Leverkusen'!X130</f>
        <v>7088.1135000000004</v>
      </c>
      <c r="K130" s="39">
        <f>'Data Entry Leverkusen'!AA130</f>
        <v>9497.5962999999992</v>
      </c>
      <c r="L130" s="39">
        <f>'Data Entry Leverkusen'!AD130</f>
        <v>13296.073</v>
      </c>
      <c r="M130" s="39">
        <f>'Data Entry Leverkusen'!AG130</f>
        <v>14218.885899999999</v>
      </c>
      <c r="N130" s="39">
        <f>'Data Entry Leverkusen'!AJ130</f>
        <v>13083.286400000001</v>
      </c>
      <c r="O130" s="39">
        <f>'Data Entry Leverkusen'!AM130</f>
        <v>10353.2017</v>
      </c>
    </row>
    <row r="131" spans="2:15" ht="14" x14ac:dyDescent="0.15">
      <c r="B131" s="38" t="s">
        <v>91</v>
      </c>
      <c r="C131" s="39">
        <f>'Data Entry Leverkusen'!C131</f>
        <v>0</v>
      </c>
      <c r="D131" s="39">
        <f>'Data Entry Leverkusen'!F131</f>
        <v>0</v>
      </c>
      <c r="E131" s="39">
        <f>'Data Entry Leverkusen'!I131</f>
        <v>0</v>
      </c>
      <c r="F131" s="39">
        <f>'Data Entry Leverkusen'!L131</f>
        <v>0</v>
      </c>
      <c r="G131" s="39">
        <f>'Data Entry Leverkusen'!O131</f>
        <v>0</v>
      </c>
      <c r="H131" s="39">
        <f>'Data Entry Leverkusen'!R131</f>
        <v>0</v>
      </c>
      <c r="I131" s="39">
        <f>'Data Entry Leverkusen'!U131</f>
        <v>0</v>
      </c>
      <c r="J131" s="39">
        <f>'Data Entry Leverkusen'!X131</f>
        <v>0</v>
      </c>
      <c r="K131" s="39">
        <f>'Data Entry Leverkusen'!AA131</f>
        <v>0</v>
      </c>
      <c r="L131" s="39">
        <f>'Data Entry Leverkusen'!AD131</f>
        <v>0</v>
      </c>
      <c r="M131" s="39">
        <f>'Data Entry Leverkusen'!AG131</f>
        <v>0</v>
      </c>
      <c r="N131" s="39">
        <f>'Data Entry Leverkusen'!AJ131</f>
        <v>0</v>
      </c>
      <c r="O131" s="39">
        <f>'Data Entry Leverkusen'!AM131</f>
        <v>0</v>
      </c>
    </row>
    <row r="132" spans="2:15" ht="14" x14ac:dyDescent="0.15">
      <c r="B132" s="38" t="s">
        <v>92</v>
      </c>
      <c r="C132" s="39">
        <f>'Data Entry Leverkusen'!C132</f>
        <v>0</v>
      </c>
      <c r="D132" s="39">
        <f>'Data Entry Leverkusen'!F132</f>
        <v>0</v>
      </c>
      <c r="E132" s="39">
        <f>'Data Entry Leverkusen'!I132</f>
        <v>0</v>
      </c>
      <c r="F132" s="39">
        <f>'Data Entry Leverkusen'!L132</f>
        <v>0</v>
      </c>
      <c r="G132" s="39">
        <f>'Data Entry Leverkusen'!O132</f>
        <v>0</v>
      </c>
      <c r="H132" s="39">
        <f>'Data Entry Leverkusen'!R132</f>
        <v>0</v>
      </c>
      <c r="I132" s="39">
        <f>'Data Entry Leverkusen'!U132</f>
        <v>0</v>
      </c>
      <c r="J132" s="39">
        <f>'Data Entry Leverkusen'!X132</f>
        <v>0</v>
      </c>
      <c r="K132" s="39">
        <f>'Data Entry Leverkusen'!AA132</f>
        <v>0</v>
      </c>
      <c r="L132" s="39">
        <f>'Data Entry Leverkusen'!AD132</f>
        <v>0</v>
      </c>
      <c r="M132" s="39">
        <f>'Data Entry Leverkusen'!AG132</f>
        <v>0</v>
      </c>
      <c r="N132" s="39">
        <f>'Data Entry Leverkusen'!AJ132</f>
        <v>0</v>
      </c>
      <c r="O132" s="39">
        <f>'Data Entry Leverkusen'!AM132</f>
        <v>0</v>
      </c>
    </row>
    <row r="133" spans="2:15" x14ac:dyDescent="0.15">
      <c r="B133" s="40"/>
      <c r="C133" s="39">
        <f>'Data Entry Leverkusen'!C133</f>
        <v>0</v>
      </c>
      <c r="D133" s="39">
        <f>'Data Entry Leverkusen'!F133</f>
        <v>0</v>
      </c>
      <c r="E133" s="39">
        <f>'Data Entry Leverkusen'!I133</f>
        <v>0</v>
      </c>
      <c r="F133" s="39">
        <f>'Data Entry Leverkusen'!L133</f>
        <v>0</v>
      </c>
      <c r="G133" s="39">
        <f>'Data Entry Leverkusen'!O133</f>
        <v>0</v>
      </c>
      <c r="H133" s="39">
        <f>'Data Entry Leverkusen'!R133</f>
        <v>0</v>
      </c>
      <c r="I133" s="39">
        <f>'Data Entry Leverkusen'!U133</f>
        <v>0</v>
      </c>
      <c r="J133" s="39">
        <f>'Data Entry Leverkusen'!X133</f>
        <v>0</v>
      </c>
      <c r="K133" s="39">
        <f>'Data Entry Leverkusen'!AA133</f>
        <v>0</v>
      </c>
      <c r="L133" s="39">
        <f>'Data Entry Leverkusen'!AD133</f>
        <v>0</v>
      </c>
      <c r="M133" s="39">
        <f>'Data Entry Leverkusen'!AG133</f>
        <v>0</v>
      </c>
      <c r="N133" s="39">
        <f>'Data Entry Leverkusen'!AJ133</f>
        <v>0</v>
      </c>
      <c r="O133" s="39">
        <f>'Data Entry Leverkusen'!AM133</f>
        <v>0</v>
      </c>
    </row>
    <row r="134" spans="2:15" ht="14" x14ac:dyDescent="0.15">
      <c r="B134" s="42" t="s">
        <v>93</v>
      </c>
      <c r="C134" s="39">
        <f>'Data Entry Leverkusen'!C134</f>
        <v>1598921.2953000001</v>
      </c>
      <c r="D134" s="39">
        <f>'Data Entry Leverkusen'!F134</f>
        <v>98445.54</v>
      </c>
      <c r="E134" s="39">
        <f>'Data Entry Leverkusen'!I134</f>
        <v>68789.58</v>
      </c>
      <c r="F134" s="39">
        <f>'Data Entry Leverkusen'!L134</f>
        <v>155980.79</v>
      </c>
      <c r="G134" s="39">
        <f>'Data Entry Leverkusen'!O134</f>
        <v>20907.919999999998</v>
      </c>
      <c r="H134" s="39">
        <f>'Data Entry Leverkusen'!R134</f>
        <v>141810.34469999999</v>
      </c>
      <c r="I134" s="39">
        <f>'Data Entry Leverkusen'!U134</f>
        <v>134029.2689</v>
      </c>
      <c r="J134" s="39">
        <f>'Data Entry Leverkusen'!X134</f>
        <v>16108.241599999999</v>
      </c>
      <c r="K134" s="39">
        <f>'Data Entry Leverkusen'!AA134</f>
        <v>100791.0983</v>
      </c>
      <c r="L134" s="39">
        <f>'Data Entry Leverkusen'!AD134</f>
        <v>245554.4314</v>
      </c>
      <c r="M134" s="39">
        <f>'Data Entry Leverkusen'!AG134</f>
        <v>270652.7623</v>
      </c>
      <c r="N134" s="39">
        <f>'Data Entry Leverkusen'!AJ134</f>
        <v>213629.40049999999</v>
      </c>
      <c r="O134" s="39">
        <f>'Data Entry Leverkusen'!AM134</f>
        <v>132221.91759999999</v>
      </c>
    </row>
    <row r="135" spans="2:15" x14ac:dyDescent="0.15">
      <c r="B135" s="40"/>
      <c r="C135" s="39">
        <f>'Data Entry Leverkusen'!C135</f>
        <v>0</v>
      </c>
      <c r="D135" s="39">
        <f>'Data Entry Leverkusen'!F135</f>
        <v>0</v>
      </c>
      <c r="E135" s="39">
        <f>'Data Entry Leverkusen'!I135</f>
        <v>0</v>
      </c>
      <c r="F135" s="39">
        <f>'Data Entry Leverkusen'!L135</f>
        <v>0</v>
      </c>
      <c r="G135" s="39">
        <f>'Data Entry Leverkusen'!O135</f>
        <v>0</v>
      </c>
      <c r="H135" s="39">
        <f>'Data Entry Leverkusen'!R135</f>
        <v>0</v>
      </c>
      <c r="I135" s="39">
        <f>'Data Entry Leverkusen'!U135</f>
        <v>0</v>
      </c>
      <c r="J135" s="39">
        <f>'Data Entry Leverkusen'!X135</f>
        <v>0</v>
      </c>
      <c r="K135" s="39">
        <f>'Data Entry Leverkusen'!AA135</f>
        <v>0</v>
      </c>
      <c r="L135" s="39">
        <f>'Data Entry Leverkusen'!AD135</f>
        <v>0</v>
      </c>
      <c r="M135" s="39">
        <f>'Data Entry Leverkusen'!AG135</f>
        <v>0</v>
      </c>
      <c r="N135" s="39">
        <f>'Data Entry Leverkusen'!AJ135</f>
        <v>0</v>
      </c>
      <c r="O135" s="39">
        <f>'Data Entry Leverkusen'!AM135</f>
        <v>0</v>
      </c>
    </row>
    <row r="136" spans="2:15" ht="14" x14ac:dyDescent="0.15">
      <c r="B136" s="42" t="s">
        <v>94</v>
      </c>
      <c r="C136" s="39">
        <f>'Data Entry Leverkusen'!C136</f>
        <v>1059209.8</v>
      </c>
      <c r="D136" s="39">
        <f>'Data Entry Leverkusen'!F136</f>
        <v>86793.38</v>
      </c>
      <c r="E136" s="39">
        <f>'Data Entry Leverkusen'!I136</f>
        <v>86793.38</v>
      </c>
      <c r="F136" s="39">
        <f>'Data Entry Leverkusen'!L136</f>
        <v>88000</v>
      </c>
      <c r="G136" s="39">
        <f>'Data Entry Leverkusen'!O136</f>
        <v>88000</v>
      </c>
      <c r="H136" s="39">
        <f>'Data Entry Leverkusen'!R136</f>
        <v>88702.88</v>
      </c>
      <c r="I136" s="39">
        <f>'Data Entry Leverkusen'!U136</f>
        <v>88702.88</v>
      </c>
      <c r="J136" s="39">
        <f>'Data Entry Leverkusen'!X136</f>
        <v>88702.88</v>
      </c>
      <c r="K136" s="39">
        <f>'Data Entry Leverkusen'!AA136</f>
        <v>88702.88</v>
      </c>
      <c r="L136" s="39">
        <f>'Data Entry Leverkusen'!AD136</f>
        <v>88702.88</v>
      </c>
      <c r="M136" s="39">
        <f>'Data Entry Leverkusen'!AG136</f>
        <v>88702.88</v>
      </c>
      <c r="N136" s="39">
        <f>'Data Entry Leverkusen'!AJ136</f>
        <v>88702.88</v>
      </c>
      <c r="O136" s="39">
        <f>'Data Entry Leverkusen'!AM136</f>
        <v>88702.88</v>
      </c>
    </row>
    <row r="137" spans="2:15" ht="14" x14ac:dyDescent="0.15">
      <c r="B137" s="38" t="s">
        <v>95</v>
      </c>
      <c r="C137" s="39">
        <f>'Data Entry Leverkusen'!C137</f>
        <v>1059209.8</v>
      </c>
      <c r="D137" s="39">
        <f>'Data Entry Leverkusen'!F137</f>
        <v>86793.38</v>
      </c>
      <c r="E137" s="39">
        <f>'Data Entry Leverkusen'!I137</f>
        <v>86793.38</v>
      </c>
      <c r="F137" s="39">
        <f>'Data Entry Leverkusen'!L137</f>
        <v>88000</v>
      </c>
      <c r="G137" s="39">
        <f>'Data Entry Leverkusen'!O137</f>
        <v>88000</v>
      </c>
      <c r="H137" s="39">
        <f>'Data Entry Leverkusen'!R137</f>
        <v>88702.88</v>
      </c>
      <c r="I137" s="39">
        <f>'Data Entry Leverkusen'!U137</f>
        <v>88702.88</v>
      </c>
      <c r="J137" s="39">
        <f>'Data Entry Leverkusen'!X137</f>
        <v>88702.88</v>
      </c>
      <c r="K137" s="39">
        <f>'Data Entry Leverkusen'!AA137</f>
        <v>88702.88</v>
      </c>
      <c r="L137" s="39">
        <f>'Data Entry Leverkusen'!AD137</f>
        <v>88702.88</v>
      </c>
      <c r="M137" s="39">
        <f>'Data Entry Leverkusen'!AG137</f>
        <v>88702.88</v>
      </c>
      <c r="N137" s="39">
        <f>'Data Entry Leverkusen'!AJ137</f>
        <v>88702.88</v>
      </c>
      <c r="O137" s="39">
        <f>'Data Entry Leverkusen'!AM137</f>
        <v>88702.88</v>
      </c>
    </row>
    <row r="138" spans="2:15" ht="14" x14ac:dyDescent="0.15">
      <c r="B138" s="38" t="s">
        <v>96</v>
      </c>
      <c r="C138" s="39">
        <f>'Data Entry Leverkusen'!C138</f>
        <v>0</v>
      </c>
      <c r="D138" s="39">
        <f>'Data Entry Leverkusen'!F138</f>
        <v>0</v>
      </c>
      <c r="E138" s="39">
        <f>'Data Entry Leverkusen'!I138</f>
        <v>0</v>
      </c>
      <c r="F138" s="39">
        <f>'Data Entry Leverkusen'!L138</f>
        <v>0</v>
      </c>
      <c r="G138" s="39">
        <f>'Data Entry Leverkusen'!O138</f>
        <v>0</v>
      </c>
      <c r="H138" s="39">
        <f>'Data Entry Leverkusen'!R138</f>
        <v>0</v>
      </c>
      <c r="I138" s="39">
        <f>'Data Entry Leverkusen'!U138</f>
        <v>0</v>
      </c>
      <c r="J138" s="39">
        <f>'Data Entry Leverkusen'!X138</f>
        <v>0</v>
      </c>
      <c r="K138" s="39">
        <f>'Data Entry Leverkusen'!AA138</f>
        <v>0</v>
      </c>
      <c r="L138" s="39">
        <f>'Data Entry Leverkusen'!AD138</f>
        <v>0</v>
      </c>
      <c r="M138" s="39">
        <f>'Data Entry Leverkusen'!AG138</f>
        <v>0</v>
      </c>
      <c r="N138" s="39">
        <f>'Data Entry Leverkusen'!AJ138</f>
        <v>0</v>
      </c>
      <c r="O138" s="39">
        <f>'Data Entry Leverkusen'!AM138</f>
        <v>0</v>
      </c>
    </row>
    <row r="139" spans="2:15" ht="14" x14ac:dyDescent="0.15">
      <c r="B139" s="38" t="s">
        <v>97</v>
      </c>
      <c r="C139" s="39">
        <f>'Data Entry Leverkusen'!C139</f>
        <v>0</v>
      </c>
      <c r="D139" s="39">
        <f>'Data Entry Leverkusen'!F139</f>
        <v>0</v>
      </c>
      <c r="E139" s="39">
        <f>'Data Entry Leverkusen'!I139</f>
        <v>0</v>
      </c>
      <c r="F139" s="39">
        <f>'Data Entry Leverkusen'!L139</f>
        <v>0</v>
      </c>
      <c r="G139" s="39">
        <f>'Data Entry Leverkusen'!O139</f>
        <v>0</v>
      </c>
      <c r="H139" s="39">
        <f>'Data Entry Leverkusen'!R139</f>
        <v>0</v>
      </c>
      <c r="I139" s="39">
        <f>'Data Entry Leverkusen'!U139</f>
        <v>0</v>
      </c>
      <c r="J139" s="39">
        <f>'Data Entry Leverkusen'!X139</f>
        <v>0</v>
      </c>
      <c r="K139" s="39">
        <f>'Data Entry Leverkusen'!AA139</f>
        <v>0</v>
      </c>
      <c r="L139" s="39">
        <f>'Data Entry Leverkusen'!AD139</f>
        <v>0</v>
      </c>
      <c r="M139" s="39">
        <f>'Data Entry Leverkusen'!AG139</f>
        <v>0</v>
      </c>
      <c r="N139" s="39">
        <f>'Data Entry Leverkusen'!AJ139</f>
        <v>0</v>
      </c>
      <c r="O139" s="39">
        <f>'Data Entry Leverkusen'!AM139</f>
        <v>0</v>
      </c>
    </row>
    <row r="140" spans="2:15" x14ac:dyDescent="0.15">
      <c r="B140" s="40"/>
      <c r="C140" s="39">
        <f>'Data Entry Leverkusen'!C140</f>
        <v>0</v>
      </c>
      <c r="D140" s="39">
        <f>'Data Entry Leverkusen'!F140</f>
        <v>0</v>
      </c>
      <c r="E140" s="39">
        <f>'Data Entry Leverkusen'!I140</f>
        <v>0</v>
      </c>
      <c r="F140" s="39">
        <f>'Data Entry Leverkusen'!L140</f>
        <v>0</v>
      </c>
      <c r="G140" s="39">
        <f>'Data Entry Leverkusen'!O140</f>
        <v>0</v>
      </c>
      <c r="H140" s="39">
        <f>'Data Entry Leverkusen'!R140</f>
        <v>0</v>
      </c>
      <c r="I140" s="39">
        <f>'Data Entry Leverkusen'!U140</f>
        <v>0</v>
      </c>
      <c r="J140" s="39">
        <f>'Data Entry Leverkusen'!X140</f>
        <v>0</v>
      </c>
      <c r="K140" s="39">
        <f>'Data Entry Leverkusen'!AA140</f>
        <v>0</v>
      </c>
      <c r="L140" s="39">
        <f>'Data Entry Leverkusen'!AD140</f>
        <v>0</v>
      </c>
      <c r="M140" s="39">
        <f>'Data Entry Leverkusen'!AG140</f>
        <v>0</v>
      </c>
      <c r="N140" s="39">
        <f>'Data Entry Leverkusen'!AJ140</f>
        <v>0</v>
      </c>
      <c r="O140" s="39">
        <f>'Data Entry Leverkusen'!AM140</f>
        <v>0</v>
      </c>
    </row>
    <row r="141" spans="2:15" ht="28" x14ac:dyDescent="0.15">
      <c r="B141" s="42" t="s">
        <v>98</v>
      </c>
      <c r="C141" s="39">
        <f>'Data Entry Leverkusen'!C141</f>
        <v>539711.49529999995</v>
      </c>
      <c r="D141" s="39">
        <f>'Data Entry Leverkusen'!F141</f>
        <v>11652.16</v>
      </c>
      <c r="E141" s="39">
        <f>'Data Entry Leverkusen'!I141</f>
        <v>-18003.8</v>
      </c>
      <c r="F141" s="39">
        <f>'Data Entry Leverkusen'!L141</f>
        <v>67980.789999999994</v>
      </c>
      <c r="G141" s="39">
        <f>'Data Entry Leverkusen'!O141</f>
        <v>-67092.08</v>
      </c>
      <c r="H141" s="39">
        <f>'Data Entry Leverkusen'!R141</f>
        <v>53107.464699999997</v>
      </c>
      <c r="I141" s="39">
        <f>'Data Entry Leverkusen'!U141</f>
        <v>45326.388899999998</v>
      </c>
      <c r="J141" s="39">
        <f>'Data Entry Leverkusen'!X141</f>
        <v>-72594.638399999996</v>
      </c>
      <c r="K141" s="39">
        <f>'Data Entry Leverkusen'!AA141</f>
        <v>12088.2183</v>
      </c>
      <c r="L141" s="39">
        <f>'Data Entry Leverkusen'!AD141</f>
        <v>156851.5514</v>
      </c>
      <c r="M141" s="39">
        <f>'Data Entry Leverkusen'!AG141</f>
        <v>181949.8823</v>
      </c>
      <c r="N141" s="39">
        <f>'Data Entry Leverkusen'!AJ141</f>
        <v>124926.5205</v>
      </c>
      <c r="O141" s="39">
        <f>'Data Entry Leverkusen'!AM141</f>
        <v>43519.037600000003</v>
      </c>
    </row>
    <row r="142" spans="2:15" ht="14" x14ac:dyDescent="0.15">
      <c r="B142" s="38" t="s">
        <v>99</v>
      </c>
      <c r="C142" s="39">
        <f>'Data Entry Leverkusen'!C142</f>
        <v>0</v>
      </c>
      <c r="D142" s="39">
        <f>'Data Entry Leverkusen'!F142</f>
        <v>0</v>
      </c>
      <c r="E142" s="39">
        <f>'Data Entry Leverkusen'!I142</f>
        <v>0</v>
      </c>
      <c r="F142" s="39">
        <f>'Data Entry Leverkusen'!L142</f>
        <v>0</v>
      </c>
      <c r="G142" s="39">
        <f>'Data Entry Leverkusen'!O142</f>
        <v>0</v>
      </c>
      <c r="H142" s="39">
        <f>'Data Entry Leverkusen'!R142</f>
        <v>0</v>
      </c>
      <c r="I142" s="39">
        <f>'Data Entry Leverkusen'!U142</f>
        <v>0</v>
      </c>
      <c r="J142" s="39">
        <f>'Data Entry Leverkusen'!X142</f>
        <v>0</v>
      </c>
      <c r="K142" s="39">
        <f>'Data Entry Leverkusen'!AA142</f>
        <v>0</v>
      </c>
      <c r="L142" s="39">
        <f>'Data Entry Leverkusen'!AD142</f>
        <v>0</v>
      </c>
      <c r="M142" s="39">
        <f>'Data Entry Leverkusen'!AG142</f>
        <v>0</v>
      </c>
      <c r="N142" s="39">
        <f>'Data Entry Leverkusen'!AJ142</f>
        <v>0</v>
      </c>
      <c r="O142" s="39">
        <f>'Data Entry Leverkusen'!AM142</f>
        <v>0</v>
      </c>
    </row>
    <row r="143" spans="2:15" x14ac:dyDescent="0.15">
      <c r="B143" s="40"/>
      <c r="C143" s="39">
        <f>'Data Entry Leverkusen'!C143</f>
        <v>0</v>
      </c>
      <c r="D143" s="39">
        <f>'Data Entry Leverkusen'!F143</f>
        <v>0</v>
      </c>
      <c r="E143" s="39">
        <f>'Data Entry Leverkusen'!I143</f>
        <v>0</v>
      </c>
      <c r="F143" s="39">
        <f>'Data Entry Leverkusen'!L143</f>
        <v>0</v>
      </c>
      <c r="G143" s="39">
        <f>'Data Entry Leverkusen'!O143</f>
        <v>0</v>
      </c>
      <c r="H143" s="39">
        <f>'Data Entry Leverkusen'!R143</f>
        <v>0</v>
      </c>
      <c r="I143" s="39">
        <f>'Data Entry Leverkusen'!U143</f>
        <v>0</v>
      </c>
      <c r="J143" s="39">
        <f>'Data Entry Leverkusen'!X143</f>
        <v>0</v>
      </c>
      <c r="K143" s="39">
        <f>'Data Entry Leverkusen'!AA143</f>
        <v>0</v>
      </c>
      <c r="L143" s="39">
        <f>'Data Entry Leverkusen'!AD143</f>
        <v>0</v>
      </c>
      <c r="M143" s="39">
        <f>'Data Entry Leverkusen'!AG143</f>
        <v>0</v>
      </c>
      <c r="N143" s="39">
        <f>'Data Entry Leverkusen'!AJ143</f>
        <v>0</v>
      </c>
      <c r="O143" s="39">
        <f>'Data Entry Leverkusen'!AM143</f>
        <v>0</v>
      </c>
    </row>
    <row r="144" spans="2:15" ht="14" x14ac:dyDescent="0.15">
      <c r="B144" s="42" t="s">
        <v>100</v>
      </c>
      <c r="C144" s="39">
        <f>'Data Entry Leverkusen'!C144</f>
        <v>539711.49529999995</v>
      </c>
      <c r="D144" s="39">
        <f>'Data Entry Leverkusen'!F144</f>
        <v>11652.16</v>
      </c>
      <c r="E144" s="39">
        <f>'Data Entry Leverkusen'!I144</f>
        <v>-18003.8</v>
      </c>
      <c r="F144" s="39">
        <f>'Data Entry Leverkusen'!L144</f>
        <v>67980.789999999994</v>
      </c>
      <c r="G144" s="39">
        <f>'Data Entry Leverkusen'!O144</f>
        <v>-67092.08</v>
      </c>
      <c r="H144" s="39">
        <f>'Data Entry Leverkusen'!R144</f>
        <v>53107.464699999997</v>
      </c>
      <c r="I144" s="39">
        <f>'Data Entry Leverkusen'!U144</f>
        <v>45326.388899999998</v>
      </c>
      <c r="J144" s="39">
        <f>'Data Entry Leverkusen'!X144</f>
        <v>-72594.638399999996</v>
      </c>
      <c r="K144" s="39">
        <f>'Data Entry Leverkusen'!AA144</f>
        <v>12088.2183</v>
      </c>
      <c r="L144" s="39">
        <f>'Data Entry Leverkusen'!AD144</f>
        <v>156851.5514</v>
      </c>
      <c r="M144" s="39">
        <f>'Data Entry Leverkusen'!AG144</f>
        <v>181949.8823</v>
      </c>
      <c r="N144" s="39">
        <f>'Data Entry Leverkusen'!AJ144</f>
        <v>124926.5205</v>
      </c>
      <c r="O144" s="39">
        <f>'Data Entry Leverkusen'!AM144</f>
        <v>43519.037600000003</v>
      </c>
    </row>
    <row r="145" spans="2:15" ht="14" x14ac:dyDescent="0.15">
      <c r="B145" s="38" t="s">
        <v>101</v>
      </c>
      <c r="C145" s="39">
        <f>'Data Entry Leverkusen'!C145</f>
        <v>0</v>
      </c>
      <c r="D145" s="39">
        <f>'Data Entry Leverkusen'!F145</f>
        <v>0</v>
      </c>
      <c r="E145" s="39">
        <f>'Data Entry Leverkusen'!I145</f>
        <v>0</v>
      </c>
      <c r="F145" s="39">
        <f>'Data Entry Leverkusen'!L145</f>
        <v>0</v>
      </c>
      <c r="G145" s="39">
        <f>'Data Entry Leverkusen'!O145</f>
        <v>0</v>
      </c>
      <c r="H145" s="39">
        <f>'Data Entry Leverkusen'!R145</f>
        <v>0</v>
      </c>
      <c r="I145" s="39">
        <f>'Data Entry Leverkusen'!U145</f>
        <v>0</v>
      </c>
      <c r="J145" s="39">
        <f>'Data Entry Leverkusen'!X145</f>
        <v>0</v>
      </c>
      <c r="K145" s="39">
        <f>'Data Entry Leverkusen'!AA145</f>
        <v>0</v>
      </c>
      <c r="L145" s="39">
        <f>'Data Entry Leverkusen'!AD145</f>
        <v>0</v>
      </c>
      <c r="M145" s="39">
        <f>'Data Entry Leverkusen'!AG145</f>
        <v>0</v>
      </c>
      <c r="N145" s="39">
        <f>'Data Entry Leverkusen'!AJ145</f>
        <v>0</v>
      </c>
      <c r="O145" s="39">
        <f>'Data Entry Leverkusen'!AM145</f>
        <v>0</v>
      </c>
    </row>
    <row r="146" spans="2:15" x14ac:dyDescent="0.15">
      <c r="B146" s="40"/>
      <c r="C146" s="39">
        <f>'Data Entry Leverkusen'!C146</f>
        <v>0</v>
      </c>
      <c r="D146" s="39">
        <f>'Data Entry Leverkusen'!F146</f>
        <v>0</v>
      </c>
      <c r="E146" s="39">
        <f>'Data Entry Leverkusen'!I146</f>
        <v>0</v>
      </c>
      <c r="F146" s="39">
        <f>'Data Entry Leverkusen'!L146</f>
        <v>0</v>
      </c>
      <c r="G146" s="39">
        <f>'Data Entry Leverkusen'!O146</f>
        <v>0</v>
      </c>
      <c r="H146" s="39">
        <f>'Data Entry Leverkusen'!R146</f>
        <v>0</v>
      </c>
      <c r="I146" s="39">
        <f>'Data Entry Leverkusen'!U146</f>
        <v>0</v>
      </c>
      <c r="J146" s="39">
        <f>'Data Entry Leverkusen'!X146</f>
        <v>0</v>
      </c>
      <c r="K146" s="39">
        <f>'Data Entry Leverkusen'!AA146</f>
        <v>0</v>
      </c>
      <c r="L146" s="39">
        <f>'Data Entry Leverkusen'!AD146</f>
        <v>0</v>
      </c>
      <c r="M146" s="39">
        <f>'Data Entry Leverkusen'!AG146</f>
        <v>0</v>
      </c>
      <c r="N146" s="39">
        <f>'Data Entry Leverkusen'!AJ146</f>
        <v>0</v>
      </c>
      <c r="O146" s="39">
        <f>'Data Entry Leverkusen'!AM146</f>
        <v>0</v>
      </c>
    </row>
    <row r="147" spans="2:15" ht="28" x14ac:dyDescent="0.15">
      <c r="B147" s="42" t="s">
        <v>102</v>
      </c>
      <c r="C147" s="39">
        <f>'Data Entry Leverkusen'!C147</f>
        <v>539711.49529999995</v>
      </c>
      <c r="D147" s="39">
        <f>'Data Entry Leverkusen'!F147</f>
        <v>11652.16</v>
      </c>
      <c r="E147" s="39">
        <f>'Data Entry Leverkusen'!I147</f>
        <v>-18003.8</v>
      </c>
      <c r="F147" s="39">
        <f>'Data Entry Leverkusen'!L147</f>
        <v>67980.789999999994</v>
      </c>
      <c r="G147" s="39">
        <f>'Data Entry Leverkusen'!O147</f>
        <v>-67092.08</v>
      </c>
      <c r="H147" s="39">
        <f>'Data Entry Leverkusen'!R147</f>
        <v>53107.464699999997</v>
      </c>
      <c r="I147" s="39">
        <f>'Data Entry Leverkusen'!U147</f>
        <v>45326.388899999998</v>
      </c>
      <c r="J147" s="39">
        <f>'Data Entry Leverkusen'!X147</f>
        <v>-72594.638399999996</v>
      </c>
      <c r="K147" s="39">
        <f>'Data Entry Leverkusen'!AA147</f>
        <v>12088.2183</v>
      </c>
      <c r="L147" s="39">
        <f>'Data Entry Leverkusen'!AD147</f>
        <v>156851.5514</v>
      </c>
      <c r="M147" s="39">
        <f>'Data Entry Leverkusen'!AG147</f>
        <v>181949.8823</v>
      </c>
      <c r="N147" s="39">
        <f>'Data Entry Leverkusen'!AJ147</f>
        <v>124926.5205</v>
      </c>
      <c r="O147" s="39">
        <f>'Data Entry Leverkusen'!AM147</f>
        <v>43519.037600000003</v>
      </c>
    </row>
    <row r="148" spans="2:15" ht="14" x14ac:dyDescent="0.15">
      <c r="B148" s="38" t="s">
        <v>103</v>
      </c>
      <c r="C148" s="39">
        <f>'Data Entry Leverkusen'!C148</f>
        <v>0</v>
      </c>
      <c r="D148" s="39">
        <f>'Data Entry Leverkusen'!F148</f>
        <v>0</v>
      </c>
      <c r="E148" s="39">
        <f>'Data Entry Leverkusen'!I148</f>
        <v>0</v>
      </c>
      <c r="F148" s="39">
        <f>'Data Entry Leverkusen'!L148</f>
        <v>0</v>
      </c>
      <c r="G148" s="39">
        <f>'Data Entry Leverkusen'!O148</f>
        <v>0</v>
      </c>
      <c r="H148" s="39">
        <f>'Data Entry Leverkusen'!R148</f>
        <v>0</v>
      </c>
      <c r="I148" s="39">
        <f>'Data Entry Leverkusen'!U148</f>
        <v>0</v>
      </c>
      <c r="J148" s="39">
        <f>'Data Entry Leverkusen'!X148</f>
        <v>0</v>
      </c>
      <c r="K148" s="39">
        <f>'Data Entry Leverkusen'!AA148</f>
        <v>0</v>
      </c>
      <c r="L148" s="39">
        <f>'Data Entry Leverkusen'!AD148</f>
        <v>0</v>
      </c>
      <c r="M148" s="39">
        <f>'Data Entry Leverkusen'!AG148</f>
        <v>0</v>
      </c>
      <c r="N148" s="39">
        <f>'Data Entry Leverkusen'!AJ148</f>
        <v>0</v>
      </c>
      <c r="O148" s="39">
        <f>'Data Entry Leverkusen'!AM148</f>
        <v>0</v>
      </c>
    </row>
    <row r="149" spans="2:15" x14ac:dyDescent="0.15">
      <c r="B149" s="40"/>
      <c r="C149" s="39">
        <f>'Data Entry Leverkusen'!C149</f>
        <v>0</v>
      </c>
      <c r="D149" s="39">
        <f>'Data Entry Leverkusen'!F149</f>
        <v>0</v>
      </c>
      <c r="E149" s="39">
        <f>'Data Entry Leverkusen'!I149</f>
        <v>0</v>
      </c>
      <c r="F149" s="39">
        <f>'Data Entry Leverkusen'!L149</f>
        <v>0</v>
      </c>
      <c r="G149" s="39">
        <f>'Data Entry Leverkusen'!O149</f>
        <v>0</v>
      </c>
      <c r="H149" s="39">
        <f>'Data Entry Leverkusen'!R149</f>
        <v>0</v>
      </c>
      <c r="I149" s="39">
        <f>'Data Entry Leverkusen'!U149</f>
        <v>0</v>
      </c>
      <c r="J149" s="39">
        <f>'Data Entry Leverkusen'!X149</f>
        <v>0</v>
      </c>
      <c r="K149" s="39">
        <f>'Data Entry Leverkusen'!AA149</f>
        <v>0</v>
      </c>
      <c r="L149" s="39">
        <f>'Data Entry Leverkusen'!AD149</f>
        <v>0</v>
      </c>
      <c r="M149" s="39">
        <f>'Data Entry Leverkusen'!AG149</f>
        <v>0</v>
      </c>
      <c r="N149" s="39">
        <f>'Data Entry Leverkusen'!AJ149</f>
        <v>0</v>
      </c>
      <c r="O149" s="39">
        <f>'Data Entry Leverkusen'!AM149</f>
        <v>0</v>
      </c>
    </row>
    <row r="150" spans="2:15" ht="14" x14ac:dyDescent="0.15">
      <c r="B150" s="42" t="s">
        <v>104</v>
      </c>
      <c r="C150" s="39">
        <f>'Data Entry Leverkusen'!C150</f>
        <v>539711.49529999995</v>
      </c>
      <c r="D150" s="39">
        <f>'Data Entry Leverkusen'!F150</f>
        <v>11652.16</v>
      </c>
      <c r="E150" s="39">
        <f>'Data Entry Leverkusen'!I150</f>
        <v>-18003.8</v>
      </c>
      <c r="F150" s="39">
        <f>'Data Entry Leverkusen'!L150</f>
        <v>67980.789999999994</v>
      </c>
      <c r="G150" s="39">
        <f>'Data Entry Leverkusen'!O150</f>
        <v>-67092.08</v>
      </c>
      <c r="H150" s="39">
        <f>'Data Entry Leverkusen'!R150</f>
        <v>53107.464699999997</v>
      </c>
      <c r="I150" s="39">
        <f>'Data Entry Leverkusen'!U150</f>
        <v>45326.388899999998</v>
      </c>
      <c r="J150" s="39">
        <f>'Data Entry Leverkusen'!X150</f>
        <v>-72594.638399999996</v>
      </c>
      <c r="K150" s="39">
        <f>'Data Entry Leverkusen'!AA150</f>
        <v>12088.2183</v>
      </c>
      <c r="L150" s="39">
        <f>'Data Entry Leverkusen'!AD150</f>
        <v>156851.5514</v>
      </c>
      <c r="M150" s="39">
        <f>'Data Entry Leverkusen'!AG150</f>
        <v>181949.8823</v>
      </c>
      <c r="N150" s="39">
        <f>'Data Entry Leverkusen'!AJ150</f>
        <v>124926.5205</v>
      </c>
      <c r="O150" s="39">
        <f>'Data Entry Leverkusen'!AM150</f>
        <v>43519.037600000003</v>
      </c>
    </row>
    <row r="151" spans="2:15" x14ac:dyDescent="0.15">
      <c r="B151" s="40"/>
      <c r="C151" s="39">
        <f>'Data Entry Leverkusen'!C151</f>
        <v>0</v>
      </c>
      <c r="D151" s="39">
        <f>'Data Entry Leverkusen'!F151</f>
        <v>0</v>
      </c>
      <c r="E151" s="39">
        <f>'Data Entry Leverkusen'!I151</f>
        <v>0</v>
      </c>
      <c r="F151" s="39">
        <f>'Data Entry Leverkusen'!L151</f>
        <v>0</v>
      </c>
      <c r="G151" s="39">
        <f>'Data Entry Leverkusen'!O151</f>
        <v>0</v>
      </c>
      <c r="H151" s="39">
        <f>'Data Entry Leverkusen'!R151</f>
        <v>0</v>
      </c>
      <c r="I151" s="39">
        <f>'Data Entry Leverkusen'!U151</f>
        <v>0</v>
      </c>
      <c r="J151" s="39">
        <f>'Data Entry Leverkusen'!X151</f>
        <v>0</v>
      </c>
      <c r="K151" s="39">
        <f>'Data Entry Leverkusen'!AA151</f>
        <v>0</v>
      </c>
      <c r="L151" s="39">
        <f>'Data Entry Leverkusen'!AD151</f>
        <v>0</v>
      </c>
      <c r="M151" s="39">
        <f>'Data Entry Leverkusen'!AG151</f>
        <v>0</v>
      </c>
      <c r="N151" s="39">
        <f>'Data Entry Leverkusen'!AJ151</f>
        <v>0</v>
      </c>
      <c r="O151" s="39">
        <f>'Data Entry Leverkusen'!AM151</f>
        <v>0</v>
      </c>
    </row>
    <row r="152" spans="2:15" ht="14" x14ac:dyDescent="0.15">
      <c r="B152" s="44" t="s">
        <v>105</v>
      </c>
      <c r="C152" s="39">
        <f>'Data Entry Leverkusen'!C152</f>
        <v>0</v>
      </c>
      <c r="D152" s="39">
        <f>'Data Entry Leverkusen'!F152</f>
        <v>0</v>
      </c>
      <c r="E152" s="39">
        <f>'Data Entry Leverkusen'!I152</f>
        <v>0</v>
      </c>
      <c r="F152" s="39">
        <f>'Data Entry Leverkusen'!L152</f>
        <v>0</v>
      </c>
      <c r="G152" s="39">
        <f>'Data Entry Leverkusen'!O152</f>
        <v>0</v>
      </c>
      <c r="H152" s="39">
        <f>'Data Entry Leverkusen'!R152</f>
        <v>0</v>
      </c>
      <c r="I152" s="39">
        <f>'Data Entry Leverkusen'!U152</f>
        <v>0</v>
      </c>
      <c r="J152" s="39">
        <f>'Data Entry Leverkusen'!X152</f>
        <v>0</v>
      </c>
      <c r="K152" s="39">
        <f>'Data Entry Leverkusen'!AA152</f>
        <v>0</v>
      </c>
      <c r="L152" s="39">
        <f>'Data Entry Leverkusen'!AD152</f>
        <v>0</v>
      </c>
      <c r="M152" s="39">
        <f>'Data Entry Leverkusen'!AG152</f>
        <v>0</v>
      </c>
      <c r="N152" s="39">
        <f>'Data Entry Leverkusen'!AJ152</f>
        <v>0</v>
      </c>
      <c r="O152" s="39">
        <f>'Data Entry Leverkusen'!AM152</f>
        <v>0</v>
      </c>
    </row>
    <row r="153" spans="2:15" ht="14" x14ac:dyDescent="0.15">
      <c r="B153" s="38" t="s">
        <v>106</v>
      </c>
      <c r="C153" s="39">
        <f>'Data Entry Leverkusen'!C153</f>
        <v>561711.49529999995</v>
      </c>
      <c r="D153" s="39">
        <f>'Data Entry Leverkusen'!F153</f>
        <v>11652.16</v>
      </c>
      <c r="E153" s="39">
        <f>'Data Entry Leverkusen'!I153</f>
        <v>-16003.8</v>
      </c>
      <c r="F153" s="39">
        <f>'Data Entry Leverkusen'!L153</f>
        <v>69980.789999999994</v>
      </c>
      <c r="G153" s="39">
        <f>'Data Entry Leverkusen'!O153</f>
        <v>-65092.08</v>
      </c>
      <c r="H153" s="39">
        <f>'Data Entry Leverkusen'!R153</f>
        <v>55107.464699999997</v>
      </c>
      <c r="I153" s="39">
        <f>'Data Entry Leverkusen'!U153</f>
        <v>47326.388899999998</v>
      </c>
      <c r="J153" s="39">
        <f>'Data Entry Leverkusen'!X153</f>
        <v>-70594.638399999996</v>
      </c>
      <c r="K153" s="39">
        <f>'Data Entry Leverkusen'!AA153</f>
        <v>14088.2183</v>
      </c>
      <c r="L153" s="39">
        <f>'Data Entry Leverkusen'!AD153</f>
        <v>158851.5514</v>
      </c>
      <c r="M153" s="39">
        <f>'Data Entry Leverkusen'!AG153</f>
        <v>183949.8823</v>
      </c>
      <c r="N153" s="39">
        <f>'Data Entry Leverkusen'!AJ153</f>
        <v>126926.5205</v>
      </c>
      <c r="O153" s="39">
        <f>'Data Entry Leverkusen'!AM153</f>
        <v>45519.037600000003</v>
      </c>
    </row>
    <row r="154" spans="2:15" ht="14" x14ac:dyDescent="0.15">
      <c r="B154" s="38" t="s">
        <v>107</v>
      </c>
      <c r="C154" s="39">
        <f>'Data Entry Leverkusen'!C154</f>
        <v>539711.49529999995</v>
      </c>
      <c r="D154" s="39">
        <f>'Data Entry Leverkusen'!F154</f>
        <v>11652.16</v>
      </c>
      <c r="E154" s="39">
        <f>'Data Entry Leverkusen'!I154</f>
        <v>-18003.8</v>
      </c>
      <c r="F154" s="39">
        <f>'Data Entry Leverkusen'!L154</f>
        <v>67980.789999999994</v>
      </c>
      <c r="G154" s="39">
        <f>'Data Entry Leverkusen'!O154</f>
        <v>-67092.08</v>
      </c>
      <c r="H154" s="39">
        <f>'Data Entry Leverkusen'!R154</f>
        <v>53107.464699999997</v>
      </c>
      <c r="I154" s="39">
        <f>'Data Entry Leverkusen'!U154</f>
        <v>45326.388899999998</v>
      </c>
      <c r="J154" s="39">
        <f>'Data Entry Leverkusen'!X154</f>
        <v>-72594.638399999996</v>
      </c>
      <c r="K154" s="39">
        <f>'Data Entry Leverkusen'!AA154</f>
        <v>12088.2183</v>
      </c>
      <c r="L154" s="39">
        <f>'Data Entry Leverkusen'!AD154</f>
        <v>156851.5514</v>
      </c>
      <c r="M154" s="39">
        <f>'Data Entry Leverkusen'!AG154</f>
        <v>181949.8823</v>
      </c>
      <c r="N154" s="39">
        <f>'Data Entry Leverkusen'!AJ154</f>
        <v>124926.5205</v>
      </c>
      <c r="O154" s="39">
        <f>'Data Entry Leverkusen'!AM154</f>
        <v>43519.037600000003</v>
      </c>
    </row>
    <row r="155" spans="2:15" ht="14" x14ac:dyDescent="0.15">
      <c r="B155" s="42" t="s">
        <v>108</v>
      </c>
      <c r="C155" s="39">
        <f>'Data Entry Leverkusen'!C155</f>
        <v>220537.36290000001</v>
      </c>
      <c r="D155" s="39">
        <f>'Data Entry Leverkusen'!F155</f>
        <v>21981.56</v>
      </c>
      <c r="E155" s="39">
        <f>'Data Entry Leverkusen'!I155</f>
        <v>22145.06</v>
      </c>
      <c r="F155" s="39">
        <f>'Data Entry Leverkusen'!L155</f>
        <v>25666.1</v>
      </c>
      <c r="G155" s="39">
        <f>'Data Entry Leverkusen'!O155</f>
        <v>19100.400000000001</v>
      </c>
      <c r="H155" s="39">
        <f>'Data Entry Leverkusen'!R155</f>
        <v>15290.2844</v>
      </c>
      <c r="I155" s="39">
        <f>'Data Entry Leverkusen'!U155</f>
        <v>15048.223099999999</v>
      </c>
      <c r="J155" s="39">
        <f>'Data Entry Leverkusen'!X155</f>
        <v>10632.1703</v>
      </c>
      <c r="K155" s="39">
        <f>'Data Entry Leverkusen'!AA155</f>
        <v>14246.3945</v>
      </c>
      <c r="L155" s="39">
        <f>'Data Entry Leverkusen'!AD155</f>
        <v>19944.109499999999</v>
      </c>
      <c r="M155" s="39">
        <f>'Data Entry Leverkusen'!AG155</f>
        <v>21328.3289</v>
      </c>
      <c r="N155" s="39">
        <f>'Data Entry Leverkusen'!AJ155</f>
        <v>19624.929700000001</v>
      </c>
      <c r="O155" s="39">
        <f>'Data Entry Leverkusen'!AM155</f>
        <v>15529.8025</v>
      </c>
    </row>
    <row r="156" spans="2:15" ht="14" x14ac:dyDescent="0.15">
      <c r="B156" s="38" t="s">
        <v>109</v>
      </c>
      <c r="C156" s="39">
        <f>'Data Entry Leverkusen'!C156</f>
        <v>0</v>
      </c>
      <c r="D156" s="39">
        <f>'Data Entry Leverkusen'!F156</f>
        <v>0</v>
      </c>
      <c r="E156" s="39">
        <f>'Data Entry Leverkusen'!I156</f>
        <v>0</v>
      </c>
      <c r="F156" s="39">
        <f>'Data Entry Leverkusen'!L156</f>
        <v>0</v>
      </c>
      <c r="G156" s="39">
        <f>'Data Entry Leverkusen'!O156</f>
        <v>0</v>
      </c>
      <c r="H156" s="39">
        <f>'Data Entry Leverkusen'!R156</f>
        <v>0</v>
      </c>
      <c r="I156" s="39">
        <f>'Data Entry Leverkusen'!U156</f>
        <v>0</v>
      </c>
      <c r="J156" s="39">
        <f>'Data Entry Leverkusen'!X156</f>
        <v>0</v>
      </c>
      <c r="K156" s="39">
        <f>'Data Entry Leverkusen'!AA156</f>
        <v>0</v>
      </c>
      <c r="L156" s="39">
        <f>'Data Entry Leverkusen'!AD156</f>
        <v>0</v>
      </c>
      <c r="M156" s="39">
        <f>'Data Entry Leverkusen'!AG156</f>
        <v>0</v>
      </c>
      <c r="N156" s="39">
        <f>'Data Entry Leverkusen'!AJ156</f>
        <v>0</v>
      </c>
      <c r="O156" s="39">
        <f>'Data Entry Leverkusen'!AM156</f>
        <v>0</v>
      </c>
    </row>
    <row r="157" spans="2:15" ht="14" x14ac:dyDescent="0.15">
      <c r="B157" s="38" t="s">
        <v>110</v>
      </c>
      <c r="C157" s="39">
        <f>'Data Entry Leverkusen'!C157</f>
        <v>0</v>
      </c>
      <c r="D157" s="39">
        <f>'Data Entry Leverkusen'!F157</f>
        <v>0</v>
      </c>
      <c r="E157" s="39">
        <f>'Data Entry Leverkusen'!I157</f>
        <v>0</v>
      </c>
      <c r="F157" s="39">
        <f>'Data Entry Leverkusen'!L157</f>
        <v>0</v>
      </c>
      <c r="G157" s="39">
        <f>'Data Entry Leverkusen'!O157</f>
        <v>0</v>
      </c>
      <c r="H157" s="39">
        <f>'Data Entry Leverkusen'!R157</f>
        <v>0</v>
      </c>
      <c r="I157" s="39">
        <f>'Data Entry Leverkusen'!U157</f>
        <v>0</v>
      </c>
      <c r="J157" s="39">
        <f>'Data Entry Leverkusen'!X157</f>
        <v>0</v>
      </c>
      <c r="K157" s="39">
        <f>'Data Entry Leverkusen'!AA157</f>
        <v>0</v>
      </c>
      <c r="L157" s="39">
        <f>'Data Entry Leverkusen'!AD157</f>
        <v>0</v>
      </c>
      <c r="M157" s="39">
        <f>'Data Entry Leverkusen'!AG157</f>
        <v>0</v>
      </c>
      <c r="N157" s="39">
        <f>'Data Entry Leverkusen'!AJ157</f>
        <v>0</v>
      </c>
      <c r="O157" s="39">
        <f>'Data Entry Leverkusen'!AM157</f>
        <v>0</v>
      </c>
    </row>
    <row r="158" spans="2:15" ht="14" x14ac:dyDescent="0.15">
      <c r="B158" s="38" t="s">
        <v>111</v>
      </c>
      <c r="C158" s="39">
        <f>'Data Entry Leverkusen'!C158</f>
        <v>61660.034399999997</v>
      </c>
      <c r="D158" s="39">
        <f>'Data Entry Leverkusen'!F158</f>
        <v>4396.3100000000004</v>
      </c>
      <c r="E158" s="39">
        <f>'Data Entry Leverkusen'!I158</f>
        <v>4429.01</v>
      </c>
      <c r="F158" s="39">
        <f>'Data Entry Leverkusen'!L158</f>
        <v>5133.22</v>
      </c>
      <c r="G158" s="39">
        <f>'Data Entry Leverkusen'!O158</f>
        <v>3820.08</v>
      </c>
      <c r="H158" s="39">
        <f>'Data Entry Leverkusen'!R158</f>
        <v>5096.7614999999996</v>
      </c>
      <c r="I158" s="39">
        <f>'Data Entry Leverkusen'!U158</f>
        <v>5016.0744000000004</v>
      </c>
      <c r="J158" s="39">
        <f>'Data Entry Leverkusen'!X158</f>
        <v>3544.0567999999998</v>
      </c>
      <c r="K158" s="39">
        <f>'Data Entry Leverkusen'!AA158</f>
        <v>4748.7982000000002</v>
      </c>
      <c r="L158" s="39">
        <f>'Data Entry Leverkusen'!AD158</f>
        <v>6648.0365000000002</v>
      </c>
      <c r="M158" s="39">
        <f>'Data Entry Leverkusen'!AG158</f>
        <v>7109.4430000000002</v>
      </c>
      <c r="N158" s="39">
        <f>'Data Entry Leverkusen'!AJ158</f>
        <v>6541.6432000000004</v>
      </c>
      <c r="O158" s="39">
        <f>'Data Entry Leverkusen'!AM158</f>
        <v>5176.6008000000002</v>
      </c>
    </row>
    <row r="159" spans="2:15" ht="14" x14ac:dyDescent="0.15">
      <c r="B159" s="38" t="s">
        <v>112</v>
      </c>
      <c r="C159" s="39">
        <f>'Data Entry Leverkusen'!C159</f>
        <v>112972.5958</v>
      </c>
      <c r="D159" s="39">
        <f>'Data Entry Leverkusen'!F159</f>
        <v>1596.54</v>
      </c>
      <c r="E159" s="39">
        <f>'Data Entry Leverkusen'!I159</f>
        <v>5046.9799999999996</v>
      </c>
      <c r="F159" s="39">
        <f>'Data Entry Leverkusen'!L159</f>
        <v>-986.67</v>
      </c>
      <c r="G159" s="39">
        <f>'Data Entry Leverkusen'!O159</f>
        <v>-2387.79</v>
      </c>
      <c r="H159" s="39">
        <f>'Data Entry Leverkusen'!R159</f>
        <v>12741.9036</v>
      </c>
      <c r="I159" s="39">
        <f>'Data Entry Leverkusen'!U159</f>
        <v>12540.186</v>
      </c>
      <c r="J159" s="39">
        <f>'Data Entry Leverkusen'!X159</f>
        <v>8860.1419000000005</v>
      </c>
      <c r="K159" s="39">
        <f>'Data Entry Leverkusen'!AA159</f>
        <v>11871.9954</v>
      </c>
      <c r="L159" s="39">
        <f>'Data Entry Leverkusen'!AD159</f>
        <v>16620.0913</v>
      </c>
      <c r="M159" s="39">
        <f>'Data Entry Leverkusen'!AG159</f>
        <v>17773.607400000001</v>
      </c>
      <c r="N159" s="39">
        <f>'Data Entry Leverkusen'!AJ159</f>
        <v>16354.108099999999</v>
      </c>
      <c r="O159" s="39">
        <f>'Data Entry Leverkusen'!AM159</f>
        <v>12941.5021</v>
      </c>
    </row>
    <row r="160" spans="2:15" ht="14" x14ac:dyDescent="0.15">
      <c r="B160" s="38" t="s">
        <v>113</v>
      </c>
      <c r="C160" s="39">
        <f>'Data Entry Leverkusen'!C160</f>
        <v>141098.70850000001</v>
      </c>
      <c r="D160" s="39">
        <f>'Data Entry Leverkusen'!F160</f>
        <v>13188.94</v>
      </c>
      <c r="E160" s="39">
        <f>'Data Entry Leverkusen'!I160</f>
        <v>13287.04</v>
      </c>
      <c r="F160" s="39">
        <f>'Data Entry Leverkusen'!L160</f>
        <v>15399.66</v>
      </c>
      <c r="G160" s="39">
        <f>'Data Entry Leverkusen'!O160</f>
        <v>11460.24</v>
      </c>
      <c r="H160" s="39">
        <f>'Data Entry Leverkusen'!R160</f>
        <v>10193.5229</v>
      </c>
      <c r="I160" s="39">
        <f>'Data Entry Leverkusen'!U160</f>
        <v>10032.148800000001</v>
      </c>
      <c r="J160" s="39">
        <f>'Data Entry Leverkusen'!X160</f>
        <v>7088.1135000000004</v>
      </c>
      <c r="K160" s="39">
        <f>'Data Entry Leverkusen'!AA160</f>
        <v>9497.5962999999992</v>
      </c>
      <c r="L160" s="39">
        <f>'Data Entry Leverkusen'!AD160</f>
        <v>13296.073</v>
      </c>
      <c r="M160" s="39">
        <f>'Data Entry Leverkusen'!AG160</f>
        <v>14218.885899999999</v>
      </c>
      <c r="N160" s="39">
        <f>'Data Entry Leverkusen'!AJ160</f>
        <v>13083.286400000001</v>
      </c>
      <c r="O160" s="39">
        <f>'Data Entry Leverkusen'!AM160</f>
        <v>10353.2017</v>
      </c>
    </row>
    <row r="161" spans="2:15" ht="14" x14ac:dyDescent="0.15">
      <c r="B161" s="38" t="s">
        <v>114</v>
      </c>
      <c r="C161" s="39">
        <f>'Data Entry Leverkusen'!C161</f>
        <v>17778.62</v>
      </c>
      <c r="D161" s="39">
        <f>'Data Entry Leverkusen'!F161</f>
        <v>4396.3100000000004</v>
      </c>
      <c r="E161" s="39">
        <f>'Data Entry Leverkusen'!I161</f>
        <v>4429.01</v>
      </c>
      <c r="F161" s="39">
        <f>'Data Entry Leverkusen'!L161</f>
        <v>5133.22</v>
      </c>
      <c r="G161" s="39">
        <f>'Data Entry Leverkusen'!O161</f>
        <v>3820.08</v>
      </c>
      <c r="H161" s="39">
        <f>'Data Entry Leverkusen'!R161</f>
        <v>0</v>
      </c>
      <c r="I161" s="39">
        <f>'Data Entry Leverkusen'!U161</f>
        <v>0</v>
      </c>
      <c r="J161" s="39">
        <f>'Data Entry Leverkusen'!X161</f>
        <v>0</v>
      </c>
      <c r="K161" s="39">
        <f>'Data Entry Leverkusen'!AA161</f>
        <v>0</v>
      </c>
      <c r="L161" s="39">
        <f>'Data Entry Leverkusen'!AD161</f>
        <v>0</v>
      </c>
      <c r="M161" s="39">
        <f>'Data Entry Leverkusen'!AG161</f>
        <v>0</v>
      </c>
      <c r="N161" s="39">
        <f>'Data Entry Leverkusen'!AJ161</f>
        <v>0</v>
      </c>
      <c r="O161" s="39">
        <f>'Data Entry Leverkusen'!AM161</f>
        <v>0</v>
      </c>
    </row>
    <row r="162" spans="2:15" ht="14" x14ac:dyDescent="0.15">
      <c r="B162" s="42" t="s">
        <v>115</v>
      </c>
      <c r="C162" s="39">
        <f>'Data Entry Leverkusen'!C162</f>
        <v>271826.53600000002</v>
      </c>
      <c r="D162" s="39">
        <f>'Data Entry Leverkusen'!F162</f>
        <v>19288.93</v>
      </c>
      <c r="E162" s="39">
        <f>'Data Entry Leverkusen'!I162</f>
        <v>13314.72</v>
      </c>
      <c r="F162" s="39">
        <f>'Data Entry Leverkusen'!L162</f>
        <v>21706.2</v>
      </c>
      <c r="G162" s="39">
        <f>'Data Entry Leverkusen'!O162</f>
        <v>18021.990000000002</v>
      </c>
      <c r="H162" s="39">
        <f>'Data Entry Leverkusen'!R162</f>
        <v>23819.678100000001</v>
      </c>
      <c r="I162" s="39">
        <f>'Data Entry Leverkusen'!U162</f>
        <v>23850.565399999999</v>
      </c>
      <c r="J162" s="39">
        <f>'Data Entry Leverkusen'!X162</f>
        <v>18225.198</v>
      </c>
      <c r="K162" s="39">
        <f>'Data Entry Leverkusen'!AA162</f>
        <v>21814.7467</v>
      </c>
      <c r="L162" s="39">
        <f>'Data Entry Leverkusen'!AD162</f>
        <v>28842.1103</v>
      </c>
      <c r="M162" s="39">
        <f>'Data Entry Leverkusen'!AG162</f>
        <v>32213.8135</v>
      </c>
      <c r="N162" s="39">
        <f>'Data Entry Leverkusen'!AJ162</f>
        <v>28059.9136</v>
      </c>
      <c r="O162" s="39">
        <f>'Data Entry Leverkusen'!AM162</f>
        <v>22668.670399999999</v>
      </c>
    </row>
    <row r="163" spans="2:15" ht="14" x14ac:dyDescent="0.15">
      <c r="B163" s="38" t="s">
        <v>116</v>
      </c>
      <c r="C163" s="39">
        <f>'Data Entry Leverkusen'!C163</f>
        <v>129776.44680000001</v>
      </c>
      <c r="D163" s="39">
        <f>'Data Entry Leverkusen'!F163</f>
        <v>8265.33</v>
      </c>
      <c r="E163" s="39">
        <f>'Data Entry Leverkusen'!I163</f>
        <v>9309.93</v>
      </c>
      <c r="F163" s="39">
        <f>'Data Entry Leverkusen'!L163</f>
        <v>10214.44</v>
      </c>
      <c r="G163" s="39">
        <f>'Data Entry Leverkusen'!O163</f>
        <v>8107.42</v>
      </c>
      <c r="H163" s="39">
        <f>'Data Entry Leverkusen'!R163</f>
        <v>11196.527599999999</v>
      </c>
      <c r="I163" s="39">
        <f>'Data Entry Leverkusen'!U163</f>
        <v>11238.079</v>
      </c>
      <c r="J163" s="39">
        <f>'Data Entry Leverkusen'!X163</f>
        <v>8385.9531000000006</v>
      </c>
      <c r="K163" s="39">
        <f>'Data Entry Leverkusen'!AA163</f>
        <v>10128.473599999999</v>
      </c>
      <c r="L163" s="39">
        <f>'Data Entry Leverkusen'!AD163</f>
        <v>13673.824500000001</v>
      </c>
      <c r="M163" s="39">
        <f>'Data Entry Leverkusen'!AG163</f>
        <v>15506.074500000001</v>
      </c>
      <c r="N163" s="39">
        <f>'Data Entry Leverkusen'!AJ163</f>
        <v>13248.574500000001</v>
      </c>
      <c r="O163" s="39">
        <f>'Data Entry Leverkusen'!AM163</f>
        <v>10501.82</v>
      </c>
    </row>
    <row r="164" spans="2:15" ht="14" x14ac:dyDescent="0.15">
      <c r="B164" s="38" t="s">
        <v>117</v>
      </c>
      <c r="C164" s="39">
        <f>'Data Entry Leverkusen'!C164</f>
        <v>90156.961899999995</v>
      </c>
      <c r="D164" s="39">
        <f>'Data Entry Leverkusen'!F164</f>
        <v>7193.48</v>
      </c>
      <c r="E164" s="39">
        <f>'Data Entry Leverkusen'!I164</f>
        <v>2595.63</v>
      </c>
      <c r="F164" s="39">
        <f>'Data Entry Leverkusen'!L164</f>
        <v>7743.3</v>
      </c>
      <c r="G164" s="39">
        <f>'Data Entry Leverkusen'!O164</f>
        <v>5567.89</v>
      </c>
      <c r="H164" s="39">
        <f>'Data Entry Leverkusen'!R164</f>
        <v>7997.5196999999998</v>
      </c>
      <c r="I164" s="39">
        <f>'Data Entry Leverkusen'!U164</f>
        <v>8027.1992</v>
      </c>
      <c r="J164" s="39">
        <f>'Data Entry Leverkusen'!X164</f>
        <v>5989.9665000000005</v>
      </c>
      <c r="K164" s="39">
        <f>'Data Entry Leverkusen'!AA164</f>
        <v>7234.6239999999998</v>
      </c>
      <c r="L164" s="39">
        <f>'Data Entry Leverkusen'!AD164</f>
        <v>9767.0174999999999</v>
      </c>
      <c r="M164" s="39">
        <f>'Data Entry Leverkusen'!AG164</f>
        <v>11075.7675</v>
      </c>
      <c r="N164" s="39">
        <f>'Data Entry Leverkusen'!AJ164</f>
        <v>9463.2674999999999</v>
      </c>
      <c r="O164" s="39">
        <f>'Data Entry Leverkusen'!AM164</f>
        <v>7501.3</v>
      </c>
    </row>
    <row r="165" spans="2:15" ht="14" x14ac:dyDescent="0.15">
      <c r="B165" s="38" t="s">
        <v>118</v>
      </c>
      <c r="C165" s="39">
        <f>'Data Entry Leverkusen'!C165</f>
        <v>21609.62</v>
      </c>
      <c r="D165" s="39">
        <f>'Data Entry Leverkusen'!F165</f>
        <v>1662.15</v>
      </c>
      <c r="E165" s="39">
        <f>'Data Entry Leverkusen'!I165</f>
        <v>-272.76</v>
      </c>
      <c r="F165" s="39">
        <f>'Data Entry Leverkusen'!L165</f>
        <v>1167.3599999999999</v>
      </c>
      <c r="G165" s="39">
        <f>'Data Entry Leverkusen'!O165</f>
        <v>2434.87</v>
      </c>
      <c r="H165" s="39">
        <f>'Data Entry Leverkusen'!R165</f>
        <v>2077.25</v>
      </c>
      <c r="I165" s="39">
        <f>'Data Entry Leverkusen'!U165</f>
        <v>2077.25</v>
      </c>
      <c r="J165" s="39">
        <f>'Data Entry Leverkusen'!X165</f>
        <v>2077.25</v>
      </c>
      <c r="K165" s="39">
        <f>'Data Entry Leverkusen'!AA165</f>
        <v>2077.25</v>
      </c>
      <c r="L165" s="39">
        <f>'Data Entry Leverkusen'!AD165</f>
        <v>2077.25</v>
      </c>
      <c r="M165" s="39">
        <f>'Data Entry Leverkusen'!AG165</f>
        <v>2077.25</v>
      </c>
      <c r="N165" s="39">
        <f>'Data Entry Leverkusen'!AJ165</f>
        <v>2077.25</v>
      </c>
      <c r="O165" s="39">
        <f>'Data Entry Leverkusen'!AM165</f>
        <v>2077.25</v>
      </c>
    </row>
    <row r="166" spans="2:15" ht="14" x14ac:dyDescent="0.15">
      <c r="B166" s="38" t="s">
        <v>119</v>
      </c>
      <c r="C166" s="39">
        <f>'Data Entry Leverkusen'!C166</f>
        <v>30283.5072</v>
      </c>
      <c r="D166" s="39">
        <f>'Data Entry Leverkusen'!F166</f>
        <v>2167.9699999999998</v>
      </c>
      <c r="E166" s="39">
        <f>'Data Entry Leverkusen'!I166</f>
        <v>1681.92</v>
      </c>
      <c r="F166" s="39">
        <f>'Data Entry Leverkusen'!L166</f>
        <v>2581.1</v>
      </c>
      <c r="G166" s="39">
        <f>'Data Entry Leverkusen'!O166</f>
        <v>1911.81</v>
      </c>
      <c r="H166" s="39">
        <f>'Data Entry Leverkusen'!R166</f>
        <v>2548.3807000000002</v>
      </c>
      <c r="I166" s="39">
        <f>'Data Entry Leverkusen'!U166</f>
        <v>2508.0372000000002</v>
      </c>
      <c r="J166" s="39">
        <f>'Data Entry Leverkusen'!X166</f>
        <v>1772.0283999999999</v>
      </c>
      <c r="K166" s="39">
        <f>'Data Entry Leverkusen'!AA166</f>
        <v>2374.3991000000001</v>
      </c>
      <c r="L166" s="39">
        <f>'Data Entry Leverkusen'!AD166</f>
        <v>3324.0183000000002</v>
      </c>
      <c r="M166" s="39">
        <f>'Data Entry Leverkusen'!AG166</f>
        <v>3554.7215000000001</v>
      </c>
      <c r="N166" s="39">
        <f>'Data Entry Leverkusen'!AJ166</f>
        <v>3270.8216000000002</v>
      </c>
      <c r="O166" s="39">
        <f>'Data Entry Leverkusen'!AM166</f>
        <v>2588.3004000000001</v>
      </c>
    </row>
    <row r="168" spans="2:15" ht="14" x14ac:dyDescent="0.15">
      <c r="B168" s="33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8C71-01A2-49DC-8514-DC051FABD8CB}">
  <sheetPr>
    <pageSetUpPr fitToPage="1"/>
  </sheetPr>
  <dimension ref="B2:AN168"/>
  <sheetViews>
    <sheetView workbookViewId="0">
      <pane xSplit="2" ySplit="10" topLeftCell="C11" activePane="bottomRight" state="frozen"/>
      <selection activeCell="A170" sqref="A170:XFD178"/>
      <selection pane="topRight" activeCell="A170" sqref="A170:XFD178"/>
      <selection pane="bottomLeft" activeCell="A170" sqref="A170:XFD17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28" x14ac:dyDescent="0.15">
      <c r="B3" s="288" t="s">
        <v>151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6159376.9483000003</v>
      </c>
      <c r="D11" s="7">
        <v>1</v>
      </c>
      <c r="E11"/>
      <c r="F11" s="6">
        <v>433660.89</v>
      </c>
      <c r="G11" s="7">
        <v>1</v>
      </c>
      <c r="H11"/>
      <c r="I11" s="6">
        <v>442754.48</v>
      </c>
      <c r="J11" s="7">
        <v>1</v>
      </c>
      <c r="K11"/>
      <c r="L11" s="6">
        <v>513073.42</v>
      </c>
      <c r="M11" s="7">
        <v>1</v>
      </c>
      <c r="N11"/>
      <c r="O11" s="6">
        <v>381746.73</v>
      </c>
      <c r="P11" s="7">
        <v>1</v>
      </c>
      <c r="Q11"/>
      <c r="R11" s="6">
        <v>509676.14539999998</v>
      </c>
      <c r="S11" s="7">
        <v>1</v>
      </c>
      <c r="T11"/>
      <c r="U11" s="6">
        <v>501607.43810000003</v>
      </c>
      <c r="V11" s="7">
        <v>1</v>
      </c>
      <c r="W11"/>
      <c r="X11" s="6">
        <v>354405.67680000002</v>
      </c>
      <c r="Y11" s="7">
        <v>1</v>
      </c>
      <c r="Z11"/>
      <c r="AA11" s="6">
        <v>474879.81550000003</v>
      </c>
      <c r="AB11" s="7">
        <v>1</v>
      </c>
      <c r="AC11"/>
      <c r="AD11" s="6">
        <v>664803.65119999996</v>
      </c>
      <c r="AE11" s="7">
        <v>1</v>
      </c>
      <c r="AF11"/>
      <c r="AG11" s="6">
        <v>710944.29590000003</v>
      </c>
      <c r="AH11" s="7">
        <v>1</v>
      </c>
      <c r="AI11"/>
      <c r="AJ11" s="6">
        <v>654164.32209999999</v>
      </c>
      <c r="AK11" s="7">
        <v>1</v>
      </c>
      <c r="AL11"/>
      <c r="AM11" s="6">
        <v>517660.0833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2207821.0510999998</v>
      </c>
      <c r="D12" s="7">
        <v>0.35844875999999998</v>
      </c>
      <c r="E12"/>
      <c r="F12" s="6">
        <v>171232.78</v>
      </c>
      <c r="G12" s="7">
        <v>0.39485409999999999</v>
      </c>
      <c r="H12"/>
      <c r="I12" s="6">
        <v>206941.39</v>
      </c>
      <c r="J12" s="7">
        <v>0.46739535999999998</v>
      </c>
      <c r="K12"/>
      <c r="L12" s="6">
        <v>168806.82</v>
      </c>
      <c r="M12" s="7">
        <v>0.32901103999999998</v>
      </c>
      <c r="N12"/>
      <c r="O12" s="6">
        <v>181004.53</v>
      </c>
      <c r="P12" s="7">
        <v>0.47414821000000001</v>
      </c>
      <c r="Q12"/>
      <c r="R12" s="6">
        <v>167897.48269999999</v>
      </c>
      <c r="S12" s="7">
        <v>0.32941994000000002</v>
      </c>
      <c r="T12"/>
      <c r="U12" s="6">
        <v>180317.65849999999</v>
      </c>
      <c r="V12" s="7">
        <v>0.35947962999999999</v>
      </c>
      <c r="W12"/>
      <c r="X12" s="6">
        <v>175128.26439999999</v>
      </c>
      <c r="Y12" s="7">
        <v>0.49414633000000002</v>
      </c>
      <c r="Z12"/>
      <c r="AA12" s="6">
        <v>183937.01120000001</v>
      </c>
      <c r="AB12" s="7">
        <v>0.38733382</v>
      </c>
      <c r="AC12"/>
      <c r="AD12" s="6">
        <v>185871.32639999999</v>
      </c>
      <c r="AE12" s="7">
        <v>0.27958831000000001</v>
      </c>
      <c r="AF12"/>
      <c r="AG12" s="6">
        <v>187959.68419999999</v>
      </c>
      <c r="AH12" s="7">
        <v>0.26438033</v>
      </c>
      <c r="AI12"/>
      <c r="AJ12" s="6">
        <v>205946.53159999999</v>
      </c>
      <c r="AK12" s="7">
        <v>0.31482385000000002</v>
      </c>
      <c r="AL12"/>
      <c r="AM12" s="6">
        <v>192777.57209999999</v>
      </c>
      <c r="AN12" s="7">
        <v>0.37240184999999998</v>
      </c>
    </row>
    <row r="13" spans="2:40" s="314" customFormat="1" ht="12.75" customHeight="1" x14ac:dyDescent="0.15">
      <c r="B13" s="5" t="s">
        <v>23</v>
      </c>
      <c r="C13" s="6">
        <v>1873126.2204</v>
      </c>
      <c r="D13" s="7">
        <v>0</v>
      </c>
      <c r="E13"/>
      <c r="F13" s="6">
        <v>95107.03</v>
      </c>
      <c r="G13" s="7">
        <v>0</v>
      </c>
      <c r="H13"/>
      <c r="I13" s="6">
        <v>94819.62</v>
      </c>
      <c r="J13" s="7">
        <v>0</v>
      </c>
      <c r="K13"/>
      <c r="L13" s="6">
        <v>184123.45</v>
      </c>
      <c r="M13" s="7">
        <v>0</v>
      </c>
      <c r="N13"/>
      <c r="O13" s="6">
        <v>45111.16</v>
      </c>
      <c r="P13" s="7">
        <v>0</v>
      </c>
      <c r="Q13"/>
      <c r="R13" s="6">
        <v>165482.7732</v>
      </c>
      <c r="S13" s="7">
        <v>0</v>
      </c>
      <c r="T13"/>
      <c r="U13" s="6">
        <v>157447.53320000001</v>
      </c>
      <c r="V13" s="7">
        <v>0</v>
      </c>
      <c r="W13"/>
      <c r="X13" s="6">
        <v>34889.650399999999</v>
      </c>
      <c r="Y13" s="7">
        <v>0</v>
      </c>
      <c r="Z13"/>
      <c r="AA13" s="6">
        <v>123367.4425</v>
      </c>
      <c r="AB13" s="7">
        <v>0</v>
      </c>
      <c r="AC13"/>
      <c r="AD13" s="6">
        <v>274113.37640000001</v>
      </c>
      <c r="AE13" s="7">
        <v>0</v>
      </c>
      <c r="AF13"/>
      <c r="AG13" s="6">
        <v>300665.13770000002</v>
      </c>
      <c r="AH13" s="7">
        <v>0</v>
      </c>
      <c r="AI13"/>
      <c r="AJ13" s="6">
        <v>241853.20670000001</v>
      </c>
      <c r="AK13" s="7">
        <v>0</v>
      </c>
      <c r="AL13"/>
      <c r="AM13" s="6">
        <v>156145.84030000001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44044</v>
      </c>
      <c r="D14" s="7">
        <v>0</v>
      </c>
      <c r="E14"/>
      <c r="F14" s="8">
        <v>3630</v>
      </c>
      <c r="G14" s="7">
        <v>0</v>
      </c>
      <c r="H14"/>
      <c r="I14" s="8">
        <v>3388</v>
      </c>
      <c r="J14" s="7">
        <v>0</v>
      </c>
      <c r="K14"/>
      <c r="L14" s="8">
        <v>3751</v>
      </c>
      <c r="M14" s="7">
        <v>0</v>
      </c>
      <c r="N14"/>
      <c r="O14" s="8">
        <v>3630</v>
      </c>
      <c r="P14" s="7">
        <v>0</v>
      </c>
      <c r="Q14"/>
      <c r="R14" s="8">
        <v>3751</v>
      </c>
      <c r="S14" s="7">
        <v>0</v>
      </c>
      <c r="T14"/>
      <c r="U14" s="8">
        <v>3630</v>
      </c>
      <c r="V14" s="7">
        <v>0</v>
      </c>
      <c r="W14"/>
      <c r="X14" s="8">
        <v>3751</v>
      </c>
      <c r="Y14" s="7">
        <v>0</v>
      </c>
      <c r="Z14"/>
      <c r="AA14" s="8">
        <v>3751</v>
      </c>
      <c r="AB14" s="7">
        <v>0</v>
      </c>
      <c r="AC14"/>
      <c r="AD14" s="8">
        <v>3630</v>
      </c>
      <c r="AE14" s="7">
        <v>0</v>
      </c>
      <c r="AF14"/>
      <c r="AG14" s="8">
        <v>3751</v>
      </c>
      <c r="AH14" s="7">
        <v>0</v>
      </c>
      <c r="AI14"/>
      <c r="AJ14" s="8">
        <v>3630</v>
      </c>
      <c r="AK14" s="7">
        <v>0</v>
      </c>
      <c r="AL14"/>
      <c r="AM14" s="8">
        <v>3751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29077</v>
      </c>
      <c r="D15" s="7">
        <v>0</v>
      </c>
      <c r="E15"/>
      <c r="F15" s="9">
        <v>2133</v>
      </c>
      <c r="G15" s="7">
        <v>0</v>
      </c>
      <c r="H15"/>
      <c r="I15" s="9">
        <v>2049</v>
      </c>
      <c r="J15" s="7">
        <v>0</v>
      </c>
      <c r="K15"/>
      <c r="L15" s="9">
        <v>2156</v>
      </c>
      <c r="M15" s="7">
        <v>0</v>
      </c>
      <c r="N15"/>
      <c r="O15" s="9">
        <v>1901</v>
      </c>
      <c r="P15" s="7">
        <v>0</v>
      </c>
      <c r="Q15"/>
      <c r="R15" s="9">
        <v>2535</v>
      </c>
      <c r="S15" s="7">
        <v>0</v>
      </c>
      <c r="T15"/>
      <c r="U15" s="9">
        <v>2540</v>
      </c>
      <c r="V15" s="7">
        <v>0</v>
      </c>
      <c r="W15"/>
      <c r="X15" s="9">
        <v>1890</v>
      </c>
      <c r="Y15" s="7">
        <v>0</v>
      </c>
      <c r="Z15"/>
      <c r="AA15" s="9">
        <v>2070</v>
      </c>
      <c r="AB15" s="7">
        <v>0</v>
      </c>
      <c r="AC15"/>
      <c r="AD15" s="9">
        <v>3010</v>
      </c>
      <c r="AE15" s="7">
        <v>0</v>
      </c>
      <c r="AF15"/>
      <c r="AG15" s="9">
        <v>3160</v>
      </c>
      <c r="AH15" s="7">
        <v>0</v>
      </c>
      <c r="AI15"/>
      <c r="AJ15" s="9">
        <v>3060</v>
      </c>
      <c r="AK15" s="7">
        <v>0</v>
      </c>
      <c r="AL15"/>
      <c r="AM15" s="9">
        <v>2573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66.029425120333997</v>
      </c>
      <c r="D16" s="7">
        <v>0</v>
      </c>
      <c r="E16"/>
      <c r="F16" s="8">
        <v>58.760330578511997</v>
      </c>
      <c r="G16" s="7">
        <v>0</v>
      </c>
      <c r="H16"/>
      <c r="I16" s="8">
        <v>60.537190082644997</v>
      </c>
      <c r="J16" s="7">
        <v>0</v>
      </c>
      <c r="K16"/>
      <c r="L16" s="8">
        <v>57.478005865103</v>
      </c>
      <c r="M16" s="7">
        <v>0</v>
      </c>
      <c r="N16"/>
      <c r="O16" s="8">
        <v>52.451790633609001</v>
      </c>
      <c r="P16" s="7">
        <v>0</v>
      </c>
      <c r="Q16"/>
      <c r="R16" s="8">
        <v>67.581978139162999</v>
      </c>
      <c r="S16" s="7">
        <v>0</v>
      </c>
      <c r="T16"/>
      <c r="U16" s="8">
        <v>69.972451790633997</v>
      </c>
      <c r="V16" s="7">
        <v>0</v>
      </c>
      <c r="W16"/>
      <c r="X16" s="8">
        <v>50.386563583045003</v>
      </c>
      <c r="Y16" s="7">
        <v>0</v>
      </c>
      <c r="Z16"/>
      <c r="AA16" s="8">
        <v>55.185283924286999</v>
      </c>
      <c r="AB16" s="7">
        <v>0</v>
      </c>
      <c r="AC16"/>
      <c r="AD16" s="8">
        <v>82.920110192837001</v>
      </c>
      <c r="AE16" s="7">
        <v>0</v>
      </c>
      <c r="AF16"/>
      <c r="AG16" s="8">
        <v>84.244201546254004</v>
      </c>
      <c r="AH16" s="7">
        <v>0</v>
      </c>
      <c r="AI16"/>
      <c r="AJ16" s="8">
        <v>84.297520661156994</v>
      </c>
      <c r="AK16" s="7">
        <v>0</v>
      </c>
      <c r="AL16"/>
      <c r="AM16" s="8">
        <v>68.595041322314003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127.30329057330999</v>
      </c>
      <c r="D17" s="7">
        <v>0</v>
      </c>
      <c r="E17"/>
      <c r="F17" s="9">
        <v>110.71372714487001</v>
      </c>
      <c r="G17" s="7">
        <v>0</v>
      </c>
      <c r="H17"/>
      <c r="I17" s="9">
        <v>115.81129819424</v>
      </c>
      <c r="J17" s="7">
        <v>0</v>
      </c>
      <c r="K17"/>
      <c r="L17" s="9">
        <v>135.36262987013001</v>
      </c>
      <c r="M17" s="7">
        <v>0</v>
      </c>
      <c r="N17"/>
      <c r="O17" s="9">
        <v>121.85152025249999</v>
      </c>
      <c r="P17" s="7">
        <v>0</v>
      </c>
      <c r="Q17"/>
      <c r="R17" s="9">
        <v>127.25869428007999</v>
      </c>
      <c r="S17" s="7">
        <v>0</v>
      </c>
      <c r="T17"/>
      <c r="U17" s="9">
        <v>127.59368897637999</v>
      </c>
      <c r="V17" s="7">
        <v>0</v>
      </c>
      <c r="W17"/>
      <c r="X17" s="9">
        <v>127.6977037037</v>
      </c>
      <c r="Y17" s="7">
        <v>0</v>
      </c>
      <c r="Z17"/>
      <c r="AA17" s="9">
        <v>140.37920772947001</v>
      </c>
      <c r="AB17" s="7">
        <v>0</v>
      </c>
      <c r="AC17"/>
      <c r="AD17" s="9">
        <v>130.79093023255999</v>
      </c>
      <c r="AE17" s="7">
        <v>0</v>
      </c>
      <c r="AF17"/>
      <c r="AG17" s="9">
        <v>141.62363924050999</v>
      </c>
      <c r="AH17" s="7">
        <v>0</v>
      </c>
      <c r="AI17"/>
      <c r="AJ17" s="9">
        <v>125.17343137255</v>
      </c>
      <c r="AK17" s="7">
        <v>0</v>
      </c>
      <c r="AL17"/>
      <c r="AM17" s="9">
        <v>117.29576369996001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83.292025701571006</v>
      </c>
      <c r="D18" s="7">
        <v>0</v>
      </c>
      <c r="E18"/>
      <c r="F18" s="6">
        <v>64.493531680440995</v>
      </c>
      <c r="G18" s="7">
        <v>0</v>
      </c>
      <c r="H18"/>
      <c r="I18" s="6">
        <v>68.952187131051005</v>
      </c>
      <c r="J18" s="7">
        <v>0</v>
      </c>
      <c r="K18"/>
      <c r="L18" s="6">
        <v>77.139773393761999</v>
      </c>
      <c r="M18" s="7">
        <v>0</v>
      </c>
      <c r="N18"/>
      <c r="O18" s="6">
        <v>63.133520661157</v>
      </c>
      <c r="P18" s="7">
        <v>0</v>
      </c>
      <c r="Q18"/>
      <c r="R18" s="6">
        <v>85.284134897361</v>
      </c>
      <c r="S18" s="7">
        <v>0</v>
      </c>
      <c r="T18"/>
      <c r="U18" s="6">
        <v>88.453986225894994</v>
      </c>
      <c r="V18" s="7">
        <v>0</v>
      </c>
      <c r="W18"/>
      <c r="X18" s="6">
        <v>63.875942415356</v>
      </c>
      <c r="Y18" s="7">
        <v>0</v>
      </c>
      <c r="Z18"/>
      <c r="AA18" s="6">
        <v>77.148749666756004</v>
      </c>
      <c r="AB18" s="7">
        <v>0</v>
      </c>
      <c r="AC18"/>
      <c r="AD18" s="6">
        <v>107.62553719008</v>
      </c>
      <c r="AE18" s="7">
        <v>0</v>
      </c>
      <c r="AF18"/>
      <c r="AG18" s="6">
        <v>118.1100239936</v>
      </c>
      <c r="AH18" s="7">
        <v>0</v>
      </c>
      <c r="AI18"/>
      <c r="AJ18" s="6">
        <v>104.27842975207</v>
      </c>
      <c r="AK18" s="7">
        <v>0</v>
      </c>
      <c r="AL18"/>
      <c r="AM18" s="6">
        <v>79.992535323913998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139.84599374035</v>
      </c>
      <c r="D19" s="7">
        <v>0</v>
      </c>
      <c r="E19"/>
      <c r="F19" s="9">
        <v>119.46580991736</v>
      </c>
      <c r="G19" s="7">
        <v>0</v>
      </c>
      <c r="H19"/>
      <c r="I19" s="9">
        <v>130.68314049586999</v>
      </c>
      <c r="J19" s="7">
        <v>0</v>
      </c>
      <c r="K19"/>
      <c r="L19" s="9">
        <v>136.78310317249</v>
      </c>
      <c r="M19" s="7">
        <v>0</v>
      </c>
      <c r="N19"/>
      <c r="O19" s="9">
        <v>105.16438842975001</v>
      </c>
      <c r="P19" s="7">
        <v>0</v>
      </c>
      <c r="Q19"/>
      <c r="R19" s="9">
        <v>135.87740479871999</v>
      </c>
      <c r="S19" s="7">
        <v>0</v>
      </c>
      <c r="T19"/>
      <c r="U19" s="9">
        <v>138.18386724518001</v>
      </c>
      <c r="V19" s="7">
        <v>0</v>
      </c>
      <c r="W19"/>
      <c r="X19" s="9">
        <v>94.482985017329</v>
      </c>
      <c r="Y19" s="7">
        <v>0</v>
      </c>
      <c r="Z19"/>
      <c r="AA19" s="9">
        <v>126.60085723807001</v>
      </c>
      <c r="AB19" s="7">
        <v>0</v>
      </c>
      <c r="AC19"/>
      <c r="AD19" s="9">
        <v>183.14150170798999</v>
      </c>
      <c r="AE19" s="7">
        <v>0</v>
      </c>
      <c r="AF19"/>
      <c r="AG19" s="9">
        <v>189.53460301253</v>
      </c>
      <c r="AH19" s="7">
        <v>0</v>
      </c>
      <c r="AI19"/>
      <c r="AJ19" s="9">
        <v>180.21055705233999</v>
      </c>
      <c r="AK19" s="7">
        <v>0</v>
      </c>
      <c r="AL19"/>
      <c r="AM19" s="9">
        <v>138.00588731005001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39412.000899999999</v>
      </c>
      <c r="D20" s="7">
        <v>0</v>
      </c>
      <c r="E20"/>
      <c r="F20" s="8">
        <v>2686</v>
      </c>
      <c r="G20" s="7">
        <v>0</v>
      </c>
      <c r="H20"/>
      <c r="I20" s="8">
        <v>2548</v>
      </c>
      <c r="J20" s="7">
        <v>0</v>
      </c>
      <c r="K20"/>
      <c r="L20" s="8">
        <v>2809</v>
      </c>
      <c r="M20" s="7">
        <v>0</v>
      </c>
      <c r="N20"/>
      <c r="O20" s="8">
        <v>2738</v>
      </c>
      <c r="P20" s="7">
        <v>0</v>
      </c>
      <c r="Q20"/>
      <c r="R20" s="8">
        <v>3215.1</v>
      </c>
      <c r="S20" s="7">
        <v>0</v>
      </c>
      <c r="T20"/>
      <c r="U20" s="8">
        <v>3321.5</v>
      </c>
      <c r="V20" s="7">
        <v>0</v>
      </c>
      <c r="W20"/>
      <c r="X20" s="8">
        <v>2757.002</v>
      </c>
      <c r="Y20" s="7">
        <v>0</v>
      </c>
      <c r="Z20"/>
      <c r="AA20" s="8">
        <v>2996.9989</v>
      </c>
      <c r="AB20" s="7">
        <v>0</v>
      </c>
      <c r="AC20"/>
      <c r="AD20" s="8">
        <v>4042</v>
      </c>
      <c r="AE20" s="7">
        <v>0</v>
      </c>
      <c r="AF20"/>
      <c r="AG20" s="8">
        <v>4364</v>
      </c>
      <c r="AH20" s="7">
        <v>0</v>
      </c>
      <c r="AI20"/>
      <c r="AJ20" s="8">
        <v>4212</v>
      </c>
      <c r="AK20" s="7">
        <v>0</v>
      </c>
      <c r="AL20"/>
      <c r="AM20" s="8">
        <v>3722.4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1.355202561722</v>
      </c>
      <c r="D21" s="7">
        <v>0</v>
      </c>
      <c r="E21"/>
      <c r="F21" s="9">
        <v>1.2592592592592999</v>
      </c>
      <c r="G21" s="7">
        <v>0</v>
      </c>
      <c r="H21"/>
      <c r="I21" s="9">
        <v>1.2423208191126001</v>
      </c>
      <c r="J21" s="7">
        <v>0</v>
      </c>
      <c r="K21"/>
      <c r="L21" s="9">
        <v>1.3028756957328</v>
      </c>
      <c r="M21" s="7">
        <v>0</v>
      </c>
      <c r="N21"/>
      <c r="O21" s="9">
        <v>1.4380252100840001</v>
      </c>
      <c r="P21" s="7">
        <v>0</v>
      </c>
      <c r="Q21"/>
      <c r="R21" s="9">
        <v>1.2682840236685999</v>
      </c>
      <c r="S21" s="7">
        <v>0</v>
      </c>
      <c r="T21"/>
      <c r="U21" s="9">
        <v>1.3076771653543</v>
      </c>
      <c r="V21" s="7">
        <v>0</v>
      </c>
      <c r="W21"/>
      <c r="X21" s="9">
        <v>1.4587312169311999</v>
      </c>
      <c r="Y21" s="7">
        <v>0</v>
      </c>
      <c r="Z21"/>
      <c r="AA21" s="9">
        <v>1.4478255555556001</v>
      </c>
      <c r="AB21" s="7">
        <v>0</v>
      </c>
      <c r="AC21"/>
      <c r="AD21" s="9">
        <v>1.3428571428570999</v>
      </c>
      <c r="AE21" s="7">
        <v>0</v>
      </c>
      <c r="AF21"/>
      <c r="AG21" s="9">
        <v>1.3810126582277999</v>
      </c>
      <c r="AH21" s="7">
        <v>0</v>
      </c>
      <c r="AI21"/>
      <c r="AJ21" s="9">
        <v>1.3764705882353001</v>
      </c>
      <c r="AK21" s="7">
        <v>0</v>
      </c>
      <c r="AL21"/>
      <c r="AM21" s="9">
        <v>1.4467158958413999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54205.5101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6274.8263999999999</v>
      </c>
      <c r="S22" s="7">
        <v>0</v>
      </c>
      <c r="T22"/>
      <c r="U22" s="8">
        <v>5810.4360999999999</v>
      </c>
      <c r="V22" s="7">
        <v>0</v>
      </c>
      <c r="W22"/>
      <c r="X22" s="8">
        <v>5405.2112999999999</v>
      </c>
      <c r="Y22" s="7">
        <v>0</v>
      </c>
      <c r="Z22"/>
      <c r="AA22" s="8">
        <v>6363.2460000000001</v>
      </c>
      <c r="AB22" s="7">
        <v>0</v>
      </c>
      <c r="AC22"/>
      <c r="AD22" s="8">
        <v>7352.1729999999998</v>
      </c>
      <c r="AE22" s="7">
        <v>0</v>
      </c>
      <c r="AF22"/>
      <c r="AG22" s="8">
        <v>8199.1643000000004</v>
      </c>
      <c r="AH22" s="7">
        <v>0</v>
      </c>
      <c r="AI22"/>
      <c r="AJ22" s="8">
        <v>8262.3603999999996</v>
      </c>
      <c r="AK22" s="7">
        <v>0</v>
      </c>
      <c r="AL22"/>
      <c r="AM22" s="8">
        <v>6538.0925999999999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46.640799999999999</v>
      </c>
      <c r="D23" s="7">
        <v>0</v>
      </c>
      <c r="E23"/>
      <c r="F23" s="8">
        <v>49.97</v>
      </c>
      <c r="G23" s="7">
        <v>0</v>
      </c>
      <c r="H23"/>
      <c r="I23" s="8">
        <v>49.97</v>
      </c>
      <c r="J23" s="7">
        <v>0</v>
      </c>
      <c r="K23"/>
      <c r="L23" s="8">
        <v>48.25</v>
      </c>
      <c r="M23" s="7">
        <v>0</v>
      </c>
      <c r="N23"/>
      <c r="O23" s="8">
        <v>48.5</v>
      </c>
      <c r="P23" s="7">
        <v>0</v>
      </c>
      <c r="Q23"/>
      <c r="R23" s="8">
        <v>42</v>
      </c>
      <c r="S23" s="7">
        <v>0</v>
      </c>
      <c r="T23"/>
      <c r="U23" s="8">
        <v>43</v>
      </c>
      <c r="V23" s="7">
        <v>0</v>
      </c>
      <c r="W23"/>
      <c r="X23" s="8">
        <v>44</v>
      </c>
      <c r="Y23" s="7">
        <v>0</v>
      </c>
      <c r="Z23"/>
      <c r="AA23" s="8">
        <v>45</v>
      </c>
      <c r="AB23" s="7">
        <v>0</v>
      </c>
      <c r="AC23"/>
      <c r="AD23" s="8">
        <v>46.5</v>
      </c>
      <c r="AE23" s="7">
        <v>0</v>
      </c>
      <c r="AF23"/>
      <c r="AG23" s="8">
        <v>47.5</v>
      </c>
      <c r="AH23" s="7">
        <v>0</v>
      </c>
      <c r="AI23"/>
      <c r="AJ23" s="8">
        <v>47.5</v>
      </c>
      <c r="AK23" s="7">
        <v>0</v>
      </c>
      <c r="AL23"/>
      <c r="AM23" s="8">
        <v>47.5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6159376.9483000003</v>
      </c>
      <c r="D27" s="327">
        <v>1</v>
      </c>
      <c r="E27"/>
      <c r="F27" s="326">
        <v>433660.89</v>
      </c>
      <c r="G27" s="327">
        <v>1</v>
      </c>
      <c r="H27"/>
      <c r="I27" s="326">
        <v>442754.48</v>
      </c>
      <c r="J27" s="327">
        <v>1</v>
      </c>
      <c r="K27"/>
      <c r="L27" s="326">
        <v>513073.42</v>
      </c>
      <c r="M27" s="327">
        <v>1</v>
      </c>
      <c r="N27"/>
      <c r="O27" s="326">
        <v>381746.73</v>
      </c>
      <c r="P27" s="327">
        <v>1</v>
      </c>
      <c r="Q27"/>
      <c r="R27" s="326">
        <v>509676.14539999998</v>
      </c>
      <c r="S27" s="327">
        <v>1</v>
      </c>
      <c r="T27"/>
      <c r="U27" s="326">
        <v>501607.43810000003</v>
      </c>
      <c r="V27" s="327">
        <v>1</v>
      </c>
      <c r="W27"/>
      <c r="X27" s="326">
        <v>354405.67680000002</v>
      </c>
      <c r="Y27" s="327">
        <v>1</v>
      </c>
      <c r="Z27"/>
      <c r="AA27" s="326">
        <v>474879.81550000003</v>
      </c>
      <c r="AB27" s="327">
        <v>1</v>
      </c>
      <c r="AC27"/>
      <c r="AD27" s="326">
        <v>664803.65119999996</v>
      </c>
      <c r="AE27" s="327">
        <v>1</v>
      </c>
      <c r="AF27"/>
      <c r="AG27" s="326">
        <v>710944.29590000003</v>
      </c>
      <c r="AH27" s="327">
        <v>1</v>
      </c>
      <c r="AI27"/>
      <c r="AJ27" s="326">
        <v>654164.32209999999</v>
      </c>
      <c r="AK27" s="327">
        <v>1</v>
      </c>
      <c r="AL27"/>
      <c r="AM27" s="326">
        <v>517660.0833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3701597.78</v>
      </c>
      <c r="D28" s="7">
        <v>0.60096952000000003</v>
      </c>
      <c r="E28"/>
      <c r="F28" s="8">
        <v>236152.38</v>
      </c>
      <c r="G28" s="7">
        <v>0.54455540000000002</v>
      </c>
      <c r="H28"/>
      <c r="I28" s="8">
        <v>237297.35</v>
      </c>
      <c r="J28" s="7">
        <v>0.53595696999999998</v>
      </c>
      <c r="K28"/>
      <c r="L28" s="8">
        <v>291841.83</v>
      </c>
      <c r="M28" s="7">
        <v>0.56881104999999998</v>
      </c>
      <c r="N28"/>
      <c r="O28" s="8">
        <v>231639.74</v>
      </c>
      <c r="P28" s="7">
        <v>0.60678905999999999</v>
      </c>
      <c r="Q28"/>
      <c r="R28" s="8">
        <v>322600.78999999998</v>
      </c>
      <c r="S28" s="7">
        <v>0.63295250000000003</v>
      </c>
      <c r="T28"/>
      <c r="U28" s="8">
        <v>324087.96999999997</v>
      </c>
      <c r="V28" s="7">
        <v>0.64609881000000002</v>
      </c>
      <c r="W28"/>
      <c r="X28" s="8">
        <v>241348.66</v>
      </c>
      <c r="Y28" s="7">
        <v>0.68099547000000005</v>
      </c>
      <c r="Z28"/>
      <c r="AA28" s="8">
        <v>290584.96000000002</v>
      </c>
      <c r="AB28" s="7">
        <v>0.61191264000000001</v>
      </c>
      <c r="AC28"/>
      <c r="AD28" s="8">
        <v>393680.7</v>
      </c>
      <c r="AE28" s="7">
        <v>0.59217589999999998</v>
      </c>
      <c r="AF28"/>
      <c r="AG28" s="8">
        <v>447530.7</v>
      </c>
      <c r="AH28" s="7">
        <v>0.62948771000000003</v>
      </c>
      <c r="AI28"/>
      <c r="AJ28" s="8">
        <v>383030.7</v>
      </c>
      <c r="AK28" s="7">
        <v>0.58552674000000005</v>
      </c>
      <c r="AL28"/>
      <c r="AM28" s="8">
        <v>301802</v>
      </c>
      <c r="AN28" s="7">
        <v>0.58301192000000002</v>
      </c>
    </row>
    <row r="29" spans="2:40" s="314" customFormat="1" ht="12.75" customHeight="1" x14ac:dyDescent="0.15">
      <c r="B29" s="5" t="s">
        <v>36</v>
      </c>
      <c r="C29" s="8">
        <v>2054478.0682999999</v>
      </c>
      <c r="D29" s="7">
        <v>0.33355289999999999</v>
      </c>
      <c r="E29"/>
      <c r="F29" s="8">
        <v>162161.74</v>
      </c>
      <c r="G29" s="7">
        <v>0.37393673999999999</v>
      </c>
      <c r="H29"/>
      <c r="I29" s="8">
        <v>164594.54</v>
      </c>
      <c r="J29" s="7">
        <v>0.37175127000000002</v>
      </c>
      <c r="K29"/>
      <c r="L29" s="8">
        <v>165989.21</v>
      </c>
      <c r="M29" s="7">
        <v>0.32351941000000001</v>
      </c>
      <c r="N29"/>
      <c r="O29" s="8">
        <v>125157.93</v>
      </c>
      <c r="P29" s="7">
        <v>0.32785593000000002</v>
      </c>
      <c r="Q29"/>
      <c r="R29" s="8">
        <v>160330.6054</v>
      </c>
      <c r="S29" s="7">
        <v>0.31457349000000001</v>
      </c>
      <c r="T29"/>
      <c r="U29" s="8">
        <v>152620.4681</v>
      </c>
      <c r="V29" s="7">
        <v>0.30426277000000002</v>
      </c>
      <c r="W29"/>
      <c r="X29" s="8">
        <v>96260.516799999998</v>
      </c>
      <c r="Y29" s="7">
        <v>0.27161109999999999</v>
      </c>
      <c r="Z29"/>
      <c r="AA29" s="8">
        <v>162735.35550000001</v>
      </c>
      <c r="AB29" s="7">
        <v>0.34268746</v>
      </c>
      <c r="AC29"/>
      <c r="AD29" s="8">
        <v>229404.45120000001</v>
      </c>
      <c r="AE29" s="7">
        <v>0.34507099000000002</v>
      </c>
      <c r="AF29"/>
      <c r="AG29" s="8">
        <v>219667.59589999999</v>
      </c>
      <c r="AH29" s="7">
        <v>0.30898004000000001</v>
      </c>
      <c r="AI29"/>
      <c r="AJ29" s="8">
        <v>227572.62210000001</v>
      </c>
      <c r="AK29" s="7">
        <v>0.34788296000000002</v>
      </c>
      <c r="AL29"/>
      <c r="AM29" s="8">
        <v>187983.03330000001</v>
      </c>
      <c r="AN29" s="7">
        <v>0.36313990000000002</v>
      </c>
    </row>
    <row r="30" spans="2:40" s="314" customFormat="1" ht="12.75" customHeight="1" x14ac:dyDescent="0.15">
      <c r="B30" s="5" t="s">
        <v>37</v>
      </c>
      <c r="C30" s="8">
        <v>304372.90999999997</v>
      </c>
      <c r="D30" s="7">
        <v>4.9416179999999997E-2</v>
      </c>
      <c r="E30"/>
      <c r="F30" s="8">
        <v>25247.599999999999</v>
      </c>
      <c r="G30" s="7">
        <v>5.8219680000000003E-2</v>
      </c>
      <c r="H30"/>
      <c r="I30" s="8">
        <v>31385.66</v>
      </c>
      <c r="J30" s="7">
        <v>7.0887279999999997E-2</v>
      </c>
      <c r="K30"/>
      <c r="L30" s="8">
        <v>28388.34</v>
      </c>
      <c r="M30" s="7">
        <v>5.5329980000000001E-2</v>
      </c>
      <c r="N30"/>
      <c r="O30" s="8">
        <v>22601.01</v>
      </c>
      <c r="P30" s="7">
        <v>5.9204199999999998E-2</v>
      </c>
      <c r="Q30"/>
      <c r="R30" s="8">
        <v>22244.75</v>
      </c>
      <c r="S30" s="7">
        <v>4.3644870000000002E-2</v>
      </c>
      <c r="T30"/>
      <c r="U30" s="8">
        <v>17999</v>
      </c>
      <c r="V30" s="7">
        <v>3.588264E-2</v>
      </c>
      <c r="W30"/>
      <c r="X30" s="8">
        <v>13546.5</v>
      </c>
      <c r="Y30" s="7">
        <v>3.8223149999999997E-2</v>
      </c>
      <c r="Z30"/>
      <c r="AA30" s="8">
        <v>19059.5</v>
      </c>
      <c r="AB30" s="7">
        <v>4.0135419999999998E-2</v>
      </c>
      <c r="AC30"/>
      <c r="AD30" s="8">
        <v>32718.5</v>
      </c>
      <c r="AE30" s="7">
        <v>4.921528E-2</v>
      </c>
      <c r="AF30"/>
      <c r="AG30" s="8">
        <v>33746</v>
      </c>
      <c r="AH30" s="7">
        <v>4.746645E-2</v>
      </c>
      <c r="AI30"/>
      <c r="AJ30" s="8">
        <v>33061</v>
      </c>
      <c r="AK30" s="7">
        <v>5.0539290000000001E-2</v>
      </c>
      <c r="AL30"/>
      <c r="AM30" s="8">
        <v>24375.05</v>
      </c>
      <c r="AN30" s="7">
        <v>4.7086980000000001E-2</v>
      </c>
    </row>
    <row r="31" spans="2:40" s="314" customFormat="1" ht="12.75" customHeight="1" x14ac:dyDescent="0.15">
      <c r="B31" s="5" t="s">
        <v>38</v>
      </c>
      <c r="C31" s="8">
        <v>98928.19</v>
      </c>
      <c r="D31" s="7">
        <v>1.60614E-2</v>
      </c>
      <c r="E31"/>
      <c r="F31" s="8">
        <v>10099.17</v>
      </c>
      <c r="G31" s="7">
        <v>2.328817E-2</v>
      </c>
      <c r="H31"/>
      <c r="I31" s="8">
        <v>9476.93</v>
      </c>
      <c r="J31" s="7">
        <v>2.140448E-2</v>
      </c>
      <c r="K31"/>
      <c r="L31" s="8">
        <v>26854.04</v>
      </c>
      <c r="M31" s="7">
        <v>5.2339570000000002E-2</v>
      </c>
      <c r="N31"/>
      <c r="O31" s="8">
        <v>2348.0500000000002</v>
      </c>
      <c r="P31" s="7">
        <v>6.1508099999999996E-3</v>
      </c>
      <c r="Q31"/>
      <c r="R31" s="8">
        <v>4500</v>
      </c>
      <c r="S31" s="7">
        <v>8.8291399999999992E-3</v>
      </c>
      <c r="T31"/>
      <c r="U31" s="8">
        <v>6900</v>
      </c>
      <c r="V31" s="7">
        <v>1.375578E-2</v>
      </c>
      <c r="W31"/>
      <c r="X31" s="8">
        <v>3250</v>
      </c>
      <c r="Y31" s="7">
        <v>9.1702799999999994E-3</v>
      </c>
      <c r="Z31"/>
      <c r="AA31" s="8">
        <v>2500</v>
      </c>
      <c r="AB31" s="7">
        <v>5.2644899999999993E-3</v>
      </c>
      <c r="AC31"/>
      <c r="AD31" s="8">
        <v>9000</v>
      </c>
      <c r="AE31" s="7">
        <v>1.3537830000000001E-2</v>
      </c>
      <c r="AF31"/>
      <c r="AG31" s="8">
        <v>10000</v>
      </c>
      <c r="AH31" s="7">
        <v>1.40658E-2</v>
      </c>
      <c r="AI31"/>
      <c r="AJ31" s="8">
        <v>10500</v>
      </c>
      <c r="AK31" s="7">
        <v>1.6051010000000001E-2</v>
      </c>
      <c r="AL31"/>
      <c r="AM31" s="8">
        <v>3500</v>
      </c>
      <c r="AN31" s="7">
        <v>6.7611900000000003E-3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3701597.78</v>
      </c>
      <c r="D34" s="327">
        <v>1</v>
      </c>
      <c r="E34"/>
      <c r="F34" s="326">
        <v>236152.38</v>
      </c>
      <c r="G34" s="327">
        <v>1</v>
      </c>
      <c r="H34"/>
      <c r="I34" s="326">
        <v>237297.35</v>
      </c>
      <c r="J34" s="327">
        <v>1</v>
      </c>
      <c r="K34"/>
      <c r="L34" s="326">
        <v>291841.83</v>
      </c>
      <c r="M34" s="327">
        <v>1</v>
      </c>
      <c r="N34"/>
      <c r="O34" s="326">
        <v>231639.74</v>
      </c>
      <c r="P34" s="327">
        <v>1</v>
      </c>
      <c r="Q34"/>
      <c r="R34" s="326">
        <v>322600.78999999998</v>
      </c>
      <c r="S34" s="327">
        <v>1</v>
      </c>
      <c r="T34"/>
      <c r="U34" s="326">
        <v>324087.96999999997</v>
      </c>
      <c r="V34" s="327">
        <v>1</v>
      </c>
      <c r="W34"/>
      <c r="X34" s="326">
        <v>241348.66</v>
      </c>
      <c r="Y34" s="327">
        <v>1</v>
      </c>
      <c r="Z34"/>
      <c r="AA34" s="326">
        <v>290584.96000000002</v>
      </c>
      <c r="AB34" s="327">
        <v>1</v>
      </c>
      <c r="AC34"/>
      <c r="AD34" s="326">
        <v>393680.7</v>
      </c>
      <c r="AE34" s="327">
        <v>1</v>
      </c>
      <c r="AF34"/>
      <c r="AG34" s="326">
        <v>447530.7</v>
      </c>
      <c r="AH34" s="327">
        <v>1</v>
      </c>
      <c r="AI34"/>
      <c r="AJ34" s="326">
        <v>383030.7</v>
      </c>
      <c r="AK34" s="327">
        <v>1</v>
      </c>
      <c r="AL34"/>
      <c r="AM34" s="326">
        <v>301802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753922.93429999996</v>
      </c>
      <c r="D35" s="7">
        <v>0.20367499999999999</v>
      </c>
      <c r="E35"/>
      <c r="F35" s="8">
        <v>60740.3</v>
      </c>
      <c r="G35" s="7">
        <v>0.25720808000000001</v>
      </c>
      <c r="H35"/>
      <c r="I35" s="8">
        <v>69901.740000000005</v>
      </c>
      <c r="J35" s="7">
        <v>0.29457446999999998</v>
      </c>
      <c r="K35"/>
      <c r="L35" s="8">
        <v>58532.71</v>
      </c>
      <c r="M35" s="7">
        <v>0.20056313000000001</v>
      </c>
      <c r="N35"/>
      <c r="O35" s="8">
        <v>59955.61</v>
      </c>
      <c r="P35" s="7">
        <v>0.25883128</v>
      </c>
      <c r="Q35"/>
      <c r="R35" s="8">
        <v>59269.836000000003</v>
      </c>
      <c r="S35" s="7">
        <v>0.18372501999999999</v>
      </c>
      <c r="T35"/>
      <c r="U35" s="8">
        <v>58741.470500000003</v>
      </c>
      <c r="V35" s="7">
        <v>0.18125162</v>
      </c>
      <c r="W35"/>
      <c r="X35" s="8">
        <v>59507.917099999999</v>
      </c>
      <c r="Y35" s="7">
        <v>0.24656411</v>
      </c>
      <c r="Z35"/>
      <c r="AA35" s="8">
        <v>62555.080199999997</v>
      </c>
      <c r="AB35" s="7">
        <v>0.21527294999999999</v>
      </c>
      <c r="AC35"/>
      <c r="AD35" s="8">
        <v>66943.577499999999</v>
      </c>
      <c r="AE35" s="7">
        <v>0.17004536000000001</v>
      </c>
      <c r="AF35"/>
      <c r="AG35" s="8">
        <v>59327.654900000001</v>
      </c>
      <c r="AH35" s="7">
        <v>0.13256667</v>
      </c>
      <c r="AI35"/>
      <c r="AJ35" s="8">
        <v>69519.270499999999</v>
      </c>
      <c r="AK35" s="7">
        <v>0.18149791000000001</v>
      </c>
      <c r="AL35"/>
      <c r="AM35" s="8">
        <v>68927.767600000006</v>
      </c>
      <c r="AN35" s="7">
        <v>0.22838738</v>
      </c>
    </row>
    <row r="36" spans="2:40" s="314" customFormat="1" ht="12.75" customHeight="1" x14ac:dyDescent="0.15">
      <c r="B36" s="5" t="s">
        <v>40</v>
      </c>
      <c r="C36" s="8">
        <v>600299.02650000004</v>
      </c>
      <c r="D36" s="7">
        <v>0.16217295000000001</v>
      </c>
      <c r="E36"/>
      <c r="F36" s="8">
        <v>38676.89</v>
      </c>
      <c r="G36" s="7">
        <v>0.16377938</v>
      </c>
      <c r="H36"/>
      <c r="I36" s="8">
        <v>38705.550000000003</v>
      </c>
      <c r="J36" s="7">
        <v>0.16310991</v>
      </c>
      <c r="K36"/>
      <c r="L36" s="8">
        <v>40815.730000000003</v>
      </c>
      <c r="M36" s="7">
        <v>0.13985565</v>
      </c>
      <c r="N36"/>
      <c r="O36" s="8">
        <v>45430.42</v>
      </c>
      <c r="P36" s="7">
        <v>0.19612532999999999</v>
      </c>
      <c r="Q36"/>
      <c r="R36" s="8">
        <v>49044.590100000001</v>
      </c>
      <c r="S36" s="7">
        <v>0.15202874</v>
      </c>
      <c r="T36"/>
      <c r="U36" s="8">
        <v>53658.397299999997</v>
      </c>
      <c r="V36" s="7">
        <v>0.16556737999999999</v>
      </c>
      <c r="W36"/>
      <c r="X36" s="8">
        <v>42918.3943</v>
      </c>
      <c r="Y36" s="7">
        <v>0.17782735999999999</v>
      </c>
      <c r="Z36"/>
      <c r="AA36" s="8">
        <v>53621.477700000003</v>
      </c>
      <c r="AB36" s="7">
        <v>0.18452942999999999</v>
      </c>
      <c r="AC36"/>
      <c r="AD36" s="8">
        <v>64550.835700000003</v>
      </c>
      <c r="AE36" s="7">
        <v>0.16396748999999999</v>
      </c>
      <c r="AF36"/>
      <c r="AG36" s="8">
        <v>66969.591899999999</v>
      </c>
      <c r="AH36" s="7">
        <v>0.14964245000000001</v>
      </c>
      <c r="AI36"/>
      <c r="AJ36" s="8">
        <v>57742.3531</v>
      </c>
      <c r="AK36" s="7">
        <v>0.15075124000000001</v>
      </c>
      <c r="AL36"/>
      <c r="AM36" s="8">
        <v>48164.796399999999</v>
      </c>
      <c r="AN36" s="7">
        <v>0.15959071</v>
      </c>
    </row>
    <row r="37" spans="2:40" s="314" customFormat="1" ht="12.75" customHeight="1" x14ac:dyDescent="0.15">
      <c r="B37" s="325" t="s">
        <v>41</v>
      </c>
      <c r="C37" s="326">
        <v>2347375.8191999998</v>
      </c>
      <c r="D37" s="327">
        <v>0.63415204999999997</v>
      </c>
      <c r="E37"/>
      <c r="F37" s="326">
        <v>136735.19</v>
      </c>
      <c r="G37" s="327">
        <v>0.57901254000000002</v>
      </c>
      <c r="H37"/>
      <c r="I37" s="326">
        <v>128690.06</v>
      </c>
      <c r="J37" s="327">
        <v>0.54231562</v>
      </c>
      <c r="K37"/>
      <c r="L37" s="326">
        <v>192493.39</v>
      </c>
      <c r="M37" s="327">
        <v>0.65958122000000008</v>
      </c>
      <c r="N37"/>
      <c r="O37" s="326">
        <v>126253.71</v>
      </c>
      <c r="P37" s="327">
        <v>0.54504339000000002</v>
      </c>
      <c r="Q37"/>
      <c r="R37" s="326">
        <v>214286.3639</v>
      </c>
      <c r="S37" s="327">
        <v>0.66424625000000004</v>
      </c>
      <c r="T37"/>
      <c r="U37" s="326">
        <v>211688.10219999999</v>
      </c>
      <c r="V37" s="327">
        <v>0.65318099000000007</v>
      </c>
      <c r="W37"/>
      <c r="X37" s="326">
        <v>138922.3486</v>
      </c>
      <c r="Y37" s="327">
        <v>0.57560853000000001</v>
      </c>
      <c r="Z37"/>
      <c r="AA37" s="326">
        <v>174408.40210000001</v>
      </c>
      <c r="AB37" s="327">
        <v>0.60019761999999999</v>
      </c>
      <c r="AC37"/>
      <c r="AD37" s="326">
        <v>262186.2868</v>
      </c>
      <c r="AE37" s="327">
        <v>0.66598714999999997</v>
      </c>
      <c r="AF37"/>
      <c r="AG37" s="326">
        <v>321233.45319999999</v>
      </c>
      <c r="AH37" s="327">
        <v>0.71779088000000002</v>
      </c>
      <c r="AI37"/>
      <c r="AJ37" s="326">
        <v>255769.07639999999</v>
      </c>
      <c r="AK37" s="327">
        <v>0.66775085000000001</v>
      </c>
      <c r="AL37"/>
      <c r="AM37" s="326">
        <v>184709.43599999999</v>
      </c>
      <c r="AN37" s="327">
        <v>0.61202190999999995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1249238.0382000001</v>
      </c>
      <c r="D40" s="7">
        <v>0.60805615999999996</v>
      </c>
      <c r="E40"/>
      <c r="F40" s="8">
        <v>95706.3</v>
      </c>
      <c r="G40" s="7">
        <v>0.59019038999999995</v>
      </c>
      <c r="H40"/>
      <c r="I40" s="8">
        <v>94686.54</v>
      </c>
      <c r="J40" s="7">
        <v>0.57527145000000002</v>
      </c>
      <c r="K40"/>
      <c r="L40" s="8">
        <v>101374.59</v>
      </c>
      <c r="M40" s="7">
        <v>0.61073</v>
      </c>
      <c r="N40"/>
      <c r="O40" s="8">
        <v>76320.08</v>
      </c>
      <c r="P40" s="7">
        <v>0.60979021</v>
      </c>
      <c r="Q40"/>
      <c r="R40" s="8">
        <v>101092.6931</v>
      </c>
      <c r="S40" s="7">
        <v>0.63052649000000005</v>
      </c>
      <c r="T40"/>
      <c r="U40" s="8">
        <v>94040.897700000001</v>
      </c>
      <c r="V40" s="7">
        <v>0.61617486999999993</v>
      </c>
      <c r="W40"/>
      <c r="X40" s="8">
        <v>60674.473299999998</v>
      </c>
      <c r="Y40" s="7">
        <v>0.63031526999999998</v>
      </c>
      <c r="Z40"/>
      <c r="AA40" s="8">
        <v>101192.8799</v>
      </c>
      <c r="AB40" s="7">
        <v>0.62182479999999996</v>
      </c>
      <c r="AC40"/>
      <c r="AD40" s="8">
        <v>140522.23540000001</v>
      </c>
      <c r="AE40" s="7">
        <v>0.61255234999999997</v>
      </c>
      <c r="AF40"/>
      <c r="AG40" s="8">
        <v>129379.9313</v>
      </c>
      <c r="AH40" s="7">
        <v>0.58898050000000002</v>
      </c>
      <c r="AI40"/>
      <c r="AJ40" s="8">
        <v>135542.9613</v>
      </c>
      <c r="AK40" s="7">
        <v>0.59560310999999999</v>
      </c>
      <c r="AL40"/>
      <c r="AM40" s="8">
        <v>118704.4562</v>
      </c>
      <c r="AN40" s="7">
        <v>0.63146367000000003</v>
      </c>
    </row>
    <row r="41" spans="2:40" s="314" customFormat="1" ht="12.75" customHeight="1" x14ac:dyDescent="0.15">
      <c r="B41" s="5" t="s">
        <v>44</v>
      </c>
      <c r="C41" s="8">
        <v>654772.19050000003</v>
      </c>
      <c r="D41" s="7">
        <v>0.31870488000000002</v>
      </c>
      <c r="E41"/>
      <c r="F41" s="8">
        <v>59539.42</v>
      </c>
      <c r="G41" s="7">
        <v>0.36716071</v>
      </c>
      <c r="H41"/>
      <c r="I41" s="8">
        <v>58458.35</v>
      </c>
      <c r="J41" s="7">
        <v>0.35516578999999998</v>
      </c>
      <c r="K41"/>
      <c r="L41" s="8">
        <v>57474.32</v>
      </c>
      <c r="M41" s="7">
        <v>0.34625335000000002</v>
      </c>
      <c r="N41"/>
      <c r="O41" s="8">
        <v>41169.78</v>
      </c>
      <c r="P41" s="7">
        <v>0.32894264000000001</v>
      </c>
      <c r="Q41"/>
      <c r="R41" s="8">
        <v>50566.972399999999</v>
      </c>
      <c r="S41" s="7">
        <v>0.31539189000000001</v>
      </c>
      <c r="T41"/>
      <c r="U41" s="8">
        <v>49047.140399999997</v>
      </c>
      <c r="V41" s="7">
        <v>0.32136672999999999</v>
      </c>
      <c r="W41"/>
      <c r="X41" s="8">
        <v>30118.243600000002</v>
      </c>
      <c r="Y41" s="7">
        <v>0.31288262999999999</v>
      </c>
      <c r="Z41"/>
      <c r="AA41" s="8">
        <v>48194.725599999998</v>
      </c>
      <c r="AB41" s="7">
        <v>0.29615398999999998</v>
      </c>
      <c r="AC41"/>
      <c r="AD41" s="8">
        <v>66707.685899999997</v>
      </c>
      <c r="AE41" s="7">
        <v>0.29078636000000002</v>
      </c>
      <c r="AF41"/>
      <c r="AG41" s="8">
        <v>67800.824600000007</v>
      </c>
      <c r="AH41" s="7">
        <v>0.30865192000000002</v>
      </c>
      <c r="AI41"/>
      <c r="AJ41" s="8">
        <v>68962.050900000002</v>
      </c>
      <c r="AK41" s="7">
        <v>0.30303316000000002</v>
      </c>
      <c r="AL41"/>
      <c r="AM41" s="8">
        <v>56732.677100000001</v>
      </c>
      <c r="AN41" s="7">
        <v>0.30179679999999998</v>
      </c>
    </row>
    <row r="42" spans="2:40" s="314" customFormat="1" ht="12.75" customHeight="1" x14ac:dyDescent="0.15">
      <c r="B42" s="5" t="s">
        <v>45</v>
      </c>
      <c r="C42" s="8">
        <v>150467.84</v>
      </c>
      <c r="D42" s="7">
        <v>7.3238960000000006E-2</v>
      </c>
      <c r="E42"/>
      <c r="F42" s="8">
        <v>6916.02</v>
      </c>
      <c r="G42" s="7">
        <v>4.2648899999999997E-2</v>
      </c>
      <c r="H42"/>
      <c r="I42" s="8">
        <v>11449.65</v>
      </c>
      <c r="J42" s="7">
        <v>6.9562760000000001E-2</v>
      </c>
      <c r="K42"/>
      <c r="L42" s="8">
        <v>7140.3</v>
      </c>
      <c r="M42" s="7">
        <v>4.3016649999999997E-2</v>
      </c>
      <c r="N42"/>
      <c r="O42" s="8">
        <v>7668.07</v>
      </c>
      <c r="P42" s="7">
        <v>6.1267149999999999E-2</v>
      </c>
      <c r="Q42"/>
      <c r="R42" s="8">
        <v>8670.94</v>
      </c>
      <c r="S42" s="7">
        <v>5.4081629999999999E-2</v>
      </c>
      <c r="T42"/>
      <c r="U42" s="8">
        <v>9532.43</v>
      </c>
      <c r="V42" s="7">
        <v>6.2458399999999997E-2</v>
      </c>
      <c r="W42"/>
      <c r="X42" s="8">
        <v>5467.8</v>
      </c>
      <c r="Y42" s="7">
        <v>5.6802110000000003E-2</v>
      </c>
      <c r="Z42"/>
      <c r="AA42" s="8">
        <v>13347.75</v>
      </c>
      <c r="AB42" s="7">
        <v>8.2021209999999997E-2</v>
      </c>
      <c r="AC42"/>
      <c r="AD42" s="8">
        <v>22174.53</v>
      </c>
      <c r="AE42" s="7">
        <v>9.6661289999999997E-2</v>
      </c>
      <c r="AF42"/>
      <c r="AG42" s="8">
        <v>22486.84</v>
      </c>
      <c r="AH42" s="7">
        <v>0.10236758</v>
      </c>
      <c r="AI42"/>
      <c r="AJ42" s="8">
        <v>23067.61</v>
      </c>
      <c r="AK42" s="7">
        <v>0.10136373</v>
      </c>
      <c r="AL42"/>
      <c r="AM42" s="8">
        <v>12545.9</v>
      </c>
      <c r="AN42" s="7">
        <v>6.6739530000000005E-2</v>
      </c>
    </row>
    <row r="43" spans="2:40" s="314" customFormat="1" ht="12.75" customHeight="1" x14ac:dyDescent="0.15">
      <c r="B43" s="325" t="s">
        <v>36</v>
      </c>
      <c r="C43" s="326">
        <v>2054478.0682999999</v>
      </c>
      <c r="D43" s="327">
        <v>1</v>
      </c>
      <c r="E43"/>
      <c r="F43" s="326">
        <v>162161.74</v>
      </c>
      <c r="G43" s="327">
        <v>1</v>
      </c>
      <c r="H43"/>
      <c r="I43" s="326">
        <v>164594.54</v>
      </c>
      <c r="J43" s="327">
        <v>1</v>
      </c>
      <c r="K43"/>
      <c r="L43" s="326">
        <v>165989.21</v>
      </c>
      <c r="M43" s="327">
        <v>1</v>
      </c>
      <c r="N43"/>
      <c r="O43" s="326">
        <v>125157.93</v>
      </c>
      <c r="P43" s="327">
        <v>1</v>
      </c>
      <c r="Q43"/>
      <c r="R43" s="326">
        <v>160330.6054</v>
      </c>
      <c r="S43" s="327">
        <v>1</v>
      </c>
      <c r="T43"/>
      <c r="U43" s="326">
        <v>152620.4681</v>
      </c>
      <c r="V43" s="327">
        <v>1</v>
      </c>
      <c r="W43"/>
      <c r="X43" s="326">
        <v>96260.516799999998</v>
      </c>
      <c r="Y43" s="327">
        <v>1</v>
      </c>
      <c r="Z43"/>
      <c r="AA43" s="326">
        <v>162735.35550000001</v>
      </c>
      <c r="AB43" s="327">
        <v>1</v>
      </c>
      <c r="AC43"/>
      <c r="AD43" s="326">
        <v>229404.45120000001</v>
      </c>
      <c r="AE43" s="327">
        <v>1</v>
      </c>
      <c r="AF43"/>
      <c r="AG43" s="326">
        <v>219667.59589999999</v>
      </c>
      <c r="AH43" s="327">
        <v>1</v>
      </c>
      <c r="AI43"/>
      <c r="AJ43" s="326">
        <v>227572.62210000001</v>
      </c>
      <c r="AK43" s="327">
        <v>1</v>
      </c>
      <c r="AL43"/>
      <c r="AM43" s="326">
        <v>187983.03330000001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381815.14610000001</v>
      </c>
      <c r="D44" s="7">
        <v>0.30563842000000002</v>
      </c>
      <c r="E44"/>
      <c r="F44" s="8">
        <v>30048.84</v>
      </c>
      <c r="G44" s="7">
        <v>0.31396930000000001</v>
      </c>
      <c r="H44"/>
      <c r="I44" s="8">
        <v>28864.880000000001</v>
      </c>
      <c r="J44" s="7">
        <v>0.30484671000000002</v>
      </c>
      <c r="K44"/>
      <c r="L44" s="8">
        <v>31784.93</v>
      </c>
      <c r="M44" s="7">
        <v>0.31353942000000001</v>
      </c>
      <c r="N44"/>
      <c r="O44" s="8">
        <v>23681.94</v>
      </c>
      <c r="P44" s="7">
        <v>0.31029762999999999</v>
      </c>
      <c r="Q44"/>
      <c r="R44" s="8">
        <v>30833.271400000001</v>
      </c>
      <c r="S44" s="7">
        <v>0.30499999999999999</v>
      </c>
      <c r="T44"/>
      <c r="U44" s="8">
        <v>28756.540799999999</v>
      </c>
      <c r="V44" s="7">
        <v>0.30578759999999999</v>
      </c>
      <c r="W44"/>
      <c r="X44" s="8">
        <v>18687.737799999999</v>
      </c>
      <c r="Y44" s="7">
        <v>0.308</v>
      </c>
      <c r="Z44"/>
      <c r="AA44" s="8">
        <v>30863.519899999999</v>
      </c>
      <c r="AB44" s="7">
        <v>0.30499694999999999</v>
      </c>
      <c r="AC44"/>
      <c r="AD44" s="8">
        <v>42368.607499999998</v>
      </c>
      <c r="AE44" s="7">
        <v>0.30150821</v>
      </c>
      <c r="AF44"/>
      <c r="AG44" s="8">
        <v>39090.494700000003</v>
      </c>
      <c r="AH44" s="7">
        <v>0.30213722999999998</v>
      </c>
      <c r="AI44"/>
      <c r="AJ44" s="8">
        <v>40866.933799999999</v>
      </c>
      <c r="AK44" s="7">
        <v>0.30150538999999998</v>
      </c>
      <c r="AL44"/>
      <c r="AM44" s="8">
        <v>35967.450199999999</v>
      </c>
      <c r="AN44" s="7">
        <v>0.30299999999999999</v>
      </c>
    </row>
    <row r="45" spans="2:40" s="314" customFormat="1" ht="12.75" customHeight="1" x14ac:dyDescent="0.15">
      <c r="B45" s="5" t="s">
        <v>47</v>
      </c>
      <c r="C45" s="8">
        <v>108459.04790000001</v>
      </c>
      <c r="D45" s="7">
        <v>0.16564393999999999</v>
      </c>
      <c r="E45"/>
      <c r="F45" s="8">
        <v>9328.17</v>
      </c>
      <c r="G45" s="7">
        <v>0.15667217</v>
      </c>
      <c r="H45"/>
      <c r="I45" s="8">
        <v>9949.6</v>
      </c>
      <c r="J45" s="7">
        <v>0.17019981000000001</v>
      </c>
      <c r="K45"/>
      <c r="L45" s="8">
        <v>10526.18</v>
      </c>
      <c r="M45" s="7">
        <v>0.18314579</v>
      </c>
      <c r="N45"/>
      <c r="O45" s="8">
        <v>7093.84</v>
      </c>
      <c r="P45" s="7">
        <v>0.17230697</v>
      </c>
      <c r="Q45"/>
      <c r="R45" s="8">
        <v>8314.7978999999996</v>
      </c>
      <c r="S45" s="7">
        <v>0.16443140000000001</v>
      </c>
      <c r="T45"/>
      <c r="U45" s="8">
        <v>8104.8010999999997</v>
      </c>
      <c r="V45" s="7">
        <v>0.16524512999999999</v>
      </c>
      <c r="W45"/>
      <c r="X45" s="8">
        <v>5033.5</v>
      </c>
      <c r="Y45" s="7">
        <v>0.16712462</v>
      </c>
      <c r="Z45"/>
      <c r="AA45" s="8">
        <v>7886.8521000000001</v>
      </c>
      <c r="AB45" s="7">
        <v>0.16364554000000001</v>
      </c>
      <c r="AC45"/>
      <c r="AD45" s="8">
        <v>10786.0309</v>
      </c>
      <c r="AE45" s="7">
        <v>0.16169098000000001</v>
      </c>
      <c r="AF45"/>
      <c r="AG45" s="8">
        <v>11001.9635</v>
      </c>
      <c r="AH45" s="7">
        <v>0.16226887000000001</v>
      </c>
      <c r="AI45"/>
      <c r="AJ45" s="8">
        <v>11150.370999999999</v>
      </c>
      <c r="AK45" s="7">
        <v>0.16168851000000001</v>
      </c>
      <c r="AL45"/>
      <c r="AM45" s="8">
        <v>9282.9413999999997</v>
      </c>
      <c r="AN45" s="7">
        <v>0.16362600999999999</v>
      </c>
    </row>
    <row r="46" spans="2:40" s="314" customFormat="1" ht="12.75" customHeight="1" x14ac:dyDescent="0.15">
      <c r="B46" s="5" t="s">
        <v>48</v>
      </c>
      <c r="C46" s="8">
        <v>2434.36</v>
      </c>
      <c r="D46" s="7">
        <v>1.617861E-2</v>
      </c>
      <c r="E46"/>
      <c r="F46" s="8">
        <v>199.87</v>
      </c>
      <c r="G46" s="7">
        <v>2.8899569999999999E-2</v>
      </c>
      <c r="H46"/>
      <c r="I46" s="8">
        <v>224.74</v>
      </c>
      <c r="J46" s="7">
        <v>1.9628550000000002E-2</v>
      </c>
      <c r="K46"/>
      <c r="L46" s="8">
        <v>1987.51</v>
      </c>
      <c r="M46" s="7">
        <v>0.27835104999999999</v>
      </c>
      <c r="N46"/>
      <c r="O46" s="8">
        <v>22.24</v>
      </c>
      <c r="P46" s="7">
        <v>2.9003399999999999E-3</v>
      </c>
      <c r="Q46"/>
      <c r="R46" s="8">
        <v>0</v>
      </c>
      <c r="S46" s="7">
        <v>0</v>
      </c>
      <c r="T46"/>
      <c r="U46" s="8">
        <v>0</v>
      </c>
      <c r="V46" s="7">
        <v>0</v>
      </c>
      <c r="W46"/>
      <c r="X46" s="8">
        <v>0</v>
      </c>
      <c r="Y46" s="7">
        <v>0</v>
      </c>
      <c r="Z46"/>
      <c r="AA46" s="8">
        <v>0</v>
      </c>
      <c r="AB46" s="7">
        <v>0</v>
      </c>
      <c r="AC46"/>
      <c r="AD46" s="8">
        <v>0</v>
      </c>
      <c r="AE46" s="7">
        <v>0</v>
      </c>
      <c r="AF46"/>
      <c r="AG46" s="8">
        <v>0</v>
      </c>
      <c r="AH46" s="7">
        <v>0</v>
      </c>
      <c r="AI46"/>
      <c r="AJ46" s="8">
        <v>0</v>
      </c>
      <c r="AK46" s="7">
        <v>0</v>
      </c>
      <c r="AL46"/>
      <c r="AM46" s="8">
        <v>0</v>
      </c>
      <c r="AN46" s="7">
        <v>0</v>
      </c>
    </row>
    <row r="47" spans="2:40" s="314" customFormat="1" ht="12.75" customHeight="1" x14ac:dyDescent="0.15">
      <c r="B47" s="325" t="s">
        <v>49</v>
      </c>
      <c r="C47" s="326">
        <v>492708.55410000001</v>
      </c>
      <c r="D47" s="327">
        <v>0.23982175999999999</v>
      </c>
      <c r="E47"/>
      <c r="F47" s="326">
        <v>39576.879999999997</v>
      </c>
      <c r="G47" s="327">
        <v>0.24405805999999999</v>
      </c>
      <c r="H47"/>
      <c r="I47" s="326">
        <v>39039.22</v>
      </c>
      <c r="J47" s="327">
        <v>0.23718417</v>
      </c>
      <c r="K47"/>
      <c r="L47" s="326">
        <v>44298.62</v>
      </c>
      <c r="M47" s="327">
        <v>0.26687650000000002</v>
      </c>
      <c r="N47"/>
      <c r="O47" s="326">
        <v>30798.02</v>
      </c>
      <c r="P47" s="327">
        <v>0.24607325999999999</v>
      </c>
      <c r="Q47"/>
      <c r="R47" s="326">
        <v>39148.069300000003</v>
      </c>
      <c r="S47" s="327">
        <v>0.24417090999999999</v>
      </c>
      <c r="T47"/>
      <c r="U47" s="326">
        <v>36861.341899999999</v>
      </c>
      <c r="V47" s="327">
        <v>0.24152293</v>
      </c>
      <c r="W47"/>
      <c r="X47" s="326">
        <v>23721.237799999999</v>
      </c>
      <c r="Y47" s="327">
        <v>0.24642749</v>
      </c>
      <c r="Z47"/>
      <c r="AA47" s="326">
        <v>38750.372000000003</v>
      </c>
      <c r="AB47" s="327">
        <v>0.23811895</v>
      </c>
      <c r="AC47"/>
      <c r="AD47" s="326">
        <v>53154.638400000003</v>
      </c>
      <c r="AE47" s="327">
        <v>0.23170709</v>
      </c>
      <c r="AF47"/>
      <c r="AG47" s="326">
        <v>50092.458200000001</v>
      </c>
      <c r="AH47" s="327">
        <v>0.22803754000000001</v>
      </c>
      <c r="AI47"/>
      <c r="AJ47" s="326">
        <v>52017.304900000003</v>
      </c>
      <c r="AK47" s="327">
        <v>0.22857453</v>
      </c>
      <c r="AL47"/>
      <c r="AM47" s="326">
        <v>45250.391600000003</v>
      </c>
      <c r="AN47" s="327">
        <v>0.24071529999999999</v>
      </c>
    </row>
    <row r="48" spans="2:40" s="314" customFormat="1" ht="12.75" customHeight="1" x14ac:dyDescent="0.15">
      <c r="B48" s="5" t="s">
        <v>22</v>
      </c>
      <c r="C48" s="8">
        <v>1004255.0178</v>
      </c>
      <c r="D48" s="7">
        <v>0.48881271999999998</v>
      </c>
      <c r="E48"/>
      <c r="F48" s="8">
        <v>74929.83</v>
      </c>
      <c r="G48" s="7">
        <v>0.46206849</v>
      </c>
      <c r="H48"/>
      <c r="I48" s="8">
        <v>95103.67</v>
      </c>
      <c r="J48" s="7">
        <v>0.57780574000000007</v>
      </c>
      <c r="K48"/>
      <c r="L48" s="8">
        <v>74083.360000000001</v>
      </c>
      <c r="M48" s="7">
        <v>0.44631430999999999</v>
      </c>
      <c r="N48"/>
      <c r="O48" s="8">
        <v>85922.36</v>
      </c>
      <c r="P48" s="7">
        <v>0.68651150999999999</v>
      </c>
      <c r="Q48"/>
      <c r="R48" s="8">
        <v>76692.088099999994</v>
      </c>
      <c r="S48" s="7">
        <v>0.47833716999999998</v>
      </c>
      <c r="T48"/>
      <c r="U48" s="8">
        <v>83995.556299999997</v>
      </c>
      <c r="V48" s="7">
        <v>0.55035577999999996</v>
      </c>
      <c r="W48"/>
      <c r="X48" s="8">
        <v>77258.749500000005</v>
      </c>
      <c r="Y48" s="7">
        <v>0.80260060999999994</v>
      </c>
      <c r="Z48"/>
      <c r="AA48" s="8">
        <v>82302.146999999997</v>
      </c>
      <c r="AB48" s="7">
        <v>0.50574226</v>
      </c>
      <c r="AC48"/>
      <c r="AD48" s="8">
        <v>87010.888399999996</v>
      </c>
      <c r="AE48" s="7">
        <v>0.37929032000000001</v>
      </c>
      <c r="AF48"/>
      <c r="AG48" s="8">
        <v>86246.147100000002</v>
      </c>
      <c r="AH48" s="7">
        <v>0.39262116000000002</v>
      </c>
      <c r="AI48"/>
      <c r="AJ48" s="8">
        <v>93983.880099999995</v>
      </c>
      <c r="AK48" s="7">
        <v>0.41298412000000001</v>
      </c>
      <c r="AL48"/>
      <c r="AM48" s="8">
        <v>86726.3413</v>
      </c>
      <c r="AN48" s="7">
        <v>0.46135196000000001</v>
      </c>
    </row>
    <row r="49" spans="2:40" s="314" customFormat="1" ht="12.75" customHeight="1" x14ac:dyDescent="0.15">
      <c r="B49" s="5" t="s">
        <v>40</v>
      </c>
      <c r="C49" s="8">
        <v>67233.388300000006</v>
      </c>
      <c r="D49" s="7">
        <v>3.2725289999999997E-2</v>
      </c>
      <c r="E49"/>
      <c r="F49" s="8">
        <v>3115.09</v>
      </c>
      <c r="G49" s="7">
        <v>1.9209770000000001E-2</v>
      </c>
      <c r="H49"/>
      <c r="I49" s="8">
        <v>4153.53</v>
      </c>
      <c r="J49" s="7">
        <v>2.5234920000000001E-2</v>
      </c>
      <c r="K49"/>
      <c r="L49" s="8">
        <v>4872.12</v>
      </c>
      <c r="M49" s="7">
        <v>2.9352030000000001E-2</v>
      </c>
      <c r="N49"/>
      <c r="O49" s="8">
        <v>5775.88</v>
      </c>
      <c r="P49" s="7">
        <v>4.6148729999999999E-2</v>
      </c>
      <c r="Q49"/>
      <c r="R49" s="8">
        <v>9512.5475000000006</v>
      </c>
      <c r="S49" s="7">
        <v>5.9330830000000001E-2</v>
      </c>
      <c r="T49"/>
      <c r="U49" s="8">
        <v>5215.9121999999998</v>
      </c>
      <c r="V49" s="7">
        <v>3.4175709999999998E-2</v>
      </c>
      <c r="W49"/>
      <c r="X49" s="8">
        <v>3629.0441000000001</v>
      </c>
      <c r="Y49" s="7">
        <v>3.7700230000000001E-2</v>
      </c>
      <c r="Z49"/>
      <c r="AA49" s="8">
        <v>7492.4027999999998</v>
      </c>
      <c r="AB49" s="7">
        <v>4.6040409999999997E-2</v>
      </c>
      <c r="AC49"/>
      <c r="AD49" s="8">
        <v>5549.7156000000004</v>
      </c>
      <c r="AE49" s="7">
        <v>2.4191839999999999E-2</v>
      </c>
      <c r="AF49"/>
      <c r="AG49" s="8">
        <v>4824.4907999999996</v>
      </c>
      <c r="AH49" s="7">
        <v>2.196269E-2</v>
      </c>
      <c r="AI49"/>
      <c r="AJ49" s="8">
        <v>8587.8510000000006</v>
      </c>
      <c r="AK49" s="7">
        <v>3.7736749999999999E-2</v>
      </c>
      <c r="AL49"/>
      <c r="AM49" s="8">
        <v>4504.8042999999998</v>
      </c>
      <c r="AN49" s="7">
        <v>2.3963890000000002E-2</v>
      </c>
    </row>
    <row r="50" spans="2:40" s="314" customFormat="1" ht="12.75" customHeight="1" x14ac:dyDescent="0.15">
      <c r="B50" s="325" t="s">
        <v>41</v>
      </c>
      <c r="C50" s="326">
        <v>490281.10810000001</v>
      </c>
      <c r="D50" s="327">
        <v>0.23864021999999999</v>
      </c>
      <c r="E50"/>
      <c r="F50" s="326">
        <v>44539.94</v>
      </c>
      <c r="G50" s="327">
        <v>0.27466368000000002</v>
      </c>
      <c r="H50"/>
      <c r="I50" s="326">
        <v>26298.12</v>
      </c>
      <c r="J50" s="327">
        <v>0.15977516999999999</v>
      </c>
      <c r="K50"/>
      <c r="L50" s="326">
        <v>42735.11</v>
      </c>
      <c r="M50" s="327">
        <v>0.25745716000000002</v>
      </c>
      <c r="N50"/>
      <c r="O50" s="326">
        <v>2661.67</v>
      </c>
      <c r="P50" s="327">
        <v>2.1266489999999999E-2</v>
      </c>
      <c r="Q50"/>
      <c r="R50" s="326">
        <v>34977.900500000003</v>
      </c>
      <c r="S50" s="327">
        <v>0.2181611</v>
      </c>
      <c r="T50"/>
      <c r="U50" s="326">
        <v>26547.6577</v>
      </c>
      <c r="V50" s="327">
        <v>0.17394559000000001</v>
      </c>
      <c r="W50"/>
      <c r="X50" s="326">
        <v>-8348.5146000000004</v>
      </c>
      <c r="Y50" s="327">
        <v>-8.6728340000000001E-2</v>
      </c>
      <c r="Z50"/>
      <c r="AA50" s="326">
        <v>34190.433599999997</v>
      </c>
      <c r="AB50" s="327">
        <v>0.21009837000000001</v>
      </c>
      <c r="AC50"/>
      <c r="AD50" s="326">
        <v>83689.208799999993</v>
      </c>
      <c r="AE50" s="327">
        <v>0.36481075000000002</v>
      </c>
      <c r="AF50"/>
      <c r="AG50" s="326">
        <v>78504.499800000005</v>
      </c>
      <c r="AH50" s="327">
        <v>0.35737860999999999</v>
      </c>
      <c r="AI50"/>
      <c r="AJ50" s="326">
        <v>72983.586200000005</v>
      </c>
      <c r="AK50" s="327">
        <v>0.32070460000000001</v>
      </c>
      <c r="AL50"/>
      <c r="AM50" s="326">
        <v>51501.496099999997</v>
      </c>
      <c r="AN50" s="327">
        <v>0.27396884999999999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304372.90999999997</v>
      </c>
      <c r="D53" s="7">
        <v>1</v>
      </c>
      <c r="E53"/>
      <c r="F53" s="8">
        <v>25247.599999999999</v>
      </c>
      <c r="G53" s="7">
        <v>1</v>
      </c>
      <c r="H53"/>
      <c r="I53" s="8">
        <v>31385.66</v>
      </c>
      <c r="J53" s="7">
        <v>1</v>
      </c>
      <c r="K53"/>
      <c r="L53" s="8">
        <v>28388.34</v>
      </c>
      <c r="M53" s="7">
        <v>1</v>
      </c>
      <c r="N53"/>
      <c r="O53" s="8">
        <v>22601.01</v>
      </c>
      <c r="P53" s="7">
        <v>1</v>
      </c>
      <c r="Q53"/>
      <c r="R53" s="8">
        <v>22244.75</v>
      </c>
      <c r="S53" s="7">
        <v>1</v>
      </c>
      <c r="T53"/>
      <c r="U53" s="8">
        <v>17999</v>
      </c>
      <c r="V53" s="7">
        <v>1</v>
      </c>
      <c r="W53"/>
      <c r="X53" s="8">
        <v>13546.5</v>
      </c>
      <c r="Y53" s="7">
        <v>1</v>
      </c>
      <c r="Z53"/>
      <c r="AA53" s="8">
        <v>19059.5</v>
      </c>
      <c r="AB53" s="7">
        <v>1</v>
      </c>
      <c r="AC53"/>
      <c r="AD53" s="8">
        <v>32718.5</v>
      </c>
      <c r="AE53" s="7">
        <v>1</v>
      </c>
      <c r="AF53"/>
      <c r="AG53" s="8">
        <v>33746</v>
      </c>
      <c r="AH53" s="7">
        <v>1</v>
      </c>
      <c r="AI53"/>
      <c r="AJ53" s="8">
        <v>33061</v>
      </c>
      <c r="AK53" s="7">
        <v>1</v>
      </c>
      <c r="AL53"/>
      <c r="AM53" s="8">
        <v>24375.05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49454.485999999997</v>
      </c>
      <c r="D54" s="7">
        <v>0.16247992</v>
      </c>
      <c r="E54"/>
      <c r="F54" s="8">
        <v>6629.12</v>
      </c>
      <c r="G54" s="7">
        <v>0.26256436</v>
      </c>
      <c r="H54"/>
      <c r="I54" s="8">
        <v>5237.24</v>
      </c>
      <c r="J54" s="7">
        <v>0.16686729</v>
      </c>
      <c r="K54"/>
      <c r="L54" s="8">
        <v>7604.2</v>
      </c>
      <c r="M54" s="7">
        <v>0.26786349999999998</v>
      </c>
      <c r="N54"/>
      <c r="O54" s="8">
        <v>1521.45</v>
      </c>
      <c r="P54" s="7">
        <v>6.7317790000000002E-2</v>
      </c>
      <c r="Q54"/>
      <c r="R54" s="8">
        <v>1465.23</v>
      </c>
      <c r="S54" s="7">
        <v>6.586858000000001E-2</v>
      </c>
      <c r="T54"/>
      <c r="U54" s="8">
        <v>1465.75</v>
      </c>
      <c r="V54" s="7">
        <v>8.1435080000000007E-2</v>
      </c>
      <c r="W54"/>
      <c r="X54" s="8">
        <v>1399.44</v>
      </c>
      <c r="Y54" s="7">
        <v>0.10330639</v>
      </c>
      <c r="Z54"/>
      <c r="AA54" s="8">
        <v>1417.81</v>
      </c>
      <c r="AB54" s="7">
        <v>7.4388629999999997E-2</v>
      </c>
      <c r="AC54"/>
      <c r="AD54" s="8">
        <v>6884.56</v>
      </c>
      <c r="AE54" s="7">
        <v>0.21041795999999999</v>
      </c>
      <c r="AF54"/>
      <c r="AG54" s="8">
        <v>6899.86</v>
      </c>
      <c r="AH54" s="7">
        <v>0.20446453000000001</v>
      </c>
      <c r="AI54"/>
      <c r="AJ54" s="8">
        <v>6889.66</v>
      </c>
      <c r="AK54" s="7">
        <v>0.20839236999999999</v>
      </c>
      <c r="AL54"/>
      <c r="AM54" s="8">
        <v>2040.1659999999999</v>
      </c>
      <c r="AN54" s="7">
        <v>8.3698949999999994E-2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2500</v>
      </c>
      <c r="D56" s="7">
        <v>8.2136099999999997E-3</v>
      </c>
      <c r="E56"/>
      <c r="F56" s="8">
        <v>0</v>
      </c>
      <c r="G56" s="7">
        <v>0</v>
      </c>
      <c r="H56"/>
      <c r="I56" s="8">
        <v>0</v>
      </c>
      <c r="J56" s="7">
        <v>0</v>
      </c>
      <c r="K56"/>
      <c r="L56" s="8">
        <v>0</v>
      </c>
      <c r="M56" s="7">
        <v>0</v>
      </c>
      <c r="N56"/>
      <c r="O56" s="8">
        <v>0</v>
      </c>
      <c r="P56" s="7">
        <v>0</v>
      </c>
      <c r="Q56"/>
      <c r="R56" s="8">
        <v>0</v>
      </c>
      <c r="S56" s="7">
        <v>0</v>
      </c>
      <c r="T56"/>
      <c r="U56" s="8">
        <v>0</v>
      </c>
      <c r="V56" s="7">
        <v>0</v>
      </c>
      <c r="W56"/>
      <c r="X56" s="8">
        <v>0</v>
      </c>
      <c r="Y56" s="7">
        <v>0</v>
      </c>
      <c r="Z56"/>
      <c r="AA56" s="8">
        <v>0</v>
      </c>
      <c r="AB56" s="7">
        <v>0</v>
      </c>
      <c r="AC56"/>
      <c r="AD56" s="8">
        <v>0</v>
      </c>
      <c r="AE56" s="7">
        <v>0</v>
      </c>
      <c r="AF56"/>
      <c r="AG56" s="8">
        <v>2500</v>
      </c>
      <c r="AH56" s="7">
        <v>7.4082850000000006E-2</v>
      </c>
      <c r="AI56"/>
      <c r="AJ56" s="8">
        <v>0</v>
      </c>
      <c r="AK56" s="7">
        <v>0</v>
      </c>
      <c r="AL56"/>
      <c r="AM56" s="8">
        <v>0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252418.424</v>
      </c>
      <c r="D57" s="327">
        <v>0.82930646999999991</v>
      </c>
      <c r="E57"/>
      <c r="F57" s="326">
        <v>18618.48</v>
      </c>
      <c r="G57" s="327">
        <v>0.73743564000000006</v>
      </c>
      <c r="H57"/>
      <c r="I57" s="326">
        <v>26148.42</v>
      </c>
      <c r="J57" s="327">
        <v>0.83313271</v>
      </c>
      <c r="K57"/>
      <c r="L57" s="326">
        <v>20784.14</v>
      </c>
      <c r="M57" s="327">
        <v>0.73213649999999997</v>
      </c>
      <c r="N57"/>
      <c r="O57" s="326">
        <v>21079.56</v>
      </c>
      <c r="P57" s="327">
        <v>0.93268220999999996</v>
      </c>
      <c r="Q57"/>
      <c r="R57" s="326">
        <v>20779.52</v>
      </c>
      <c r="S57" s="327">
        <v>0.93413141999999993</v>
      </c>
      <c r="T57"/>
      <c r="U57" s="326">
        <v>16533.25</v>
      </c>
      <c r="V57" s="327">
        <v>0.91856492000000001</v>
      </c>
      <c r="W57"/>
      <c r="X57" s="326">
        <v>12147.06</v>
      </c>
      <c r="Y57" s="327">
        <v>0.89669360999999992</v>
      </c>
      <c r="Z57"/>
      <c r="AA57" s="326">
        <v>17641.689999999999</v>
      </c>
      <c r="AB57" s="327">
        <v>0.92561137000000004</v>
      </c>
      <c r="AC57"/>
      <c r="AD57" s="326">
        <v>25833.94</v>
      </c>
      <c r="AE57" s="327">
        <v>0.78958203999999999</v>
      </c>
      <c r="AF57"/>
      <c r="AG57" s="326">
        <v>24346.14</v>
      </c>
      <c r="AH57" s="327">
        <v>0.72145261999999999</v>
      </c>
      <c r="AI57"/>
      <c r="AJ57" s="326">
        <v>26171.34</v>
      </c>
      <c r="AK57" s="327">
        <v>0.79160763000000001</v>
      </c>
      <c r="AL57"/>
      <c r="AM57" s="326">
        <v>22334.883999999998</v>
      </c>
      <c r="AN57" s="327">
        <v>0.91630104999999995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98928.19</v>
      </c>
      <c r="D60" s="327">
        <v>0.32502298000000002</v>
      </c>
      <c r="E60"/>
      <c r="F60" s="326">
        <v>10099.17</v>
      </c>
      <c r="G60" s="327">
        <v>0.40000514999999998</v>
      </c>
      <c r="H60"/>
      <c r="I60" s="326">
        <v>9476.93</v>
      </c>
      <c r="J60" s="327">
        <v>0.30195095</v>
      </c>
      <c r="K60"/>
      <c r="L60" s="326">
        <v>26854.04</v>
      </c>
      <c r="M60" s="327">
        <v>0.94595315999999996</v>
      </c>
      <c r="N60"/>
      <c r="O60" s="326">
        <v>2348.0500000000002</v>
      </c>
      <c r="P60" s="327">
        <v>0.10389137</v>
      </c>
      <c r="Q60"/>
      <c r="R60" s="326">
        <v>4500</v>
      </c>
      <c r="S60" s="327">
        <v>0.20229491999999999</v>
      </c>
      <c r="T60"/>
      <c r="U60" s="326">
        <v>6900</v>
      </c>
      <c r="V60" s="327">
        <v>0.38335462999999997</v>
      </c>
      <c r="W60"/>
      <c r="X60" s="326">
        <v>3250</v>
      </c>
      <c r="Y60" s="327">
        <v>0.23991436999999999</v>
      </c>
      <c r="Z60"/>
      <c r="AA60" s="326">
        <v>2500</v>
      </c>
      <c r="AB60" s="327">
        <v>0.13116818</v>
      </c>
      <c r="AC60"/>
      <c r="AD60" s="326">
        <v>9000</v>
      </c>
      <c r="AE60" s="327">
        <v>0.27507374000000001</v>
      </c>
      <c r="AF60"/>
      <c r="AG60" s="326">
        <v>10000</v>
      </c>
      <c r="AH60" s="327">
        <v>0.29633142000000001</v>
      </c>
      <c r="AI60"/>
      <c r="AJ60" s="326">
        <v>10500</v>
      </c>
      <c r="AK60" s="327">
        <v>0.31759474999999998</v>
      </c>
      <c r="AL60"/>
      <c r="AM60" s="326">
        <v>3500</v>
      </c>
      <c r="AN60" s="327">
        <v>0.14358945000000001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3189003.5414</v>
      </c>
      <c r="D63" s="327">
        <v>0.51774774999999995</v>
      </c>
      <c r="E63"/>
      <c r="F63" s="326">
        <v>209992.78</v>
      </c>
      <c r="G63" s="327">
        <v>0.48423269000000002</v>
      </c>
      <c r="H63"/>
      <c r="I63" s="326">
        <v>190613.53</v>
      </c>
      <c r="J63" s="327">
        <v>0.43051745000000002</v>
      </c>
      <c r="K63"/>
      <c r="L63" s="326">
        <v>282866.68</v>
      </c>
      <c r="M63" s="327">
        <v>0.55131812999999996</v>
      </c>
      <c r="N63"/>
      <c r="O63" s="326">
        <v>152342.99</v>
      </c>
      <c r="P63" s="327">
        <v>0.39906823000000002</v>
      </c>
      <c r="Q63"/>
      <c r="R63" s="326">
        <v>274543.78450000001</v>
      </c>
      <c r="S63" s="327">
        <v>0.53866320000000001</v>
      </c>
      <c r="T63"/>
      <c r="U63" s="326">
        <v>261669.0099</v>
      </c>
      <c r="V63" s="327">
        <v>0.52166093999999996</v>
      </c>
      <c r="W63"/>
      <c r="X63" s="326">
        <v>145970.894</v>
      </c>
      <c r="Y63" s="327">
        <v>0.41187516000000002</v>
      </c>
      <c r="Z63"/>
      <c r="AA63" s="326">
        <v>228740.5257</v>
      </c>
      <c r="AB63" s="327">
        <v>0.48168087999999998</v>
      </c>
      <c r="AC63"/>
      <c r="AD63" s="326">
        <v>380709.43560000003</v>
      </c>
      <c r="AE63" s="327">
        <v>0.57266447999999992</v>
      </c>
      <c r="AF63"/>
      <c r="AG63" s="326">
        <v>434084.09299999999</v>
      </c>
      <c r="AH63" s="327">
        <v>0.61057399000000001</v>
      </c>
      <c r="AI63"/>
      <c r="AJ63" s="326">
        <v>365424.00260000001</v>
      </c>
      <c r="AK63" s="327">
        <v>0.55861194000000003</v>
      </c>
      <c r="AL63"/>
      <c r="AM63" s="326">
        <v>262045.8161</v>
      </c>
      <c r="AN63" s="327">
        <v>0.50621214000000003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256425.78409999999</v>
      </c>
      <c r="D66" s="7">
        <v>4.1631769999999998E-2</v>
      </c>
      <c r="E66"/>
      <c r="F66" s="8">
        <v>22170.87</v>
      </c>
      <c r="G66" s="7">
        <v>5.1124900000000001E-2</v>
      </c>
      <c r="H66"/>
      <c r="I66" s="8">
        <v>23046.25</v>
      </c>
      <c r="J66" s="7">
        <v>5.2051990000000013E-2</v>
      </c>
      <c r="K66"/>
      <c r="L66" s="8">
        <v>20965.37</v>
      </c>
      <c r="M66" s="7">
        <v>4.0862320000000001E-2</v>
      </c>
      <c r="N66"/>
      <c r="O66" s="8">
        <v>21059.66</v>
      </c>
      <c r="P66" s="7">
        <v>5.5166579999999993E-2</v>
      </c>
      <c r="Q66"/>
      <c r="R66" s="8">
        <v>18455.4051</v>
      </c>
      <c r="S66" s="7">
        <v>3.6210060000000002E-2</v>
      </c>
      <c r="T66"/>
      <c r="U66" s="8">
        <v>23184.709599999998</v>
      </c>
      <c r="V66" s="7">
        <v>4.6220820000000003E-2</v>
      </c>
      <c r="W66"/>
      <c r="X66" s="8">
        <v>22016.759699999999</v>
      </c>
      <c r="Y66" s="7">
        <v>6.2123039999999997E-2</v>
      </c>
      <c r="Z66"/>
      <c r="AA66" s="8">
        <v>22792.9997</v>
      </c>
      <c r="AB66" s="7">
        <v>4.7997409999999997E-2</v>
      </c>
      <c r="AC66"/>
      <c r="AD66" s="8">
        <v>16226.3838</v>
      </c>
      <c r="AE66" s="7">
        <v>2.440778E-2</v>
      </c>
      <c r="AF66"/>
      <c r="AG66" s="8">
        <v>22706.409500000002</v>
      </c>
      <c r="AH66" s="7">
        <v>3.1938380000000002E-2</v>
      </c>
      <c r="AI66"/>
      <c r="AJ66" s="8">
        <v>23615.607899999999</v>
      </c>
      <c r="AK66" s="7">
        <v>3.6100420000000001E-2</v>
      </c>
      <c r="AL66"/>
      <c r="AM66" s="8">
        <v>20185.358800000002</v>
      </c>
      <c r="AN66" s="7">
        <v>3.8993460000000001E-2</v>
      </c>
    </row>
    <row r="67" spans="2:40" s="314" customFormat="1" ht="12.75" customHeight="1" x14ac:dyDescent="0.15">
      <c r="B67" s="5" t="s">
        <v>40</v>
      </c>
      <c r="C67" s="8">
        <v>172185.83780000001</v>
      </c>
      <c r="D67" s="7">
        <v>2.7955069999999999E-2</v>
      </c>
      <c r="E67"/>
      <c r="F67" s="8">
        <v>8329.48</v>
      </c>
      <c r="G67" s="7">
        <v>1.920736E-2</v>
      </c>
      <c r="H67"/>
      <c r="I67" s="8">
        <v>15820.16</v>
      </c>
      <c r="J67" s="7">
        <v>3.5731230000000003E-2</v>
      </c>
      <c r="K67"/>
      <c r="L67" s="8">
        <v>13079.24</v>
      </c>
      <c r="M67" s="7">
        <v>2.5491949999999999E-2</v>
      </c>
      <c r="N67"/>
      <c r="O67" s="8">
        <v>12479.74</v>
      </c>
      <c r="P67" s="7">
        <v>3.2691150000000002E-2</v>
      </c>
      <c r="Q67"/>
      <c r="R67" s="8">
        <v>13497.034799999999</v>
      </c>
      <c r="S67" s="7">
        <v>2.6481589999999999E-2</v>
      </c>
      <c r="T67"/>
      <c r="U67" s="8">
        <v>13504.695</v>
      </c>
      <c r="V67" s="7">
        <v>2.692284E-2</v>
      </c>
      <c r="W67"/>
      <c r="X67" s="8">
        <v>11414.260700000001</v>
      </c>
      <c r="Y67" s="7">
        <v>3.2206770000000003E-2</v>
      </c>
      <c r="Z67"/>
      <c r="AA67" s="8">
        <v>12818.5064</v>
      </c>
      <c r="AB67" s="7">
        <v>2.6993159999999999E-2</v>
      </c>
      <c r="AC67"/>
      <c r="AD67" s="8">
        <v>16687.021199999999</v>
      </c>
      <c r="AE67" s="7">
        <v>2.510068E-2</v>
      </c>
      <c r="AF67"/>
      <c r="AG67" s="8">
        <v>18828.983800000002</v>
      </c>
      <c r="AH67" s="7">
        <v>2.648447E-2</v>
      </c>
      <c r="AI67"/>
      <c r="AJ67" s="8">
        <v>20486.774300000001</v>
      </c>
      <c r="AK67" s="7">
        <v>3.131747E-2</v>
      </c>
      <c r="AL67"/>
      <c r="AM67" s="8">
        <v>15239.9416</v>
      </c>
      <c r="AN67" s="7">
        <v>2.9440060000000001E-2</v>
      </c>
    </row>
    <row r="68" spans="2:40" s="314" customFormat="1" ht="12.75" customHeight="1" x14ac:dyDescent="0.15">
      <c r="B68" s="325" t="s">
        <v>41</v>
      </c>
      <c r="C68" s="326">
        <v>-428611.62190000003</v>
      </c>
      <c r="D68" s="327">
        <v>-6.9586850000000006E-2</v>
      </c>
      <c r="E68"/>
      <c r="F68" s="326">
        <v>-30500.35</v>
      </c>
      <c r="G68" s="327">
        <v>-7.0332259999999994E-2</v>
      </c>
      <c r="H68"/>
      <c r="I68" s="326">
        <v>-38866.410000000003</v>
      </c>
      <c r="J68" s="327">
        <v>-8.778321E-2</v>
      </c>
      <c r="K68"/>
      <c r="L68" s="326">
        <v>-34044.61</v>
      </c>
      <c r="M68" s="327">
        <v>-6.6354269999999993E-2</v>
      </c>
      <c r="N68"/>
      <c r="O68" s="326">
        <v>-33539.4</v>
      </c>
      <c r="P68" s="327">
        <v>-8.7857730000000009E-2</v>
      </c>
      <c r="Q68"/>
      <c r="R68" s="326">
        <v>-31952.439900000001</v>
      </c>
      <c r="S68" s="327">
        <v>-6.2691650000000002E-2</v>
      </c>
      <c r="T68"/>
      <c r="U68" s="326">
        <v>-36689.404600000002</v>
      </c>
      <c r="V68" s="327">
        <v>-7.3143659999999999E-2</v>
      </c>
      <c r="W68"/>
      <c r="X68" s="326">
        <v>-33431.020400000001</v>
      </c>
      <c r="Y68" s="327">
        <v>-9.432981E-2</v>
      </c>
      <c r="Z68"/>
      <c r="AA68" s="326">
        <v>-35611.506099999999</v>
      </c>
      <c r="AB68" s="327">
        <v>-7.4990569999999993E-2</v>
      </c>
      <c r="AC68"/>
      <c r="AD68" s="326">
        <v>-32913.404999999999</v>
      </c>
      <c r="AE68" s="327">
        <v>-4.9508459999999997E-2</v>
      </c>
      <c r="AF68"/>
      <c r="AG68" s="326">
        <v>-41535.393199999999</v>
      </c>
      <c r="AH68" s="327">
        <v>-5.8422850000000012E-2</v>
      </c>
      <c r="AI68"/>
      <c r="AJ68" s="326">
        <v>-44102.3822</v>
      </c>
      <c r="AK68" s="327">
        <v>-6.7417900000000003E-2</v>
      </c>
      <c r="AL68"/>
      <c r="AM68" s="326">
        <v>-35425.300499999998</v>
      </c>
      <c r="AN68" s="327">
        <v>-6.8433519999999998E-2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36682.39</v>
      </c>
      <c r="D71" s="7">
        <v>5.9555399999999996E-3</v>
      </c>
      <c r="E71"/>
      <c r="F71" s="8">
        <v>2941.35</v>
      </c>
      <c r="G71" s="7">
        <v>6.7825999999999997E-3</v>
      </c>
      <c r="H71"/>
      <c r="I71" s="8">
        <v>3167.92</v>
      </c>
      <c r="J71" s="7">
        <v>7.1550299999999997E-3</v>
      </c>
      <c r="K71"/>
      <c r="L71" s="8">
        <v>2641.13</v>
      </c>
      <c r="M71" s="7">
        <v>5.1476599999999992E-3</v>
      </c>
      <c r="N71"/>
      <c r="O71" s="8">
        <v>2921.91</v>
      </c>
      <c r="P71" s="7">
        <v>7.6540499999999999E-3</v>
      </c>
      <c r="Q71"/>
      <c r="R71" s="8">
        <v>3126.26</v>
      </c>
      <c r="S71" s="7">
        <v>6.1338199999999999E-3</v>
      </c>
      <c r="T71"/>
      <c r="U71" s="8">
        <v>3126.26</v>
      </c>
      <c r="V71" s="7">
        <v>6.2324800000000003E-3</v>
      </c>
      <c r="W71"/>
      <c r="X71" s="8">
        <v>3126.26</v>
      </c>
      <c r="Y71" s="7">
        <v>8.8211299999999999E-3</v>
      </c>
      <c r="Z71"/>
      <c r="AA71" s="8">
        <v>3126.26</v>
      </c>
      <c r="AB71" s="7">
        <v>6.5832699999999996E-3</v>
      </c>
      <c r="AC71"/>
      <c r="AD71" s="8">
        <v>3126.26</v>
      </c>
      <c r="AE71" s="7">
        <v>4.7025299999999999E-3</v>
      </c>
      <c r="AF71"/>
      <c r="AG71" s="8">
        <v>3126.26</v>
      </c>
      <c r="AH71" s="7">
        <v>4.3973299999999996E-3</v>
      </c>
      <c r="AI71"/>
      <c r="AJ71" s="8">
        <v>3126.26</v>
      </c>
      <c r="AK71" s="7">
        <v>4.7790100000000002E-3</v>
      </c>
      <c r="AL71"/>
      <c r="AM71" s="8">
        <v>3126.26</v>
      </c>
      <c r="AN71" s="7">
        <v>6.0392100000000006E-3</v>
      </c>
    </row>
    <row r="72" spans="2:40" s="314" customFormat="1" ht="12.75" customHeight="1" x14ac:dyDescent="0.15">
      <c r="B72" s="5" t="s">
        <v>56</v>
      </c>
      <c r="C72" s="8">
        <v>107630.24400000001</v>
      </c>
      <c r="D72" s="7">
        <v>1.747421E-2</v>
      </c>
      <c r="E72"/>
      <c r="F72" s="8">
        <v>11788.25</v>
      </c>
      <c r="G72" s="7">
        <v>2.718311E-2</v>
      </c>
      <c r="H72"/>
      <c r="I72" s="8">
        <v>10122.870000000001</v>
      </c>
      <c r="J72" s="7">
        <v>2.2863390000000001E-2</v>
      </c>
      <c r="K72"/>
      <c r="L72" s="8">
        <v>2579.84</v>
      </c>
      <c r="M72" s="7">
        <v>5.02821E-3</v>
      </c>
      <c r="N72"/>
      <c r="O72" s="8">
        <v>11346.7</v>
      </c>
      <c r="P72" s="7">
        <v>2.9723110000000001E-2</v>
      </c>
      <c r="Q72"/>
      <c r="R72" s="8">
        <v>7753.7430000000004</v>
      </c>
      <c r="S72" s="7">
        <v>1.521308E-2</v>
      </c>
      <c r="T72"/>
      <c r="U72" s="8">
        <v>7623.7430000000004</v>
      </c>
      <c r="V72" s="7">
        <v>1.5198619999999999E-2</v>
      </c>
      <c r="W72"/>
      <c r="X72" s="8">
        <v>14561.043</v>
      </c>
      <c r="Y72" s="7">
        <v>4.108581E-2</v>
      </c>
      <c r="Z72"/>
      <c r="AA72" s="8">
        <v>7123.7430000000004</v>
      </c>
      <c r="AB72" s="7">
        <v>1.500115E-2</v>
      </c>
      <c r="AC72"/>
      <c r="AD72" s="8">
        <v>7123.7430000000004</v>
      </c>
      <c r="AE72" s="7">
        <v>1.0715560000000001E-2</v>
      </c>
      <c r="AF72"/>
      <c r="AG72" s="8">
        <v>13359.043</v>
      </c>
      <c r="AH72" s="7">
        <v>1.8790560000000001E-2</v>
      </c>
      <c r="AI72"/>
      <c r="AJ72" s="8">
        <v>7123.7430000000004</v>
      </c>
      <c r="AK72" s="7">
        <v>1.088984E-2</v>
      </c>
      <c r="AL72"/>
      <c r="AM72" s="8">
        <v>7123.7830000000004</v>
      </c>
      <c r="AN72" s="7">
        <v>1.3761509999999999E-2</v>
      </c>
    </row>
    <row r="73" spans="2:40" s="314" customFormat="1" ht="12.75" customHeight="1" x14ac:dyDescent="0.15">
      <c r="B73" s="5" t="s">
        <v>40</v>
      </c>
      <c r="C73" s="8">
        <v>5005</v>
      </c>
      <c r="D73" s="7">
        <v>8.1257999999999992E-4</v>
      </c>
      <c r="E73"/>
      <c r="F73" s="8">
        <v>455</v>
      </c>
      <c r="G73" s="7">
        <v>1.0492100000000001E-3</v>
      </c>
      <c r="H73"/>
      <c r="I73" s="8">
        <v>455</v>
      </c>
      <c r="J73" s="7">
        <v>1.0276599999999999E-3</v>
      </c>
      <c r="K73"/>
      <c r="L73" s="8">
        <v>455</v>
      </c>
      <c r="M73" s="7">
        <v>8.8680999999999992E-4</v>
      </c>
      <c r="N73"/>
      <c r="O73" s="8">
        <v>0</v>
      </c>
      <c r="P73" s="7">
        <v>0</v>
      </c>
      <c r="Q73"/>
      <c r="R73" s="8">
        <v>455</v>
      </c>
      <c r="S73" s="7">
        <v>8.9272000000000006E-4</v>
      </c>
      <c r="T73"/>
      <c r="U73" s="8">
        <v>455</v>
      </c>
      <c r="V73" s="7">
        <v>9.0708E-4</v>
      </c>
      <c r="W73"/>
      <c r="X73" s="8">
        <v>455</v>
      </c>
      <c r="Y73" s="7">
        <v>1.2838400000000001E-3</v>
      </c>
      <c r="Z73"/>
      <c r="AA73" s="8">
        <v>455</v>
      </c>
      <c r="AB73" s="7">
        <v>9.5814000000000001E-4</v>
      </c>
      <c r="AC73"/>
      <c r="AD73" s="8">
        <v>455</v>
      </c>
      <c r="AE73" s="7">
        <v>6.8440999999999999E-4</v>
      </c>
      <c r="AF73"/>
      <c r="AG73" s="8">
        <v>455</v>
      </c>
      <c r="AH73" s="7">
        <v>6.3999E-4</v>
      </c>
      <c r="AI73"/>
      <c r="AJ73" s="8">
        <v>455</v>
      </c>
      <c r="AK73" s="7">
        <v>6.9554000000000003E-4</v>
      </c>
      <c r="AL73"/>
      <c r="AM73" s="8">
        <v>455</v>
      </c>
      <c r="AN73" s="7">
        <v>8.7896000000000003E-4</v>
      </c>
    </row>
    <row r="74" spans="2:40" s="314" customFormat="1" ht="12.75" customHeight="1" x14ac:dyDescent="0.15">
      <c r="B74" s="325" t="s">
        <v>41</v>
      </c>
      <c r="C74" s="326">
        <v>-149317.63399999999</v>
      </c>
      <c r="D74" s="327">
        <v>-2.4242329999999999E-2</v>
      </c>
      <c r="E74"/>
      <c r="F74" s="326">
        <v>-15184.6</v>
      </c>
      <c r="G74" s="327">
        <v>-3.5014919999999998E-2</v>
      </c>
      <c r="H74"/>
      <c r="I74" s="326">
        <v>-13745.79</v>
      </c>
      <c r="J74" s="327">
        <v>-3.104608E-2</v>
      </c>
      <c r="K74"/>
      <c r="L74" s="326">
        <v>-5675.97</v>
      </c>
      <c r="M74" s="327">
        <v>-1.106269E-2</v>
      </c>
      <c r="N74"/>
      <c r="O74" s="326">
        <v>-14268.61</v>
      </c>
      <c r="P74" s="327">
        <v>-3.737716E-2</v>
      </c>
      <c r="Q74"/>
      <c r="R74" s="326">
        <v>-11335.003000000001</v>
      </c>
      <c r="S74" s="327">
        <v>-2.2239620000000002E-2</v>
      </c>
      <c r="T74"/>
      <c r="U74" s="326">
        <v>-11205.003000000001</v>
      </c>
      <c r="V74" s="327">
        <v>-2.2338190000000001E-2</v>
      </c>
      <c r="W74"/>
      <c r="X74" s="326">
        <v>-18142.303</v>
      </c>
      <c r="Y74" s="327">
        <v>-5.1190779999999998E-2</v>
      </c>
      <c r="Z74"/>
      <c r="AA74" s="326">
        <v>-10705.003000000001</v>
      </c>
      <c r="AB74" s="327">
        <v>-2.2542550000000001E-2</v>
      </c>
      <c r="AC74"/>
      <c r="AD74" s="326">
        <v>-10705.003000000001</v>
      </c>
      <c r="AE74" s="327">
        <v>-1.6102499999999999E-2</v>
      </c>
      <c r="AF74"/>
      <c r="AG74" s="326">
        <v>-16940.303</v>
      </c>
      <c r="AH74" s="327">
        <v>-2.3827890000000001E-2</v>
      </c>
      <c r="AI74"/>
      <c r="AJ74" s="326">
        <v>-10705.003000000001</v>
      </c>
      <c r="AK74" s="327">
        <v>-1.6364389999999999E-2</v>
      </c>
      <c r="AL74"/>
      <c r="AM74" s="326">
        <v>-10705.043</v>
      </c>
      <c r="AN74" s="327">
        <v>-2.0679679999999999E-2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95635.4084</v>
      </c>
      <c r="D77" s="7">
        <v>1.55268E-2</v>
      </c>
      <c r="E77"/>
      <c r="F77" s="8">
        <v>5893.9</v>
      </c>
      <c r="G77" s="7">
        <v>1.359103E-2</v>
      </c>
      <c r="H77"/>
      <c r="I77" s="8">
        <v>9745.41</v>
      </c>
      <c r="J77" s="7">
        <v>2.2010869999999998E-2</v>
      </c>
      <c r="K77"/>
      <c r="L77" s="8">
        <v>7699.83</v>
      </c>
      <c r="M77" s="7">
        <v>1.500727E-2</v>
      </c>
      <c r="N77"/>
      <c r="O77" s="8">
        <v>5788.06</v>
      </c>
      <c r="P77" s="7">
        <v>1.516204E-2</v>
      </c>
      <c r="Q77"/>
      <c r="R77" s="8">
        <v>7721.6027000000004</v>
      </c>
      <c r="S77" s="7">
        <v>1.515002E-2</v>
      </c>
      <c r="T77"/>
      <c r="U77" s="8">
        <v>7598.7938999999997</v>
      </c>
      <c r="V77" s="7">
        <v>1.514889E-2</v>
      </c>
      <c r="W77"/>
      <c r="X77" s="8">
        <v>5389.0702000000001</v>
      </c>
      <c r="Y77" s="7">
        <v>1.5205939999999999E-2</v>
      </c>
      <c r="Z77"/>
      <c r="AA77" s="8">
        <v>7250.1158999999998</v>
      </c>
      <c r="AB77" s="7">
        <v>1.526726E-2</v>
      </c>
      <c r="AC77"/>
      <c r="AD77" s="8">
        <v>10041.1158</v>
      </c>
      <c r="AE77" s="7">
        <v>1.510388E-2</v>
      </c>
      <c r="AF77"/>
      <c r="AG77" s="8">
        <v>10731.7716</v>
      </c>
      <c r="AH77" s="7">
        <v>1.509509E-2</v>
      </c>
      <c r="AI77"/>
      <c r="AJ77" s="8">
        <v>9880.0720000000001</v>
      </c>
      <c r="AK77" s="7">
        <v>1.510335E-2</v>
      </c>
      <c r="AL77"/>
      <c r="AM77" s="8">
        <v>7895.6662999999999</v>
      </c>
      <c r="AN77" s="7">
        <v>1.525261E-2</v>
      </c>
    </row>
    <row r="78" spans="2:40" s="314" customFormat="1" ht="12.75" customHeight="1" x14ac:dyDescent="0.15">
      <c r="B78" s="5" t="s">
        <v>40</v>
      </c>
      <c r="C78" s="8">
        <v>263524.40330000001</v>
      </c>
      <c r="D78" s="7">
        <v>4.2784259999999998E-2</v>
      </c>
      <c r="E78"/>
      <c r="F78" s="8">
        <v>21951.14</v>
      </c>
      <c r="G78" s="7">
        <v>5.0618209999999997E-2</v>
      </c>
      <c r="H78"/>
      <c r="I78" s="8">
        <v>12000.24</v>
      </c>
      <c r="J78" s="7">
        <v>2.7103599999999999E-2</v>
      </c>
      <c r="K78"/>
      <c r="L78" s="8">
        <v>21416.639999999999</v>
      </c>
      <c r="M78" s="7">
        <v>4.1741859999999999E-2</v>
      </c>
      <c r="N78"/>
      <c r="O78" s="8">
        <v>18110.88</v>
      </c>
      <c r="P78" s="7">
        <v>4.7442140000000001E-2</v>
      </c>
      <c r="Q78"/>
      <c r="R78" s="8">
        <v>22523.121899999998</v>
      </c>
      <c r="S78" s="7">
        <v>4.4191050000000003E-2</v>
      </c>
      <c r="T78"/>
      <c r="U78" s="8">
        <v>22431.770799999998</v>
      </c>
      <c r="V78" s="7">
        <v>4.4719769999999999E-2</v>
      </c>
      <c r="W78"/>
      <c r="X78" s="8">
        <v>18884.011699999999</v>
      </c>
      <c r="Y78" s="7">
        <v>5.32836E-2</v>
      </c>
      <c r="Z78"/>
      <c r="AA78" s="8">
        <v>21238.281200000001</v>
      </c>
      <c r="AB78" s="7">
        <v>4.4723489999999998E-2</v>
      </c>
      <c r="AC78"/>
      <c r="AD78" s="8">
        <v>26619.532299999999</v>
      </c>
      <c r="AE78" s="7">
        <v>4.0041189999999997E-2</v>
      </c>
      <c r="AF78"/>
      <c r="AG78" s="8">
        <v>29317.891899999999</v>
      </c>
      <c r="AH78" s="7">
        <v>4.1237959999999997E-2</v>
      </c>
      <c r="AI78"/>
      <c r="AJ78" s="8">
        <v>26156.192299999999</v>
      </c>
      <c r="AK78" s="7">
        <v>3.998413E-2</v>
      </c>
      <c r="AL78"/>
      <c r="AM78" s="8">
        <v>22874.7012</v>
      </c>
      <c r="AN78" s="7">
        <v>4.4188650000000003E-2</v>
      </c>
    </row>
    <row r="79" spans="2:40" s="314" customFormat="1" ht="12.75" customHeight="1" x14ac:dyDescent="0.15">
      <c r="B79" s="325" t="s">
        <v>41</v>
      </c>
      <c r="C79" s="326">
        <v>-359159.81170000002</v>
      </c>
      <c r="D79" s="327">
        <v>-5.8311059999999998E-2</v>
      </c>
      <c r="E79"/>
      <c r="F79" s="326">
        <v>-27845.040000000001</v>
      </c>
      <c r="G79" s="327">
        <v>-6.4209250000000009E-2</v>
      </c>
      <c r="H79"/>
      <c r="I79" s="326">
        <v>-21745.65</v>
      </c>
      <c r="J79" s="327">
        <v>-4.911447E-2</v>
      </c>
      <c r="K79"/>
      <c r="L79" s="326">
        <v>-29116.47</v>
      </c>
      <c r="M79" s="327">
        <v>-5.6749130000000002E-2</v>
      </c>
      <c r="N79"/>
      <c r="O79" s="326">
        <v>-23898.94</v>
      </c>
      <c r="P79" s="327">
        <v>-6.2604179999999995E-2</v>
      </c>
      <c r="Q79"/>
      <c r="R79" s="326">
        <v>-30244.724600000001</v>
      </c>
      <c r="S79" s="327">
        <v>-5.9341060000000001E-2</v>
      </c>
      <c r="T79"/>
      <c r="U79" s="326">
        <v>-30030.564699999999</v>
      </c>
      <c r="V79" s="327">
        <v>-5.9868659999999997E-2</v>
      </c>
      <c r="W79"/>
      <c r="X79" s="326">
        <v>-24273.0818</v>
      </c>
      <c r="Y79" s="327">
        <v>-6.8489540000000002E-2</v>
      </c>
      <c r="Z79"/>
      <c r="AA79" s="326">
        <v>-28488.397099999998</v>
      </c>
      <c r="AB79" s="327">
        <v>-5.9990750000000002E-2</v>
      </c>
      <c r="AC79"/>
      <c r="AD79" s="326">
        <v>-36660.648099999999</v>
      </c>
      <c r="AE79" s="327">
        <v>-5.5145079999999999E-2</v>
      </c>
      <c r="AF79"/>
      <c r="AG79" s="326">
        <v>-40049.663500000002</v>
      </c>
      <c r="AH79" s="327">
        <v>-5.6333050000000003E-2</v>
      </c>
      <c r="AI79"/>
      <c r="AJ79" s="326">
        <v>-36036.264300000003</v>
      </c>
      <c r="AK79" s="327">
        <v>-5.5087479999999987E-2</v>
      </c>
      <c r="AL79"/>
      <c r="AM79" s="326">
        <v>-30770.367600000001</v>
      </c>
      <c r="AN79" s="327">
        <v>-5.9441260000000003E-2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97581.906400000007</v>
      </c>
      <c r="D82" s="7">
        <v>1.5842820000000001E-2</v>
      </c>
      <c r="E82"/>
      <c r="F82" s="8">
        <v>7497.88</v>
      </c>
      <c r="G82" s="7">
        <v>1.728973E-2</v>
      </c>
      <c r="H82"/>
      <c r="I82" s="8">
        <v>9144.32</v>
      </c>
      <c r="J82" s="7">
        <v>2.0653250000000001E-2</v>
      </c>
      <c r="K82"/>
      <c r="L82" s="8">
        <v>7525.55</v>
      </c>
      <c r="M82" s="7">
        <v>1.4667589999999999E-2</v>
      </c>
      <c r="N82"/>
      <c r="O82" s="8">
        <v>8278.84</v>
      </c>
      <c r="P82" s="7">
        <v>2.1686730000000001E-2</v>
      </c>
      <c r="Q82"/>
      <c r="R82" s="8">
        <v>5758.5508</v>
      </c>
      <c r="S82" s="7">
        <v>1.129845E-2</v>
      </c>
      <c r="T82"/>
      <c r="U82" s="8">
        <v>6797.1282000000001</v>
      </c>
      <c r="V82" s="7">
        <v>1.3550690000000001E-2</v>
      </c>
      <c r="W82"/>
      <c r="X82" s="8">
        <v>10955.767900000001</v>
      </c>
      <c r="Y82" s="7">
        <v>3.0913070000000001E-2</v>
      </c>
      <c r="Z82"/>
      <c r="AA82" s="8">
        <v>9036.6684000000005</v>
      </c>
      <c r="AB82" s="7">
        <v>1.9029379999999999E-2</v>
      </c>
      <c r="AC82"/>
      <c r="AD82" s="8">
        <v>5649.3608999999997</v>
      </c>
      <c r="AE82" s="7">
        <v>8.4977899999999999E-3</v>
      </c>
      <c r="AF82"/>
      <c r="AG82" s="8">
        <v>8947.7011000000002</v>
      </c>
      <c r="AH82" s="7">
        <v>1.258566E-2</v>
      </c>
      <c r="AI82"/>
      <c r="AJ82" s="8">
        <v>8947.7011000000002</v>
      </c>
      <c r="AK82" s="7">
        <v>1.3678060000000001E-2</v>
      </c>
      <c r="AL82"/>
      <c r="AM82" s="8">
        <v>9042.4380000000001</v>
      </c>
      <c r="AN82" s="7">
        <v>1.746791E-2</v>
      </c>
    </row>
    <row r="83" spans="2:40" s="314" customFormat="1" ht="12.75" customHeight="1" x14ac:dyDescent="0.15">
      <c r="B83" s="5" t="s">
        <v>40</v>
      </c>
      <c r="C83" s="8">
        <v>108762.31</v>
      </c>
      <c r="D83" s="7">
        <v>1.7658009999999998E-2</v>
      </c>
      <c r="E83"/>
      <c r="F83" s="8">
        <v>18748.09</v>
      </c>
      <c r="G83" s="7">
        <v>4.3232140000000002E-2</v>
      </c>
      <c r="H83"/>
      <c r="I83" s="8">
        <v>6512.34</v>
      </c>
      <c r="J83" s="7">
        <v>1.470869E-2</v>
      </c>
      <c r="K83"/>
      <c r="L83" s="8">
        <v>7338.57</v>
      </c>
      <c r="M83" s="7">
        <v>1.4303160000000001E-2</v>
      </c>
      <c r="N83"/>
      <c r="O83" s="8">
        <v>14095.31</v>
      </c>
      <c r="P83" s="7">
        <v>3.6923200000000003E-2</v>
      </c>
      <c r="Q83"/>
      <c r="R83" s="8">
        <v>17265</v>
      </c>
      <c r="S83" s="7">
        <v>3.387445E-2</v>
      </c>
      <c r="T83"/>
      <c r="U83" s="8">
        <v>4855</v>
      </c>
      <c r="V83" s="7">
        <v>9.6788799999999991E-3</v>
      </c>
      <c r="W83"/>
      <c r="X83" s="8">
        <v>8109</v>
      </c>
      <c r="Y83" s="7">
        <v>2.2880560000000001E-2</v>
      </c>
      <c r="Z83"/>
      <c r="AA83" s="8">
        <v>6155</v>
      </c>
      <c r="AB83" s="7">
        <v>1.2961169999999999E-2</v>
      </c>
      <c r="AC83"/>
      <c r="AD83" s="8">
        <v>5589</v>
      </c>
      <c r="AE83" s="7">
        <v>8.4069899999999996E-3</v>
      </c>
      <c r="AF83"/>
      <c r="AG83" s="8">
        <v>9325</v>
      </c>
      <c r="AH83" s="7">
        <v>1.3116360000000001E-2</v>
      </c>
      <c r="AI83"/>
      <c r="AJ83" s="8">
        <v>5915</v>
      </c>
      <c r="AK83" s="7">
        <v>9.0420699999999993E-3</v>
      </c>
      <c r="AL83"/>
      <c r="AM83" s="8">
        <v>4855</v>
      </c>
      <c r="AN83" s="7">
        <v>9.37874E-3</v>
      </c>
    </row>
    <row r="84" spans="2:40" s="314" customFormat="1" ht="12.75" customHeight="1" x14ac:dyDescent="0.15">
      <c r="B84" s="325" t="s">
        <v>41</v>
      </c>
      <c r="C84" s="326">
        <v>-206344.2164</v>
      </c>
      <c r="D84" s="327">
        <v>-3.3500830000000002E-2</v>
      </c>
      <c r="E84"/>
      <c r="F84" s="326">
        <v>-26245.97</v>
      </c>
      <c r="G84" s="327">
        <v>-6.0521869999999998E-2</v>
      </c>
      <c r="H84"/>
      <c r="I84" s="326">
        <v>-15656.66</v>
      </c>
      <c r="J84" s="327">
        <v>-3.5361950000000003E-2</v>
      </c>
      <c r="K84"/>
      <c r="L84" s="326">
        <v>-14864.12</v>
      </c>
      <c r="M84" s="327">
        <v>-2.897075E-2</v>
      </c>
      <c r="N84"/>
      <c r="O84" s="326">
        <v>-22374.15</v>
      </c>
      <c r="P84" s="327">
        <v>-5.8609929999999998E-2</v>
      </c>
      <c r="Q84"/>
      <c r="R84" s="326">
        <v>-23023.550800000001</v>
      </c>
      <c r="S84" s="327">
        <v>-4.5172900000000002E-2</v>
      </c>
      <c r="T84"/>
      <c r="U84" s="326">
        <v>-11652.128199999999</v>
      </c>
      <c r="V84" s="327">
        <v>-2.322958E-2</v>
      </c>
      <c r="W84"/>
      <c r="X84" s="326">
        <v>-19064.767899999999</v>
      </c>
      <c r="Y84" s="327">
        <v>-5.3793630000000002E-2</v>
      </c>
      <c r="Z84"/>
      <c r="AA84" s="326">
        <v>-15191.6684</v>
      </c>
      <c r="AB84" s="327">
        <v>-3.199055E-2</v>
      </c>
      <c r="AC84"/>
      <c r="AD84" s="326">
        <v>-11238.3609</v>
      </c>
      <c r="AE84" s="327">
        <v>-1.6904780000000001E-2</v>
      </c>
      <c r="AF84"/>
      <c r="AG84" s="326">
        <v>-18272.701099999998</v>
      </c>
      <c r="AH84" s="327">
        <v>-2.5702019999999999E-2</v>
      </c>
      <c r="AI84"/>
      <c r="AJ84" s="326">
        <v>-14862.7011</v>
      </c>
      <c r="AK84" s="327">
        <v>-2.2720130000000002E-2</v>
      </c>
      <c r="AL84"/>
      <c r="AM84" s="326">
        <v>-13897.438</v>
      </c>
      <c r="AN84" s="327">
        <v>-2.684665E-2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-172444.0367</v>
      </c>
      <c r="D87" s="327">
        <v>-2.7996989999999999E-2</v>
      </c>
      <c r="E87"/>
      <c r="F87" s="326">
        <v>-15109.79</v>
      </c>
      <c r="G87" s="327">
        <v>-3.4842409999999997E-2</v>
      </c>
      <c r="H87"/>
      <c r="I87" s="326">
        <v>-5779.4</v>
      </c>
      <c r="J87" s="327">
        <v>-1.305328E-2</v>
      </c>
      <c r="K87"/>
      <c r="L87" s="326">
        <v>-15042.06</v>
      </c>
      <c r="M87" s="327">
        <v>-2.9317559999999999E-2</v>
      </c>
      <c r="N87"/>
      <c r="O87" s="326">
        <v>-13150.73</v>
      </c>
      <c r="P87" s="327">
        <v>-3.444883E-2</v>
      </c>
      <c r="Q87"/>
      <c r="R87" s="326">
        <v>-12505.292799999999</v>
      </c>
      <c r="S87" s="327">
        <v>-2.453576E-2</v>
      </c>
      <c r="T87"/>
      <c r="U87" s="326">
        <v>-14644.376099999999</v>
      </c>
      <c r="V87" s="327">
        <v>-2.9194890000000001E-2</v>
      </c>
      <c r="W87"/>
      <c r="X87" s="326">
        <v>-16170.0705</v>
      </c>
      <c r="Y87" s="327">
        <v>-4.5625880000000001E-2</v>
      </c>
      <c r="Z87"/>
      <c r="AA87" s="326">
        <v>-15376.508599999999</v>
      </c>
      <c r="AB87" s="327">
        <v>-3.2379789999999999E-2</v>
      </c>
      <c r="AC87"/>
      <c r="AD87" s="326">
        <v>-15078.6422</v>
      </c>
      <c r="AE87" s="327">
        <v>-2.2681349999999999E-2</v>
      </c>
      <c r="AF87"/>
      <c r="AG87" s="326">
        <v>-16620.894400000001</v>
      </c>
      <c r="AH87" s="327">
        <v>-2.3378619999999999E-2</v>
      </c>
      <c r="AI87"/>
      <c r="AJ87" s="326">
        <v>-17864.445299999999</v>
      </c>
      <c r="AK87" s="327">
        <v>-2.7308800000000001E-2</v>
      </c>
      <c r="AL87"/>
      <c r="AM87" s="326">
        <v>-15101.826800000001</v>
      </c>
      <c r="AN87" s="327">
        <v>-2.9173250000000001E-2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1873126.2204</v>
      </c>
      <c r="D89" s="327">
        <v>0.30410968999999999</v>
      </c>
      <c r="E89"/>
      <c r="F89" s="326">
        <v>95107.03</v>
      </c>
      <c r="G89" s="327">
        <v>0.21931197999999999</v>
      </c>
      <c r="H89"/>
      <c r="I89" s="326">
        <v>94819.62</v>
      </c>
      <c r="J89" s="327">
        <v>0.21415846999999999</v>
      </c>
      <c r="K89"/>
      <c r="L89" s="326">
        <v>184123.45</v>
      </c>
      <c r="M89" s="327">
        <v>0.35886374999999998</v>
      </c>
      <c r="N89"/>
      <c r="O89" s="326">
        <v>45111.16</v>
      </c>
      <c r="P89" s="327">
        <v>0.11817039</v>
      </c>
      <c r="Q89"/>
      <c r="R89" s="326">
        <v>165482.7732</v>
      </c>
      <c r="S89" s="327">
        <v>0.32468219999999998</v>
      </c>
      <c r="T89"/>
      <c r="U89" s="326">
        <v>157447.53320000001</v>
      </c>
      <c r="V89" s="327">
        <v>0.31388596000000002</v>
      </c>
      <c r="W89"/>
      <c r="X89" s="326">
        <v>34889.650399999999</v>
      </c>
      <c r="Y89" s="327">
        <v>9.8445520000000009E-2</v>
      </c>
      <c r="Z89"/>
      <c r="AA89" s="326">
        <v>123367.4425</v>
      </c>
      <c r="AB89" s="327">
        <v>0.25978666</v>
      </c>
      <c r="AC89"/>
      <c r="AD89" s="326">
        <v>274113.37640000001</v>
      </c>
      <c r="AE89" s="327">
        <v>0.41232231000000003</v>
      </c>
      <c r="AF89"/>
      <c r="AG89" s="326">
        <v>300665.13770000002</v>
      </c>
      <c r="AH89" s="327">
        <v>0.42290956000000002</v>
      </c>
      <c r="AI89"/>
      <c r="AJ89" s="326">
        <v>241853.20670000001</v>
      </c>
      <c r="AK89" s="327">
        <v>0.36971323</v>
      </c>
      <c r="AL89"/>
      <c r="AM89" s="326">
        <v>156145.84030000001</v>
      </c>
      <c r="AN89" s="327">
        <v>0.30163778000000002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81826.63</v>
      </c>
      <c r="D91" s="327">
        <v>1.3284890000000001E-2</v>
      </c>
      <c r="E91"/>
      <c r="F91" s="326">
        <v>22394.720000000001</v>
      </c>
      <c r="G91" s="327">
        <v>5.1641090000000001E-2</v>
      </c>
      <c r="H91"/>
      <c r="I91" s="326">
        <v>3910.8</v>
      </c>
      <c r="J91" s="327">
        <v>8.8328899999999995E-3</v>
      </c>
      <c r="K91"/>
      <c r="L91" s="326">
        <v>2376.91</v>
      </c>
      <c r="M91" s="327">
        <v>4.6326900000000001E-3</v>
      </c>
      <c r="N91"/>
      <c r="O91" s="326">
        <v>2360.1999999999998</v>
      </c>
      <c r="P91" s="327">
        <v>6.1826299999999997E-3</v>
      </c>
      <c r="Q91"/>
      <c r="R91" s="326">
        <v>6348</v>
      </c>
      <c r="S91" s="327">
        <v>1.2454969999999999E-2</v>
      </c>
      <c r="T91"/>
      <c r="U91" s="326">
        <v>6348</v>
      </c>
      <c r="V91" s="327">
        <v>1.2655309999999999E-2</v>
      </c>
      <c r="W91"/>
      <c r="X91" s="326">
        <v>6348</v>
      </c>
      <c r="Y91" s="327">
        <v>1.7911679999999999E-2</v>
      </c>
      <c r="Z91"/>
      <c r="AA91" s="326">
        <v>6348</v>
      </c>
      <c r="AB91" s="327">
        <v>1.336759E-2</v>
      </c>
      <c r="AC91"/>
      <c r="AD91" s="326">
        <v>6348</v>
      </c>
      <c r="AE91" s="327">
        <v>9.5486800000000004E-3</v>
      </c>
      <c r="AF91"/>
      <c r="AG91" s="326">
        <v>6348</v>
      </c>
      <c r="AH91" s="327">
        <v>8.9289700000000014E-3</v>
      </c>
      <c r="AI91"/>
      <c r="AJ91" s="326">
        <v>6348</v>
      </c>
      <c r="AK91" s="327">
        <v>9.7039799999999992E-3</v>
      </c>
      <c r="AL91"/>
      <c r="AM91" s="326">
        <v>6348</v>
      </c>
      <c r="AN91" s="327">
        <v>1.226287E-2</v>
      </c>
    </row>
    <row r="92" spans="2:40" s="314" customFormat="1" ht="12.75" customHeight="1" x14ac:dyDescent="0.15">
      <c r="B92" s="5" t="s">
        <v>61</v>
      </c>
      <c r="C92" s="8">
        <v>30064.53</v>
      </c>
      <c r="D92" s="7">
        <v>4.8811000000000002E-3</v>
      </c>
      <c r="E92"/>
      <c r="F92" s="8">
        <v>22188.53</v>
      </c>
      <c r="G92" s="7">
        <v>5.1165620000000002E-2</v>
      </c>
      <c r="H92"/>
      <c r="I92" s="8">
        <v>716</v>
      </c>
      <c r="J92" s="7">
        <v>1.6171499999999999E-3</v>
      </c>
      <c r="K92"/>
      <c r="L92" s="8">
        <v>716</v>
      </c>
      <c r="M92" s="7">
        <v>1.39551E-3</v>
      </c>
      <c r="N92"/>
      <c r="O92" s="8">
        <v>716</v>
      </c>
      <c r="P92" s="7">
        <v>1.8755899999999999E-3</v>
      </c>
      <c r="Q92"/>
      <c r="R92" s="8">
        <v>716</v>
      </c>
      <c r="S92" s="7">
        <v>1.40481E-3</v>
      </c>
      <c r="T92"/>
      <c r="U92" s="8">
        <v>716</v>
      </c>
      <c r="V92" s="7">
        <v>1.4274100000000001E-3</v>
      </c>
      <c r="W92"/>
      <c r="X92" s="8">
        <v>716</v>
      </c>
      <c r="Y92" s="7">
        <v>2.0202800000000002E-3</v>
      </c>
      <c r="Z92"/>
      <c r="AA92" s="8">
        <v>716</v>
      </c>
      <c r="AB92" s="7">
        <v>1.50775E-3</v>
      </c>
      <c r="AC92"/>
      <c r="AD92" s="8">
        <v>716</v>
      </c>
      <c r="AE92" s="7">
        <v>1.07701E-3</v>
      </c>
      <c r="AF92"/>
      <c r="AG92" s="8">
        <v>716</v>
      </c>
      <c r="AH92" s="7">
        <v>1.0071100000000001E-3</v>
      </c>
      <c r="AI92"/>
      <c r="AJ92" s="8">
        <v>716</v>
      </c>
      <c r="AK92" s="7">
        <v>1.09453E-3</v>
      </c>
      <c r="AL92"/>
      <c r="AM92" s="8">
        <v>716</v>
      </c>
      <c r="AN92" s="7">
        <v>1.3831500000000001E-3</v>
      </c>
    </row>
    <row r="93" spans="2:40" s="314" customFormat="1" ht="12.75" customHeight="1" x14ac:dyDescent="0.15">
      <c r="B93" s="5" t="s">
        <v>62</v>
      </c>
      <c r="C93" s="8">
        <v>51762.1</v>
      </c>
      <c r="D93" s="7">
        <v>8.4037899999999995E-3</v>
      </c>
      <c r="E93"/>
      <c r="F93" s="8">
        <v>206.19</v>
      </c>
      <c r="G93" s="7">
        <v>4.7545999999999998E-4</v>
      </c>
      <c r="H93"/>
      <c r="I93" s="8">
        <v>3194.8</v>
      </c>
      <c r="J93" s="7">
        <v>7.2157400000000009E-3</v>
      </c>
      <c r="K93"/>
      <c r="L93" s="8">
        <v>1660.91</v>
      </c>
      <c r="M93" s="7">
        <v>3.2371800000000001E-3</v>
      </c>
      <c r="N93"/>
      <c r="O93" s="8">
        <v>1644.2</v>
      </c>
      <c r="P93" s="7">
        <v>4.3070399999999998E-3</v>
      </c>
      <c r="Q93"/>
      <c r="R93" s="8">
        <v>5632</v>
      </c>
      <c r="S93" s="7">
        <v>1.105015E-2</v>
      </c>
      <c r="T93"/>
      <c r="U93" s="8">
        <v>5632</v>
      </c>
      <c r="V93" s="7">
        <v>1.1227900000000001E-2</v>
      </c>
      <c r="W93"/>
      <c r="X93" s="8">
        <v>5632</v>
      </c>
      <c r="Y93" s="7">
        <v>1.5891389999999998E-2</v>
      </c>
      <c r="Z93"/>
      <c r="AA93" s="8">
        <v>5632</v>
      </c>
      <c r="AB93" s="7">
        <v>1.185984E-2</v>
      </c>
      <c r="AC93"/>
      <c r="AD93" s="8">
        <v>5632</v>
      </c>
      <c r="AE93" s="7">
        <v>8.4716700000000006E-3</v>
      </c>
      <c r="AF93"/>
      <c r="AG93" s="8">
        <v>5632</v>
      </c>
      <c r="AH93" s="7">
        <v>7.9218599999999993E-3</v>
      </c>
      <c r="AI93"/>
      <c r="AJ93" s="8">
        <v>5632</v>
      </c>
      <c r="AK93" s="7">
        <v>8.6094599999999993E-3</v>
      </c>
      <c r="AL93"/>
      <c r="AM93" s="8">
        <v>5632</v>
      </c>
      <c r="AN93" s="7">
        <v>1.0879730000000001E-2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51762.1</v>
      </c>
      <c r="D97" s="327">
        <v>8.4037899999999995E-3</v>
      </c>
      <c r="E97"/>
      <c r="F97" s="326">
        <v>206.19</v>
      </c>
      <c r="G97" s="327">
        <v>4.7545999999999998E-4</v>
      </c>
      <c r="H97"/>
      <c r="I97" s="326">
        <v>3194.8</v>
      </c>
      <c r="J97" s="327">
        <v>7.2157400000000009E-3</v>
      </c>
      <c r="K97"/>
      <c r="L97" s="326">
        <v>1660.91</v>
      </c>
      <c r="M97" s="327">
        <v>3.2371800000000001E-3</v>
      </c>
      <c r="N97"/>
      <c r="O97" s="326">
        <v>1644.2</v>
      </c>
      <c r="P97" s="327">
        <v>4.3070399999999998E-3</v>
      </c>
      <c r="Q97"/>
      <c r="R97" s="326">
        <v>5632</v>
      </c>
      <c r="S97" s="327">
        <v>1.105015E-2</v>
      </c>
      <c r="T97"/>
      <c r="U97" s="326">
        <v>5632</v>
      </c>
      <c r="V97" s="327">
        <v>1.1227900000000001E-2</v>
      </c>
      <c r="W97"/>
      <c r="X97" s="326">
        <v>5632</v>
      </c>
      <c r="Y97" s="327">
        <v>1.5891389999999998E-2</v>
      </c>
      <c r="Z97"/>
      <c r="AA97" s="326">
        <v>5632</v>
      </c>
      <c r="AB97" s="327">
        <v>1.185984E-2</v>
      </c>
      <c r="AC97"/>
      <c r="AD97" s="326">
        <v>5632</v>
      </c>
      <c r="AE97" s="327">
        <v>8.4716700000000006E-3</v>
      </c>
      <c r="AF97"/>
      <c r="AG97" s="326">
        <v>5632</v>
      </c>
      <c r="AH97" s="327">
        <v>7.9218599999999993E-3</v>
      </c>
      <c r="AI97"/>
      <c r="AJ97" s="326">
        <v>5632</v>
      </c>
      <c r="AK97" s="327">
        <v>8.6094599999999993E-3</v>
      </c>
      <c r="AL97"/>
      <c r="AM97" s="326">
        <v>5632</v>
      </c>
      <c r="AN97" s="327">
        <v>1.0879730000000001E-2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51762.1</v>
      </c>
      <c r="D99" s="7">
        <v>8.4037899999999995E-3</v>
      </c>
      <c r="E99"/>
      <c r="F99" s="8">
        <v>206.19</v>
      </c>
      <c r="G99" s="7">
        <v>4.7545999999999998E-4</v>
      </c>
      <c r="H99"/>
      <c r="I99" s="8">
        <v>3194.8</v>
      </c>
      <c r="J99" s="7">
        <v>7.2157400000000009E-3</v>
      </c>
      <c r="K99"/>
      <c r="L99" s="8">
        <v>1660.91</v>
      </c>
      <c r="M99" s="7">
        <v>3.2371800000000001E-3</v>
      </c>
      <c r="N99"/>
      <c r="O99" s="8">
        <v>1644.2</v>
      </c>
      <c r="P99" s="7">
        <v>4.3070399999999998E-3</v>
      </c>
      <c r="Q99"/>
      <c r="R99" s="8">
        <v>5632</v>
      </c>
      <c r="S99" s="7">
        <v>1.105015E-2</v>
      </c>
      <c r="T99"/>
      <c r="U99" s="8">
        <v>5632</v>
      </c>
      <c r="V99" s="7">
        <v>1.1227900000000001E-2</v>
      </c>
      <c r="W99"/>
      <c r="X99" s="8">
        <v>5632</v>
      </c>
      <c r="Y99" s="7">
        <v>1.5891389999999998E-2</v>
      </c>
      <c r="Z99"/>
      <c r="AA99" s="8">
        <v>5632</v>
      </c>
      <c r="AB99" s="7">
        <v>1.185984E-2</v>
      </c>
      <c r="AC99"/>
      <c r="AD99" s="8">
        <v>5632</v>
      </c>
      <c r="AE99" s="7">
        <v>8.4716700000000006E-3</v>
      </c>
      <c r="AF99"/>
      <c r="AG99" s="8">
        <v>5632</v>
      </c>
      <c r="AH99" s="7">
        <v>7.9218599999999993E-3</v>
      </c>
      <c r="AI99"/>
      <c r="AJ99" s="8">
        <v>5632</v>
      </c>
      <c r="AK99" s="7">
        <v>8.6094599999999993E-3</v>
      </c>
      <c r="AL99"/>
      <c r="AM99" s="8">
        <v>5632</v>
      </c>
      <c r="AN99" s="7">
        <v>1.0879730000000001E-2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30064.53</v>
      </c>
      <c r="D101" s="327">
        <v>4.8811000000000002E-3</v>
      </c>
      <c r="E101"/>
      <c r="F101" s="326">
        <v>22188.53</v>
      </c>
      <c r="G101" s="327">
        <v>5.1165620000000002E-2</v>
      </c>
      <c r="H101"/>
      <c r="I101" s="326">
        <v>716</v>
      </c>
      <c r="J101" s="327">
        <v>1.6171499999999999E-3</v>
      </c>
      <c r="K101"/>
      <c r="L101" s="326">
        <v>716</v>
      </c>
      <c r="M101" s="327">
        <v>1.39551E-3</v>
      </c>
      <c r="N101"/>
      <c r="O101" s="326">
        <v>716</v>
      </c>
      <c r="P101" s="327">
        <v>1.8755899999999999E-3</v>
      </c>
      <c r="Q101"/>
      <c r="R101" s="326">
        <v>716</v>
      </c>
      <c r="S101" s="327">
        <v>1.40481E-3</v>
      </c>
      <c r="T101"/>
      <c r="U101" s="326">
        <v>716</v>
      </c>
      <c r="V101" s="327">
        <v>1.4274100000000001E-3</v>
      </c>
      <c r="W101"/>
      <c r="X101" s="326">
        <v>716</v>
      </c>
      <c r="Y101" s="327">
        <v>2.0202800000000002E-3</v>
      </c>
      <c r="Z101"/>
      <c r="AA101" s="326">
        <v>716</v>
      </c>
      <c r="AB101" s="327">
        <v>1.50775E-3</v>
      </c>
      <c r="AC101"/>
      <c r="AD101" s="326">
        <v>716</v>
      </c>
      <c r="AE101" s="327">
        <v>1.07701E-3</v>
      </c>
      <c r="AF101"/>
      <c r="AG101" s="326">
        <v>716</v>
      </c>
      <c r="AH101" s="327">
        <v>1.0071100000000001E-3</v>
      </c>
      <c r="AI101"/>
      <c r="AJ101" s="326">
        <v>716</v>
      </c>
      <c r="AK101" s="327">
        <v>1.09453E-3</v>
      </c>
      <c r="AL101"/>
      <c r="AM101" s="326">
        <v>716</v>
      </c>
      <c r="AN101" s="327">
        <v>1.3831500000000001E-3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1903190.7504</v>
      </c>
      <c r="D103" s="327">
        <v>0.30899079000000002</v>
      </c>
      <c r="E103"/>
      <c r="F103" s="326">
        <v>117295.56</v>
      </c>
      <c r="G103" s="327">
        <v>0.27047760999999998</v>
      </c>
      <c r="H103"/>
      <c r="I103" s="326">
        <v>95535.62</v>
      </c>
      <c r="J103" s="327">
        <v>0.21577561000000001</v>
      </c>
      <c r="K103"/>
      <c r="L103" s="326">
        <v>184839.45</v>
      </c>
      <c r="M103" s="327">
        <v>0.36025926000000003</v>
      </c>
      <c r="N103"/>
      <c r="O103" s="326">
        <v>45827.16</v>
      </c>
      <c r="P103" s="327">
        <v>0.12004598</v>
      </c>
      <c r="Q103"/>
      <c r="R103" s="326">
        <v>166198.7732</v>
      </c>
      <c r="S103" s="327">
        <v>0.32608702000000001</v>
      </c>
      <c r="T103"/>
      <c r="U103" s="326">
        <v>158163.53320000001</v>
      </c>
      <c r="V103" s="327">
        <v>0.31531336999999998</v>
      </c>
      <c r="W103"/>
      <c r="X103" s="326">
        <v>35605.650399999999</v>
      </c>
      <c r="Y103" s="327">
        <v>0.10046579999999999</v>
      </c>
      <c r="Z103"/>
      <c r="AA103" s="326">
        <v>124083.4425</v>
      </c>
      <c r="AB103" s="327">
        <v>0.26129440999999998</v>
      </c>
      <c r="AC103"/>
      <c r="AD103" s="326">
        <v>274829.37640000001</v>
      </c>
      <c r="AE103" s="327">
        <v>0.41339932000000001</v>
      </c>
      <c r="AF103"/>
      <c r="AG103" s="326">
        <v>301381.13770000002</v>
      </c>
      <c r="AH103" s="327">
        <v>0.42391667</v>
      </c>
      <c r="AI103"/>
      <c r="AJ103" s="326">
        <v>242569.20670000001</v>
      </c>
      <c r="AK103" s="327">
        <v>0.37080775999999999</v>
      </c>
      <c r="AL103"/>
      <c r="AM103" s="326">
        <v>156861.84030000001</v>
      </c>
      <c r="AN103" s="327">
        <v>0.30302093000000002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95313.36</v>
      </c>
      <c r="D105" s="327">
        <v>1.547451E-2</v>
      </c>
      <c r="E105"/>
      <c r="F105" s="326">
        <v>5661.08</v>
      </c>
      <c r="G105" s="327">
        <v>1.305416E-2</v>
      </c>
      <c r="H105"/>
      <c r="I105" s="326">
        <v>7661.08</v>
      </c>
      <c r="J105" s="327">
        <v>1.7303220000000001E-2</v>
      </c>
      <c r="K105"/>
      <c r="L105" s="326">
        <v>7661.08</v>
      </c>
      <c r="M105" s="327">
        <v>1.4931740000000001E-2</v>
      </c>
      <c r="N105"/>
      <c r="O105" s="326">
        <v>7661.08</v>
      </c>
      <c r="P105" s="327">
        <v>2.0068490000000001E-2</v>
      </c>
      <c r="Q105"/>
      <c r="R105" s="326">
        <v>8333.6299999999992</v>
      </c>
      <c r="S105" s="327">
        <v>1.635083E-2</v>
      </c>
      <c r="T105"/>
      <c r="U105" s="326">
        <v>8333.6299999999992</v>
      </c>
      <c r="V105" s="327">
        <v>1.6613849999999999E-2</v>
      </c>
      <c r="W105"/>
      <c r="X105" s="326">
        <v>8333.6299999999992</v>
      </c>
      <c r="Y105" s="327">
        <v>2.3514380000000001E-2</v>
      </c>
      <c r="Z105"/>
      <c r="AA105" s="326">
        <v>8333.6299999999992</v>
      </c>
      <c r="AB105" s="327">
        <v>1.7548919999999999E-2</v>
      </c>
      <c r="AC105"/>
      <c r="AD105" s="326">
        <v>8333.6299999999992</v>
      </c>
      <c r="AE105" s="327">
        <v>1.253548E-2</v>
      </c>
      <c r="AF105"/>
      <c r="AG105" s="326">
        <v>8333.6299999999992</v>
      </c>
      <c r="AH105" s="327">
        <v>1.172192E-2</v>
      </c>
      <c r="AI105"/>
      <c r="AJ105" s="326">
        <v>8333.6299999999992</v>
      </c>
      <c r="AK105" s="327">
        <v>1.273935E-2</v>
      </c>
      <c r="AL105"/>
      <c r="AM105" s="326">
        <v>8333.6299999999992</v>
      </c>
      <c r="AN105" s="327">
        <v>1.6098649999999999E-2</v>
      </c>
    </row>
    <row r="106" spans="2:40" s="314" customFormat="1" ht="12.75" customHeight="1" x14ac:dyDescent="0.15">
      <c r="B106" s="5" t="s">
        <v>71</v>
      </c>
      <c r="C106" s="8">
        <v>20029.32</v>
      </c>
      <c r="D106" s="7">
        <v>3.2518400000000002E-3</v>
      </c>
      <c r="E106"/>
      <c r="F106" s="8">
        <v>1683.33</v>
      </c>
      <c r="G106" s="7">
        <v>3.8816699999999998E-3</v>
      </c>
      <c r="H106"/>
      <c r="I106" s="8">
        <v>1683.33</v>
      </c>
      <c r="J106" s="7">
        <v>3.8019500000000001E-3</v>
      </c>
      <c r="K106"/>
      <c r="L106" s="8">
        <v>1683.33</v>
      </c>
      <c r="M106" s="7">
        <v>3.2808799999999999E-3</v>
      </c>
      <c r="N106"/>
      <c r="O106" s="8">
        <v>1683.33</v>
      </c>
      <c r="P106" s="7">
        <v>4.4095499999999999E-3</v>
      </c>
      <c r="Q106"/>
      <c r="R106" s="8">
        <v>1662</v>
      </c>
      <c r="S106" s="7">
        <v>3.2608899999999998E-3</v>
      </c>
      <c r="T106"/>
      <c r="U106" s="8">
        <v>1662</v>
      </c>
      <c r="V106" s="7">
        <v>3.3133500000000001E-3</v>
      </c>
      <c r="W106"/>
      <c r="X106" s="8">
        <v>1662</v>
      </c>
      <c r="Y106" s="7">
        <v>4.6895399999999999E-3</v>
      </c>
      <c r="Z106"/>
      <c r="AA106" s="8">
        <v>1662</v>
      </c>
      <c r="AB106" s="7">
        <v>3.4998300000000002E-3</v>
      </c>
      <c r="AC106"/>
      <c r="AD106" s="8">
        <v>1662</v>
      </c>
      <c r="AE106" s="7">
        <v>2.4999900000000001E-3</v>
      </c>
      <c r="AF106"/>
      <c r="AG106" s="8">
        <v>1662</v>
      </c>
      <c r="AH106" s="7">
        <v>2.33774E-3</v>
      </c>
      <c r="AI106"/>
      <c r="AJ106" s="8">
        <v>1662</v>
      </c>
      <c r="AK106" s="7">
        <v>2.5406500000000002E-3</v>
      </c>
      <c r="AL106"/>
      <c r="AM106" s="8">
        <v>1662</v>
      </c>
      <c r="AN106" s="7">
        <v>3.2106000000000001E-3</v>
      </c>
    </row>
    <row r="107" spans="2:40" s="314" customFormat="1" ht="12.75" customHeight="1" x14ac:dyDescent="0.15">
      <c r="B107" s="5" t="s">
        <v>72</v>
      </c>
      <c r="C107" s="8">
        <v>4496.08</v>
      </c>
      <c r="D107" s="7">
        <v>7.2996000000000009E-4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562.01</v>
      </c>
      <c r="S107" s="7">
        <v>1.10268E-3</v>
      </c>
      <c r="T107"/>
      <c r="U107" s="8">
        <v>562.01</v>
      </c>
      <c r="V107" s="7">
        <v>1.12042E-3</v>
      </c>
      <c r="W107"/>
      <c r="X107" s="8">
        <v>562.01</v>
      </c>
      <c r="Y107" s="7">
        <v>1.58578E-3</v>
      </c>
      <c r="Z107"/>
      <c r="AA107" s="8">
        <v>562.01</v>
      </c>
      <c r="AB107" s="7">
        <v>1.18348E-3</v>
      </c>
      <c r="AC107"/>
      <c r="AD107" s="8">
        <v>562.01</v>
      </c>
      <c r="AE107" s="7">
        <v>8.4538000000000007E-4</v>
      </c>
      <c r="AF107"/>
      <c r="AG107" s="8">
        <v>562.01</v>
      </c>
      <c r="AH107" s="7">
        <v>7.9050999999999991E-4</v>
      </c>
      <c r="AI107"/>
      <c r="AJ107" s="8">
        <v>562.01</v>
      </c>
      <c r="AK107" s="7">
        <v>8.5913000000000005E-4</v>
      </c>
      <c r="AL107"/>
      <c r="AM107" s="8">
        <v>562.01</v>
      </c>
      <c r="AN107" s="7">
        <v>1.08567E-3</v>
      </c>
    </row>
    <row r="108" spans="2:40" s="314" customFormat="1" ht="12.75" customHeight="1" x14ac:dyDescent="0.15">
      <c r="B108" s="5" t="s">
        <v>73</v>
      </c>
      <c r="C108" s="8">
        <v>22000</v>
      </c>
      <c r="D108" s="7">
        <v>3.57179E-3</v>
      </c>
      <c r="E108"/>
      <c r="F108" s="8">
        <v>0</v>
      </c>
      <c r="G108" s="7">
        <v>0</v>
      </c>
      <c r="H108"/>
      <c r="I108" s="8">
        <v>2000</v>
      </c>
      <c r="J108" s="7">
        <v>4.51718E-3</v>
      </c>
      <c r="K108"/>
      <c r="L108" s="8">
        <v>2000</v>
      </c>
      <c r="M108" s="7">
        <v>3.8980799999999999E-3</v>
      </c>
      <c r="N108"/>
      <c r="O108" s="8">
        <v>2000</v>
      </c>
      <c r="P108" s="7">
        <v>5.2390800000000001E-3</v>
      </c>
      <c r="Q108"/>
      <c r="R108" s="8">
        <v>2000</v>
      </c>
      <c r="S108" s="7">
        <v>3.92406E-3</v>
      </c>
      <c r="T108"/>
      <c r="U108" s="8">
        <v>2000</v>
      </c>
      <c r="V108" s="7">
        <v>3.9871799999999999E-3</v>
      </c>
      <c r="W108"/>
      <c r="X108" s="8">
        <v>2000</v>
      </c>
      <c r="Y108" s="7">
        <v>5.6432499999999998E-3</v>
      </c>
      <c r="Z108"/>
      <c r="AA108" s="8">
        <v>2000</v>
      </c>
      <c r="AB108" s="7">
        <v>4.2115900000000003E-3</v>
      </c>
      <c r="AC108"/>
      <c r="AD108" s="8">
        <v>2000</v>
      </c>
      <c r="AE108" s="7">
        <v>3.00841E-3</v>
      </c>
      <c r="AF108"/>
      <c r="AG108" s="8">
        <v>2000</v>
      </c>
      <c r="AH108" s="7">
        <v>2.8131599999999999E-3</v>
      </c>
      <c r="AI108"/>
      <c r="AJ108" s="8">
        <v>2000</v>
      </c>
      <c r="AK108" s="7">
        <v>3.05734E-3</v>
      </c>
      <c r="AL108"/>
      <c r="AM108" s="8">
        <v>2000</v>
      </c>
      <c r="AN108" s="7">
        <v>3.8635399999999999E-3</v>
      </c>
    </row>
    <row r="109" spans="2:40" s="314" customFormat="1" ht="12.75" customHeight="1" x14ac:dyDescent="0.15">
      <c r="B109" s="5" t="s">
        <v>74</v>
      </c>
      <c r="C109" s="8">
        <v>4193</v>
      </c>
      <c r="D109" s="7">
        <v>6.8074999999999993E-4</v>
      </c>
      <c r="E109"/>
      <c r="F109" s="8">
        <v>352.75</v>
      </c>
      <c r="G109" s="7">
        <v>8.1342000000000003E-4</v>
      </c>
      <c r="H109"/>
      <c r="I109" s="8">
        <v>352.75</v>
      </c>
      <c r="J109" s="7">
        <v>7.9672000000000011E-4</v>
      </c>
      <c r="K109"/>
      <c r="L109" s="8">
        <v>352.75</v>
      </c>
      <c r="M109" s="7">
        <v>6.8751999999999995E-4</v>
      </c>
      <c r="N109"/>
      <c r="O109" s="8">
        <v>352.75</v>
      </c>
      <c r="P109" s="7">
        <v>9.2404E-4</v>
      </c>
      <c r="Q109"/>
      <c r="R109" s="8">
        <v>347.75</v>
      </c>
      <c r="S109" s="7">
        <v>6.8229999999999994E-4</v>
      </c>
      <c r="T109"/>
      <c r="U109" s="8">
        <v>347.75</v>
      </c>
      <c r="V109" s="7">
        <v>6.9326999999999995E-4</v>
      </c>
      <c r="W109"/>
      <c r="X109" s="8">
        <v>347.75</v>
      </c>
      <c r="Y109" s="7">
        <v>9.812200000000001E-4</v>
      </c>
      <c r="Z109"/>
      <c r="AA109" s="8">
        <v>347.75</v>
      </c>
      <c r="AB109" s="7">
        <v>7.3229000000000002E-4</v>
      </c>
      <c r="AC109"/>
      <c r="AD109" s="8">
        <v>347.75</v>
      </c>
      <c r="AE109" s="7">
        <v>5.2309000000000003E-4</v>
      </c>
      <c r="AF109"/>
      <c r="AG109" s="8">
        <v>347.75</v>
      </c>
      <c r="AH109" s="7">
        <v>4.8914E-4</v>
      </c>
      <c r="AI109"/>
      <c r="AJ109" s="8">
        <v>347.75</v>
      </c>
      <c r="AK109" s="7">
        <v>5.3158999999999997E-4</v>
      </c>
      <c r="AL109"/>
      <c r="AM109" s="8">
        <v>347.75</v>
      </c>
      <c r="AN109" s="7">
        <v>6.7177000000000003E-4</v>
      </c>
    </row>
    <row r="110" spans="2:40" s="314" customFormat="1" ht="12.75" customHeight="1" x14ac:dyDescent="0.15">
      <c r="B110" s="5" t="s">
        <v>75</v>
      </c>
      <c r="C110" s="8">
        <v>44594.96</v>
      </c>
      <c r="D110" s="7">
        <v>7.2401700000000006E-3</v>
      </c>
      <c r="E110"/>
      <c r="F110" s="8">
        <v>3625</v>
      </c>
      <c r="G110" s="7">
        <v>8.3590699999999997E-3</v>
      </c>
      <c r="H110"/>
      <c r="I110" s="8">
        <v>3625</v>
      </c>
      <c r="J110" s="7">
        <v>8.1873799999999993E-3</v>
      </c>
      <c r="K110"/>
      <c r="L110" s="8">
        <v>3625</v>
      </c>
      <c r="M110" s="7">
        <v>7.0652700000000002E-3</v>
      </c>
      <c r="N110"/>
      <c r="O110" s="8">
        <v>3625</v>
      </c>
      <c r="P110" s="7">
        <v>9.4958200000000003E-3</v>
      </c>
      <c r="Q110"/>
      <c r="R110" s="8">
        <v>3761.87</v>
      </c>
      <c r="S110" s="7">
        <v>7.3809000000000001E-3</v>
      </c>
      <c r="T110"/>
      <c r="U110" s="8">
        <v>3761.87</v>
      </c>
      <c r="V110" s="7">
        <v>7.4996300000000002E-3</v>
      </c>
      <c r="W110"/>
      <c r="X110" s="8">
        <v>3761.87</v>
      </c>
      <c r="Y110" s="7">
        <v>1.061459E-2</v>
      </c>
      <c r="Z110"/>
      <c r="AA110" s="8">
        <v>3761.87</v>
      </c>
      <c r="AB110" s="7">
        <v>7.9217300000000001E-3</v>
      </c>
      <c r="AC110"/>
      <c r="AD110" s="8">
        <v>3761.87</v>
      </c>
      <c r="AE110" s="7">
        <v>5.6586199999999996E-3</v>
      </c>
      <c r="AF110"/>
      <c r="AG110" s="8">
        <v>3761.87</v>
      </c>
      <c r="AH110" s="7">
        <v>5.2913700000000001E-3</v>
      </c>
      <c r="AI110"/>
      <c r="AJ110" s="8">
        <v>3761.87</v>
      </c>
      <c r="AK110" s="7">
        <v>5.7506500000000004E-3</v>
      </c>
      <c r="AL110"/>
      <c r="AM110" s="8">
        <v>3761.87</v>
      </c>
      <c r="AN110" s="7">
        <v>7.2670699999999996E-3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1807877.3903999999</v>
      </c>
      <c r="D121" s="327">
        <v>0.29351628000000002</v>
      </c>
      <c r="E121"/>
      <c r="F121" s="326">
        <v>111634.48</v>
      </c>
      <c r="G121" s="327">
        <v>0.25742344</v>
      </c>
      <c r="H121"/>
      <c r="I121" s="326">
        <v>87874.54</v>
      </c>
      <c r="J121" s="327">
        <v>0.19847239</v>
      </c>
      <c r="K121"/>
      <c r="L121" s="326">
        <v>177178.37</v>
      </c>
      <c r="M121" s="327">
        <v>0.34532752</v>
      </c>
      <c r="N121"/>
      <c r="O121" s="326">
        <v>38166.080000000002</v>
      </c>
      <c r="P121" s="327">
        <v>9.9977490000000002E-2</v>
      </c>
      <c r="Q121"/>
      <c r="R121" s="326">
        <v>157865.14319999999</v>
      </c>
      <c r="S121" s="327">
        <v>0.30973618000000003</v>
      </c>
      <c r="T121"/>
      <c r="U121" s="326">
        <v>149829.9032</v>
      </c>
      <c r="V121" s="327">
        <v>0.29869952</v>
      </c>
      <c r="W121"/>
      <c r="X121" s="326">
        <v>27272.020400000001</v>
      </c>
      <c r="Y121" s="327">
        <v>7.6951419999999993E-2</v>
      </c>
      <c r="Z121"/>
      <c r="AA121" s="326">
        <v>115749.8125</v>
      </c>
      <c r="AB121" s="327">
        <v>0.24374549000000001</v>
      </c>
      <c r="AC121"/>
      <c r="AD121" s="326">
        <v>266495.7464</v>
      </c>
      <c r="AE121" s="327">
        <v>0.40086384000000003</v>
      </c>
      <c r="AF121"/>
      <c r="AG121" s="326">
        <v>293047.50770000002</v>
      </c>
      <c r="AH121" s="327">
        <v>0.41219475000000011</v>
      </c>
      <c r="AI121"/>
      <c r="AJ121" s="326">
        <v>234235.57670000001</v>
      </c>
      <c r="AK121" s="327">
        <v>0.35806841</v>
      </c>
      <c r="AL121"/>
      <c r="AM121" s="326">
        <v>148528.21030000001</v>
      </c>
      <c r="AN121" s="327">
        <v>0.28692227999999997</v>
      </c>
    </row>
    <row r="122" spans="2:40" s="314" customFormat="1" ht="12.75" customHeight="1" x14ac:dyDescent="0.15">
      <c r="B122" s="5" t="s">
        <v>85</v>
      </c>
      <c r="C122" s="8">
        <v>67857.386499999993</v>
      </c>
      <c r="D122" s="7">
        <v>1.1016919999999999E-2</v>
      </c>
      <c r="E122"/>
      <c r="F122" s="8">
        <v>0</v>
      </c>
      <c r="G122" s="7">
        <v>0</v>
      </c>
      <c r="H122"/>
      <c r="I122" s="8">
        <v>5797.92</v>
      </c>
      <c r="J122" s="7">
        <v>1.309511E-2</v>
      </c>
      <c r="K122"/>
      <c r="L122" s="8">
        <v>5797.92</v>
      </c>
      <c r="M122" s="7">
        <v>1.1300370000000001E-2</v>
      </c>
      <c r="N122"/>
      <c r="O122" s="8">
        <v>5797.92</v>
      </c>
      <c r="P122" s="7">
        <v>1.5187869999999999E-2</v>
      </c>
      <c r="Q122"/>
      <c r="R122" s="8">
        <v>5861.2757000000001</v>
      </c>
      <c r="S122" s="7">
        <v>1.15E-2</v>
      </c>
      <c r="T122"/>
      <c r="U122" s="8">
        <v>5768.4854999999998</v>
      </c>
      <c r="V122" s="7">
        <v>1.15E-2</v>
      </c>
      <c r="W122"/>
      <c r="X122" s="8">
        <v>4075.6653000000001</v>
      </c>
      <c r="Y122" s="7">
        <v>1.15E-2</v>
      </c>
      <c r="Z122"/>
      <c r="AA122" s="8">
        <v>5461.1179000000002</v>
      </c>
      <c r="AB122" s="7">
        <v>1.15E-2</v>
      </c>
      <c r="AC122"/>
      <c r="AD122" s="8">
        <v>7645.2420000000002</v>
      </c>
      <c r="AE122" s="7">
        <v>1.15E-2</v>
      </c>
      <c r="AF122"/>
      <c r="AG122" s="8">
        <v>8175.8594000000003</v>
      </c>
      <c r="AH122" s="7">
        <v>1.15E-2</v>
      </c>
      <c r="AI122"/>
      <c r="AJ122" s="8">
        <v>7522.8896999999997</v>
      </c>
      <c r="AK122" s="7">
        <v>1.15E-2</v>
      </c>
      <c r="AL122"/>
      <c r="AM122" s="8">
        <v>5953.0910000000003</v>
      </c>
      <c r="AN122" s="7">
        <v>1.15E-2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1740020.0038999999</v>
      </c>
      <c r="D124" s="327">
        <v>0.28249934999999998</v>
      </c>
      <c r="E124"/>
      <c r="F124" s="326">
        <v>111634.48</v>
      </c>
      <c r="G124" s="327">
        <v>0.25742344</v>
      </c>
      <c r="H124"/>
      <c r="I124" s="326">
        <v>82076.62</v>
      </c>
      <c r="J124" s="327">
        <v>0.18537728000000001</v>
      </c>
      <c r="K124"/>
      <c r="L124" s="326">
        <v>171380.45</v>
      </c>
      <c r="M124" s="327">
        <v>0.33402714999999999</v>
      </c>
      <c r="N124"/>
      <c r="O124" s="326">
        <v>32368.16</v>
      </c>
      <c r="P124" s="327">
        <v>8.4789619999999996E-2</v>
      </c>
      <c r="Q124"/>
      <c r="R124" s="326">
        <v>152003.8676</v>
      </c>
      <c r="S124" s="327">
        <v>0.29823618000000002</v>
      </c>
      <c r="T124"/>
      <c r="U124" s="326">
        <v>144061.41769999999</v>
      </c>
      <c r="V124" s="327">
        <v>0.28719951999999999</v>
      </c>
      <c r="W124"/>
      <c r="X124" s="326">
        <v>23196.355100000001</v>
      </c>
      <c r="Y124" s="327">
        <v>6.5451419999999996E-2</v>
      </c>
      <c r="Z124"/>
      <c r="AA124" s="326">
        <v>110288.6946</v>
      </c>
      <c r="AB124" s="327">
        <v>0.23224549</v>
      </c>
      <c r="AC124"/>
      <c r="AD124" s="326">
        <v>258850.50440000001</v>
      </c>
      <c r="AE124" s="327">
        <v>0.38936384000000002</v>
      </c>
      <c r="AF124"/>
      <c r="AG124" s="326">
        <v>284871.6483</v>
      </c>
      <c r="AH124" s="327">
        <v>0.40069474999999999</v>
      </c>
      <c r="AI124"/>
      <c r="AJ124" s="326">
        <v>226712.6869</v>
      </c>
      <c r="AK124" s="327">
        <v>0.34656840999999999</v>
      </c>
      <c r="AL124"/>
      <c r="AM124" s="326">
        <v>142575.11929999999</v>
      </c>
      <c r="AN124" s="327">
        <v>0.27542228000000002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1740020.0038999999</v>
      </c>
      <c r="D127" s="327">
        <v>0.28249934999999998</v>
      </c>
      <c r="E127"/>
      <c r="F127" s="326">
        <v>111634.48</v>
      </c>
      <c r="G127" s="327">
        <v>0.25742344</v>
      </c>
      <c r="H127"/>
      <c r="I127" s="326">
        <v>82076.62</v>
      </c>
      <c r="J127" s="327">
        <v>0.18537728000000001</v>
      </c>
      <c r="K127"/>
      <c r="L127" s="326">
        <v>171380.45</v>
      </c>
      <c r="M127" s="327">
        <v>0.33402714999999999</v>
      </c>
      <c r="N127"/>
      <c r="O127" s="326">
        <v>32368.16</v>
      </c>
      <c r="P127" s="327">
        <v>8.4789619999999996E-2</v>
      </c>
      <c r="Q127"/>
      <c r="R127" s="326">
        <v>152003.8676</v>
      </c>
      <c r="S127" s="327">
        <v>0.29823618000000002</v>
      </c>
      <c r="T127"/>
      <c r="U127" s="326">
        <v>144061.41769999999</v>
      </c>
      <c r="V127" s="327">
        <v>0.28719951999999999</v>
      </c>
      <c r="W127"/>
      <c r="X127" s="326">
        <v>23196.355100000001</v>
      </c>
      <c r="Y127" s="327">
        <v>6.5451419999999996E-2</v>
      </c>
      <c r="Z127"/>
      <c r="AA127" s="326">
        <v>110288.6946</v>
      </c>
      <c r="AB127" s="327">
        <v>0.23224549</v>
      </c>
      <c r="AC127"/>
      <c r="AD127" s="326">
        <v>258850.50440000001</v>
      </c>
      <c r="AE127" s="327">
        <v>0.38936384000000002</v>
      </c>
      <c r="AF127"/>
      <c r="AG127" s="326">
        <v>284871.6483</v>
      </c>
      <c r="AH127" s="327">
        <v>0.40069474999999999</v>
      </c>
      <c r="AI127"/>
      <c r="AJ127" s="326">
        <v>226712.6869</v>
      </c>
      <c r="AK127" s="327">
        <v>0.34656840999999999</v>
      </c>
      <c r="AL127"/>
      <c r="AM127" s="326">
        <v>142575.11929999999</v>
      </c>
      <c r="AN127" s="327">
        <v>0.27542228000000002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141098.70850000001</v>
      </c>
      <c r="D129" s="327">
        <v>2.290795E-2</v>
      </c>
      <c r="E129"/>
      <c r="F129" s="326">
        <v>13188.94</v>
      </c>
      <c r="G129" s="327">
        <v>3.0413030000000001E-2</v>
      </c>
      <c r="H129"/>
      <c r="I129" s="326">
        <v>13287.04</v>
      </c>
      <c r="J129" s="327">
        <v>3.0009950000000001E-2</v>
      </c>
      <c r="K129"/>
      <c r="L129" s="326">
        <v>15399.66</v>
      </c>
      <c r="M129" s="327">
        <v>3.0014530000000001E-2</v>
      </c>
      <c r="N129"/>
      <c r="O129" s="326">
        <v>11460.24</v>
      </c>
      <c r="P129" s="327">
        <v>3.002053E-2</v>
      </c>
      <c r="Q129"/>
      <c r="R129" s="326">
        <v>10193.5229</v>
      </c>
      <c r="S129" s="327">
        <v>0.02</v>
      </c>
      <c r="T129"/>
      <c r="U129" s="326">
        <v>10032.148800000001</v>
      </c>
      <c r="V129" s="327">
        <v>0.02</v>
      </c>
      <c r="W129"/>
      <c r="X129" s="326">
        <v>7088.1135000000004</v>
      </c>
      <c r="Y129" s="327">
        <v>0.02</v>
      </c>
      <c r="Z129"/>
      <c r="AA129" s="326">
        <v>9497.5962999999992</v>
      </c>
      <c r="AB129" s="327">
        <v>0.02</v>
      </c>
      <c r="AC129"/>
      <c r="AD129" s="326">
        <v>13296.073</v>
      </c>
      <c r="AE129" s="327">
        <v>0.02</v>
      </c>
      <c r="AF129"/>
      <c r="AG129" s="326">
        <v>14218.885899999999</v>
      </c>
      <c r="AH129" s="327">
        <v>0.02</v>
      </c>
      <c r="AI129"/>
      <c r="AJ129" s="326">
        <v>13083.286400000001</v>
      </c>
      <c r="AK129" s="327">
        <v>0.02</v>
      </c>
      <c r="AL129"/>
      <c r="AM129" s="326">
        <v>10353.2017</v>
      </c>
      <c r="AN129" s="327">
        <v>0.02</v>
      </c>
    </row>
    <row r="130" spans="2:40" s="314" customFormat="1" ht="12.75" customHeight="1" x14ac:dyDescent="0.15">
      <c r="B130" s="5" t="s">
        <v>90</v>
      </c>
      <c r="C130" s="8">
        <v>141098.70850000001</v>
      </c>
      <c r="D130" s="7">
        <v>2.290795E-2</v>
      </c>
      <c r="E130"/>
      <c r="F130" s="8">
        <v>13188.94</v>
      </c>
      <c r="G130" s="7">
        <v>3.0413030000000001E-2</v>
      </c>
      <c r="H130"/>
      <c r="I130" s="8">
        <v>13287.04</v>
      </c>
      <c r="J130" s="7">
        <v>3.0009950000000001E-2</v>
      </c>
      <c r="K130"/>
      <c r="L130" s="8">
        <v>15399.66</v>
      </c>
      <c r="M130" s="7">
        <v>3.0014530000000001E-2</v>
      </c>
      <c r="N130"/>
      <c r="O130" s="8">
        <v>11460.24</v>
      </c>
      <c r="P130" s="7">
        <v>3.002053E-2</v>
      </c>
      <c r="Q130"/>
      <c r="R130" s="8">
        <v>10193.5229</v>
      </c>
      <c r="S130" s="7">
        <v>0.02</v>
      </c>
      <c r="T130"/>
      <c r="U130" s="8">
        <v>10032.148800000001</v>
      </c>
      <c r="V130" s="7">
        <v>0.02</v>
      </c>
      <c r="W130"/>
      <c r="X130" s="8">
        <v>7088.1135000000004</v>
      </c>
      <c r="Y130" s="7">
        <v>0.02</v>
      </c>
      <c r="Z130"/>
      <c r="AA130" s="8">
        <v>9497.5962999999992</v>
      </c>
      <c r="AB130" s="7">
        <v>0.02</v>
      </c>
      <c r="AC130"/>
      <c r="AD130" s="8">
        <v>13296.073</v>
      </c>
      <c r="AE130" s="7">
        <v>0.02</v>
      </c>
      <c r="AF130"/>
      <c r="AG130" s="8">
        <v>14218.885899999999</v>
      </c>
      <c r="AH130" s="7">
        <v>0.02</v>
      </c>
      <c r="AI130"/>
      <c r="AJ130" s="8">
        <v>13083.286400000001</v>
      </c>
      <c r="AK130" s="7">
        <v>0.02</v>
      </c>
      <c r="AL130"/>
      <c r="AM130" s="8">
        <v>10353.2017</v>
      </c>
      <c r="AN130" s="7">
        <v>0.02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1598921.2953000001</v>
      </c>
      <c r="D134" s="327">
        <v>0.25959140000000003</v>
      </c>
      <c r="E134"/>
      <c r="F134" s="326">
        <v>98445.54</v>
      </c>
      <c r="G134" s="327">
        <v>0.22701041999999999</v>
      </c>
      <c r="H134"/>
      <c r="I134" s="326">
        <v>68789.58</v>
      </c>
      <c r="J134" s="327">
        <v>0.15536733</v>
      </c>
      <c r="K134"/>
      <c r="L134" s="326">
        <v>155980.79</v>
      </c>
      <c r="M134" s="327">
        <v>0.30401261000000002</v>
      </c>
      <c r="N134"/>
      <c r="O134" s="326">
        <v>20907.919999999998</v>
      </c>
      <c r="P134" s="327">
        <v>5.4769089999999999E-2</v>
      </c>
      <c r="Q134"/>
      <c r="R134" s="326">
        <v>141810.34469999999</v>
      </c>
      <c r="S134" s="327">
        <v>0.27823618</v>
      </c>
      <c r="T134"/>
      <c r="U134" s="326">
        <v>134029.2689</v>
      </c>
      <c r="V134" s="327">
        <v>0.26719952000000002</v>
      </c>
      <c r="W134"/>
      <c r="X134" s="326">
        <v>16108.241599999999</v>
      </c>
      <c r="Y134" s="327">
        <v>4.5451419999999999E-2</v>
      </c>
      <c r="Z134"/>
      <c r="AA134" s="326">
        <v>100791.0983</v>
      </c>
      <c r="AB134" s="327">
        <v>0.21224549000000001</v>
      </c>
      <c r="AC134"/>
      <c r="AD134" s="326">
        <v>245554.4314</v>
      </c>
      <c r="AE134" s="327">
        <v>0.36936383999999989</v>
      </c>
      <c r="AF134"/>
      <c r="AG134" s="326">
        <v>270652.7623</v>
      </c>
      <c r="AH134" s="327">
        <v>0.38069475000000003</v>
      </c>
      <c r="AI134"/>
      <c r="AJ134" s="326">
        <v>213629.40049999999</v>
      </c>
      <c r="AK134" s="327">
        <v>0.32656840999999998</v>
      </c>
      <c r="AL134"/>
      <c r="AM134" s="326">
        <v>132221.91759999999</v>
      </c>
      <c r="AN134" s="327">
        <v>0.25542228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1059209.8</v>
      </c>
      <c r="D136" s="327">
        <v>0.17196703999999999</v>
      </c>
      <c r="E136"/>
      <c r="F136" s="326">
        <v>86793.38</v>
      </c>
      <c r="G136" s="327">
        <v>0.20014113</v>
      </c>
      <c r="H136"/>
      <c r="I136" s="326">
        <v>86793.38</v>
      </c>
      <c r="J136" s="327">
        <v>0.1960305</v>
      </c>
      <c r="K136"/>
      <c r="L136" s="326">
        <v>88000</v>
      </c>
      <c r="M136" s="327">
        <v>0.17151541000000001</v>
      </c>
      <c r="N136"/>
      <c r="O136" s="326">
        <v>88000</v>
      </c>
      <c r="P136" s="327">
        <v>0.23051932999999999</v>
      </c>
      <c r="Q136"/>
      <c r="R136" s="326">
        <v>88702.88</v>
      </c>
      <c r="S136" s="327">
        <v>0.17403773</v>
      </c>
      <c r="T136"/>
      <c r="U136" s="326">
        <v>88702.88</v>
      </c>
      <c r="V136" s="327">
        <v>0.17683725</v>
      </c>
      <c r="W136"/>
      <c r="X136" s="326">
        <v>88702.88</v>
      </c>
      <c r="Y136" s="327">
        <v>0.25028628000000003</v>
      </c>
      <c r="Z136"/>
      <c r="AA136" s="326">
        <v>88702.88</v>
      </c>
      <c r="AB136" s="327">
        <v>0.18679017000000001</v>
      </c>
      <c r="AC136"/>
      <c r="AD136" s="326">
        <v>88702.88</v>
      </c>
      <c r="AE136" s="327">
        <v>0.13342719</v>
      </c>
      <c r="AF136"/>
      <c r="AG136" s="326">
        <v>88702.88</v>
      </c>
      <c r="AH136" s="327">
        <v>0.12476769</v>
      </c>
      <c r="AI136"/>
      <c r="AJ136" s="326">
        <v>88702.88</v>
      </c>
      <c r="AK136" s="327">
        <v>0.13559725</v>
      </c>
      <c r="AL136"/>
      <c r="AM136" s="326">
        <v>88702.88</v>
      </c>
      <c r="AN136" s="327">
        <v>0.17135352000000001</v>
      </c>
    </row>
    <row r="137" spans="2:40" s="314" customFormat="1" ht="12.75" customHeight="1" x14ac:dyDescent="0.15">
      <c r="B137" s="5" t="s">
        <v>95</v>
      </c>
      <c r="C137" s="8">
        <v>1059209.8</v>
      </c>
      <c r="D137" s="7">
        <v>0.17196703999999999</v>
      </c>
      <c r="E137"/>
      <c r="F137" s="8">
        <v>86793.38</v>
      </c>
      <c r="G137" s="7">
        <v>0.20014113</v>
      </c>
      <c r="H137"/>
      <c r="I137" s="8">
        <v>86793.38</v>
      </c>
      <c r="J137" s="7">
        <v>0.1960305</v>
      </c>
      <c r="K137"/>
      <c r="L137" s="8">
        <v>88000</v>
      </c>
      <c r="M137" s="7">
        <v>0.17151541000000001</v>
      </c>
      <c r="N137"/>
      <c r="O137" s="8">
        <v>88000</v>
      </c>
      <c r="P137" s="7">
        <v>0.23051932999999999</v>
      </c>
      <c r="Q137"/>
      <c r="R137" s="8">
        <v>88702.88</v>
      </c>
      <c r="S137" s="7">
        <v>0.17403773</v>
      </c>
      <c r="T137"/>
      <c r="U137" s="8">
        <v>88702.88</v>
      </c>
      <c r="V137" s="7">
        <v>0.17683725</v>
      </c>
      <c r="W137"/>
      <c r="X137" s="8">
        <v>88702.88</v>
      </c>
      <c r="Y137" s="7">
        <v>0.25028628000000003</v>
      </c>
      <c r="Z137"/>
      <c r="AA137" s="8">
        <v>88702.88</v>
      </c>
      <c r="AB137" s="7">
        <v>0.18679017000000001</v>
      </c>
      <c r="AC137"/>
      <c r="AD137" s="8">
        <v>88702.88</v>
      </c>
      <c r="AE137" s="7">
        <v>0.13342719</v>
      </c>
      <c r="AF137"/>
      <c r="AG137" s="8">
        <v>88702.88</v>
      </c>
      <c r="AH137" s="7">
        <v>0.12476769</v>
      </c>
      <c r="AI137"/>
      <c r="AJ137" s="8">
        <v>88702.88</v>
      </c>
      <c r="AK137" s="7">
        <v>0.13559725</v>
      </c>
      <c r="AL137"/>
      <c r="AM137" s="8">
        <v>88702.88</v>
      </c>
      <c r="AN137" s="7">
        <v>0.17135352000000001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539711.49529999995</v>
      </c>
      <c r="D141" s="327">
        <v>8.7624370000000007E-2</v>
      </c>
      <c r="E141"/>
      <c r="F141" s="326">
        <v>11652.16</v>
      </c>
      <c r="G141" s="327">
        <v>2.6869290000000001E-2</v>
      </c>
      <c r="H141"/>
      <c r="I141" s="326">
        <v>-18003.8</v>
      </c>
      <c r="J141" s="327">
        <v>-4.0663169999999998E-2</v>
      </c>
      <c r="K141"/>
      <c r="L141" s="326">
        <v>67980.789999999994</v>
      </c>
      <c r="M141" s="327">
        <v>0.13249720000000001</v>
      </c>
      <c r="N141"/>
      <c r="O141" s="326">
        <v>-67092.08</v>
      </c>
      <c r="P141" s="327">
        <v>-0.17575024</v>
      </c>
      <c r="Q141"/>
      <c r="R141" s="326">
        <v>53107.464699999997</v>
      </c>
      <c r="S141" s="327">
        <v>0.10419845</v>
      </c>
      <c r="T141"/>
      <c r="U141" s="326">
        <v>45326.388899999998</v>
      </c>
      <c r="V141" s="327">
        <v>9.0362270000000008E-2</v>
      </c>
      <c r="W141"/>
      <c r="X141" s="326">
        <v>-72594.638399999996</v>
      </c>
      <c r="Y141" s="327">
        <v>-0.20483486000000001</v>
      </c>
      <c r="Z141"/>
      <c r="AA141" s="326">
        <v>12088.2183</v>
      </c>
      <c r="AB141" s="327">
        <v>2.545532E-2</v>
      </c>
      <c r="AC141"/>
      <c r="AD141" s="326">
        <v>156851.5514</v>
      </c>
      <c r="AE141" s="327">
        <v>0.23593665999999999</v>
      </c>
      <c r="AF141"/>
      <c r="AG141" s="326">
        <v>181949.8823</v>
      </c>
      <c r="AH141" s="327">
        <v>0.25592705999999998</v>
      </c>
      <c r="AI141"/>
      <c r="AJ141" s="326">
        <v>124926.5205</v>
      </c>
      <c r="AK141" s="327">
        <v>0.19097116</v>
      </c>
      <c r="AL141"/>
      <c r="AM141" s="326">
        <v>43519.037600000003</v>
      </c>
      <c r="AN141" s="327">
        <v>8.4068749999999998E-2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539711.49529999995</v>
      </c>
      <c r="D144" s="327">
        <v>8.7624370000000007E-2</v>
      </c>
      <c r="E144"/>
      <c r="F144" s="326">
        <v>11652.16</v>
      </c>
      <c r="G144" s="327">
        <v>2.6869290000000001E-2</v>
      </c>
      <c r="H144"/>
      <c r="I144" s="326">
        <v>-18003.8</v>
      </c>
      <c r="J144" s="327">
        <v>-4.0663169999999998E-2</v>
      </c>
      <c r="K144"/>
      <c r="L144" s="326">
        <v>67980.789999999994</v>
      </c>
      <c r="M144" s="327">
        <v>0.13249720000000001</v>
      </c>
      <c r="N144"/>
      <c r="O144" s="326">
        <v>-67092.08</v>
      </c>
      <c r="P144" s="327">
        <v>-0.17575024</v>
      </c>
      <c r="Q144"/>
      <c r="R144" s="326">
        <v>53107.464699999997</v>
      </c>
      <c r="S144" s="327">
        <v>0.10419845</v>
      </c>
      <c r="T144"/>
      <c r="U144" s="326">
        <v>45326.388899999998</v>
      </c>
      <c r="V144" s="327">
        <v>9.0362270000000008E-2</v>
      </c>
      <c r="W144"/>
      <c r="X144" s="326">
        <v>-72594.638399999996</v>
      </c>
      <c r="Y144" s="327">
        <v>-0.20483486000000001</v>
      </c>
      <c r="Z144"/>
      <c r="AA144" s="326">
        <v>12088.2183</v>
      </c>
      <c r="AB144" s="327">
        <v>2.545532E-2</v>
      </c>
      <c r="AC144"/>
      <c r="AD144" s="326">
        <v>156851.5514</v>
      </c>
      <c r="AE144" s="327">
        <v>0.23593665999999999</v>
      </c>
      <c r="AF144"/>
      <c r="AG144" s="326">
        <v>181949.8823</v>
      </c>
      <c r="AH144" s="327">
        <v>0.25592705999999998</v>
      </c>
      <c r="AI144"/>
      <c r="AJ144" s="326">
        <v>124926.5205</v>
      </c>
      <c r="AK144" s="327">
        <v>0.19097116</v>
      </c>
      <c r="AL144"/>
      <c r="AM144" s="326">
        <v>43519.037600000003</v>
      </c>
      <c r="AN144" s="327">
        <v>8.4068749999999998E-2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539711.49529999995</v>
      </c>
      <c r="D147" s="327">
        <v>8.7624370000000007E-2</v>
      </c>
      <c r="E147"/>
      <c r="F147" s="326">
        <v>11652.16</v>
      </c>
      <c r="G147" s="327">
        <v>2.6869290000000001E-2</v>
      </c>
      <c r="H147"/>
      <c r="I147" s="326">
        <v>-18003.8</v>
      </c>
      <c r="J147" s="327">
        <v>-4.0663169999999998E-2</v>
      </c>
      <c r="K147"/>
      <c r="L147" s="326">
        <v>67980.789999999994</v>
      </c>
      <c r="M147" s="327">
        <v>0.13249720000000001</v>
      </c>
      <c r="N147"/>
      <c r="O147" s="326">
        <v>-67092.08</v>
      </c>
      <c r="P147" s="327">
        <v>-0.17575024</v>
      </c>
      <c r="Q147"/>
      <c r="R147" s="326">
        <v>53107.464699999997</v>
      </c>
      <c r="S147" s="327">
        <v>0.10419845</v>
      </c>
      <c r="T147"/>
      <c r="U147" s="326">
        <v>45326.388899999998</v>
      </c>
      <c r="V147" s="327">
        <v>9.0362270000000008E-2</v>
      </c>
      <c r="W147"/>
      <c r="X147" s="326">
        <v>-72594.638399999996</v>
      </c>
      <c r="Y147" s="327">
        <v>-0.20483486000000001</v>
      </c>
      <c r="Z147"/>
      <c r="AA147" s="326">
        <v>12088.2183</v>
      </c>
      <c r="AB147" s="327">
        <v>2.545532E-2</v>
      </c>
      <c r="AC147"/>
      <c r="AD147" s="326">
        <v>156851.5514</v>
      </c>
      <c r="AE147" s="327">
        <v>0.23593665999999999</v>
      </c>
      <c r="AF147"/>
      <c r="AG147" s="326">
        <v>181949.8823</v>
      </c>
      <c r="AH147" s="327">
        <v>0.25592705999999998</v>
      </c>
      <c r="AI147"/>
      <c r="AJ147" s="326">
        <v>124926.5205</v>
      </c>
      <c r="AK147" s="327">
        <v>0.19097116</v>
      </c>
      <c r="AL147"/>
      <c r="AM147" s="326">
        <v>43519.037600000003</v>
      </c>
      <c r="AN147" s="327">
        <v>8.4068749999999998E-2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539711.49529999995</v>
      </c>
      <c r="D150" s="327">
        <v>8.7624370000000007E-2</v>
      </c>
      <c r="E150"/>
      <c r="F150" s="326">
        <v>11652.16</v>
      </c>
      <c r="G150" s="327">
        <v>2.6869290000000001E-2</v>
      </c>
      <c r="H150"/>
      <c r="I150" s="326">
        <v>-18003.8</v>
      </c>
      <c r="J150" s="327">
        <v>-4.0663169999999998E-2</v>
      </c>
      <c r="K150"/>
      <c r="L150" s="326">
        <v>67980.789999999994</v>
      </c>
      <c r="M150" s="327">
        <v>0.13249720000000001</v>
      </c>
      <c r="N150"/>
      <c r="O150" s="326">
        <v>-67092.08</v>
      </c>
      <c r="P150" s="327">
        <v>-0.17575024</v>
      </c>
      <c r="Q150"/>
      <c r="R150" s="326">
        <v>53107.464699999997</v>
      </c>
      <c r="S150" s="327">
        <v>0.10419845</v>
      </c>
      <c r="T150"/>
      <c r="U150" s="326">
        <v>45326.388899999998</v>
      </c>
      <c r="V150" s="327">
        <v>9.0362270000000008E-2</v>
      </c>
      <c r="W150"/>
      <c r="X150" s="326">
        <v>-72594.638399999996</v>
      </c>
      <c r="Y150" s="327">
        <v>-0.20483486000000001</v>
      </c>
      <c r="Z150"/>
      <c r="AA150" s="326">
        <v>12088.2183</v>
      </c>
      <c r="AB150" s="327">
        <v>2.545532E-2</v>
      </c>
      <c r="AC150"/>
      <c r="AD150" s="326">
        <v>156851.5514</v>
      </c>
      <c r="AE150" s="327">
        <v>0.23593665999999999</v>
      </c>
      <c r="AF150"/>
      <c r="AG150" s="326">
        <v>181949.8823</v>
      </c>
      <c r="AH150" s="327">
        <v>0.25592705999999998</v>
      </c>
      <c r="AI150"/>
      <c r="AJ150" s="326">
        <v>124926.5205</v>
      </c>
      <c r="AK150" s="327">
        <v>0.19097116</v>
      </c>
      <c r="AL150"/>
      <c r="AM150" s="326">
        <v>43519.037600000003</v>
      </c>
      <c r="AN150" s="327">
        <v>8.4068749999999998E-2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561711.49529999995</v>
      </c>
      <c r="D153" s="7">
        <v>9.1196160000000012E-2</v>
      </c>
      <c r="E153"/>
      <c r="F153" s="8">
        <v>11652.16</v>
      </c>
      <c r="G153" s="7">
        <v>2.6869290000000001E-2</v>
      </c>
      <c r="H153"/>
      <c r="I153" s="8">
        <v>-16003.8</v>
      </c>
      <c r="J153" s="7">
        <v>-3.6145990000000003E-2</v>
      </c>
      <c r="K153"/>
      <c r="L153" s="8">
        <v>69980.789999999994</v>
      </c>
      <c r="M153" s="7">
        <v>0.13639527000000001</v>
      </c>
      <c r="N153"/>
      <c r="O153" s="8">
        <v>-65092.08</v>
      </c>
      <c r="P153" s="7">
        <v>-0.17051116999999999</v>
      </c>
      <c r="Q153"/>
      <c r="R153" s="8">
        <v>55107.464699999997</v>
      </c>
      <c r="S153" s="7">
        <v>0.10812251000000001</v>
      </c>
      <c r="T153"/>
      <c r="U153" s="8">
        <v>47326.388899999998</v>
      </c>
      <c r="V153" s="7">
        <v>9.4349459999999996E-2</v>
      </c>
      <c r="W153"/>
      <c r="X153" s="8">
        <v>-70594.638399999996</v>
      </c>
      <c r="Y153" s="7">
        <v>-0.19919160999999999</v>
      </c>
      <c r="Z153"/>
      <c r="AA153" s="8">
        <v>14088.2183</v>
      </c>
      <c r="AB153" s="7">
        <v>2.9666910000000001E-2</v>
      </c>
      <c r="AC153"/>
      <c r="AD153" s="8">
        <v>158851.5514</v>
      </c>
      <c r="AE153" s="7">
        <v>0.23894505999999999</v>
      </c>
      <c r="AF153"/>
      <c r="AG153" s="8">
        <v>183949.8823</v>
      </c>
      <c r="AH153" s="7">
        <v>0.25874022000000002</v>
      </c>
      <c r="AI153"/>
      <c r="AJ153" s="8">
        <v>126926.5205</v>
      </c>
      <c r="AK153" s="7">
        <v>0.19402849999999999</v>
      </c>
      <c r="AL153"/>
      <c r="AM153" s="8">
        <v>45519.037600000003</v>
      </c>
      <c r="AN153" s="7">
        <v>8.7932289999999996E-2</v>
      </c>
    </row>
    <row r="154" spans="2:40" s="314" customFormat="1" ht="12.75" customHeight="1" x14ac:dyDescent="0.15">
      <c r="B154" s="5" t="s">
        <v>107</v>
      </c>
      <c r="C154" s="6">
        <v>539711.49529999995</v>
      </c>
      <c r="D154" s="7">
        <v>8.7624370000000007E-2</v>
      </c>
      <c r="E154"/>
      <c r="F154" s="8">
        <v>11652.16</v>
      </c>
      <c r="G154" s="7">
        <v>2.6869290000000001E-2</v>
      </c>
      <c r="H154"/>
      <c r="I154" s="8">
        <v>-18003.8</v>
      </c>
      <c r="J154" s="7">
        <v>-4.0663169999999998E-2</v>
      </c>
      <c r="K154"/>
      <c r="L154" s="8">
        <v>67980.789999999994</v>
      </c>
      <c r="M154" s="7">
        <v>0.13249720000000001</v>
      </c>
      <c r="N154"/>
      <c r="O154" s="8">
        <v>-67092.08</v>
      </c>
      <c r="P154" s="7">
        <v>-0.17575024</v>
      </c>
      <c r="Q154"/>
      <c r="R154" s="8">
        <v>53107.464699999997</v>
      </c>
      <c r="S154" s="7">
        <v>0.10419845</v>
      </c>
      <c r="T154"/>
      <c r="U154" s="8">
        <v>45326.388899999998</v>
      </c>
      <c r="V154" s="7">
        <v>9.0362270000000008E-2</v>
      </c>
      <c r="W154"/>
      <c r="X154" s="8">
        <v>-72594.638399999996</v>
      </c>
      <c r="Y154" s="7">
        <v>-0.20483486000000001</v>
      </c>
      <c r="Z154"/>
      <c r="AA154" s="8">
        <v>12088.2183</v>
      </c>
      <c r="AB154" s="7">
        <v>2.545532E-2</v>
      </c>
      <c r="AC154"/>
      <c r="AD154" s="8">
        <v>156851.5514</v>
      </c>
      <c r="AE154" s="7">
        <v>0.23593665999999999</v>
      </c>
      <c r="AF154"/>
      <c r="AG154" s="8">
        <v>181949.8823</v>
      </c>
      <c r="AH154" s="7">
        <v>0.25592705999999998</v>
      </c>
      <c r="AI154"/>
      <c r="AJ154" s="8">
        <v>124926.5205</v>
      </c>
      <c r="AK154" s="7">
        <v>0.19097116</v>
      </c>
      <c r="AL154"/>
      <c r="AM154" s="8">
        <v>43519.037600000003</v>
      </c>
      <c r="AN154" s="7">
        <v>8.4068749999999998E-2</v>
      </c>
    </row>
    <row r="155" spans="2:40" s="314" customFormat="1" ht="12.75" customHeight="1" x14ac:dyDescent="0.15">
      <c r="B155" s="325" t="s">
        <v>108</v>
      </c>
      <c r="C155" s="330">
        <v>220537.36290000001</v>
      </c>
      <c r="D155" s="327">
        <v>3.5805139999999999E-2</v>
      </c>
      <c r="E155"/>
      <c r="F155" s="326">
        <v>21981.56</v>
      </c>
      <c r="G155" s="327">
        <v>5.0688360000000002E-2</v>
      </c>
      <c r="H155"/>
      <c r="I155" s="326">
        <v>22145.06</v>
      </c>
      <c r="J155" s="327">
        <v>5.0016570000000003E-2</v>
      </c>
      <c r="K155"/>
      <c r="L155" s="326">
        <v>25666.1</v>
      </c>
      <c r="M155" s="327">
        <v>5.0024220000000001E-2</v>
      </c>
      <c r="N155"/>
      <c r="O155" s="326">
        <v>19100.400000000001</v>
      </c>
      <c r="P155" s="327">
        <v>5.0034219999999997E-2</v>
      </c>
      <c r="Q155"/>
      <c r="R155" s="326">
        <v>15290.2844</v>
      </c>
      <c r="S155" s="327">
        <v>0.03</v>
      </c>
      <c r="T155"/>
      <c r="U155" s="326">
        <v>15048.223099999999</v>
      </c>
      <c r="V155" s="327">
        <v>0.03</v>
      </c>
      <c r="W155"/>
      <c r="X155" s="326">
        <v>10632.1703</v>
      </c>
      <c r="Y155" s="327">
        <v>0.03</v>
      </c>
      <c r="Z155"/>
      <c r="AA155" s="326">
        <v>14246.3945</v>
      </c>
      <c r="AB155" s="327">
        <v>0.03</v>
      </c>
      <c r="AC155"/>
      <c r="AD155" s="326">
        <v>19944.109499999999</v>
      </c>
      <c r="AE155" s="327">
        <v>0.03</v>
      </c>
      <c r="AF155"/>
      <c r="AG155" s="326">
        <v>21328.3289</v>
      </c>
      <c r="AH155" s="327">
        <v>0.03</v>
      </c>
      <c r="AI155"/>
      <c r="AJ155" s="326">
        <v>19624.929700000001</v>
      </c>
      <c r="AK155" s="327">
        <v>0.03</v>
      </c>
      <c r="AL155"/>
      <c r="AM155" s="326">
        <v>15529.8025</v>
      </c>
      <c r="AN155" s="327">
        <v>0.03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61660.034399999997</v>
      </c>
      <c r="D158" s="7">
        <v>1.001076E-2</v>
      </c>
      <c r="E158"/>
      <c r="F158" s="8">
        <v>4396.3100000000004</v>
      </c>
      <c r="G158" s="7">
        <v>1.013767E-2</v>
      </c>
      <c r="H158"/>
      <c r="I158" s="8">
        <v>4429.01</v>
      </c>
      <c r="J158" s="7">
        <v>1.000331E-2</v>
      </c>
      <c r="K158"/>
      <c r="L158" s="8">
        <v>5133.22</v>
      </c>
      <c r="M158" s="7">
        <v>1.0004839999999999E-2</v>
      </c>
      <c r="N158"/>
      <c r="O158" s="8">
        <v>3820.08</v>
      </c>
      <c r="P158" s="7">
        <v>1.0006839999999999E-2</v>
      </c>
      <c r="Q158"/>
      <c r="R158" s="8">
        <v>5096.7614999999996</v>
      </c>
      <c r="S158" s="7">
        <v>0.01</v>
      </c>
      <c r="T158"/>
      <c r="U158" s="8">
        <v>5016.0744000000004</v>
      </c>
      <c r="V158" s="7">
        <v>0.01</v>
      </c>
      <c r="W158"/>
      <c r="X158" s="8">
        <v>3544.0567999999998</v>
      </c>
      <c r="Y158" s="7">
        <v>0.01</v>
      </c>
      <c r="Z158"/>
      <c r="AA158" s="8">
        <v>4748.7982000000002</v>
      </c>
      <c r="AB158" s="7">
        <v>0.01</v>
      </c>
      <c r="AC158"/>
      <c r="AD158" s="8">
        <v>6648.0365000000002</v>
      </c>
      <c r="AE158" s="7">
        <v>0.01</v>
      </c>
      <c r="AF158"/>
      <c r="AG158" s="8">
        <v>7109.4430000000002</v>
      </c>
      <c r="AH158" s="7">
        <v>0.01</v>
      </c>
      <c r="AI158"/>
      <c r="AJ158" s="8">
        <v>6541.6432000000004</v>
      </c>
      <c r="AK158" s="7">
        <v>0.01</v>
      </c>
      <c r="AL158"/>
      <c r="AM158" s="8">
        <v>5176.6008000000002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112972.5958</v>
      </c>
      <c r="D159" s="7">
        <v>1.834156E-2</v>
      </c>
      <c r="E159"/>
      <c r="F159" s="8">
        <v>1596.54</v>
      </c>
      <c r="G159" s="7">
        <v>3.6815400000000001E-3</v>
      </c>
      <c r="H159"/>
      <c r="I159" s="8">
        <v>5046.9799999999996</v>
      </c>
      <c r="J159" s="7">
        <v>1.1399050000000001E-2</v>
      </c>
      <c r="K159"/>
      <c r="L159" s="8">
        <v>-986.67</v>
      </c>
      <c r="M159" s="7">
        <v>-1.9230600000000001E-3</v>
      </c>
      <c r="N159"/>
      <c r="O159" s="8">
        <v>-2387.79</v>
      </c>
      <c r="P159" s="7">
        <v>-6.2549099999999998E-3</v>
      </c>
      <c r="Q159"/>
      <c r="R159" s="8">
        <v>12741.9036</v>
      </c>
      <c r="S159" s="7">
        <v>2.5000000000000001E-2</v>
      </c>
      <c r="T159"/>
      <c r="U159" s="8">
        <v>12540.186</v>
      </c>
      <c r="V159" s="7">
        <v>2.5000000000000001E-2</v>
      </c>
      <c r="W159"/>
      <c r="X159" s="8">
        <v>8860.1419000000005</v>
      </c>
      <c r="Y159" s="7">
        <v>2.5000000000000001E-2</v>
      </c>
      <c r="Z159"/>
      <c r="AA159" s="8">
        <v>11871.9954</v>
      </c>
      <c r="AB159" s="7">
        <v>2.5000000000000001E-2</v>
      </c>
      <c r="AC159"/>
      <c r="AD159" s="8">
        <v>16620.0913</v>
      </c>
      <c r="AE159" s="7">
        <v>2.5000000000000001E-2</v>
      </c>
      <c r="AF159"/>
      <c r="AG159" s="8">
        <v>17773.607400000001</v>
      </c>
      <c r="AH159" s="7">
        <v>2.5000000000000001E-2</v>
      </c>
      <c r="AI159"/>
      <c r="AJ159" s="8">
        <v>16354.108099999999</v>
      </c>
      <c r="AK159" s="7">
        <v>2.5000000000000001E-2</v>
      </c>
      <c r="AL159"/>
      <c r="AM159" s="8">
        <v>12941.5021</v>
      </c>
      <c r="AN159" s="7">
        <v>2.5000000000000001E-2</v>
      </c>
    </row>
    <row r="160" spans="2:40" s="314" customFormat="1" ht="12.75" customHeight="1" x14ac:dyDescent="0.15">
      <c r="B160" s="5" t="s">
        <v>113</v>
      </c>
      <c r="C160" s="6">
        <v>141098.70850000001</v>
      </c>
      <c r="D160" s="7">
        <v>2.290795E-2</v>
      </c>
      <c r="E160"/>
      <c r="F160" s="8">
        <v>13188.94</v>
      </c>
      <c r="G160" s="7">
        <v>3.0413030000000001E-2</v>
      </c>
      <c r="H160"/>
      <c r="I160" s="8">
        <v>13287.04</v>
      </c>
      <c r="J160" s="7">
        <v>3.0009950000000001E-2</v>
      </c>
      <c r="K160"/>
      <c r="L160" s="8">
        <v>15399.66</v>
      </c>
      <c r="M160" s="7">
        <v>3.0014530000000001E-2</v>
      </c>
      <c r="N160"/>
      <c r="O160" s="8">
        <v>11460.24</v>
      </c>
      <c r="P160" s="7">
        <v>3.002053E-2</v>
      </c>
      <c r="Q160"/>
      <c r="R160" s="8">
        <v>10193.5229</v>
      </c>
      <c r="S160" s="7">
        <v>0.02</v>
      </c>
      <c r="T160"/>
      <c r="U160" s="8">
        <v>10032.148800000001</v>
      </c>
      <c r="V160" s="7">
        <v>0.02</v>
      </c>
      <c r="W160"/>
      <c r="X160" s="8">
        <v>7088.1135000000004</v>
      </c>
      <c r="Y160" s="7">
        <v>0.02</v>
      </c>
      <c r="Z160"/>
      <c r="AA160" s="8">
        <v>9497.5962999999992</v>
      </c>
      <c r="AB160" s="7">
        <v>0.02</v>
      </c>
      <c r="AC160"/>
      <c r="AD160" s="8">
        <v>13296.073</v>
      </c>
      <c r="AE160" s="7">
        <v>0.02</v>
      </c>
      <c r="AF160"/>
      <c r="AG160" s="8">
        <v>14218.885899999999</v>
      </c>
      <c r="AH160" s="7">
        <v>0.02</v>
      </c>
      <c r="AI160"/>
      <c r="AJ160" s="8">
        <v>13083.286400000001</v>
      </c>
      <c r="AK160" s="7">
        <v>0.02</v>
      </c>
      <c r="AL160"/>
      <c r="AM160" s="8">
        <v>10353.2017</v>
      </c>
      <c r="AN160" s="7">
        <v>0.02</v>
      </c>
    </row>
    <row r="161" spans="2:40" s="314" customFormat="1" ht="12.75" customHeight="1" x14ac:dyDescent="0.15">
      <c r="B161" s="5" t="s">
        <v>114</v>
      </c>
      <c r="C161" s="6">
        <v>17778.62</v>
      </c>
      <c r="D161" s="7">
        <v>2.8864300000000002E-3</v>
      </c>
      <c r="E161"/>
      <c r="F161" s="8">
        <v>4396.3100000000004</v>
      </c>
      <c r="G161" s="7">
        <v>1.013767E-2</v>
      </c>
      <c r="H161"/>
      <c r="I161" s="8">
        <v>4429.01</v>
      </c>
      <c r="J161" s="7">
        <v>1.000331E-2</v>
      </c>
      <c r="K161"/>
      <c r="L161" s="8">
        <v>5133.22</v>
      </c>
      <c r="M161" s="7">
        <v>1.0004839999999999E-2</v>
      </c>
      <c r="N161"/>
      <c r="O161" s="8">
        <v>3820.08</v>
      </c>
      <c r="P161" s="7">
        <v>1.0006839999999999E-2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271826.53600000002</v>
      </c>
      <c r="D162" s="327">
        <v>4.4132150000000002E-2</v>
      </c>
      <c r="E162"/>
      <c r="F162" s="326">
        <v>19288.93</v>
      </c>
      <c r="G162" s="327">
        <v>4.4479289999999998E-2</v>
      </c>
      <c r="H162"/>
      <c r="I162" s="326">
        <v>13314.72</v>
      </c>
      <c r="J162" s="327">
        <v>3.007247E-2</v>
      </c>
      <c r="K162"/>
      <c r="L162" s="326">
        <v>21706.2</v>
      </c>
      <c r="M162" s="327">
        <v>4.2306229999999993E-2</v>
      </c>
      <c r="N162"/>
      <c r="O162" s="326">
        <v>18021.990000000002</v>
      </c>
      <c r="P162" s="327">
        <v>4.7209279999999999E-2</v>
      </c>
      <c r="Q162"/>
      <c r="R162" s="326">
        <v>23819.678100000001</v>
      </c>
      <c r="S162" s="327">
        <v>4.6734929999999987E-2</v>
      </c>
      <c r="T162"/>
      <c r="U162" s="326">
        <v>23850.565399999999</v>
      </c>
      <c r="V162" s="327">
        <v>4.7548269999999997E-2</v>
      </c>
      <c r="W162"/>
      <c r="X162" s="326">
        <v>18225.198</v>
      </c>
      <c r="Y162" s="327">
        <v>5.142468E-2</v>
      </c>
      <c r="Z162"/>
      <c r="AA162" s="326">
        <v>21814.7467</v>
      </c>
      <c r="AB162" s="327">
        <v>4.5937409999999998E-2</v>
      </c>
      <c r="AC162"/>
      <c r="AD162" s="326">
        <v>28842.1103</v>
      </c>
      <c r="AE162" s="327">
        <v>4.3384399999999997E-2</v>
      </c>
      <c r="AF162"/>
      <c r="AG162" s="326">
        <v>32213.8135</v>
      </c>
      <c r="AH162" s="327">
        <v>4.5311299999999999E-2</v>
      </c>
      <c r="AI162"/>
      <c r="AJ162" s="326">
        <v>28059.9136</v>
      </c>
      <c r="AK162" s="327">
        <v>4.2894290000000002E-2</v>
      </c>
      <c r="AL162"/>
      <c r="AM162" s="326">
        <v>22668.670399999999</v>
      </c>
      <c r="AN162" s="327">
        <v>4.379065E-2</v>
      </c>
    </row>
    <row r="163" spans="2:40" s="314" customFormat="1" ht="12.75" customHeight="1" x14ac:dyDescent="0.15">
      <c r="B163" s="5" t="s">
        <v>116</v>
      </c>
      <c r="C163" s="6">
        <v>129776.44680000001</v>
      </c>
      <c r="D163" s="7">
        <v>2.106974E-2</v>
      </c>
      <c r="E163"/>
      <c r="F163" s="8">
        <v>8265.33</v>
      </c>
      <c r="G163" s="7">
        <v>1.9059429999999999E-2</v>
      </c>
      <c r="H163"/>
      <c r="I163" s="8">
        <v>9309.93</v>
      </c>
      <c r="J163" s="7">
        <v>2.1027299999999999E-2</v>
      </c>
      <c r="K163"/>
      <c r="L163" s="8">
        <v>10214.44</v>
      </c>
      <c r="M163" s="7">
        <v>1.990834E-2</v>
      </c>
      <c r="N163"/>
      <c r="O163" s="8">
        <v>8107.42</v>
      </c>
      <c r="P163" s="7">
        <v>2.123769E-2</v>
      </c>
      <c r="Q163"/>
      <c r="R163" s="8">
        <v>11196.527599999999</v>
      </c>
      <c r="S163" s="7">
        <v>2.196793E-2</v>
      </c>
      <c r="T163"/>
      <c r="U163" s="8">
        <v>11238.079</v>
      </c>
      <c r="V163" s="7">
        <v>2.2404130000000001E-2</v>
      </c>
      <c r="W163"/>
      <c r="X163" s="8">
        <v>8385.9531000000006</v>
      </c>
      <c r="Y163" s="7">
        <v>2.3662019999999999E-2</v>
      </c>
      <c r="Z163"/>
      <c r="AA163" s="8">
        <v>10128.473599999999</v>
      </c>
      <c r="AB163" s="7">
        <v>2.13285E-2</v>
      </c>
      <c r="AC163"/>
      <c r="AD163" s="8">
        <v>13673.824500000001</v>
      </c>
      <c r="AE163" s="7">
        <v>2.0568220000000002E-2</v>
      </c>
      <c r="AF163"/>
      <c r="AG163" s="8">
        <v>15506.074500000001</v>
      </c>
      <c r="AH163" s="7">
        <v>2.1810530000000002E-2</v>
      </c>
      <c r="AI163"/>
      <c r="AJ163" s="8">
        <v>13248.574500000001</v>
      </c>
      <c r="AK163" s="7">
        <v>2.025267E-2</v>
      </c>
      <c r="AL163"/>
      <c r="AM163" s="8">
        <v>10501.82</v>
      </c>
      <c r="AN163" s="7">
        <v>2.0287099999999999E-2</v>
      </c>
    </row>
    <row r="164" spans="2:40" s="314" customFormat="1" ht="12.75" customHeight="1" x14ac:dyDescent="0.15">
      <c r="B164" s="5" t="s">
        <v>117</v>
      </c>
      <c r="C164" s="6">
        <v>90156.961899999995</v>
      </c>
      <c r="D164" s="7">
        <v>1.463735E-2</v>
      </c>
      <c r="E164"/>
      <c r="F164" s="8">
        <v>7193.48</v>
      </c>
      <c r="G164" s="7">
        <v>1.65878E-2</v>
      </c>
      <c r="H164"/>
      <c r="I164" s="8">
        <v>2595.63</v>
      </c>
      <c r="J164" s="7">
        <v>5.8624600000000008E-3</v>
      </c>
      <c r="K164"/>
      <c r="L164" s="8">
        <v>7743.3</v>
      </c>
      <c r="M164" s="7">
        <v>1.509199E-2</v>
      </c>
      <c r="N164"/>
      <c r="O164" s="8">
        <v>5567.89</v>
      </c>
      <c r="P164" s="7">
        <v>1.4585300000000001E-2</v>
      </c>
      <c r="Q164"/>
      <c r="R164" s="8">
        <v>7997.5196999999998</v>
      </c>
      <c r="S164" s="7">
        <v>1.5691380000000001E-2</v>
      </c>
      <c r="T164"/>
      <c r="U164" s="8">
        <v>8027.1992</v>
      </c>
      <c r="V164" s="7">
        <v>1.6002949999999998E-2</v>
      </c>
      <c r="W164"/>
      <c r="X164" s="8">
        <v>5989.9665000000005</v>
      </c>
      <c r="Y164" s="7">
        <v>1.690144E-2</v>
      </c>
      <c r="Z164"/>
      <c r="AA164" s="8">
        <v>7234.6239999999998</v>
      </c>
      <c r="AB164" s="7">
        <v>1.5234640000000001E-2</v>
      </c>
      <c r="AC164"/>
      <c r="AD164" s="8">
        <v>9767.0174999999999</v>
      </c>
      <c r="AE164" s="7">
        <v>1.4691579999999999E-2</v>
      </c>
      <c r="AF164"/>
      <c r="AG164" s="8">
        <v>11075.7675</v>
      </c>
      <c r="AH164" s="7">
        <v>1.5578949999999999E-2</v>
      </c>
      <c r="AI164"/>
      <c r="AJ164" s="8">
        <v>9463.2674999999999</v>
      </c>
      <c r="AK164" s="7">
        <v>1.446619E-2</v>
      </c>
      <c r="AL164"/>
      <c r="AM164" s="8">
        <v>7501.3</v>
      </c>
      <c r="AN164" s="7">
        <v>1.449078E-2</v>
      </c>
    </row>
    <row r="165" spans="2:40" s="314" customFormat="1" ht="12.75" customHeight="1" x14ac:dyDescent="0.15">
      <c r="B165" s="5" t="s">
        <v>118</v>
      </c>
      <c r="C165" s="6">
        <v>21609.62</v>
      </c>
      <c r="D165" s="7">
        <v>3.50841E-3</v>
      </c>
      <c r="E165"/>
      <c r="F165" s="8">
        <v>1662.15</v>
      </c>
      <c r="G165" s="7">
        <v>3.8328300000000002E-3</v>
      </c>
      <c r="H165"/>
      <c r="I165" s="8">
        <v>-272.76</v>
      </c>
      <c r="J165" s="7">
        <v>-6.1605000000000004E-4</v>
      </c>
      <c r="K165"/>
      <c r="L165" s="8">
        <v>1167.3599999999999</v>
      </c>
      <c r="M165" s="7">
        <v>2.27523E-3</v>
      </c>
      <c r="N165"/>
      <c r="O165" s="8">
        <v>2434.87</v>
      </c>
      <c r="P165" s="7">
        <v>6.3782300000000004E-3</v>
      </c>
      <c r="Q165"/>
      <c r="R165" s="8">
        <v>2077.25</v>
      </c>
      <c r="S165" s="7">
        <v>4.0756300000000002E-3</v>
      </c>
      <c r="T165"/>
      <c r="U165" s="8">
        <v>2077.25</v>
      </c>
      <c r="V165" s="7">
        <v>4.1411900000000003E-3</v>
      </c>
      <c r="W165"/>
      <c r="X165" s="8">
        <v>2077.25</v>
      </c>
      <c r="Y165" s="7">
        <v>5.8612200000000003E-3</v>
      </c>
      <c r="Z165"/>
      <c r="AA165" s="8">
        <v>2077.25</v>
      </c>
      <c r="AB165" s="7">
        <v>4.3742599999999996E-3</v>
      </c>
      <c r="AC165"/>
      <c r="AD165" s="8">
        <v>2077.25</v>
      </c>
      <c r="AE165" s="7">
        <v>3.1246099999999999E-3</v>
      </c>
      <c r="AF165"/>
      <c r="AG165" s="8">
        <v>2077.25</v>
      </c>
      <c r="AH165" s="7">
        <v>2.9218199999999999E-3</v>
      </c>
      <c r="AI165"/>
      <c r="AJ165" s="8">
        <v>2077.25</v>
      </c>
      <c r="AK165" s="7">
        <v>3.1754299999999999E-3</v>
      </c>
      <c r="AL165"/>
      <c r="AM165" s="8">
        <v>2077.25</v>
      </c>
      <c r="AN165" s="7">
        <v>4.0127699999999997E-3</v>
      </c>
    </row>
    <row r="166" spans="2:40" s="314" customFormat="1" ht="12.75" customHeight="1" x14ac:dyDescent="0.15">
      <c r="B166" s="5" t="s">
        <v>119</v>
      </c>
      <c r="C166" s="6">
        <v>30283.5072</v>
      </c>
      <c r="D166" s="7">
        <v>4.9166499999999998E-3</v>
      </c>
      <c r="E166"/>
      <c r="F166" s="8">
        <v>2167.9699999999998</v>
      </c>
      <c r="G166" s="7">
        <v>4.9992300000000003E-3</v>
      </c>
      <c r="H166"/>
      <c r="I166" s="8">
        <v>1681.92</v>
      </c>
      <c r="J166" s="7">
        <v>3.79876E-3</v>
      </c>
      <c r="K166"/>
      <c r="L166" s="8">
        <v>2581.1</v>
      </c>
      <c r="M166" s="7">
        <v>5.0306600000000002E-3</v>
      </c>
      <c r="N166"/>
      <c r="O166" s="8">
        <v>1911.81</v>
      </c>
      <c r="P166" s="7">
        <v>5.0080599999999999E-3</v>
      </c>
      <c r="Q166"/>
      <c r="R166" s="8">
        <v>2548.3807000000002</v>
      </c>
      <c r="S166" s="7">
        <v>5.0000000000000001E-3</v>
      </c>
      <c r="T166"/>
      <c r="U166" s="8">
        <v>2508.0372000000002</v>
      </c>
      <c r="V166" s="7">
        <v>5.0000000000000001E-3</v>
      </c>
      <c r="W166"/>
      <c r="X166" s="8">
        <v>1772.0283999999999</v>
      </c>
      <c r="Y166" s="7">
        <v>5.0000000000000001E-3</v>
      </c>
      <c r="Z166"/>
      <c r="AA166" s="8">
        <v>2374.3991000000001</v>
      </c>
      <c r="AB166" s="7">
        <v>5.0000000000000001E-3</v>
      </c>
      <c r="AC166"/>
      <c r="AD166" s="8">
        <v>3324.0183000000002</v>
      </c>
      <c r="AE166" s="7">
        <v>5.0000000000000001E-3</v>
      </c>
      <c r="AF166"/>
      <c r="AG166" s="8">
        <v>3554.7215000000001</v>
      </c>
      <c r="AH166" s="7">
        <v>5.0000000000000001E-3</v>
      </c>
      <c r="AI166"/>
      <c r="AJ166" s="8">
        <v>3270.8216000000002</v>
      </c>
      <c r="AK166" s="7">
        <v>5.0000000000000001E-3</v>
      </c>
      <c r="AL166"/>
      <c r="AM166" s="8">
        <v>2588.3004000000001</v>
      </c>
      <c r="AN166" s="7">
        <v>5.0000000000000001E-3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600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0852-D30B-47C4-8F99-2287A1A49C15}">
  <sheetPr>
    <pageSetUpPr fitToPage="1"/>
  </sheetPr>
  <dimension ref="B2:AN168"/>
  <sheetViews>
    <sheetView zoomScale="70" zoomScaleNormal="70" workbookViewId="0">
      <pane xSplit="2" ySplit="10" topLeftCell="C11" activePane="bottomRight" state="frozen"/>
      <selection activeCell="I37" sqref="I37"/>
      <selection pane="topRight" activeCell="I37" sqref="I37"/>
      <selection pane="bottomLeft" activeCell="I37" sqref="I37"/>
      <selection pane="bottomRight" activeCell="I14" sqref="I14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3" width="16.5" customWidth="1"/>
    <col min="4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6" t="s">
        <v>8</v>
      </c>
      <c r="D10" s="367"/>
      <c r="F10" s="366" t="s">
        <v>9</v>
      </c>
      <c r="G10" s="367"/>
      <c r="I10" s="366" t="s">
        <v>10</v>
      </c>
      <c r="J10" s="367"/>
      <c r="L10" s="366" t="s">
        <v>11</v>
      </c>
      <c r="M10" s="367"/>
      <c r="O10" s="366" t="s">
        <v>12</v>
      </c>
      <c r="P10" s="367"/>
      <c r="R10" s="366" t="s">
        <v>13</v>
      </c>
      <c r="S10" s="367"/>
      <c r="U10" s="366" t="s">
        <v>14</v>
      </c>
      <c r="V10" s="367"/>
      <c r="X10" s="366" t="s">
        <v>15</v>
      </c>
      <c r="Y10" s="367"/>
      <c r="AA10" s="366" t="s">
        <v>16</v>
      </c>
      <c r="AB10" s="367"/>
      <c r="AD10" s="366" t="s">
        <v>17</v>
      </c>
      <c r="AE10" s="367"/>
      <c r="AG10" s="366" t="s">
        <v>18</v>
      </c>
      <c r="AH10" s="367"/>
      <c r="AJ10" s="366" t="s">
        <v>19</v>
      </c>
      <c r="AK10" s="367"/>
      <c r="AM10" s="366" t="s">
        <v>20</v>
      </c>
      <c r="AN10" s="367"/>
    </row>
    <row r="11" spans="2:40" ht="14" x14ac:dyDescent="0.15">
      <c r="B11" s="5" t="s">
        <v>21</v>
      </c>
      <c r="C11" s="6">
        <v>108621301.2102</v>
      </c>
      <c r="D11" s="7">
        <v>1</v>
      </c>
      <c r="F11" s="6">
        <v>5877076.9800000004</v>
      </c>
      <c r="G11" s="7">
        <v>1</v>
      </c>
      <c r="I11" s="6">
        <v>6839989.5300000003</v>
      </c>
      <c r="J11" s="7">
        <v>1</v>
      </c>
      <c r="L11" s="6">
        <v>9640070.6300000008</v>
      </c>
      <c r="M11" s="7">
        <v>1</v>
      </c>
      <c r="O11" s="6">
        <v>6924212.2300000004</v>
      </c>
      <c r="P11" s="7">
        <v>1</v>
      </c>
      <c r="R11" s="6">
        <v>10224554.560000001</v>
      </c>
      <c r="S11" s="7">
        <v>1</v>
      </c>
      <c r="U11" s="6">
        <v>8365320.5700000003</v>
      </c>
      <c r="V11" s="7">
        <v>1</v>
      </c>
      <c r="X11" s="6">
        <v>8352750.6446000002</v>
      </c>
      <c r="Y11" s="7">
        <v>1</v>
      </c>
      <c r="AA11" s="6">
        <v>9047931.8133000005</v>
      </c>
      <c r="AB11" s="7">
        <v>1</v>
      </c>
      <c r="AD11" s="6">
        <v>12450781.5649</v>
      </c>
      <c r="AE11" s="7">
        <v>1</v>
      </c>
      <c r="AG11" s="6">
        <v>11993189.9747</v>
      </c>
      <c r="AH11" s="7">
        <v>1</v>
      </c>
      <c r="AJ11" s="6">
        <v>10651943.316</v>
      </c>
      <c r="AK11" s="7">
        <v>1</v>
      </c>
      <c r="AM11" s="6">
        <v>8253479.3967000004</v>
      </c>
      <c r="AN11" s="7">
        <v>1</v>
      </c>
    </row>
    <row r="12" spans="2:40" ht="14" x14ac:dyDescent="0.15">
      <c r="B12" s="5" t="s">
        <v>22</v>
      </c>
      <c r="C12" s="6">
        <v>45141797.917099997</v>
      </c>
      <c r="D12" s="7">
        <v>0.41558882000000003</v>
      </c>
      <c r="F12" s="6">
        <v>3402629.89</v>
      </c>
      <c r="G12" s="7">
        <v>0.57896636000000001</v>
      </c>
      <c r="I12" s="6">
        <v>3960791.34</v>
      </c>
      <c r="J12" s="7">
        <v>0.57906394999999999</v>
      </c>
      <c r="L12" s="6">
        <v>3834013.2</v>
      </c>
      <c r="M12" s="7">
        <v>0.39771630000000002</v>
      </c>
      <c r="O12" s="6">
        <v>3459009.38</v>
      </c>
      <c r="P12" s="7">
        <v>0.49955276999999998</v>
      </c>
      <c r="R12" s="6">
        <v>3831376.9</v>
      </c>
      <c r="S12" s="7">
        <v>0.37472311000000003</v>
      </c>
      <c r="U12" s="6">
        <v>3686966.3</v>
      </c>
      <c r="V12" s="7">
        <v>0.44074416999999999</v>
      </c>
      <c r="X12" s="6">
        <v>3641730.4212000002</v>
      </c>
      <c r="Y12" s="7">
        <v>0.43599176000000001</v>
      </c>
      <c r="AA12" s="6">
        <v>3704400.7058000001</v>
      </c>
      <c r="AB12" s="7">
        <v>0.40941960999999999</v>
      </c>
      <c r="AD12" s="6">
        <v>3989892.8048</v>
      </c>
      <c r="AE12" s="7">
        <v>0.32045319999999999</v>
      </c>
      <c r="AG12" s="6">
        <v>3900664.9983000001</v>
      </c>
      <c r="AH12" s="7">
        <v>0.32523998999999998</v>
      </c>
      <c r="AJ12" s="6">
        <v>4073172.2132000001</v>
      </c>
      <c r="AK12" s="7">
        <v>0.38238770999999999</v>
      </c>
      <c r="AM12" s="6">
        <v>3657149.7637999998</v>
      </c>
      <c r="AN12" s="7">
        <v>0.443104</v>
      </c>
    </row>
    <row r="13" spans="2:40" ht="14" x14ac:dyDescent="0.15">
      <c r="B13" s="5" t="s">
        <v>23</v>
      </c>
      <c r="C13" s="6">
        <v>21106432.138799999</v>
      </c>
      <c r="D13" s="7">
        <v>0</v>
      </c>
      <c r="F13" s="6">
        <v>-220132.82</v>
      </c>
      <c r="G13" s="7">
        <v>0</v>
      </c>
      <c r="I13" s="6">
        <v>-444098.16</v>
      </c>
      <c r="J13" s="7">
        <v>0</v>
      </c>
      <c r="L13" s="6">
        <v>1287426.1299999999</v>
      </c>
      <c r="M13" s="7">
        <v>0</v>
      </c>
      <c r="O13" s="6">
        <v>390936.21</v>
      </c>
      <c r="P13" s="7">
        <v>0</v>
      </c>
      <c r="R13" s="6">
        <v>2950728.41</v>
      </c>
      <c r="S13" s="7">
        <v>0</v>
      </c>
      <c r="U13" s="6">
        <v>1516398.53</v>
      </c>
      <c r="V13" s="7">
        <v>0</v>
      </c>
      <c r="X13" s="6">
        <v>1489843.6224</v>
      </c>
      <c r="Y13" s="7">
        <v>0</v>
      </c>
      <c r="AA13" s="6">
        <v>1981906.7641</v>
      </c>
      <c r="AB13" s="7">
        <v>0</v>
      </c>
      <c r="AD13" s="6">
        <v>4231997.1041999999</v>
      </c>
      <c r="AE13" s="7">
        <v>0</v>
      </c>
      <c r="AG13" s="6">
        <v>4108946.6028999998</v>
      </c>
      <c r="AH13" s="7">
        <v>0</v>
      </c>
      <c r="AJ13" s="6">
        <v>2757120.6066000001</v>
      </c>
      <c r="AK13" s="7">
        <v>0</v>
      </c>
      <c r="AM13" s="6">
        <v>1055359.1385999999</v>
      </c>
      <c r="AN13" s="7">
        <v>0</v>
      </c>
    </row>
    <row r="14" spans="2:40" ht="14" x14ac:dyDescent="0.15">
      <c r="B14" s="5" t="s">
        <v>24</v>
      </c>
      <c r="C14" s="8">
        <v>824777</v>
      </c>
      <c r="D14" s="7">
        <v>0</v>
      </c>
      <c r="F14" s="8">
        <v>69827</v>
      </c>
      <c r="G14" s="7">
        <v>0</v>
      </c>
      <c r="I14" s="8">
        <v>63336</v>
      </c>
      <c r="J14" s="7">
        <v>0</v>
      </c>
      <c r="L14" s="8">
        <v>70122</v>
      </c>
      <c r="M14" s="7">
        <v>0</v>
      </c>
      <c r="O14" s="8">
        <v>67860</v>
      </c>
      <c r="P14" s="7">
        <v>0</v>
      </c>
      <c r="R14" s="8">
        <v>70122</v>
      </c>
      <c r="S14" s="7">
        <v>0</v>
      </c>
      <c r="U14" s="8">
        <v>67670</v>
      </c>
      <c r="V14" s="7">
        <v>0</v>
      </c>
      <c r="X14" s="8">
        <v>70060</v>
      </c>
      <c r="Y14" s="7">
        <v>0</v>
      </c>
      <c r="AA14" s="8">
        <v>70060</v>
      </c>
      <c r="AB14" s="7">
        <v>0</v>
      </c>
      <c r="AD14" s="8">
        <v>67800</v>
      </c>
      <c r="AE14" s="7">
        <v>0</v>
      </c>
      <c r="AG14" s="8">
        <v>70060</v>
      </c>
      <c r="AH14" s="7">
        <v>0</v>
      </c>
      <c r="AJ14" s="8">
        <v>67800</v>
      </c>
      <c r="AK14" s="7">
        <v>0</v>
      </c>
      <c r="AM14" s="8">
        <v>70060</v>
      </c>
      <c r="AN14" s="7">
        <v>0</v>
      </c>
    </row>
    <row r="15" spans="2:40" ht="14" x14ac:dyDescent="0.15">
      <c r="B15" s="5" t="s">
        <v>25</v>
      </c>
      <c r="C15" s="9">
        <v>500178</v>
      </c>
      <c r="D15" s="7">
        <v>0</v>
      </c>
      <c r="F15" s="9">
        <v>32112</v>
      </c>
      <c r="G15" s="7">
        <v>0</v>
      </c>
      <c r="I15" s="9">
        <v>39498</v>
      </c>
      <c r="J15" s="7">
        <v>0</v>
      </c>
      <c r="L15" s="9">
        <v>42839</v>
      </c>
      <c r="M15" s="7">
        <v>0</v>
      </c>
      <c r="O15" s="9">
        <v>36561</v>
      </c>
      <c r="P15" s="7">
        <v>0</v>
      </c>
      <c r="R15" s="9">
        <v>46413</v>
      </c>
      <c r="S15" s="7">
        <v>0</v>
      </c>
      <c r="U15" s="9">
        <v>42053</v>
      </c>
      <c r="V15" s="7">
        <v>0</v>
      </c>
      <c r="X15" s="9">
        <v>38554</v>
      </c>
      <c r="Y15" s="7">
        <v>0</v>
      </c>
      <c r="AA15" s="9">
        <v>39995</v>
      </c>
      <c r="AB15" s="7">
        <v>0</v>
      </c>
      <c r="AD15" s="9">
        <v>50790</v>
      </c>
      <c r="AE15" s="7">
        <v>0</v>
      </c>
      <c r="AG15" s="9">
        <v>46463</v>
      </c>
      <c r="AH15" s="7">
        <v>0</v>
      </c>
      <c r="AJ15" s="9">
        <v>47676</v>
      </c>
      <c r="AK15" s="7">
        <v>0</v>
      </c>
      <c r="AM15" s="9">
        <v>37224</v>
      </c>
      <c r="AN15" s="7">
        <v>0</v>
      </c>
    </row>
    <row r="16" spans="2:40" ht="14" x14ac:dyDescent="0.15">
      <c r="B16" s="5" t="s">
        <v>26</v>
      </c>
      <c r="C16" s="8">
        <v>60.950050740987997</v>
      </c>
      <c r="D16" s="7">
        <v>0</v>
      </c>
      <c r="F16" s="8">
        <v>46.311598665273003</v>
      </c>
      <c r="G16" s="7">
        <v>0</v>
      </c>
      <c r="I16" s="8">
        <v>62.755778704054997</v>
      </c>
      <c r="J16" s="7">
        <v>0</v>
      </c>
      <c r="L16" s="8">
        <v>61.525626764781002</v>
      </c>
      <c r="M16" s="7">
        <v>0</v>
      </c>
      <c r="O16" s="8">
        <v>54.435602711465002</v>
      </c>
      <c r="P16" s="7">
        <v>0</v>
      </c>
      <c r="R16" s="8">
        <v>66.626736259661996</v>
      </c>
      <c r="S16" s="7">
        <v>0</v>
      </c>
      <c r="U16" s="8">
        <v>62.735333234815997</v>
      </c>
      <c r="V16" s="7">
        <v>0</v>
      </c>
      <c r="X16" s="8">
        <v>55.202683414215997</v>
      </c>
      <c r="Y16" s="7">
        <v>0</v>
      </c>
      <c r="AA16" s="8">
        <v>57.238081644304998</v>
      </c>
      <c r="AB16" s="7">
        <v>0</v>
      </c>
      <c r="AD16" s="8">
        <v>75.084070796459997</v>
      </c>
      <c r="AE16" s="7">
        <v>0</v>
      </c>
      <c r="AG16" s="8">
        <v>66.485869254923998</v>
      </c>
      <c r="AH16" s="7">
        <v>0</v>
      </c>
      <c r="AJ16" s="8">
        <v>70.479351032447994</v>
      </c>
      <c r="AK16" s="7">
        <v>0</v>
      </c>
      <c r="AM16" s="8">
        <v>53.258635455323997</v>
      </c>
      <c r="AN16" s="7">
        <v>0</v>
      </c>
    </row>
    <row r="17" spans="2:40" ht="14" x14ac:dyDescent="0.15">
      <c r="B17" s="5" t="s">
        <v>27</v>
      </c>
      <c r="C17" s="9">
        <v>128.98868135344</v>
      </c>
      <c r="D17" s="7">
        <v>0</v>
      </c>
      <c r="F17" s="9">
        <v>107.43508283508</v>
      </c>
      <c r="G17" s="7">
        <v>0</v>
      </c>
      <c r="I17" s="9">
        <v>104.22678616639</v>
      </c>
      <c r="J17" s="7">
        <v>0</v>
      </c>
      <c r="L17" s="9">
        <v>136.64449683698999</v>
      </c>
      <c r="M17" s="7">
        <v>0</v>
      </c>
      <c r="O17" s="9">
        <v>121.31010475642999</v>
      </c>
      <c r="P17" s="7">
        <v>0</v>
      </c>
      <c r="R17" s="9">
        <v>133.33805097710001</v>
      </c>
      <c r="S17" s="7">
        <v>0</v>
      </c>
      <c r="U17" s="9">
        <v>130.38279789788999</v>
      </c>
      <c r="V17" s="7">
        <v>0</v>
      </c>
      <c r="X17" s="9">
        <v>115.46039545831999</v>
      </c>
      <c r="Y17" s="7">
        <v>0</v>
      </c>
      <c r="AA17" s="9">
        <v>125.79889655457001</v>
      </c>
      <c r="AB17" s="7">
        <v>0</v>
      </c>
      <c r="AD17" s="9">
        <v>140.69449732820999</v>
      </c>
      <c r="AE17" s="7">
        <v>0</v>
      </c>
      <c r="AG17" s="9">
        <v>160.53152302046999</v>
      </c>
      <c r="AH17" s="7">
        <v>0</v>
      </c>
      <c r="AJ17" s="9">
        <v>133.58938664527</v>
      </c>
      <c r="AK17" s="7">
        <v>0</v>
      </c>
      <c r="AM17" s="9">
        <v>121.79272396035</v>
      </c>
      <c r="AN17" s="7">
        <v>0</v>
      </c>
    </row>
    <row r="18" spans="2:40" ht="14" x14ac:dyDescent="0.15">
      <c r="B18" s="5" t="s">
        <v>28</v>
      </c>
      <c r="C18" s="6">
        <v>77.173226110814994</v>
      </c>
      <c r="D18" s="7">
        <v>0</v>
      </c>
      <c r="F18" s="6">
        <v>48.591846134016997</v>
      </c>
      <c r="G18" s="7">
        <v>0</v>
      </c>
      <c r="I18" s="6">
        <v>64.013126499937002</v>
      </c>
      <c r="J18" s="7">
        <v>0</v>
      </c>
      <c r="L18" s="6">
        <v>82.366131171386996</v>
      </c>
      <c r="M18" s="7">
        <v>0</v>
      </c>
      <c r="O18" s="6">
        <v>64.312067639256995</v>
      </c>
      <c r="P18" s="7">
        <v>0</v>
      </c>
      <c r="R18" s="6">
        <v>87.277687601609003</v>
      </c>
      <c r="S18" s="7">
        <v>0</v>
      </c>
      <c r="U18" s="6">
        <v>80.158066203635002</v>
      </c>
      <c r="V18" s="7">
        <v>0</v>
      </c>
      <c r="X18" s="6">
        <v>62.547389187839002</v>
      </c>
      <c r="Y18" s="7">
        <v>0</v>
      </c>
      <c r="AA18" s="6">
        <v>70.720623290036997</v>
      </c>
      <c r="AB18" s="7">
        <v>0</v>
      </c>
      <c r="AD18" s="6">
        <v>104.0565415826</v>
      </c>
      <c r="AE18" s="7">
        <v>0</v>
      </c>
      <c r="AG18" s="6">
        <v>105.22318233086</v>
      </c>
      <c r="AH18" s="7">
        <v>0</v>
      </c>
      <c r="AJ18" s="6">
        <v>92.708224154866997</v>
      </c>
      <c r="AK18" s="7">
        <v>0</v>
      </c>
      <c r="AM18" s="6">
        <v>63.798492102483998</v>
      </c>
      <c r="AN18" s="7">
        <v>0</v>
      </c>
    </row>
    <row r="19" spans="2:40" ht="14" x14ac:dyDescent="0.15">
      <c r="B19" s="5" t="s">
        <v>29</v>
      </c>
      <c r="C19" s="9">
        <v>131.69778159454</v>
      </c>
      <c r="D19" s="7">
        <v>0</v>
      </c>
      <c r="F19" s="9">
        <v>84.166253454967006</v>
      </c>
      <c r="G19" s="7">
        <v>0</v>
      </c>
      <c r="I19" s="9">
        <v>107.99528751421001</v>
      </c>
      <c r="J19" s="7">
        <v>0</v>
      </c>
      <c r="L19" s="9">
        <v>137.47569421865001</v>
      </c>
      <c r="M19" s="7">
        <v>0</v>
      </c>
      <c r="O19" s="9">
        <v>102.03672605364</v>
      </c>
      <c r="P19" s="7">
        <v>0</v>
      </c>
      <c r="R19" s="9">
        <v>145.81093750891</v>
      </c>
      <c r="S19" s="7">
        <v>0</v>
      </c>
      <c r="U19" s="9">
        <v>123.61933752032</v>
      </c>
      <c r="V19" s="7">
        <v>0</v>
      </c>
      <c r="X19" s="9">
        <v>119.22281822152</v>
      </c>
      <c r="Y19" s="7">
        <v>0</v>
      </c>
      <c r="AA19" s="9">
        <v>129.14547264202</v>
      </c>
      <c r="AB19" s="7">
        <v>0</v>
      </c>
      <c r="AD19" s="9">
        <v>183.63984608997001</v>
      </c>
      <c r="AE19" s="7">
        <v>0</v>
      </c>
      <c r="AG19" s="9">
        <v>171.18455573366001</v>
      </c>
      <c r="AH19" s="7">
        <v>0</v>
      </c>
      <c r="AJ19" s="9">
        <v>157.10830849557999</v>
      </c>
      <c r="AK19" s="7">
        <v>0</v>
      </c>
      <c r="AM19" s="9">
        <v>117.80587206252</v>
      </c>
      <c r="AN19" s="7">
        <v>0</v>
      </c>
    </row>
    <row r="20" spans="2:40" ht="14" x14ac:dyDescent="0.15">
      <c r="B20" s="5" t="s">
        <v>30</v>
      </c>
      <c r="C20" s="8">
        <v>703694.62239999999</v>
      </c>
      <c r="D20" s="7">
        <v>0</v>
      </c>
      <c r="F20" s="8">
        <v>41920</v>
      </c>
      <c r="G20" s="7">
        <v>0</v>
      </c>
      <c r="I20" s="8">
        <v>52047</v>
      </c>
      <c r="J20" s="7">
        <v>0</v>
      </c>
      <c r="L20" s="8">
        <v>55473</v>
      </c>
      <c r="M20" s="7">
        <v>0</v>
      </c>
      <c r="O20" s="8">
        <v>51928</v>
      </c>
      <c r="P20" s="7">
        <v>0</v>
      </c>
      <c r="R20" s="8">
        <v>63671</v>
      </c>
      <c r="S20" s="7">
        <v>0</v>
      </c>
      <c r="U20" s="8">
        <v>59006</v>
      </c>
      <c r="V20" s="7">
        <v>0</v>
      </c>
      <c r="X20" s="8">
        <v>56747.132299999997</v>
      </c>
      <c r="Y20" s="7">
        <v>0</v>
      </c>
      <c r="AA20" s="8">
        <v>63873.067199999998</v>
      </c>
      <c r="AB20" s="7">
        <v>0</v>
      </c>
      <c r="AD20" s="8">
        <v>73456.2598</v>
      </c>
      <c r="AE20" s="7">
        <v>0</v>
      </c>
      <c r="AG20" s="8">
        <v>69038.665200000003</v>
      </c>
      <c r="AH20" s="7">
        <v>0</v>
      </c>
      <c r="AJ20" s="8">
        <v>62087.767800000001</v>
      </c>
      <c r="AK20" s="7">
        <v>0</v>
      </c>
      <c r="AM20" s="8">
        <v>54446.730100000001</v>
      </c>
      <c r="AN20" s="7">
        <v>0</v>
      </c>
    </row>
    <row r="21" spans="2:40" ht="14" x14ac:dyDescent="0.15">
      <c r="B21" s="5" t="s">
        <v>31</v>
      </c>
      <c r="C21" s="9">
        <v>1.399824592701</v>
      </c>
      <c r="D21" s="7">
        <v>0</v>
      </c>
      <c r="F21" s="9">
        <v>1.2963077493970001</v>
      </c>
      <c r="G21" s="7">
        <v>0</v>
      </c>
      <c r="I21" s="9">
        <v>1.3094573175333999</v>
      </c>
      <c r="J21" s="7">
        <v>0</v>
      </c>
      <c r="L21" s="9">
        <v>1.2857937556498</v>
      </c>
      <c r="M21" s="7">
        <v>0</v>
      </c>
      <c r="O21" s="9">
        <v>1.405739036275</v>
      </c>
      <c r="P21" s="7">
        <v>0</v>
      </c>
      <c r="R21" s="9">
        <v>1.3628210616437999</v>
      </c>
      <c r="S21" s="7">
        <v>0</v>
      </c>
      <c r="U21" s="9">
        <v>1.3899135514569001</v>
      </c>
      <c r="V21" s="7">
        <v>0</v>
      </c>
      <c r="X21" s="9">
        <v>1.4672820245636999</v>
      </c>
      <c r="Y21" s="7">
        <v>0</v>
      </c>
      <c r="AA21" s="9">
        <v>1.5928048477593999</v>
      </c>
      <c r="AB21" s="7">
        <v>0</v>
      </c>
      <c r="AD21" s="9">
        <v>1.4429500815212</v>
      </c>
      <c r="AE21" s="7">
        <v>0</v>
      </c>
      <c r="AG21" s="9">
        <v>1.4821525375697999</v>
      </c>
      <c r="AH21" s="7">
        <v>0</v>
      </c>
      <c r="AJ21" s="9">
        <v>1.2993150109867</v>
      </c>
      <c r="AK21" s="7">
        <v>0</v>
      </c>
      <c r="AM21" s="9">
        <v>1.4591892932757999</v>
      </c>
      <c r="AN21" s="7">
        <v>0</v>
      </c>
    </row>
    <row r="22" spans="2:40" ht="14" x14ac:dyDescent="0.15">
      <c r="B22" s="5" t="s">
        <v>32</v>
      </c>
      <c r="C22" s="8">
        <v>458108.49410000001</v>
      </c>
      <c r="D22" s="7">
        <v>0</v>
      </c>
      <c r="F22" s="8">
        <v>0</v>
      </c>
      <c r="G22" s="7">
        <v>0</v>
      </c>
      <c r="I22" s="8">
        <v>0</v>
      </c>
      <c r="J22" s="7">
        <v>0</v>
      </c>
      <c r="L22" s="8">
        <v>0</v>
      </c>
      <c r="M22" s="7">
        <v>0</v>
      </c>
      <c r="O22" s="8">
        <v>0</v>
      </c>
      <c r="P22" s="7">
        <v>0</v>
      </c>
      <c r="R22" s="8">
        <v>0</v>
      </c>
      <c r="S22" s="7">
        <v>0</v>
      </c>
      <c r="U22" s="8">
        <v>0</v>
      </c>
      <c r="V22" s="7">
        <v>0</v>
      </c>
      <c r="X22" s="8">
        <v>63786.389600000002</v>
      </c>
      <c r="Y22" s="7">
        <v>0</v>
      </c>
      <c r="AA22" s="8">
        <v>73320.082699999999</v>
      </c>
      <c r="AB22" s="7">
        <v>0</v>
      </c>
      <c r="AD22" s="8">
        <v>89230.291100000002</v>
      </c>
      <c r="AE22" s="7">
        <v>0</v>
      </c>
      <c r="AG22" s="8">
        <v>86488.837700000004</v>
      </c>
      <c r="AH22" s="7">
        <v>0</v>
      </c>
      <c r="AJ22" s="8">
        <v>80403.214099999997</v>
      </c>
      <c r="AK22" s="7">
        <v>0</v>
      </c>
      <c r="AM22" s="8">
        <v>64879.678899999999</v>
      </c>
      <c r="AN22" s="7">
        <v>0</v>
      </c>
    </row>
    <row r="23" spans="2:40" ht="14" x14ac:dyDescent="0.15">
      <c r="B23" s="5" t="s">
        <v>33</v>
      </c>
      <c r="C23" s="8">
        <v>643.84670000000006</v>
      </c>
      <c r="D23" s="7">
        <v>0</v>
      </c>
      <c r="F23" s="8">
        <v>595.76</v>
      </c>
      <c r="G23" s="7">
        <v>0</v>
      </c>
      <c r="I23" s="8">
        <v>583.63</v>
      </c>
      <c r="J23" s="7">
        <v>0</v>
      </c>
      <c r="L23" s="8">
        <v>571.70000000000005</v>
      </c>
      <c r="M23" s="7">
        <v>0</v>
      </c>
      <c r="O23" s="8">
        <v>563.1</v>
      </c>
      <c r="P23" s="7">
        <v>0</v>
      </c>
      <c r="R23" s="8">
        <v>560.92999999999995</v>
      </c>
      <c r="S23" s="7">
        <v>0</v>
      </c>
      <c r="U23" s="8">
        <v>567.21</v>
      </c>
      <c r="V23" s="7">
        <v>0</v>
      </c>
      <c r="X23" s="8">
        <v>606.05840000000001</v>
      </c>
      <c r="Y23" s="7">
        <v>0</v>
      </c>
      <c r="AA23" s="8">
        <v>617.20839999999998</v>
      </c>
      <c r="AB23" s="7">
        <v>0</v>
      </c>
      <c r="AD23" s="8">
        <v>620.20839999999998</v>
      </c>
      <c r="AE23" s="7">
        <v>0</v>
      </c>
      <c r="AG23" s="8">
        <v>623.20839999999998</v>
      </c>
      <c r="AH23" s="7">
        <v>0</v>
      </c>
      <c r="AJ23" s="8">
        <v>623.20839999999998</v>
      </c>
      <c r="AK23" s="7">
        <v>0</v>
      </c>
      <c r="AM23" s="8">
        <v>624.20839999999998</v>
      </c>
      <c r="AN23" s="7">
        <v>0</v>
      </c>
    </row>
    <row r="25" spans="2:40" ht="14" x14ac:dyDescent="0.15">
      <c r="B25" s="5" t="s">
        <v>34</v>
      </c>
      <c r="C25" s="8"/>
    </row>
    <row r="26" spans="2:40" x14ac:dyDescent="0.15">
      <c r="B26" s="8"/>
      <c r="C26" s="8"/>
      <c r="D26" s="8"/>
      <c r="F26" s="8"/>
      <c r="G26" s="8"/>
      <c r="I26" s="8"/>
      <c r="J26" s="8"/>
      <c r="L26" s="8"/>
      <c r="M26" s="8"/>
      <c r="O26" s="8"/>
      <c r="P26" s="8"/>
      <c r="R26" s="8"/>
      <c r="S26" s="8"/>
      <c r="U26" s="8"/>
      <c r="V26" s="8"/>
      <c r="X26" s="8"/>
      <c r="Y26" s="8"/>
      <c r="AA26" s="8"/>
      <c r="AB26" s="8"/>
      <c r="AD26" s="8"/>
      <c r="AE26" s="8"/>
      <c r="AG26" s="8"/>
      <c r="AH26" s="8"/>
      <c r="AJ26" s="8"/>
      <c r="AK26" s="8"/>
      <c r="AM26" s="8"/>
      <c r="AN26" s="8"/>
    </row>
    <row r="27" spans="2:40" ht="14" x14ac:dyDescent="0.15">
      <c r="B27" s="325" t="s">
        <v>21</v>
      </c>
      <c r="C27" s="326">
        <v>108621301.2102</v>
      </c>
      <c r="D27" s="327">
        <v>1</v>
      </c>
      <c r="F27" s="326">
        <v>5877076.9800000004</v>
      </c>
      <c r="G27" s="327">
        <v>1</v>
      </c>
      <c r="I27" s="326">
        <v>6839989.5300000003</v>
      </c>
      <c r="J27" s="327">
        <v>1</v>
      </c>
      <c r="L27" s="326">
        <v>9640070.6300000008</v>
      </c>
      <c r="M27" s="327">
        <v>1</v>
      </c>
      <c r="O27" s="326">
        <v>6924212.2300000004</v>
      </c>
      <c r="P27" s="327">
        <v>1</v>
      </c>
      <c r="R27" s="326">
        <v>10224554.560000001</v>
      </c>
      <c r="S27" s="327">
        <v>1</v>
      </c>
      <c r="U27" s="326">
        <v>8365320.5700000003</v>
      </c>
      <c r="V27" s="327">
        <v>1</v>
      </c>
      <c r="X27" s="326">
        <v>8352750.6446000002</v>
      </c>
      <c r="Y27" s="327">
        <v>1</v>
      </c>
      <c r="AA27" s="326">
        <v>9047931.8133000005</v>
      </c>
      <c r="AB27" s="327">
        <v>1</v>
      </c>
      <c r="AD27" s="326">
        <v>12450781.5649</v>
      </c>
      <c r="AE27" s="327">
        <v>1</v>
      </c>
      <c r="AG27" s="326">
        <v>11993189.9747</v>
      </c>
      <c r="AH27" s="327">
        <v>1</v>
      </c>
      <c r="AJ27" s="326">
        <v>10651943.316</v>
      </c>
      <c r="AK27" s="327">
        <v>1</v>
      </c>
      <c r="AM27" s="326">
        <v>8253479.3967000004</v>
      </c>
      <c r="AN27" s="327">
        <v>1</v>
      </c>
    </row>
    <row r="28" spans="2:40" ht="14" x14ac:dyDescent="0.15">
      <c r="B28" s="5" t="s">
        <v>35</v>
      </c>
      <c r="C28" s="8">
        <v>64517300.662</v>
      </c>
      <c r="D28" s="7">
        <v>0.59396546000000006</v>
      </c>
      <c r="F28" s="8">
        <v>3449955.38</v>
      </c>
      <c r="G28" s="7">
        <v>0.58701892</v>
      </c>
      <c r="I28" s="8">
        <v>4116749.6</v>
      </c>
      <c r="J28" s="7">
        <v>0.60186490000000004</v>
      </c>
      <c r="L28" s="8">
        <v>5853713.5999999996</v>
      </c>
      <c r="M28" s="7">
        <v>0.60722725</v>
      </c>
      <c r="O28" s="8">
        <v>4435218.74</v>
      </c>
      <c r="P28" s="7">
        <v>0.64053766999999995</v>
      </c>
      <c r="R28" s="8">
        <v>6188618.96</v>
      </c>
      <c r="S28" s="7">
        <v>0.60527028000000005</v>
      </c>
      <c r="U28" s="8">
        <v>5482987.7999999998</v>
      </c>
      <c r="V28" s="7">
        <v>0.65544263999999997</v>
      </c>
      <c r="X28" s="8">
        <v>4451460.0865000002</v>
      </c>
      <c r="Y28" s="7">
        <v>0.53293343000000004</v>
      </c>
      <c r="AA28" s="8">
        <v>5031326.8677000003</v>
      </c>
      <c r="AB28" s="7">
        <v>0.55607479999999998</v>
      </c>
      <c r="AD28" s="8">
        <v>7145873.5192999998</v>
      </c>
      <c r="AE28" s="7">
        <v>0.57392971999999998</v>
      </c>
      <c r="AG28" s="8">
        <v>7458776.1540999999</v>
      </c>
      <c r="AH28" s="7">
        <v>0.62191761999999995</v>
      </c>
      <c r="AJ28" s="8">
        <v>6369007.5976999998</v>
      </c>
      <c r="AK28" s="7">
        <v>0.59791978000000001</v>
      </c>
      <c r="AM28" s="8">
        <v>4533612.3567000004</v>
      </c>
      <c r="AN28" s="7">
        <v>0.54929710999999992</v>
      </c>
    </row>
    <row r="29" spans="2:40" ht="14" x14ac:dyDescent="0.15">
      <c r="B29" s="5" t="s">
        <v>36</v>
      </c>
      <c r="C29" s="8">
        <v>24026075.908799998</v>
      </c>
      <c r="D29" s="7">
        <v>0.2211912</v>
      </c>
      <c r="F29" s="8">
        <v>1546693.83</v>
      </c>
      <c r="G29" s="7">
        <v>0.26317400000000002</v>
      </c>
      <c r="I29" s="8">
        <v>1754002.11</v>
      </c>
      <c r="J29" s="7">
        <v>0.25643345000000001</v>
      </c>
      <c r="L29" s="8">
        <v>2276208.7799999998</v>
      </c>
      <c r="M29" s="7">
        <v>0.23611951</v>
      </c>
      <c r="O29" s="8">
        <v>1497807.42</v>
      </c>
      <c r="P29" s="7">
        <v>0.21631449</v>
      </c>
      <c r="R29" s="8">
        <v>2052331.82</v>
      </c>
      <c r="S29" s="7">
        <v>0.20072578999999999</v>
      </c>
      <c r="U29" s="8">
        <v>1755841.76</v>
      </c>
      <c r="V29" s="7">
        <v>0.20989532999999999</v>
      </c>
      <c r="X29" s="8">
        <v>1563065.3092</v>
      </c>
      <c r="Y29" s="7">
        <v>0.18713181000000001</v>
      </c>
      <c r="AA29" s="8">
        <v>1654962.7966</v>
      </c>
      <c r="AB29" s="7">
        <v>0.18291062</v>
      </c>
      <c r="AD29" s="8">
        <v>2879229.9703000002</v>
      </c>
      <c r="AE29" s="7">
        <v>0.23124892999999999</v>
      </c>
      <c r="AG29" s="8">
        <v>2473366.6115999999</v>
      </c>
      <c r="AH29" s="7">
        <v>0.20623092000000001</v>
      </c>
      <c r="AJ29" s="8">
        <v>2666440.1875</v>
      </c>
      <c r="AK29" s="7">
        <v>0.25032429</v>
      </c>
      <c r="AM29" s="8">
        <v>1906125.3136</v>
      </c>
      <c r="AN29" s="7">
        <v>0.23094808999999999</v>
      </c>
    </row>
    <row r="30" spans="2:40" ht="14" x14ac:dyDescent="0.15">
      <c r="B30" s="5" t="s">
        <v>37</v>
      </c>
      <c r="C30" s="8">
        <v>3701520.1025999999</v>
      </c>
      <c r="D30" s="7">
        <v>3.4077290000000003E-2</v>
      </c>
      <c r="F30" s="8">
        <v>263081.53999999998</v>
      </c>
      <c r="G30" s="7">
        <v>4.476401E-2</v>
      </c>
      <c r="I30" s="8">
        <v>310635.21999999997</v>
      </c>
      <c r="J30" s="7">
        <v>4.5414580000000003E-2</v>
      </c>
      <c r="L30" s="8">
        <v>303136.23</v>
      </c>
      <c r="M30" s="7">
        <v>3.1445439999999998E-2</v>
      </c>
      <c r="O30" s="8">
        <v>316090.71999999997</v>
      </c>
      <c r="P30" s="7">
        <v>4.5650060000000013E-2</v>
      </c>
      <c r="R30" s="8">
        <v>357555.59</v>
      </c>
      <c r="S30" s="7">
        <v>3.4970290000000001E-2</v>
      </c>
      <c r="U30" s="8">
        <v>65533.57</v>
      </c>
      <c r="V30" s="7">
        <v>7.8339599999999992E-3</v>
      </c>
      <c r="X30" s="8">
        <v>345619.98119999998</v>
      </c>
      <c r="Y30" s="7">
        <v>4.1377980000000002E-2</v>
      </c>
      <c r="AA30" s="8">
        <v>345372.14260000002</v>
      </c>
      <c r="AB30" s="7">
        <v>3.8171389999999999E-2</v>
      </c>
      <c r="AD30" s="8">
        <v>396617.44819999998</v>
      </c>
      <c r="AE30" s="7">
        <v>3.1854819999999999E-2</v>
      </c>
      <c r="AG30" s="8">
        <v>367281.6948</v>
      </c>
      <c r="AH30" s="7">
        <v>3.0624189999999999E-2</v>
      </c>
      <c r="AJ30" s="8">
        <v>340551.75760000001</v>
      </c>
      <c r="AK30" s="7">
        <v>3.1970859999999997E-2</v>
      </c>
      <c r="AM30" s="8">
        <v>290044.20819999999</v>
      </c>
      <c r="AN30" s="7">
        <v>3.5142050000000001E-2</v>
      </c>
    </row>
    <row r="31" spans="2:40" ht="14" x14ac:dyDescent="0.15">
      <c r="B31" s="5" t="s">
        <v>38</v>
      </c>
      <c r="C31" s="8">
        <v>1120170.156</v>
      </c>
      <c r="D31" s="7">
        <v>1.031262E-2</v>
      </c>
      <c r="F31" s="8">
        <v>64731.78</v>
      </c>
      <c r="G31" s="7">
        <v>1.101428E-2</v>
      </c>
      <c r="I31" s="8">
        <v>130015.54</v>
      </c>
      <c r="J31" s="7">
        <v>1.9008150000000001E-2</v>
      </c>
      <c r="L31" s="8">
        <v>136429.06</v>
      </c>
      <c r="M31" s="7">
        <v>1.415229E-2</v>
      </c>
      <c r="O31" s="8">
        <v>64627.17</v>
      </c>
      <c r="P31" s="7">
        <v>9.3335099999999997E-3</v>
      </c>
      <c r="R31" s="8">
        <v>88609.29</v>
      </c>
      <c r="S31" s="7">
        <v>8.6663199999999999E-3</v>
      </c>
      <c r="U31" s="8">
        <v>48911.71</v>
      </c>
      <c r="V31" s="7">
        <v>5.84696E-3</v>
      </c>
      <c r="X31" s="8">
        <v>67847.327699999994</v>
      </c>
      <c r="Y31" s="7">
        <v>8.1227499999999998E-3</v>
      </c>
      <c r="AA31" s="8">
        <v>74159.435700000002</v>
      </c>
      <c r="AB31" s="7">
        <v>8.1962900000000002E-3</v>
      </c>
      <c r="AD31" s="8">
        <v>128144.4604</v>
      </c>
      <c r="AE31" s="7">
        <v>1.029208E-2</v>
      </c>
      <c r="AG31" s="8">
        <v>132754.3848</v>
      </c>
      <c r="AH31" s="7">
        <v>1.106915E-2</v>
      </c>
      <c r="AJ31" s="8">
        <v>115176.7596</v>
      </c>
      <c r="AK31" s="7">
        <v>1.0812749999999999E-2</v>
      </c>
      <c r="AM31" s="8">
        <v>68763.237800000003</v>
      </c>
      <c r="AN31" s="7">
        <v>8.3314200000000008E-3</v>
      </c>
    </row>
    <row r="32" spans="2:40" x14ac:dyDescent="0.15">
      <c r="B32" s="8"/>
      <c r="C32" s="8"/>
      <c r="D32" s="8"/>
      <c r="F32" s="8"/>
      <c r="G32" s="8"/>
      <c r="I32" s="8"/>
      <c r="J32" s="8"/>
      <c r="L32" s="8"/>
      <c r="M32" s="8"/>
      <c r="O32" s="8"/>
      <c r="P32" s="8"/>
      <c r="R32" s="8"/>
      <c r="S32" s="8"/>
      <c r="U32" s="8"/>
      <c r="V32" s="8"/>
      <c r="X32" s="8"/>
      <c r="Y32" s="8"/>
      <c r="AA32" s="8"/>
      <c r="AB32" s="8"/>
      <c r="AD32" s="8"/>
      <c r="AE32" s="8"/>
      <c r="AG32" s="8"/>
      <c r="AH32" s="8"/>
      <c r="AJ32" s="8"/>
      <c r="AK32" s="8"/>
      <c r="AM32" s="8"/>
      <c r="AN32" s="8"/>
    </row>
    <row r="33" spans="2:40" ht="14" x14ac:dyDescent="0.15">
      <c r="B33" s="328" t="s">
        <v>39</v>
      </c>
      <c r="C33" s="329"/>
      <c r="D33" s="329"/>
      <c r="F33" s="329"/>
      <c r="G33" s="329"/>
      <c r="I33" s="329"/>
      <c r="J33" s="329"/>
      <c r="L33" s="329"/>
      <c r="M33" s="329"/>
      <c r="O33" s="329"/>
      <c r="P33" s="329"/>
      <c r="R33" s="329"/>
      <c r="S33" s="329"/>
      <c r="U33" s="329"/>
      <c r="V33" s="329"/>
      <c r="X33" s="329"/>
      <c r="Y33" s="329"/>
      <c r="AA33" s="329"/>
      <c r="AB33" s="329"/>
      <c r="AD33" s="329"/>
      <c r="AE33" s="329"/>
      <c r="AG33" s="329"/>
      <c r="AH33" s="329"/>
      <c r="AJ33" s="329"/>
      <c r="AK33" s="329"/>
      <c r="AM33" s="329"/>
      <c r="AN33" s="329"/>
    </row>
    <row r="34" spans="2:40" ht="14" x14ac:dyDescent="0.15">
      <c r="B34" s="325" t="s">
        <v>35</v>
      </c>
      <c r="C34" s="326">
        <v>64517300.662</v>
      </c>
      <c r="D34" s="327">
        <v>1</v>
      </c>
      <c r="F34" s="326">
        <v>3449955.38</v>
      </c>
      <c r="G34" s="327">
        <v>1</v>
      </c>
      <c r="I34" s="326">
        <v>4116749.6</v>
      </c>
      <c r="J34" s="327">
        <v>1</v>
      </c>
      <c r="L34" s="326">
        <v>5853713.5999999996</v>
      </c>
      <c r="M34" s="327">
        <v>1</v>
      </c>
      <c r="O34" s="326">
        <v>4435218.74</v>
      </c>
      <c r="P34" s="327">
        <v>1</v>
      </c>
      <c r="R34" s="326">
        <v>6188618.96</v>
      </c>
      <c r="S34" s="327">
        <v>1</v>
      </c>
      <c r="U34" s="326">
        <v>5482987.7999999998</v>
      </c>
      <c r="V34" s="327">
        <v>1</v>
      </c>
      <c r="X34" s="326">
        <v>4451460.0865000002</v>
      </c>
      <c r="Y34" s="327">
        <v>1</v>
      </c>
      <c r="AA34" s="326">
        <v>5031326.8677000003</v>
      </c>
      <c r="AB34" s="327">
        <v>1</v>
      </c>
      <c r="AD34" s="326">
        <v>7145873.5192999998</v>
      </c>
      <c r="AE34" s="327">
        <v>1</v>
      </c>
      <c r="AG34" s="326">
        <v>7458776.1540999999</v>
      </c>
      <c r="AH34" s="327">
        <v>1</v>
      </c>
      <c r="AJ34" s="326">
        <v>6369007.5976999998</v>
      </c>
      <c r="AK34" s="327">
        <v>1</v>
      </c>
      <c r="AM34" s="326">
        <v>4533612.3567000004</v>
      </c>
      <c r="AN34" s="327">
        <v>1</v>
      </c>
    </row>
    <row r="35" spans="2:40" ht="14" x14ac:dyDescent="0.15">
      <c r="B35" s="5" t="s">
        <v>22</v>
      </c>
      <c r="C35" s="8">
        <v>14323669.988</v>
      </c>
      <c r="D35" s="7">
        <v>0.22201285000000001</v>
      </c>
      <c r="F35" s="8">
        <v>1089377.46</v>
      </c>
      <c r="G35" s="7">
        <v>0.31576567</v>
      </c>
      <c r="I35" s="8">
        <v>1124226.54</v>
      </c>
      <c r="J35" s="7">
        <v>0.27308597000000001</v>
      </c>
      <c r="L35" s="8">
        <v>1214694.8</v>
      </c>
      <c r="M35" s="7">
        <v>0.20750841</v>
      </c>
      <c r="O35" s="8">
        <v>1131554.74</v>
      </c>
      <c r="P35" s="7">
        <v>0.25512941</v>
      </c>
      <c r="R35" s="8">
        <v>1248859.71</v>
      </c>
      <c r="S35" s="7">
        <v>0.20179942000000001</v>
      </c>
      <c r="U35" s="8">
        <v>1242012.27</v>
      </c>
      <c r="V35" s="7">
        <v>0.22652106999999999</v>
      </c>
      <c r="X35" s="8">
        <v>1151457.2501000001</v>
      </c>
      <c r="Y35" s="7">
        <v>0.25866957000000002</v>
      </c>
      <c r="AA35" s="8">
        <v>1155188.5537</v>
      </c>
      <c r="AB35" s="7">
        <v>0.22959919000000001</v>
      </c>
      <c r="AD35" s="8">
        <v>1299033.4224</v>
      </c>
      <c r="AE35" s="7">
        <v>0.18178791</v>
      </c>
      <c r="AG35" s="8">
        <v>1228759.662</v>
      </c>
      <c r="AH35" s="7">
        <v>0.16474011999999999</v>
      </c>
      <c r="AJ35" s="8">
        <v>1287744.4184000001</v>
      </c>
      <c r="AK35" s="7">
        <v>0.20218918</v>
      </c>
      <c r="AM35" s="8">
        <v>1150761.1614000001</v>
      </c>
      <c r="AN35" s="7">
        <v>0.25382874999999999</v>
      </c>
    </row>
    <row r="36" spans="2:40" ht="14" x14ac:dyDescent="0.15">
      <c r="B36" s="5" t="s">
        <v>40</v>
      </c>
      <c r="C36" s="8">
        <v>10594077.32</v>
      </c>
      <c r="D36" s="7">
        <v>0.16420522000000001</v>
      </c>
      <c r="F36" s="8">
        <v>663614.29</v>
      </c>
      <c r="G36" s="7">
        <v>0.19235446</v>
      </c>
      <c r="I36" s="8">
        <v>816665.75</v>
      </c>
      <c r="J36" s="7">
        <v>0.19837635000000001</v>
      </c>
      <c r="L36" s="8">
        <v>919030.25</v>
      </c>
      <c r="M36" s="7">
        <v>0.15699952</v>
      </c>
      <c r="O36" s="8">
        <v>779776.4</v>
      </c>
      <c r="P36" s="7">
        <v>0.17581463999999999</v>
      </c>
      <c r="R36" s="8">
        <v>956658.27</v>
      </c>
      <c r="S36" s="7">
        <v>0.15458348</v>
      </c>
      <c r="U36" s="8">
        <v>870302.88</v>
      </c>
      <c r="V36" s="7">
        <v>0.15872785</v>
      </c>
      <c r="X36" s="8">
        <v>793959.98320000002</v>
      </c>
      <c r="Y36" s="7">
        <v>0.17835945</v>
      </c>
      <c r="AA36" s="8">
        <v>862548.38410000002</v>
      </c>
      <c r="AB36" s="7">
        <v>0.17143557000000001</v>
      </c>
      <c r="AD36" s="8">
        <v>1105104.4102</v>
      </c>
      <c r="AE36" s="7">
        <v>0.15464931000000001</v>
      </c>
      <c r="AG36" s="8">
        <v>1115832.3483</v>
      </c>
      <c r="AH36" s="7">
        <v>0.14959992</v>
      </c>
      <c r="AJ36" s="8">
        <v>975842.27450000006</v>
      </c>
      <c r="AK36" s="7">
        <v>0.15321731999999999</v>
      </c>
      <c r="AM36" s="8">
        <v>734742.0797</v>
      </c>
      <c r="AN36" s="7">
        <v>0.16206548000000001</v>
      </c>
    </row>
    <row r="37" spans="2:40" ht="14" x14ac:dyDescent="0.15">
      <c r="B37" s="325" t="s">
        <v>41</v>
      </c>
      <c r="C37" s="326">
        <v>39599553.354099996</v>
      </c>
      <c r="D37" s="327">
        <v>0.61378193000000003</v>
      </c>
      <c r="F37" s="326">
        <v>1696963.63</v>
      </c>
      <c r="G37" s="327">
        <v>0.49187987999999999</v>
      </c>
      <c r="I37" s="326">
        <v>2175857.31</v>
      </c>
      <c r="J37" s="327">
        <v>0.52853768999999995</v>
      </c>
      <c r="L37" s="326">
        <v>3719988.55</v>
      </c>
      <c r="M37" s="327">
        <v>0.63549207000000008</v>
      </c>
      <c r="O37" s="326">
        <v>2523887.6</v>
      </c>
      <c r="P37" s="327">
        <v>0.56905594999999998</v>
      </c>
      <c r="R37" s="326">
        <v>3983100.98</v>
      </c>
      <c r="S37" s="327">
        <v>0.64361710000000005</v>
      </c>
      <c r="U37" s="326">
        <v>3370672.65</v>
      </c>
      <c r="V37" s="327">
        <v>0.61475108000000001</v>
      </c>
      <c r="X37" s="326">
        <v>2506042.8533000001</v>
      </c>
      <c r="Y37" s="327">
        <v>0.56297098000000001</v>
      </c>
      <c r="AA37" s="326">
        <v>3013589.9298</v>
      </c>
      <c r="AB37" s="327">
        <v>0.59896523999999995</v>
      </c>
      <c r="AD37" s="326">
        <v>4741735.6867000004</v>
      </c>
      <c r="AE37" s="327">
        <v>0.66356278000000002</v>
      </c>
      <c r="AG37" s="326">
        <v>5114184.1437999997</v>
      </c>
      <c r="AH37" s="327">
        <v>0.68565995999999996</v>
      </c>
      <c r="AJ37" s="326">
        <v>4105420.9049</v>
      </c>
      <c r="AK37" s="327">
        <v>0.64459350000000004</v>
      </c>
      <c r="AM37" s="326">
        <v>2648109.1156000001</v>
      </c>
      <c r="AN37" s="327">
        <v>0.58410577000000008</v>
      </c>
    </row>
    <row r="38" spans="2:40" x14ac:dyDescent="0.15">
      <c r="B38" s="8"/>
      <c r="C38" s="8"/>
      <c r="D38" s="8"/>
      <c r="F38" s="8"/>
      <c r="G38" s="8"/>
      <c r="I38" s="8"/>
      <c r="J38" s="8"/>
      <c r="L38" s="8"/>
      <c r="M38" s="8"/>
      <c r="O38" s="8"/>
      <c r="P38" s="8"/>
      <c r="R38" s="8"/>
      <c r="S38" s="8"/>
      <c r="U38" s="8"/>
      <c r="V38" s="8"/>
      <c r="X38" s="8"/>
      <c r="Y38" s="8"/>
      <c r="AA38" s="8"/>
      <c r="AB38" s="8"/>
      <c r="AD38" s="8"/>
      <c r="AE38" s="8"/>
      <c r="AG38" s="8"/>
      <c r="AH38" s="8"/>
      <c r="AJ38" s="8"/>
      <c r="AK38" s="8"/>
      <c r="AM38" s="8"/>
      <c r="AN38" s="8"/>
    </row>
    <row r="39" spans="2:40" ht="14" x14ac:dyDescent="0.15">
      <c r="B39" s="328" t="s">
        <v>42</v>
      </c>
      <c r="C39" s="329"/>
      <c r="D39" s="329"/>
      <c r="F39" s="329"/>
      <c r="G39" s="329"/>
      <c r="I39" s="329"/>
      <c r="J39" s="329"/>
      <c r="L39" s="329"/>
      <c r="M39" s="329"/>
      <c r="O39" s="329"/>
      <c r="P39" s="329"/>
      <c r="R39" s="329"/>
      <c r="S39" s="329"/>
      <c r="U39" s="329"/>
      <c r="V39" s="329"/>
      <c r="X39" s="329"/>
      <c r="Y39" s="329"/>
      <c r="AA39" s="329"/>
      <c r="AB39" s="329"/>
      <c r="AD39" s="329"/>
      <c r="AE39" s="329"/>
      <c r="AG39" s="329"/>
      <c r="AH39" s="329"/>
      <c r="AJ39" s="329"/>
      <c r="AK39" s="329"/>
      <c r="AM39" s="329"/>
      <c r="AN39" s="329"/>
    </row>
    <row r="40" spans="2:40" ht="14" x14ac:dyDescent="0.15">
      <c r="B40" s="5" t="s">
        <v>43</v>
      </c>
      <c r="C40" s="8">
        <v>14532983.2335</v>
      </c>
      <c r="D40" s="7">
        <v>0.60488375999999999</v>
      </c>
      <c r="F40" s="8">
        <v>900459.03</v>
      </c>
      <c r="G40" s="7">
        <v>0.58218311</v>
      </c>
      <c r="I40" s="8">
        <v>993559.98</v>
      </c>
      <c r="J40" s="7">
        <v>0.56645312999999997</v>
      </c>
      <c r="L40" s="8">
        <v>1336715.2</v>
      </c>
      <c r="M40" s="7">
        <v>0.58725508999999998</v>
      </c>
      <c r="O40" s="8">
        <v>921048.16</v>
      </c>
      <c r="P40" s="7">
        <v>0.61493096000000003</v>
      </c>
      <c r="R40" s="8">
        <v>1224473.42</v>
      </c>
      <c r="S40" s="7">
        <v>0.59662545999999994</v>
      </c>
      <c r="U40" s="8">
        <v>1043884.6</v>
      </c>
      <c r="V40" s="7">
        <v>0.59452088999999997</v>
      </c>
      <c r="X40" s="8">
        <v>984894.29449999996</v>
      </c>
      <c r="Y40" s="7">
        <v>0.63010438000000002</v>
      </c>
      <c r="AA40" s="8">
        <v>1058491.1115999999</v>
      </c>
      <c r="AB40" s="7">
        <v>0.63958605000000002</v>
      </c>
      <c r="AD40" s="8">
        <v>1779486.7441</v>
      </c>
      <c r="AE40" s="7">
        <v>0.61804259000000006</v>
      </c>
      <c r="AG40" s="8">
        <v>1528421.0526000001</v>
      </c>
      <c r="AH40" s="7">
        <v>0.61795168</v>
      </c>
      <c r="AJ40" s="8">
        <v>1596908.9813999999</v>
      </c>
      <c r="AK40" s="7">
        <v>0.59889172999999996</v>
      </c>
      <c r="AM40" s="8">
        <v>1164640.6592999999</v>
      </c>
      <c r="AN40" s="7">
        <v>0.61099899999999996</v>
      </c>
    </row>
    <row r="41" spans="2:40" ht="14" x14ac:dyDescent="0.15">
      <c r="B41" s="5" t="s">
        <v>44</v>
      </c>
      <c r="C41" s="8">
        <v>6891930.5657000002</v>
      </c>
      <c r="D41" s="7">
        <v>0.28685210999999999</v>
      </c>
      <c r="F41" s="8">
        <v>493168.45</v>
      </c>
      <c r="G41" s="7">
        <v>0.31885331</v>
      </c>
      <c r="I41" s="8">
        <v>556848.28</v>
      </c>
      <c r="J41" s="7">
        <v>0.31747298000000002</v>
      </c>
      <c r="L41" s="8">
        <v>690705.31</v>
      </c>
      <c r="M41" s="7">
        <v>0.30344549999999998</v>
      </c>
      <c r="O41" s="8">
        <v>442292.98</v>
      </c>
      <c r="P41" s="7">
        <v>0.29529361999999998</v>
      </c>
      <c r="R41" s="8">
        <v>603753.64</v>
      </c>
      <c r="S41" s="7">
        <v>0.29417935000000001</v>
      </c>
      <c r="U41" s="8">
        <v>499691.76</v>
      </c>
      <c r="V41" s="7">
        <v>0.28458814999999998</v>
      </c>
      <c r="X41" s="8">
        <v>449581.81479999999</v>
      </c>
      <c r="Y41" s="7">
        <v>0.2876283</v>
      </c>
      <c r="AA41" s="8">
        <v>496285.53519999998</v>
      </c>
      <c r="AB41" s="7">
        <v>0.29987715999999998</v>
      </c>
      <c r="AD41" s="8">
        <v>743654.15619999997</v>
      </c>
      <c r="AE41" s="7">
        <v>0.25828231000000001</v>
      </c>
      <c r="AG41" s="8">
        <v>659586.06909999996</v>
      </c>
      <c r="AH41" s="7">
        <v>0.26667542</v>
      </c>
      <c r="AJ41" s="8">
        <v>724677.42599999998</v>
      </c>
      <c r="AK41" s="7">
        <v>0.27177711999999998</v>
      </c>
      <c r="AM41" s="8">
        <v>531685.14439999999</v>
      </c>
      <c r="AN41" s="7">
        <v>0.27893504000000002</v>
      </c>
    </row>
    <row r="42" spans="2:40" ht="14" x14ac:dyDescent="0.15">
      <c r="B42" s="5" t="s">
        <v>45</v>
      </c>
      <c r="C42" s="8">
        <v>2601162.11</v>
      </c>
      <c r="D42" s="7">
        <v>0.10826413</v>
      </c>
      <c r="F42" s="8">
        <v>153066.35</v>
      </c>
      <c r="G42" s="7">
        <v>9.8963570000000001E-2</v>
      </c>
      <c r="I42" s="8">
        <v>203593.85</v>
      </c>
      <c r="J42" s="7">
        <v>0.11607389</v>
      </c>
      <c r="L42" s="8">
        <v>248788.27</v>
      </c>
      <c r="M42" s="7">
        <v>0.10929941</v>
      </c>
      <c r="O42" s="8">
        <v>134466.28</v>
      </c>
      <c r="P42" s="7">
        <v>8.977541E-2</v>
      </c>
      <c r="R42" s="8">
        <v>224104.76</v>
      </c>
      <c r="S42" s="7">
        <v>0.10919519</v>
      </c>
      <c r="U42" s="8">
        <v>212265.4</v>
      </c>
      <c r="V42" s="7">
        <v>0.12089096000000001</v>
      </c>
      <c r="X42" s="8">
        <v>128589.2</v>
      </c>
      <c r="Y42" s="7">
        <v>8.2267320000000005E-2</v>
      </c>
      <c r="AA42" s="8">
        <v>100186.15</v>
      </c>
      <c r="AB42" s="7">
        <v>6.0536800000000002E-2</v>
      </c>
      <c r="AD42" s="8">
        <v>356089.07</v>
      </c>
      <c r="AE42" s="7">
        <v>0.12367511</v>
      </c>
      <c r="AG42" s="8">
        <v>285359.49</v>
      </c>
      <c r="AH42" s="7">
        <v>0.1153729</v>
      </c>
      <c r="AJ42" s="8">
        <v>344853.78</v>
      </c>
      <c r="AK42" s="7">
        <v>0.12933115000000001</v>
      </c>
      <c r="AM42" s="8">
        <v>209799.51</v>
      </c>
      <c r="AN42" s="7">
        <v>0.11006596</v>
      </c>
    </row>
    <row r="43" spans="2:40" ht="14" x14ac:dyDescent="0.15">
      <c r="B43" s="325" t="s">
        <v>36</v>
      </c>
      <c r="C43" s="326">
        <v>24026075.908799998</v>
      </c>
      <c r="D43" s="327">
        <v>1</v>
      </c>
      <c r="F43" s="326">
        <v>1546693.83</v>
      </c>
      <c r="G43" s="327">
        <v>1</v>
      </c>
      <c r="I43" s="326">
        <v>1754002.11</v>
      </c>
      <c r="J43" s="327">
        <v>1</v>
      </c>
      <c r="L43" s="326">
        <v>2276208.7799999998</v>
      </c>
      <c r="M43" s="327">
        <v>1</v>
      </c>
      <c r="O43" s="326">
        <v>1497807.42</v>
      </c>
      <c r="P43" s="327">
        <v>1</v>
      </c>
      <c r="R43" s="326">
        <v>2052331.82</v>
      </c>
      <c r="S43" s="327">
        <v>1</v>
      </c>
      <c r="U43" s="326">
        <v>1755841.76</v>
      </c>
      <c r="V43" s="327">
        <v>1</v>
      </c>
      <c r="X43" s="326">
        <v>1563065.3092</v>
      </c>
      <c r="Y43" s="327">
        <v>1</v>
      </c>
      <c r="AA43" s="326">
        <v>1654962.7966</v>
      </c>
      <c r="AB43" s="327">
        <v>1</v>
      </c>
      <c r="AD43" s="326">
        <v>2879229.9703000002</v>
      </c>
      <c r="AE43" s="327">
        <v>1</v>
      </c>
      <c r="AG43" s="326">
        <v>2473366.6115999999</v>
      </c>
      <c r="AH43" s="327">
        <v>1</v>
      </c>
      <c r="AJ43" s="326">
        <v>2666440.1875</v>
      </c>
      <c r="AK43" s="327">
        <v>1</v>
      </c>
      <c r="AM43" s="326">
        <v>1906125.3136</v>
      </c>
      <c r="AN43" s="327">
        <v>1</v>
      </c>
    </row>
    <row r="44" spans="2:40" ht="14" x14ac:dyDescent="0.15">
      <c r="B44" s="5" t="s">
        <v>46</v>
      </c>
      <c r="C44" s="8">
        <v>4790996.2368999999</v>
      </c>
      <c r="D44" s="7">
        <v>0.32966364999999997</v>
      </c>
      <c r="F44" s="8">
        <v>319379.69</v>
      </c>
      <c r="G44" s="7">
        <v>0.35468541999999997</v>
      </c>
      <c r="I44" s="8">
        <v>398065.24</v>
      </c>
      <c r="J44" s="7">
        <v>0.40064539999999998</v>
      </c>
      <c r="L44" s="8">
        <v>442233.77</v>
      </c>
      <c r="M44" s="7">
        <v>0.33083618999999997</v>
      </c>
      <c r="O44" s="8">
        <v>331436.61</v>
      </c>
      <c r="P44" s="7">
        <v>0.35984720999999997</v>
      </c>
      <c r="R44" s="8">
        <v>420905.49</v>
      </c>
      <c r="S44" s="7">
        <v>0.34374408000000001</v>
      </c>
      <c r="U44" s="8">
        <v>389112.16</v>
      </c>
      <c r="V44" s="7">
        <v>0.37275399999999997</v>
      </c>
      <c r="X44" s="8">
        <v>310475.25280000002</v>
      </c>
      <c r="Y44" s="7">
        <v>0.31523712999999998</v>
      </c>
      <c r="AA44" s="8">
        <v>336092.12959999999</v>
      </c>
      <c r="AB44" s="7">
        <v>0.31752003000000001</v>
      </c>
      <c r="AD44" s="8">
        <v>540766.98970000003</v>
      </c>
      <c r="AE44" s="7">
        <v>0.30388929999999997</v>
      </c>
      <c r="AG44" s="8">
        <v>466472.42950000003</v>
      </c>
      <c r="AH44" s="7">
        <v>0.3051989</v>
      </c>
      <c r="AJ44" s="8">
        <v>483996.31150000001</v>
      </c>
      <c r="AK44" s="7">
        <v>0.30308321999999999</v>
      </c>
      <c r="AM44" s="8">
        <v>352060.16379999998</v>
      </c>
      <c r="AN44" s="7">
        <v>0.30229081000000002</v>
      </c>
    </row>
    <row r="45" spans="2:40" ht="14" x14ac:dyDescent="0.15">
      <c r="B45" s="5" t="s">
        <v>47</v>
      </c>
      <c r="C45" s="8">
        <v>1339594.2860000001</v>
      </c>
      <c r="D45" s="7">
        <v>0.19437140999999999</v>
      </c>
      <c r="F45" s="8">
        <v>103937.91</v>
      </c>
      <c r="G45" s="7">
        <v>0.21075538999999999</v>
      </c>
      <c r="I45" s="8">
        <v>100743.06</v>
      </c>
      <c r="J45" s="7">
        <v>0.18091652999999999</v>
      </c>
      <c r="L45" s="8">
        <v>141001.25</v>
      </c>
      <c r="M45" s="7">
        <v>0.20414097</v>
      </c>
      <c r="O45" s="8">
        <v>97707.36</v>
      </c>
      <c r="P45" s="7">
        <v>0.22091094</v>
      </c>
      <c r="R45" s="8">
        <v>131413.69</v>
      </c>
      <c r="S45" s="7">
        <v>0.21766110999999999</v>
      </c>
      <c r="U45" s="8">
        <v>116594.35</v>
      </c>
      <c r="V45" s="7">
        <v>0.23333254</v>
      </c>
      <c r="X45" s="8">
        <v>82109.130300000004</v>
      </c>
      <c r="Y45" s="7">
        <v>0.18263446</v>
      </c>
      <c r="AA45" s="8">
        <v>91249.336299999995</v>
      </c>
      <c r="AB45" s="7">
        <v>0.18386458999999999</v>
      </c>
      <c r="AD45" s="8">
        <v>132642.43119999999</v>
      </c>
      <c r="AE45" s="7">
        <v>0.17836574999999999</v>
      </c>
      <c r="AG45" s="8">
        <v>117633.25079999999</v>
      </c>
      <c r="AH45" s="7">
        <v>0.17834405</v>
      </c>
      <c r="AJ45" s="8">
        <v>128625.69319999999</v>
      </c>
      <c r="AK45" s="7">
        <v>0.17749371999999999</v>
      </c>
      <c r="AM45" s="8">
        <v>95936.824200000003</v>
      </c>
      <c r="AN45" s="7">
        <v>0.18043917000000001</v>
      </c>
    </row>
    <row r="46" spans="2:40" ht="14" x14ac:dyDescent="0.15">
      <c r="B46" s="5" t="s">
        <v>48</v>
      </c>
      <c r="C46" s="8">
        <v>180851.8866</v>
      </c>
      <c r="D46" s="7">
        <v>6.9527340000000007E-2</v>
      </c>
      <c r="F46" s="8">
        <v>17000.93</v>
      </c>
      <c r="G46" s="7">
        <v>0.11106902</v>
      </c>
      <c r="I46" s="8">
        <v>12524.56</v>
      </c>
      <c r="J46" s="7">
        <v>6.1517380000000003E-2</v>
      </c>
      <c r="L46" s="8">
        <v>13569.68</v>
      </c>
      <c r="M46" s="7">
        <v>5.4543090000000002E-2</v>
      </c>
      <c r="O46" s="8">
        <v>6542.23</v>
      </c>
      <c r="P46" s="7">
        <v>4.8653310000000012E-2</v>
      </c>
      <c r="R46" s="8">
        <v>19900.88</v>
      </c>
      <c r="S46" s="7">
        <v>8.8801679999999994E-2</v>
      </c>
      <c r="U46" s="8">
        <v>11830.84</v>
      </c>
      <c r="V46" s="7">
        <v>5.5736069999999999E-2</v>
      </c>
      <c r="X46" s="8">
        <v>11895.0731</v>
      </c>
      <c r="Y46" s="7">
        <v>9.2504449999999988E-2</v>
      </c>
      <c r="AA46" s="8">
        <v>9462.6934999999994</v>
      </c>
      <c r="AB46" s="7">
        <v>9.4451110000000005E-2</v>
      </c>
      <c r="AD46" s="8">
        <v>25840</v>
      </c>
      <c r="AE46" s="7">
        <v>7.2566110000000003E-2</v>
      </c>
      <c r="AG46" s="8">
        <v>17010</v>
      </c>
      <c r="AH46" s="7">
        <v>5.9609019999999999E-2</v>
      </c>
      <c r="AJ46" s="8">
        <v>21720</v>
      </c>
      <c r="AK46" s="7">
        <v>6.2983219999999993E-2</v>
      </c>
      <c r="AM46" s="8">
        <v>13555</v>
      </c>
      <c r="AN46" s="7">
        <v>6.4609300000000008E-2</v>
      </c>
    </row>
    <row r="47" spans="2:40" ht="14" x14ac:dyDescent="0.15">
      <c r="B47" s="325" t="s">
        <v>49</v>
      </c>
      <c r="C47" s="326">
        <v>6311442.4091999996</v>
      </c>
      <c r="D47" s="327">
        <v>0.26269134999999999</v>
      </c>
      <c r="F47" s="326">
        <v>440318.53</v>
      </c>
      <c r="G47" s="327">
        <v>0.28468369999999998</v>
      </c>
      <c r="I47" s="326">
        <v>511332.86</v>
      </c>
      <c r="J47" s="327">
        <v>0.29152350999999999</v>
      </c>
      <c r="L47" s="326">
        <v>596804.69999999995</v>
      </c>
      <c r="M47" s="327">
        <v>0.26219242999999998</v>
      </c>
      <c r="O47" s="326">
        <v>435686.2</v>
      </c>
      <c r="P47" s="327">
        <v>0.29088266000000002</v>
      </c>
      <c r="R47" s="326">
        <v>572220.06000000006</v>
      </c>
      <c r="S47" s="327">
        <v>0.27881458999999997</v>
      </c>
      <c r="U47" s="326">
        <v>517537.35</v>
      </c>
      <c r="V47" s="327">
        <v>0.29475170000000001</v>
      </c>
      <c r="X47" s="326">
        <v>404479.45600000001</v>
      </c>
      <c r="Y47" s="327">
        <v>0.25877323000000002</v>
      </c>
      <c r="AA47" s="326">
        <v>436804.15950000001</v>
      </c>
      <c r="AB47" s="327">
        <v>0.26393593999999998</v>
      </c>
      <c r="AD47" s="326">
        <v>699249.42070000002</v>
      </c>
      <c r="AE47" s="327">
        <v>0.24285987000000001</v>
      </c>
      <c r="AG47" s="326">
        <v>601115.68030000001</v>
      </c>
      <c r="AH47" s="327">
        <v>0.24303541000000001</v>
      </c>
      <c r="AJ47" s="326">
        <v>634342.00470000005</v>
      </c>
      <c r="AK47" s="327">
        <v>0.23789846000000001</v>
      </c>
      <c r="AM47" s="326">
        <v>461551.98800000001</v>
      </c>
      <c r="AN47" s="327">
        <v>0.24214147</v>
      </c>
    </row>
    <row r="48" spans="2:40" ht="14" x14ac:dyDescent="0.15">
      <c r="B48" s="5" t="s">
        <v>22</v>
      </c>
      <c r="C48" s="8">
        <v>13134664.7974</v>
      </c>
      <c r="D48" s="7">
        <v>0.54668373000000003</v>
      </c>
      <c r="F48" s="8">
        <v>1020658.59</v>
      </c>
      <c r="G48" s="7">
        <v>0.65989698000000008</v>
      </c>
      <c r="I48" s="8">
        <v>1105891.56</v>
      </c>
      <c r="J48" s="7">
        <v>0.63049613999999998</v>
      </c>
      <c r="L48" s="8">
        <v>1090327.3700000001</v>
      </c>
      <c r="M48" s="7">
        <v>0.47901026000000002</v>
      </c>
      <c r="O48" s="8">
        <v>1073735.55</v>
      </c>
      <c r="P48" s="7">
        <v>0.71687157000000001</v>
      </c>
      <c r="R48" s="8">
        <v>1133144</v>
      </c>
      <c r="S48" s="7">
        <v>0.55212514000000001</v>
      </c>
      <c r="U48" s="8">
        <v>1144538.79</v>
      </c>
      <c r="V48" s="7">
        <v>0.65184621000000009</v>
      </c>
      <c r="X48" s="8">
        <v>1000157.5167</v>
      </c>
      <c r="Y48" s="7">
        <v>0.63986931000000002</v>
      </c>
      <c r="AA48" s="8">
        <v>1059439.2087999999</v>
      </c>
      <c r="AB48" s="7">
        <v>0.64015893000000001</v>
      </c>
      <c r="AD48" s="8">
        <v>1146677.5262</v>
      </c>
      <c r="AE48" s="7">
        <v>0.39825840000000001</v>
      </c>
      <c r="AG48" s="8">
        <v>1122588.3049000001</v>
      </c>
      <c r="AH48" s="7">
        <v>0.45387056999999997</v>
      </c>
      <c r="AJ48" s="8">
        <v>1213643.5415000001</v>
      </c>
      <c r="AK48" s="7">
        <v>0.45515497999999999</v>
      </c>
      <c r="AM48" s="8">
        <v>1023862.8393</v>
      </c>
      <c r="AN48" s="7">
        <v>0.53714351000000005</v>
      </c>
    </row>
    <row r="49" spans="2:40" ht="14" x14ac:dyDescent="0.15">
      <c r="B49" s="5" t="s">
        <v>40</v>
      </c>
      <c r="C49" s="8">
        <v>1061049.1446</v>
      </c>
      <c r="D49" s="7">
        <v>4.4162399999999997E-2</v>
      </c>
      <c r="F49" s="8">
        <v>81976.23</v>
      </c>
      <c r="G49" s="7">
        <v>5.3000940000000003E-2</v>
      </c>
      <c r="I49" s="8">
        <v>76907.649999999994</v>
      </c>
      <c r="J49" s="7">
        <v>4.3846950000000003E-2</v>
      </c>
      <c r="L49" s="8">
        <v>95010.75</v>
      </c>
      <c r="M49" s="7">
        <v>4.174079E-2</v>
      </c>
      <c r="O49" s="8">
        <v>78602.12</v>
      </c>
      <c r="P49" s="7">
        <v>5.2478120000000003E-2</v>
      </c>
      <c r="R49" s="8">
        <v>62215.97</v>
      </c>
      <c r="S49" s="7">
        <v>3.0314770000000001E-2</v>
      </c>
      <c r="U49" s="8">
        <v>79080.23</v>
      </c>
      <c r="V49" s="7">
        <v>4.503836E-2</v>
      </c>
      <c r="X49" s="8">
        <v>80797.460800000001</v>
      </c>
      <c r="Y49" s="7">
        <v>5.1691670000000002E-2</v>
      </c>
      <c r="AA49" s="8">
        <v>88929.251799999998</v>
      </c>
      <c r="AB49" s="7">
        <v>5.373489E-2</v>
      </c>
      <c r="AD49" s="8">
        <v>120092.3165</v>
      </c>
      <c r="AE49" s="7">
        <v>4.1709870000000003E-2</v>
      </c>
      <c r="AG49" s="8">
        <v>101223.82889999999</v>
      </c>
      <c r="AH49" s="7">
        <v>4.0925529999999988E-2</v>
      </c>
      <c r="AJ49" s="8">
        <v>107348.0028</v>
      </c>
      <c r="AK49" s="7">
        <v>4.0258919999999997E-2</v>
      </c>
      <c r="AM49" s="8">
        <v>88865.333799999993</v>
      </c>
      <c r="AN49" s="7">
        <v>4.6620929999999998E-2</v>
      </c>
    </row>
    <row r="50" spans="2:40" ht="14" x14ac:dyDescent="0.15">
      <c r="B50" s="325" t="s">
        <v>41</v>
      </c>
      <c r="C50" s="326">
        <v>3518919.5575999999</v>
      </c>
      <c r="D50" s="327">
        <v>0.14646252000000001</v>
      </c>
      <c r="F50" s="326">
        <v>3740.48</v>
      </c>
      <c r="G50" s="327">
        <v>2.41837E-3</v>
      </c>
      <c r="I50" s="326">
        <v>59870.04</v>
      </c>
      <c r="J50" s="327">
        <v>3.413339E-2</v>
      </c>
      <c r="L50" s="326">
        <v>494065.96</v>
      </c>
      <c r="M50" s="327">
        <v>0.21705652</v>
      </c>
      <c r="O50" s="326">
        <v>-90216.45</v>
      </c>
      <c r="P50" s="327">
        <v>-6.0232340000000002E-2</v>
      </c>
      <c r="R50" s="326">
        <v>284751.78999999998</v>
      </c>
      <c r="S50" s="327">
        <v>0.13874549</v>
      </c>
      <c r="U50" s="326">
        <v>14685.39</v>
      </c>
      <c r="V50" s="327">
        <v>8.3637299999999998E-3</v>
      </c>
      <c r="X50" s="326">
        <v>77630.875499999995</v>
      </c>
      <c r="Y50" s="327">
        <v>4.9665790000000001E-2</v>
      </c>
      <c r="AA50" s="326">
        <v>69790.176600000006</v>
      </c>
      <c r="AB50" s="327">
        <v>4.2170239999999998E-2</v>
      </c>
      <c r="AD50" s="326">
        <v>913210.70680000004</v>
      </c>
      <c r="AE50" s="327">
        <v>0.31717184999999998</v>
      </c>
      <c r="AG50" s="326">
        <v>648438.79760000005</v>
      </c>
      <c r="AH50" s="327">
        <v>0.26216848999999998</v>
      </c>
      <c r="AJ50" s="326">
        <v>711106.63859999995</v>
      </c>
      <c r="AK50" s="327">
        <v>0.26668764</v>
      </c>
      <c r="AM50" s="326">
        <v>331845.15250000003</v>
      </c>
      <c r="AN50" s="327">
        <v>0.17409409000000001</v>
      </c>
    </row>
    <row r="51" spans="2:40" x14ac:dyDescent="0.15">
      <c r="B51" s="8"/>
      <c r="C51" s="8"/>
      <c r="D51" s="8"/>
      <c r="F51" s="8"/>
      <c r="G51" s="8"/>
      <c r="I51" s="8"/>
      <c r="J51" s="8"/>
      <c r="L51" s="8"/>
      <c r="M51" s="8"/>
      <c r="O51" s="8"/>
      <c r="P51" s="8"/>
      <c r="R51" s="8"/>
      <c r="S51" s="8"/>
      <c r="U51" s="8"/>
      <c r="V51" s="8"/>
      <c r="X51" s="8"/>
      <c r="Y51" s="8"/>
      <c r="AA51" s="8"/>
      <c r="AB51" s="8"/>
      <c r="AD51" s="8"/>
      <c r="AE51" s="8"/>
      <c r="AG51" s="8"/>
      <c r="AH51" s="8"/>
      <c r="AJ51" s="8"/>
      <c r="AK51" s="8"/>
      <c r="AM51" s="8"/>
      <c r="AN51" s="8"/>
    </row>
    <row r="52" spans="2:40" ht="14" x14ac:dyDescent="0.15">
      <c r="B52" s="328" t="s">
        <v>50</v>
      </c>
      <c r="C52" s="329"/>
      <c r="D52" s="329"/>
      <c r="F52" s="329"/>
      <c r="G52" s="329"/>
      <c r="I52" s="329"/>
      <c r="J52" s="329"/>
      <c r="L52" s="329"/>
      <c r="M52" s="329"/>
      <c r="O52" s="329"/>
      <c r="P52" s="329"/>
      <c r="R52" s="329"/>
      <c r="S52" s="329"/>
      <c r="U52" s="329"/>
      <c r="V52" s="329"/>
      <c r="X52" s="329"/>
      <c r="Y52" s="329"/>
      <c r="AA52" s="329"/>
      <c r="AB52" s="329"/>
      <c r="AD52" s="329"/>
      <c r="AE52" s="329"/>
      <c r="AG52" s="329"/>
      <c r="AH52" s="329"/>
      <c r="AJ52" s="329"/>
      <c r="AK52" s="329"/>
      <c r="AM52" s="329"/>
      <c r="AN52" s="329"/>
    </row>
    <row r="53" spans="2:40" ht="14" x14ac:dyDescent="0.15">
      <c r="B53" s="5" t="s">
        <v>37</v>
      </c>
      <c r="C53" s="8">
        <v>3701520.1025999999</v>
      </c>
      <c r="D53" s="7">
        <v>1</v>
      </c>
      <c r="F53" s="8">
        <v>263081.53999999998</v>
      </c>
      <c r="G53" s="7">
        <v>1</v>
      </c>
      <c r="I53" s="8">
        <v>310635.21999999997</v>
      </c>
      <c r="J53" s="7">
        <v>1</v>
      </c>
      <c r="L53" s="8">
        <v>303136.23</v>
      </c>
      <c r="M53" s="7">
        <v>1</v>
      </c>
      <c r="O53" s="8">
        <v>316090.71999999997</v>
      </c>
      <c r="P53" s="7">
        <v>1</v>
      </c>
      <c r="R53" s="8">
        <v>357555.59</v>
      </c>
      <c r="S53" s="7">
        <v>1</v>
      </c>
      <c r="U53" s="8">
        <v>65533.57</v>
      </c>
      <c r="V53" s="7">
        <v>1</v>
      </c>
      <c r="X53" s="8">
        <v>345619.98119999998</v>
      </c>
      <c r="Y53" s="7">
        <v>1</v>
      </c>
      <c r="AA53" s="8">
        <v>345372.14260000002</v>
      </c>
      <c r="AB53" s="7">
        <v>1</v>
      </c>
      <c r="AD53" s="8">
        <v>396617.44819999998</v>
      </c>
      <c r="AE53" s="7">
        <v>1</v>
      </c>
      <c r="AG53" s="8">
        <v>367281.6948</v>
      </c>
      <c r="AH53" s="7">
        <v>1</v>
      </c>
      <c r="AJ53" s="8">
        <v>340551.75760000001</v>
      </c>
      <c r="AK53" s="7">
        <v>1</v>
      </c>
      <c r="AM53" s="8">
        <v>290044.20819999999</v>
      </c>
      <c r="AN53" s="7">
        <v>1</v>
      </c>
    </row>
    <row r="54" spans="2:40" ht="14" x14ac:dyDescent="0.15">
      <c r="B54" s="5" t="s">
        <v>49</v>
      </c>
      <c r="C54" s="8">
        <v>417310.77380000002</v>
      </c>
      <c r="D54" s="7">
        <v>0.11274038</v>
      </c>
      <c r="F54" s="8">
        <v>15078.73</v>
      </c>
      <c r="G54" s="7">
        <v>5.73158E-2</v>
      </c>
      <c r="I54" s="8">
        <v>50228.54</v>
      </c>
      <c r="J54" s="7">
        <v>0.16169622</v>
      </c>
      <c r="L54" s="8">
        <v>59767.42</v>
      </c>
      <c r="M54" s="7">
        <v>0.19716357000000001</v>
      </c>
      <c r="O54" s="8">
        <v>24390.84</v>
      </c>
      <c r="P54" s="7">
        <v>7.7164049999999998E-2</v>
      </c>
      <c r="R54" s="8">
        <v>26184.42</v>
      </c>
      <c r="S54" s="7">
        <v>7.3231749999999998E-2</v>
      </c>
      <c r="U54" s="8">
        <v>25244.240000000002</v>
      </c>
      <c r="V54" s="7">
        <v>0.38521082000000001</v>
      </c>
      <c r="X54" s="8">
        <v>39218.542699999998</v>
      </c>
      <c r="Y54" s="7">
        <v>0.11347301999999999</v>
      </c>
      <c r="AA54" s="8">
        <v>36358.672599999998</v>
      </c>
      <c r="AB54" s="7">
        <v>0.1052739</v>
      </c>
      <c r="AD54" s="8">
        <v>48009.756699999998</v>
      </c>
      <c r="AE54" s="7">
        <v>0.12104802000000001</v>
      </c>
      <c r="AG54" s="8">
        <v>45537.918100000003</v>
      </c>
      <c r="AH54" s="7">
        <v>0.12398635</v>
      </c>
      <c r="AJ54" s="8">
        <v>26920.035100000001</v>
      </c>
      <c r="AK54" s="7">
        <v>7.9048290000000007E-2</v>
      </c>
      <c r="AM54" s="8">
        <v>20371.658599999999</v>
      </c>
      <c r="AN54" s="7">
        <v>7.0236389999999996E-2</v>
      </c>
    </row>
    <row r="55" spans="2:40" ht="14" x14ac:dyDescent="0.15">
      <c r="B55" s="5" t="s">
        <v>22</v>
      </c>
      <c r="C55" s="8">
        <v>778178.01049999997</v>
      </c>
      <c r="D55" s="7">
        <v>0.21023201</v>
      </c>
      <c r="F55" s="8">
        <v>38650.67</v>
      </c>
      <c r="G55" s="7">
        <v>0.14691517000000001</v>
      </c>
      <c r="I55" s="8">
        <v>63102.14</v>
      </c>
      <c r="J55" s="7">
        <v>0.20313903999999999</v>
      </c>
      <c r="L55" s="8">
        <v>53402.03</v>
      </c>
      <c r="M55" s="7">
        <v>0.17616512000000001</v>
      </c>
      <c r="O55" s="8">
        <v>65019.62</v>
      </c>
      <c r="P55" s="7">
        <v>0.20569924000000001</v>
      </c>
      <c r="R55" s="8">
        <v>68329.570000000007</v>
      </c>
      <c r="S55" s="7">
        <v>0.19110194999999999</v>
      </c>
      <c r="U55" s="8">
        <v>73509.2</v>
      </c>
      <c r="V55" s="7">
        <v>1.1217029700000001</v>
      </c>
      <c r="X55" s="8">
        <v>71883.457399999999</v>
      </c>
      <c r="Y55" s="7">
        <v>0.20798409000000001</v>
      </c>
      <c r="AA55" s="8">
        <v>74377.033599999995</v>
      </c>
      <c r="AB55" s="7">
        <v>0.21535330999999999</v>
      </c>
      <c r="AD55" s="8">
        <v>75170.2071</v>
      </c>
      <c r="AE55" s="7">
        <v>0.18952823999999999</v>
      </c>
      <c r="AG55" s="8">
        <v>73937.235700000005</v>
      </c>
      <c r="AH55" s="7">
        <v>0.20130934</v>
      </c>
      <c r="AJ55" s="8">
        <v>62039.130299999997</v>
      </c>
      <c r="AK55" s="7">
        <v>0.18217240000000001</v>
      </c>
      <c r="AM55" s="8">
        <v>58757.716399999998</v>
      </c>
      <c r="AN55" s="7">
        <v>0.20258192999999999</v>
      </c>
    </row>
    <row r="56" spans="2:40" ht="14" x14ac:dyDescent="0.15">
      <c r="B56" s="5" t="s">
        <v>40</v>
      </c>
      <c r="C56" s="8">
        <v>222004.06</v>
      </c>
      <c r="D56" s="7">
        <v>5.9976460000000002E-2</v>
      </c>
      <c r="F56" s="8">
        <v>14178.09</v>
      </c>
      <c r="G56" s="7">
        <v>5.3892379999999997E-2</v>
      </c>
      <c r="I56" s="8">
        <v>6669.85</v>
      </c>
      <c r="J56" s="7">
        <v>2.1471649999999998E-2</v>
      </c>
      <c r="L56" s="8">
        <v>20424.8</v>
      </c>
      <c r="M56" s="7">
        <v>6.7378289999999993E-2</v>
      </c>
      <c r="O56" s="8">
        <v>25670.03</v>
      </c>
      <c r="P56" s="7">
        <v>8.1210959999999999E-2</v>
      </c>
      <c r="R56" s="8">
        <v>25141.65</v>
      </c>
      <c r="S56" s="7">
        <v>7.0315359999999993E-2</v>
      </c>
      <c r="U56" s="8">
        <v>9613.9599999999991</v>
      </c>
      <c r="V56" s="7">
        <v>0.14670283000000001</v>
      </c>
      <c r="X56" s="8">
        <v>22941.279999999999</v>
      </c>
      <c r="Y56" s="7">
        <v>6.6377179999999994E-2</v>
      </c>
      <c r="AA56" s="8">
        <v>21018.28</v>
      </c>
      <c r="AB56" s="7">
        <v>6.085691E-2</v>
      </c>
      <c r="AD56" s="8">
        <v>24518.28</v>
      </c>
      <c r="AE56" s="7">
        <v>6.1818459999999999E-2</v>
      </c>
      <c r="AG56" s="8">
        <v>21918.28</v>
      </c>
      <c r="AH56" s="7">
        <v>5.9677029999999999E-2</v>
      </c>
      <c r="AJ56" s="8">
        <v>17268.28</v>
      </c>
      <c r="AK56" s="7">
        <v>5.0706769999999998E-2</v>
      </c>
      <c r="AM56" s="8">
        <v>12641.28</v>
      </c>
      <c r="AN56" s="7">
        <v>4.3583980000000001E-2</v>
      </c>
    </row>
    <row r="57" spans="2:40" ht="14" x14ac:dyDescent="0.15">
      <c r="B57" s="325" t="s">
        <v>41</v>
      </c>
      <c r="C57" s="326">
        <v>2284027.2582</v>
      </c>
      <c r="D57" s="327">
        <v>0.61705115999999993</v>
      </c>
      <c r="F57" s="326">
        <v>195174.05</v>
      </c>
      <c r="G57" s="327">
        <v>0.74187663999999998</v>
      </c>
      <c r="I57" s="326">
        <v>190634.69</v>
      </c>
      <c r="J57" s="327">
        <v>0.61369309999999999</v>
      </c>
      <c r="L57" s="326">
        <v>169541.98</v>
      </c>
      <c r="M57" s="327">
        <v>0.55929302999999997</v>
      </c>
      <c r="O57" s="326">
        <v>201010.23</v>
      </c>
      <c r="P57" s="327">
        <v>0.63592576000000001</v>
      </c>
      <c r="R57" s="326">
        <v>237899.95</v>
      </c>
      <c r="S57" s="327">
        <v>0.66535095</v>
      </c>
      <c r="U57" s="326">
        <v>-42833.83</v>
      </c>
      <c r="V57" s="327">
        <v>-0.65361660999999993</v>
      </c>
      <c r="X57" s="326">
        <v>211576.7009</v>
      </c>
      <c r="Y57" s="327">
        <v>0.61216570999999997</v>
      </c>
      <c r="AA57" s="326">
        <v>213618.15640000001</v>
      </c>
      <c r="AB57" s="327">
        <v>0.61851588000000002</v>
      </c>
      <c r="AD57" s="326">
        <v>248919.20439999999</v>
      </c>
      <c r="AE57" s="327">
        <v>0.62760528000000004</v>
      </c>
      <c r="AG57" s="326">
        <v>225888.26089999999</v>
      </c>
      <c r="AH57" s="327">
        <v>0.61502727999999995</v>
      </c>
      <c r="AJ57" s="326">
        <v>234324.3124</v>
      </c>
      <c r="AK57" s="327">
        <v>0.68807253999999995</v>
      </c>
      <c r="AM57" s="326">
        <v>198273.55319999999</v>
      </c>
      <c r="AN57" s="327">
        <v>0.68359769999999997</v>
      </c>
    </row>
    <row r="58" spans="2:40" x14ac:dyDescent="0.15">
      <c r="B58" s="8"/>
      <c r="C58" s="8"/>
      <c r="D58" s="8"/>
      <c r="F58" s="8"/>
      <c r="G58" s="8"/>
      <c r="I58" s="8"/>
      <c r="J58" s="8"/>
      <c r="L58" s="8"/>
      <c r="M58" s="8"/>
      <c r="O58" s="8"/>
      <c r="P58" s="8"/>
      <c r="R58" s="8"/>
      <c r="S58" s="8"/>
      <c r="U58" s="8"/>
      <c r="V58" s="8"/>
      <c r="X58" s="8"/>
      <c r="Y58" s="8"/>
      <c r="AA58" s="8"/>
      <c r="AB58" s="8"/>
      <c r="AD58" s="8"/>
      <c r="AE58" s="8"/>
      <c r="AG58" s="8"/>
      <c r="AH58" s="8"/>
      <c r="AJ58" s="8"/>
      <c r="AK58" s="8"/>
      <c r="AM58" s="8"/>
      <c r="AN58" s="8"/>
    </row>
    <row r="59" spans="2:40" ht="14" x14ac:dyDescent="0.15">
      <c r="B59" s="328" t="s">
        <v>38</v>
      </c>
      <c r="C59" s="329"/>
      <c r="D59" s="329"/>
      <c r="F59" s="329"/>
      <c r="G59" s="329"/>
      <c r="I59" s="329"/>
      <c r="J59" s="329"/>
      <c r="L59" s="329"/>
      <c r="M59" s="329"/>
      <c r="O59" s="329"/>
      <c r="P59" s="329"/>
      <c r="R59" s="329"/>
      <c r="S59" s="329"/>
      <c r="U59" s="329"/>
      <c r="V59" s="329"/>
      <c r="X59" s="329"/>
      <c r="Y59" s="329"/>
      <c r="AA59" s="329"/>
      <c r="AB59" s="329"/>
      <c r="AD59" s="329"/>
      <c r="AE59" s="329"/>
      <c r="AG59" s="329"/>
      <c r="AH59" s="329"/>
      <c r="AJ59" s="329"/>
      <c r="AK59" s="329"/>
      <c r="AM59" s="329"/>
      <c r="AN59" s="329"/>
    </row>
    <row r="60" spans="2:40" ht="14" x14ac:dyDescent="0.15">
      <c r="B60" s="325" t="s">
        <v>38</v>
      </c>
      <c r="C60" s="326">
        <v>1120170.156</v>
      </c>
      <c r="D60" s="327">
        <v>0.30262435999999998</v>
      </c>
      <c r="F60" s="326">
        <v>64731.78</v>
      </c>
      <c r="G60" s="327">
        <v>0.24605215999999999</v>
      </c>
      <c r="I60" s="326">
        <v>130015.54</v>
      </c>
      <c r="J60" s="327">
        <v>0.41854732</v>
      </c>
      <c r="L60" s="326">
        <v>136429.06</v>
      </c>
      <c r="M60" s="327">
        <v>0.45005857999999999</v>
      </c>
      <c r="O60" s="326">
        <v>64627.17</v>
      </c>
      <c r="P60" s="327">
        <v>0.20445766000000001</v>
      </c>
      <c r="R60" s="326">
        <v>88609.29</v>
      </c>
      <c r="S60" s="327">
        <v>0.24781961999999999</v>
      </c>
      <c r="U60" s="326">
        <v>48911.71</v>
      </c>
      <c r="V60" s="327">
        <v>0.74636114000000009</v>
      </c>
      <c r="X60" s="326">
        <v>67847.327699999994</v>
      </c>
      <c r="Y60" s="327">
        <v>0.19630615000000001</v>
      </c>
      <c r="AA60" s="326">
        <v>74159.435700000002</v>
      </c>
      <c r="AB60" s="327">
        <v>0.21472326999999999</v>
      </c>
      <c r="AD60" s="326">
        <v>128144.4604</v>
      </c>
      <c r="AE60" s="327">
        <v>0.32309334999999989</v>
      </c>
      <c r="AG60" s="326">
        <v>132754.3848</v>
      </c>
      <c r="AH60" s="327">
        <v>0.36145113000000001</v>
      </c>
      <c r="AJ60" s="326">
        <v>115176.7596</v>
      </c>
      <c r="AK60" s="327">
        <v>0.33820633</v>
      </c>
      <c r="AM60" s="326">
        <v>68763.237800000003</v>
      </c>
      <c r="AN60" s="327">
        <v>0.23707847000000001</v>
      </c>
    </row>
    <row r="61" spans="2:40" x14ac:dyDescent="0.15">
      <c r="B61" s="8"/>
      <c r="C61" s="8"/>
      <c r="D61" s="8"/>
      <c r="F61" s="8"/>
      <c r="G61" s="8"/>
      <c r="I61" s="8"/>
      <c r="J61" s="8"/>
      <c r="L61" s="8"/>
      <c r="M61" s="8"/>
      <c r="O61" s="8"/>
      <c r="P61" s="8"/>
      <c r="R61" s="8"/>
      <c r="S61" s="8"/>
      <c r="U61" s="8"/>
      <c r="V61" s="8"/>
      <c r="X61" s="8"/>
      <c r="Y61" s="8"/>
      <c r="AA61" s="8"/>
      <c r="AB61" s="8"/>
      <c r="AD61" s="8"/>
      <c r="AE61" s="8"/>
      <c r="AG61" s="8"/>
      <c r="AH61" s="8"/>
      <c r="AJ61" s="8"/>
      <c r="AK61" s="8"/>
      <c r="AM61" s="8"/>
      <c r="AN61" s="8"/>
    </row>
    <row r="62" spans="2:40" ht="14" x14ac:dyDescent="0.15">
      <c r="B62" s="328" t="s">
        <v>51</v>
      </c>
      <c r="C62" s="329"/>
      <c r="D62" s="329"/>
      <c r="F62" s="329"/>
      <c r="G62" s="329"/>
      <c r="I62" s="329"/>
      <c r="J62" s="329"/>
      <c r="L62" s="329"/>
      <c r="M62" s="329"/>
      <c r="O62" s="329"/>
      <c r="P62" s="329"/>
      <c r="R62" s="329"/>
      <c r="S62" s="329"/>
      <c r="U62" s="329"/>
      <c r="V62" s="329"/>
      <c r="X62" s="329"/>
      <c r="Y62" s="329"/>
      <c r="AA62" s="329"/>
      <c r="AB62" s="329"/>
      <c r="AD62" s="329"/>
      <c r="AE62" s="329"/>
      <c r="AG62" s="329"/>
      <c r="AH62" s="329"/>
      <c r="AJ62" s="329"/>
      <c r="AK62" s="329"/>
      <c r="AM62" s="329"/>
      <c r="AN62" s="329"/>
    </row>
    <row r="63" spans="2:40" ht="14" x14ac:dyDescent="0.15">
      <c r="B63" s="325" t="s">
        <v>52</v>
      </c>
      <c r="C63" s="326">
        <v>46530502.5757</v>
      </c>
      <c r="D63" s="327">
        <v>0.42837364</v>
      </c>
      <c r="F63" s="326">
        <v>1960609.94</v>
      </c>
      <c r="G63" s="327">
        <v>0.33360289999999998</v>
      </c>
      <c r="I63" s="326">
        <v>2556377.58</v>
      </c>
      <c r="J63" s="327">
        <v>0.37373998000000003</v>
      </c>
      <c r="L63" s="326">
        <v>4520025.55</v>
      </c>
      <c r="M63" s="327">
        <v>0.46887887999999989</v>
      </c>
      <c r="O63" s="326">
        <v>2699308.55</v>
      </c>
      <c r="P63" s="327">
        <v>0.38983620000000002</v>
      </c>
      <c r="R63" s="326">
        <v>4602194.26</v>
      </c>
      <c r="S63" s="327">
        <v>0.45011195999999998</v>
      </c>
      <c r="U63" s="326">
        <v>3391435.92</v>
      </c>
      <c r="V63" s="327">
        <v>0.40541612999999999</v>
      </c>
      <c r="X63" s="326">
        <v>2863097.7573000002</v>
      </c>
      <c r="Y63" s="327">
        <v>0.34277303999999997</v>
      </c>
      <c r="AA63" s="326">
        <v>3371157.6985999998</v>
      </c>
      <c r="AB63" s="327">
        <v>0.37258876000000002</v>
      </c>
      <c r="AD63" s="326">
        <v>6032010.0582999997</v>
      </c>
      <c r="AE63" s="327">
        <v>0.48446839000000003</v>
      </c>
      <c r="AG63" s="326">
        <v>6121265.5871000001</v>
      </c>
      <c r="AH63" s="327">
        <v>0.51039511999999998</v>
      </c>
      <c r="AJ63" s="326">
        <v>5166028.6152999997</v>
      </c>
      <c r="AK63" s="327">
        <v>0.48498460999999998</v>
      </c>
      <c r="AM63" s="326">
        <v>3246991.0591000002</v>
      </c>
      <c r="AN63" s="327">
        <v>0.39340876000000002</v>
      </c>
    </row>
    <row r="64" spans="2:40" x14ac:dyDescent="0.15">
      <c r="B64" s="8"/>
      <c r="C64" s="8"/>
      <c r="D64" s="8"/>
      <c r="F64" s="8"/>
      <c r="G64" s="8"/>
      <c r="I64" s="8"/>
      <c r="J64" s="8"/>
      <c r="L64" s="8"/>
      <c r="M64" s="8"/>
      <c r="O64" s="8"/>
      <c r="P64" s="8"/>
      <c r="R64" s="8"/>
      <c r="S64" s="8"/>
      <c r="U64" s="8"/>
      <c r="V64" s="8"/>
      <c r="X64" s="8"/>
      <c r="Y64" s="8"/>
      <c r="AA64" s="8"/>
      <c r="AB64" s="8"/>
      <c r="AD64" s="8"/>
      <c r="AE64" s="8"/>
      <c r="AG64" s="8"/>
      <c r="AH64" s="8"/>
      <c r="AJ64" s="8"/>
      <c r="AK64" s="8"/>
      <c r="AM64" s="8"/>
      <c r="AN64" s="8"/>
    </row>
    <row r="65" spans="2:40" ht="14" x14ac:dyDescent="0.15">
      <c r="B65" s="328" t="s">
        <v>53</v>
      </c>
      <c r="C65" s="329"/>
      <c r="D65" s="329"/>
      <c r="F65" s="329"/>
      <c r="G65" s="329"/>
      <c r="I65" s="329"/>
      <c r="J65" s="329"/>
      <c r="L65" s="329"/>
      <c r="M65" s="329"/>
      <c r="O65" s="329"/>
      <c r="P65" s="329"/>
      <c r="R65" s="329"/>
      <c r="S65" s="329"/>
      <c r="U65" s="329"/>
      <c r="V65" s="329"/>
      <c r="X65" s="329"/>
      <c r="Y65" s="329"/>
      <c r="AA65" s="329"/>
      <c r="AB65" s="329"/>
      <c r="AD65" s="329"/>
      <c r="AE65" s="329"/>
      <c r="AG65" s="329"/>
      <c r="AH65" s="329"/>
      <c r="AJ65" s="329"/>
      <c r="AK65" s="329"/>
      <c r="AM65" s="329"/>
      <c r="AN65" s="329"/>
    </row>
    <row r="66" spans="2:40" ht="14" x14ac:dyDescent="0.15">
      <c r="B66" s="5" t="s">
        <v>22</v>
      </c>
      <c r="C66" s="8">
        <v>7388932.4452999998</v>
      </c>
      <c r="D66" s="7">
        <v>6.8024710000000002E-2</v>
      </c>
      <c r="F66" s="8">
        <v>510236.84</v>
      </c>
      <c r="G66" s="7">
        <v>8.6818129999999993E-2</v>
      </c>
      <c r="I66" s="8">
        <v>596625.30000000005</v>
      </c>
      <c r="J66" s="7">
        <v>8.7226049999999999E-2</v>
      </c>
      <c r="L66" s="8">
        <v>615963.27</v>
      </c>
      <c r="M66" s="7">
        <v>6.3896140000000004E-2</v>
      </c>
      <c r="O66" s="8">
        <v>576269.59</v>
      </c>
      <c r="P66" s="7">
        <v>8.3225289999999993E-2</v>
      </c>
      <c r="R66" s="8">
        <v>657930.93999999994</v>
      </c>
      <c r="S66" s="7">
        <v>6.4348130000000003E-2</v>
      </c>
      <c r="U66" s="8">
        <v>553378.48</v>
      </c>
      <c r="V66" s="7">
        <v>6.6151500000000002E-2</v>
      </c>
      <c r="X66" s="8">
        <v>631414.49159999995</v>
      </c>
      <c r="Y66" s="7">
        <v>7.5593599999999997E-2</v>
      </c>
      <c r="AA66" s="8">
        <v>641905.31039999996</v>
      </c>
      <c r="AB66" s="7">
        <v>7.0944979999999991E-2</v>
      </c>
      <c r="AD66" s="8">
        <v>631315.28989999997</v>
      </c>
      <c r="AE66" s="7">
        <v>5.0704869999999999E-2</v>
      </c>
      <c r="AG66" s="8">
        <v>648026.25829999999</v>
      </c>
      <c r="AH66" s="7">
        <v>5.403285E-2</v>
      </c>
      <c r="AJ66" s="8">
        <v>659168.87540000002</v>
      </c>
      <c r="AK66" s="7">
        <v>6.18825E-2</v>
      </c>
      <c r="AM66" s="8">
        <v>666697.79969999997</v>
      </c>
      <c r="AN66" s="7">
        <v>8.0777790000000002E-2</v>
      </c>
    </row>
    <row r="67" spans="2:40" ht="14" x14ac:dyDescent="0.15">
      <c r="B67" s="5" t="s">
        <v>40</v>
      </c>
      <c r="C67" s="8">
        <v>6961955.9029000001</v>
      </c>
      <c r="D67" s="7">
        <v>6.4093839999999999E-2</v>
      </c>
      <c r="F67" s="8">
        <v>225155.18</v>
      </c>
      <c r="G67" s="7">
        <v>3.8310740000000003E-2</v>
      </c>
      <c r="I67" s="8">
        <v>562761.66</v>
      </c>
      <c r="J67" s="7">
        <v>8.227522000000001E-2</v>
      </c>
      <c r="L67" s="8">
        <v>1540620.57</v>
      </c>
      <c r="M67" s="7">
        <v>0.15981424</v>
      </c>
      <c r="O67" s="8">
        <v>430578.74</v>
      </c>
      <c r="P67" s="7">
        <v>6.2184509999999998E-2</v>
      </c>
      <c r="R67" s="8">
        <v>490549.19</v>
      </c>
      <c r="S67" s="7">
        <v>4.7977560000000002E-2</v>
      </c>
      <c r="U67" s="8">
        <v>480192.39</v>
      </c>
      <c r="V67" s="7">
        <v>5.7402750000000002E-2</v>
      </c>
      <c r="X67" s="8">
        <v>408078.28100000002</v>
      </c>
      <c r="Y67" s="7">
        <v>4.8855559999999999E-2</v>
      </c>
      <c r="AA67" s="8">
        <v>398075.78460000001</v>
      </c>
      <c r="AB67" s="7">
        <v>4.399633E-2</v>
      </c>
      <c r="AD67" s="8">
        <v>573992.71970000002</v>
      </c>
      <c r="AE67" s="7">
        <v>4.610094E-2</v>
      </c>
      <c r="AG67" s="8">
        <v>472493.39140000002</v>
      </c>
      <c r="AH67" s="7">
        <v>3.9396809999999997E-2</v>
      </c>
      <c r="AJ67" s="8">
        <v>522553.18160000001</v>
      </c>
      <c r="AK67" s="7">
        <v>4.9057069999999987E-2</v>
      </c>
      <c r="AM67" s="8">
        <v>856904.81460000004</v>
      </c>
      <c r="AN67" s="7">
        <v>0.10382346000000001</v>
      </c>
    </row>
    <row r="68" spans="2:40" ht="14" x14ac:dyDescent="0.15">
      <c r="B68" s="325" t="s">
        <v>41</v>
      </c>
      <c r="C68" s="326">
        <v>-14350888.348300001</v>
      </c>
      <c r="D68" s="327">
        <v>-0.13211855</v>
      </c>
      <c r="F68" s="326">
        <v>-735392.02</v>
      </c>
      <c r="G68" s="327">
        <v>-0.12512887</v>
      </c>
      <c r="I68" s="326">
        <v>-1159386.96</v>
      </c>
      <c r="J68" s="327">
        <v>-0.16950128</v>
      </c>
      <c r="L68" s="326">
        <v>-2156583.84</v>
      </c>
      <c r="M68" s="327">
        <v>-0.22371037999999999</v>
      </c>
      <c r="O68" s="326">
        <v>-1006848.33</v>
      </c>
      <c r="P68" s="327">
        <v>-0.14540980000000001</v>
      </c>
      <c r="R68" s="326">
        <v>-1148480.1299999999</v>
      </c>
      <c r="S68" s="327">
        <v>-0.11232569000000001</v>
      </c>
      <c r="U68" s="326">
        <v>-1033570.87</v>
      </c>
      <c r="V68" s="327">
        <v>-0.12355425</v>
      </c>
      <c r="X68" s="326">
        <v>-1039492.7727</v>
      </c>
      <c r="Y68" s="327">
        <v>-0.12444916</v>
      </c>
      <c r="AA68" s="326">
        <v>-1039981.0948</v>
      </c>
      <c r="AB68" s="327">
        <v>-0.11494131</v>
      </c>
      <c r="AD68" s="326">
        <v>-1205308.01</v>
      </c>
      <c r="AE68" s="327">
        <v>-9.6805810000000006E-2</v>
      </c>
      <c r="AG68" s="326">
        <v>-1120519.6495000001</v>
      </c>
      <c r="AH68" s="327">
        <v>-9.3429660000000012E-2</v>
      </c>
      <c r="AJ68" s="326">
        <v>-1181722.057</v>
      </c>
      <c r="AK68" s="327">
        <v>-0.11093957</v>
      </c>
      <c r="AM68" s="326">
        <v>-1523602.6143</v>
      </c>
      <c r="AN68" s="327">
        <v>-0.18460124999999999</v>
      </c>
    </row>
    <row r="69" spans="2:40" x14ac:dyDescent="0.15">
      <c r="B69" s="8"/>
      <c r="C69" s="8"/>
      <c r="D69" s="8"/>
      <c r="F69" s="8"/>
      <c r="G69" s="8"/>
      <c r="I69" s="8"/>
      <c r="J69" s="8"/>
      <c r="L69" s="8"/>
      <c r="M69" s="8"/>
      <c r="O69" s="8"/>
      <c r="P69" s="8"/>
      <c r="R69" s="8"/>
      <c r="S69" s="8"/>
      <c r="U69" s="8"/>
      <c r="V69" s="8"/>
      <c r="X69" s="8"/>
      <c r="Y69" s="8"/>
      <c r="AA69" s="8"/>
      <c r="AB69" s="8"/>
      <c r="AD69" s="8"/>
      <c r="AE69" s="8"/>
      <c r="AG69" s="8"/>
      <c r="AH69" s="8"/>
      <c r="AJ69" s="8"/>
      <c r="AK69" s="8"/>
      <c r="AM69" s="8"/>
      <c r="AN69" s="8"/>
    </row>
    <row r="70" spans="2:40" ht="14" x14ac:dyDescent="0.15">
      <c r="B70" s="328" t="s">
        <v>54</v>
      </c>
      <c r="C70" s="329"/>
      <c r="D70" s="329"/>
      <c r="F70" s="329"/>
      <c r="G70" s="329"/>
      <c r="I70" s="329"/>
      <c r="J70" s="329"/>
      <c r="L70" s="329"/>
      <c r="M70" s="329"/>
      <c r="O70" s="329"/>
      <c r="P70" s="329"/>
      <c r="R70" s="329"/>
      <c r="S70" s="329"/>
      <c r="U70" s="329"/>
      <c r="V70" s="329"/>
      <c r="X70" s="329"/>
      <c r="Y70" s="329"/>
      <c r="AA70" s="329"/>
      <c r="AB70" s="329"/>
      <c r="AD70" s="329"/>
      <c r="AE70" s="329"/>
      <c r="AG70" s="329"/>
      <c r="AH70" s="329"/>
      <c r="AJ70" s="329"/>
      <c r="AK70" s="329"/>
      <c r="AM70" s="329"/>
      <c r="AN70" s="329"/>
    </row>
    <row r="71" spans="2:40" ht="14" x14ac:dyDescent="0.15">
      <c r="B71" s="5" t="s">
        <v>55</v>
      </c>
      <c r="C71" s="8">
        <v>356826.29</v>
      </c>
      <c r="D71" s="7">
        <v>3.2850499999999999E-3</v>
      </c>
      <c r="F71" s="8">
        <v>30394.86</v>
      </c>
      <c r="G71" s="7">
        <v>5.1717600000000001E-3</v>
      </c>
      <c r="I71" s="8">
        <v>35600.370000000003</v>
      </c>
      <c r="J71" s="7">
        <v>5.2047400000000002E-3</v>
      </c>
      <c r="L71" s="8">
        <v>20739.650000000001</v>
      </c>
      <c r="M71" s="7">
        <v>2.1513999999999999E-3</v>
      </c>
      <c r="O71" s="8">
        <v>35350.42</v>
      </c>
      <c r="P71" s="7">
        <v>5.1053299999999999E-3</v>
      </c>
      <c r="R71" s="8">
        <v>33310.18</v>
      </c>
      <c r="S71" s="7">
        <v>3.25786E-3</v>
      </c>
      <c r="U71" s="8">
        <v>33853.67</v>
      </c>
      <c r="V71" s="7">
        <v>4.0469099999999999E-3</v>
      </c>
      <c r="X71" s="8">
        <v>29345.71</v>
      </c>
      <c r="Y71" s="7">
        <v>3.5133E-3</v>
      </c>
      <c r="AA71" s="8">
        <v>29309.71</v>
      </c>
      <c r="AB71" s="7">
        <v>3.23938E-3</v>
      </c>
      <c r="AD71" s="8">
        <v>27230.43</v>
      </c>
      <c r="AE71" s="7">
        <v>2.1870499999999998E-3</v>
      </c>
      <c r="AG71" s="8">
        <v>27230.43</v>
      </c>
      <c r="AH71" s="7">
        <v>2.27049E-3</v>
      </c>
      <c r="AJ71" s="8">
        <v>27230.43</v>
      </c>
      <c r="AK71" s="7">
        <v>2.55638E-3</v>
      </c>
      <c r="AM71" s="8">
        <v>27230.43</v>
      </c>
      <c r="AN71" s="7">
        <v>3.29927E-3</v>
      </c>
    </row>
    <row r="72" spans="2:40" ht="14" x14ac:dyDescent="0.15">
      <c r="B72" s="5" t="s">
        <v>56</v>
      </c>
      <c r="C72" s="8">
        <v>2327189.9273999999</v>
      </c>
      <c r="D72" s="7">
        <v>2.1424800000000001E-2</v>
      </c>
      <c r="F72" s="8">
        <v>193130.64</v>
      </c>
      <c r="G72" s="7">
        <v>3.2861679999999997E-2</v>
      </c>
      <c r="I72" s="8">
        <v>154273.16</v>
      </c>
      <c r="J72" s="7">
        <v>2.2554589999999999E-2</v>
      </c>
      <c r="L72" s="8">
        <v>177599.35999999999</v>
      </c>
      <c r="M72" s="7">
        <v>1.8423040000000002E-2</v>
      </c>
      <c r="O72" s="8">
        <v>187931.49</v>
      </c>
      <c r="P72" s="7">
        <v>2.7141209999999999E-2</v>
      </c>
      <c r="R72" s="8">
        <v>170764.1</v>
      </c>
      <c r="S72" s="7">
        <v>1.670137E-2</v>
      </c>
      <c r="U72" s="8">
        <v>253166.22</v>
      </c>
      <c r="V72" s="7">
        <v>3.0263780000000001E-2</v>
      </c>
      <c r="X72" s="8">
        <v>217763.45740000001</v>
      </c>
      <c r="Y72" s="7">
        <v>2.6070869999999999E-2</v>
      </c>
      <c r="AA72" s="8">
        <v>189055.61040000001</v>
      </c>
      <c r="AB72" s="7">
        <v>2.0894900000000001E-2</v>
      </c>
      <c r="AD72" s="8">
        <v>191386.05739999999</v>
      </c>
      <c r="AE72" s="7">
        <v>1.537141E-2</v>
      </c>
      <c r="AG72" s="8">
        <v>209342.86739999999</v>
      </c>
      <c r="AH72" s="7">
        <v>1.7455140000000001E-2</v>
      </c>
      <c r="AJ72" s="8">
        <v>191166.9074</v>
      </c>
      <c r="AK72" s="7">
        <v>1.7946670000000001E-2</v>
      </c>
      <c r="AM72" s="8">
        <v>191610.05739999999</v>
      </c>
      <c r="AN72" s="7">
        <v>2.3215670000000001E-2</v>
      </c>
    </row>
    <row r="73" spans="2:40" ht="14" x14ac:dyDescent="0.15">
      <c r="B73" s="5" t="s">
        <v>40</v>
      </c>
      <c r="C73" s="8">
        <v>263303.14</v>
      </c>
      <c r="D73" s="7">
        <v>2.4240500000000001E-3</v>
      </c>
      <c r="F73" s="8">
        <v>5601.11</v>
      </c>
      <c r="G73" s="7">
        <v>9.5304000000000005E-4</v>
      </c>
      <c r="I73" s="8">
        <v>42241.4</v>
      </c>
      <c r="J73" s="7">
        <v>6.1756500000000004E-3</v>
      </c>
      <c r="L73" s="8">
        <v>20641.72</v>
      </c>
      <c r="M73" s="7">
        <v>2.14124E-3</v>
      </c>
      <c r="O73" s="8">
        <v>26327.599999999999</v>
      </c>
      <c r="P73" s="7">
        <v>3.8022500000000001E-3</v>
      </c>
      <c r="R73" s="8">
        <v>18254.77</v>
      </c>
      <c r="S73" s="7">
        <v>1.78539E-3</v>
      </c>
      <c r="U73" s="8">
        <v>47182.32</v>
      </c>
      <c r="V73" s="7">
        <v>5.6402300000000004E-3</v>
      </c>
      <c r="X73" s="8">
        <v>14415.49</v>
      </c>
      <c r="Y73" s="7">
        <v>1.72584E-3</v>
      </c>
      <c r="AA73" s="8">
        <v>29120.49</v>
      </c>
      <c r="AB73" s="7">
        <v>3.2184700000000002E-3</v>
      </c>
      <c r="AD73" s="8">
        <v>15240.49</v>
      </c>
      <c r="AE73" s="7">
        <v>1.2240599999999999E-3</v>
      </c>
      <c r="AG73" s="8">
        <v>15249.25</v>
      </c>
      <c r="AH73" s="7">
        <v>1.2714899999999999E-3</v>
      </c>
      <c r="AJ73" s="8">
        <v>13954.25</v>
      </c>
      <c r="AK73" s="7">
        <v>1.3100200000000001E-3</v>
      </c>
      <c r="AM73" s="8">
        <v>15074.25</v>
      </c>
      <c r="AN73" s="7">
        <v>1.8264100000000001E-3</v>
      </c>
    </row>
    <row r="74" spans="2:40" ht="14" x14ac:dyDescent="0.15">
      <c r="B74" s="325" t="s">
        <v>41</v>
      </c>
      <c r="C74" s="326">
        <v>-3203314.0721999998</v>
      </c>
      <c r="D74" s="327">
        <v>-2.9490659999999998E-2</v>
      </c>
      <c r="F74" s="326">
        <v>-248278.88</v>
      </c>
      <c r="G74" s="327">
        <v>-4.22453E-2</v>
      </c>
      <c r="I74" s="326">
        <v>-247914.05</v>
      </c>
      <c r="J74" s="327">
        <v>-3.6244800000000001E-2</v>
      </c>
      <c r="L74" s="326">
        <v>-237771.16</v>
      </c>
      <c r="M74" s="327">
        <v>-2.466488E-2</v>
      </c>
      <c r="O74" s="326">
        <v>-267284.78000000003</v>
      </c>
      <c r="P74" s="327">
        <v>-3.8601469999999999E-2</v>
      </c>
      <c r="R74" s="326">
        <v>-244747.44</v>
      </c>
      <c r="S74" s="327">
        <v>-2.3937219999999999E-2</v>
      </c>
      <c r="U74" s="326">
        <v>-353022.13</v>
      </c>
      <c r="V74" s="327">
        <v>-4.2200670000000003E-2</v>
      </c>
      <c r="X74" s="326">
        <v>-285414.54320000001</v>
      </c>
      <c r="Y74" s="327">
        <v>-3.417013E-2</v>
      </c>
      <c r="AA74" s="326">
        <v>-271375.69620000001</v>
      </c>
      <c r="AB74" s="327">
        <v>-2.9993120000000002E-2</v>
      </c>
      <c r="AD74" s="326">
        <v>-257746.86319999999</v>
      </c>
      <c r="AE74" s="327">
        <v>-2.0701259999999999E-2</v>
      </c>
      <c r="AG74" s="326">
        <v>-275712.43320000003</v>
      </c>
      <c r="AH74" s="327">
        <v>-2.2989079999999999E-2</v>
      </c>
      <c r="AJ74" s="326">
        <v>-256241.47320000001</v>
      </c>
      <c r="AK74" s="327">
        <v>-2.4055839999999998E-2</v>
      </c>
      <c r="AM74" s="326">
        <v>-257804.6232</v>
      </c>
      <c r="AN74" s="327">
        <v>-3.1235869999999999E-2</v>
      </c>
    </row>
    <row r="75" spans="2:40" x14ac:dyDescent="0.15">
      <c r="B75" s="8"/>
      <c r="C75" s="8"/>
      <c r="D75" s="8"/>
      <c r="F75" s="8"/>
      <c r="G75" s="8"/>
      <c r="I75" s="8"/>
      <c r="J75" s="8"/>
      <c r="L75" s="8"/>
      <c r="M75" s="8"/>
      <c r="O75" s="8"/>
      <c r="P75" s="8"/>
      <c r="R75" s="8"/>
      <c r="S75" s="8"/>
      <c r="U75" s="8"/>
      <c r="V75" s="8"/>
      <c r="X75" s="8"/>
      <c r="Y75" s="8"/>
      <c r="AA75" s="8"/>
      <c r="AB75" s="8"/>
      <c r="AD75" s="8"/>
      <c r="AE75" s="8"/>
      <c r="AG75" s="8"/>
      <c r="AH75" s="8"/>
      <c r="AJ75" s="8"/>
      <c r="AK75" s="8"/>
      <c r="AM75" s="8"/>
      <c r="AN75" s="8"/>
    </row>
    <row r="76" spans="2:40" ht="14" x14ac:dyDescent="0.15">
      <c r="B76" s="328" t="s">
        <v>57</v>
      </c>
      <c r="C76" s="329"/>
      <c r="D76" s="329"/>
      <c r="F76" s="329"/>
      <c r="G76" s="329"/>
      <c r="I76" s="329"/>
      <c r="J76" s="329"/>
      <c r="L76" s="329"/>
      <c r="M76" s="329"/>
      <c r="O76" s="329"/>
      <c r="P76" s="329"/>
      <c r="R76" s="329"/>
      <c r="S76" s="329"/>
      <c r="U76" s="329"/>
      <c r="V76" s="329"/>
      <c r="X76" s="329"/>
      <c r="Y76" s="329"/>
      <c r="AA76" s="329"/>
      <c r="AB76" s="329"/>
      <c r="AD76" s="329"/>
      <c r="AE76" s="329"/>
      <c r="AG76" s="329"/>
      <c r="AH76" s="329"/>
      <c r="AJ76" s="329"/>
      <c r="AK76" s="329"/>
      <c r="AM76" s="329"/>
      <c r="AN76" s="329"/>
    </row>
    <row r="77" spans="2:40" ht="14" x14ac:dyDescent="0.15">
      <c r="B77" s="5" t="s">
        <v>22</v>
      </c>
      <c r="C77" s="8">
        <v>5739337.7736999998</v>
      </c>
      <c r="D77" s="7">
        <v>5.2838049999999998E-2</v>
      </c>
      <c r="F77" s="8">
        <v>428938.42</v>
      </c>
      <c r="G77" s="7">
        <v>7.298499E-2</v>
      </c>
      <c r="I77" s="8">
        <v>801984.58</v>
      </c>
      <c r="J77" s="7">
        <v>0.11724939</v>
      </c>
      <c r="L77" s="8">
        <v>478913.73</v>
      </c>
      <c r="M77" s="7">
        <v>4.9679479999999998E-2</v>
      </c>
      <c r="O77" s="8">
        <v>360258.16</v>
      </c>
      <c r="P77" s="7">
        <v>5.202876E-2</v>
      </c>
      <c r="R77" s="8">
        <v>410717.52</v>
      </c>
      <c r="S77" s="7">
        <v>4.0169719999999999E-2</v>
      </c>
      <c r="U77" s="8">
        <v>378220.43</v>
      </c>
      <c r="V77" s="7">
        <v>4.5212899999999993E-2</v>
      </c>
      <c r="X77" s="8">
        <v>465817.092</v>
      </c>
      <c r="Y77" s="7">
        <v>5.5768110000000003E-2</v>
      </c>
      <c r="AA77" s="8">
        <v>463786.32459999999</v>
      </c>
      <c r="AB77" s="7">
        <v>5.1258819999999997E-2</v>
      </c>
      <c r="AD77" s="8">
        <v>505361.8763</v>
      </c>
      <c r="AE77" s="7">
        <v>4.0588770000000003E-2</v>
      </c>
      <c r="AG77" s="8">
        <v>502447.85629999998</v>
      </c>
      <c r="AH77" s="7">
        <v>4.1894430000000003E-2</v>
      </c>
      <c r="AJ77" s="8">
        <v>497613.92359999998</v>
      </c>
      <c r="AK77" s="7">
        <v>4.6715790000000007E-2</v>
      </c>
      <c r="AM77" s="8">
        <v>445277.86090000003</v>
      </c>
      <c r="AN77" s="7">
        <v>5.3950320000000003E-2</v>
      </c>
    </row>
    <row r="78" spans="2:40" ht="14" x14ac:dyDescent="0.15">
      <c r="B78" s="5" t="s">
        <v>40</v>
      </c>
      <c r="C78" s="8">
        <v>5874652.2812999999</v>
      </c>
      <c r="D78" s="7">
        <v>5.4083800000000001E-2</v>
      </c>
      <c r="F78" s="8">
        <v>324685.12</v>
      </c>
      <c r="G78" s="7">
        <v>5.524602E-2</v>
      </c>
      <c r="I78" s="8">
        <v>392191.79</v>
      </c>
      <c r="J78" s="7">
        <v>5.7338069999999998E-2</v>
      </c>
      <c r="L78" s="8">
        <v>417639.25</v>
      </c>
      <c r="M78" s="7">
        <v>4.3323260000000002E-2</v>
      </c>
      <c r="O78" s="8">
        <v>392877.72</v>
      </c>
      <c r="P78" s="7">
        <v>5.6739699999999997E-2</v>
      </c>
      <c r="R78" s="8">
        <v>485741.21</v>
      </c>
      <c r="S78" s="7">
        <v>4.7507319999999999E-2</v>
      </c>
      <c r="U78" s="8">
        <v>362723.1</v>
      </c>
      <c r="V78" s="7">
        <v>4.3360330000000002E-2</v>
      </c>
      <c r="X78" s="8">
        <v>503097.57699999999</v>
      </c>
      <c r="Y78" s="7">
        <v>6.0231369999999999E-2</v>
      </c>
      <c r="AA78" s="8">
        <v>622244.14450000005</v>
      </c>
      <c r="AB78" s="7">
        <v>6.8771979999999996E-2</v>
      </c>
      <c r="AD78" s="8">
        <v>646737.50049999997</v>
      </c>
      <c r="AE78" s="7">
        <v>5.1943530000000002E-2</v>
      </c>
      <c r="AG78" s="8">
        <v>640640.78359999997</v>
      </c>
      <c r="AH78" s="7">
        <v>5.3417050000000001E-2</v>
      </c>
      <c r="AJ78" s="8">
        <v>589428.08970000001</v>
      </c>
      <c r="AK78" s="7">
        <v>5.5335259999999997E-2</v>
      </c>
      <c r="AM78" s="8">
        <v>496645.99599999998</v>
      </c>
      <c r="AN78" s="7">
        <v>6.0174139999999987E-2</v>
      </c>
    </row>
    <row r="79" spans="2:40" ht="14" x14ac:dyDescent="0.15">
      <c r="B79" s="325" t="s">
        <v>41</v>
      </c>
      <c r="C79" s="326">
        <v>-11613990.055500001</v>
      </c>
      <c r="D79" s="327">
        <v>-0.10692185</v>
      </c>
      <c r="F79" s="326">
        <v>-753623.54</v>
      </c>
      <c r="G79" s="327">
        <v>-0.12823101000000001</v>
      </c>
      <c r="I79" s="326">
        <v>-1194176.3700000001</v>
      </c>
      <c r="J79" s="327">
        <v>-0.17458746</v>
      </c>
      <c r="L79" s="326">
        <v>-896552.98</v>
      </c>
      <c r="M79" s="327">
        <v>-9.300274E-2</v>
      </c>
      <c r="O79" s="326">
        <v>-753135.88</v>
      </c>
      <c r="P79" s="327">
        <v>-0.10876846</v>
      </c>
      <c r="R79" s="326">
        <v>-896458.73</v>
      </c>
      <c r="S79" s="327">
        <v>-8.7677039999999998E-2</v>
      </c>
      <c r="U79" s="326">
        <v>-740943.53</v>
      </c>
      <c r="V79" s="327">
        <v>-8.8573239999999998E-2</v>
      </c>
      <c r="X79" s="326">
        <v>-968914.66899999999</v>
      </c>
      <c r="Y79" s="327">
        <v>-0.11599946999999999</v>
      </c>
      <c r="AA79" s="326">
        <v>-1086030.4691000001</v>
      </c>
      <c r="AB79" s="327">
        <v>-0.12003080000000001</v>
      </c>
      <c r="AD79" s="326">
        <v>-1152099.3770999999</v>
      </c>
      <c r="AE79" s="327">
        <v>-9.2532289999999989E-2</v>
      </c>
      <c r="AG79" s="326">
        <v>-1143088.6401</v>
      </c>
      <c r="AH79" s="327">
        <v>-9.5311480000000004E-2</v>
      </c>
      <c r="AJ79" s="326">
        <v>-1087042.0131999999</v>
      </c>
      <c r="AK79" s="327">
        <v>-0.10205105</v>
      </c>
      <c r="AM79" s="326">
        <v>-941923.85699999996</v>
      </c>
      <c r="AN79" s="327">
        <v>-0.11412446</v>
      </c>
    </row>
    <row r="80" spans="2:40" x14ac:dyDescent="0.15">
      <c r="B80" s="8"/>
      <c r="C80" s="8"/>
      <c r="D80" s="8"/>
      <c r="F80" s="8"/>
      <c r="G80" s="8"/>
      <c r="I80" s="8"/>
      <c r="J80" s="8"/>
      <c r="L80" s="8"/>
      <c r="M80" s="8"/>
      <c r="O80" s="8"/>
      <c r="P80" s="8"/>
      <c r="R80" s="8"/>
      <c r="S80" s="8"/>
      <c r="U80" s="8"/>
      <c r="V80" s="8"/>
      <c r="X80" s="8"/>
      <c r="Y80" s="8"/>
      <c r="AA80" s="8"/>
      <c r="AB80" s="8"/>
      <c r="AD80" s="8"/>
      <c r="AE80" s="8"/>
      <c r="AG80" s="8"/>
      <c r="AH80" s="8"/>
      <c r="AJ80" s="8"/>
      <c r="AK80" s="8"/>
      <c r="AM80" s="8"/>
      <c r="AN80" s="8"/>
    </row>
    <row r="81" spans="2:40" ht="14" x14ac:dyDescent="0.15">
      <c r="B81" s="328" t="s">
        <v>58</v>
      </c>
      <c r="C81" s="329"/>
      <c r="D81" s="329"/>
      <c r="F81" s="329"/>
      <c r="G81" s="329"/>
      <c r="I81" s="329"/>
      <c r="J81" s="329"/>
      <c r="L81" s="329"/>
      <c r="M81" s="329"/>
      <c r="O81" s="329"/>
      <c r="P81" s="329"/>
      <c r="R81" s="329"/>
      <c r="S81" s="329"/>
      <c r="U81" s="329"/>
      <c r="V81" s="329"/>
      <c r="X81" s="329"/>
      <c r="Y81" s="329"/>
      <c r="AA81" s="329"/>
      <c r="AB81" s="329"/>
      <c r="AD81" s="329"/>
      <c r="AE81" s="329"/>
      <c r="AG81" s="329"/>
      <c r="AH81" s="329"/>
      <c r="AJ81" s="329"/>
      <c r="AK81" s="329"/>
      <c r="AM81" s="329"/>
      <c r="AN81" s="329"/>
    </row>
    <row r="82" spans="2:40" ht="14" x14ac:dyDescent="0.15">
      <c r="B82" s="5" t="s">
        <v>22</v>
      </c>
      <c r="C82" s="8">
        <v>1802176.0333</v>
      </c>
      <c r="D82" s="7">
        <v>1.6591370000000001E-2</v>
      </c>
      <c r="F82" s="8">
        <v>141848.97</v>
      </c>
      <c r="G82" s="7">
        <v>2.413597E-2</v>
      </c>
      <c r="I82" s="8">
        <v>146924.6</v>
      </c>
      <c r="J82" s="7">
        <v>2.1480240000000001E-2</v>
      </c>
      <c r="L82" s="8">
        <v>153024.71</v>
      </c>
      <c r="M82" s="7">
        <v>1.587382E-2</v>
      </c>
      <c r="O82" s="8">
        <v>139035.51</v>
      </c>
      <c r="P82" s="7">
        <v>2.0079610000000001E-2</v>
      </c>
      <c r="R82" s="8">
        <v>149684.25</v>
      </c>
      <c r="S82" s="7">
        <v>1.463968E-2</v>
      </c>
      <c r="U82" s="8">
        <v>150836.89000000001</v>
      </c>
      <c r="V82" s="7">
        <v>1.8031209999999999E-2</v>
      </c>
      <c r="X82" s="8">
        <v>153562.67000000001</v>
      </c>
      <c r="Y82" s="7">
        <v>1.838468E-2</v>
      </c>
      <c r="AA82" s="8">
        <v>142266.3322</v>
      </c>
      <c r="AB82" s="7">
        <v>1.5723629999999999E-2</v>
      </c>
      <c r="AD82" s="8">
        <v>151271.03890000001</v>
      </c>
      <c r="AE82" s="7">
        <v>1.214952E-2</v>
      </c>
      <c r="AG82" s="8">
        <v>153483.67370000001</v>
      </c>
      <c r="AH82" s="7">
        <v>1.2797569999999999E-2</v>
      </c>
      <c r="AJ82" s="8">
        <v>171898.88089999999</v>
      </c>
      <c r="AK82" s="7">
        <v>1.6137800000000001E-2</v>
      </c>
      <c r="AM82" s="8">
        <v>148338.50760000001</v>
      </c>
      <c r="AN82" s="7">
        <v>1.7972849999999999E-2</v>
      </c>
    </row>
    <row r="83" spans="2:40" ht="14" x14ac:dyDescent="0.15">
      <c r="B83" s="5" t="s">
        <v>40</v>
      </c>
      <c r="C83" s="8">
        <v>3148260.3097999999</v>
      </c>
      <c r="D83" s="7">
        <v>2.898382E-2</v>
      </c>
      <c r="F83" s="8">
        <v>225801.19</v>
      </c>
      <c r="G83" s="7">
        <v>3.8420660000000002E-2</v>
      </c>
      <c r="I83" s="8">
        <v>281939.90999999997</v>
      </c>
      <c r="J83" s="7">
        <v>4.1219349999999988E-2</v>
      </c>
      <c r="L83" s="8">
        <v>256058.78</v>
      </c>
      <c r="M83" s="7">
        <v>2.6561919999999999E-2</v>
      </c>
      <c r="O83" s="8">
        <v>263668.53999999998</v>
      </c>
      <c r="P83" s="7">
        <v>3.8079210000000002E-2</v>
      </c>
      <c r="R83" s="8">
        <v>259172</v>
      </c>
      <c r="S83" s="7">
        <v>2.5347999999999999E-2</v>
      </c>
      <c r="U83" s="8">
        <v>244026.42</v>
      </c>
      <c r="V83" s="7">
        <v>2.9171200000000001E-2</v>
      </c>
      <c r="X83" s="8">
        <v>298662.16330000001</v>
      </c>
      <c r="Y83" s="7">
        <v>3.575615E-2</v>
      </c>
      <c r="AA83" s="8">
        <v>252073.73329999999</v>
      </c>
      <c r="AB83" s="7">
        <v>2.785982E-2</v>
      </c>
      <c r="AD83" s="8">
        <v>317393.7733</v>
      </c>
      <c r="AE83" s="7">
        <v>2.5491880000000001E-2</v>
      </c>
      <c r="AG83" s="8">
        <v>285672.24329999997</v>
      </c>
      <c r="AH83" s="7">
        <v>2.381954E-2</v>
      </c>
      <c r="AJ83" s="8">
        <v>229464.1833</v>
      </c>
      <c r="AK83" s="7">
        <v>2.1541999999999999E-2</v>
      </c>
      <c r="AM83" s="8">
        <v>234327.37330000001</v>
      </c>
      <c r="AN83" s="7">
        <v>2.8391340000000001E-2</v>
      </c>
    </row>
    <row r="84" spans="2:40" ht="14" x14ac:dyDescent="0.15">
      <c r="B84" s="325" t="s">
        <v>41</v>
      </c>
      <c r="C84" s="326">
        <v>-4950436.3431000002</v>
      </c>
      <c r="D84" s="327">
        <v>-4.5575190000000002E-2</v>
      </c>
      <c r="F84" s="326">
        <v>-367650.16</v>
      </c>
      <c r="G84" s="327">
        <v>-6.2556639999999997E-2</v>
      </c>
      <c r="I84" s="326">
        <v>-428864.51</v>
      </c>
      <c r="J84" s="327">
        <v>-6.2699589999999999E-2</v>
      </c>
      <c r="L84" s="326">
        <v>-409083.49</v>
      </c>
      <c r="M84" s="327">
        <v>-4.243574E-2</v>
      </c>
      <c r="O84" s="326">
        <v>-402704.05</v>
      </c>
      <c r="P84" s="327">
        <v>-5.8158830000000002E-2</v>
      </c>
      <c r="R84" s="326">
        <v>-408856.25</v>
      </c>
      <c r="S84" s="327">
        <v>-3.9987679999999998E-2</v>
      </c>
      <c r="U84" s="326">
        <v>-394863.31</v>
      </c>
      <c r="V84" s="327">
        <v>-4.720241E-2</v>
      </c>
      <c r="X84" s="326">
        <v>-452224.8333</v>
      </c>
      <c r="Y84" s="327">
        <v>-5.4140830000000001E-2</v>
      </c>
      <c r="AA84" s="326">
        <v>-394340.06550000003</v>
      </c>
      <c r="AB84" s="327">
        <v>-4.3583450000000003E-2</v>
      </c>
      <c r="AD84" s="326">
        <v>-468664.81219999999</v>
      </c>
      <c r="AE84" s="327">
        <v>-3.7641399999999998E-2</v>
      </c>
      <c r="AG84" s="326">
        <v>-439155.91700000002</v>
      </c>
      <c r="AH84" s="327">
        <v>-3.6617110000000001E-2</v>
      </c>
      <c r="AJ84" s="326">
        <v>-401363.06420000002</v>
      </c>
      <c r="AK84" s="327">
        <v>-3.7679799999999999E-2</v>
      </c>
      <c r="AM84" s="326">
        <v>-382665.88089999999</v>
      </c>
      <c r="AN84" s="327">
        <v>-4.636419E-2</v>
      </c>
    </row>
    <row r="85" spans="2:40" x14ac:dyDescent="0.15">
      <c r="B85" s="8"/>
      <c r="C85" s="8"/>
      <c r="D85" s="8"/>
      <c r="F85" s="8"/>
      <c r="G85" s="8"/>
      <c r="I85" s="8"/>
      <c r="J85" s="8"/>
      <c r="L85" s="8"/>
      <c r="M85" s="8"/>
      <c r="O85" s="8"/>
      <c r="P85" s="8"/>
      <c r="R85" s="8"/>
      <c r="S85" s="8"/>
      <c r="U85" s="8"/>
      <c r="V85" s="8"/>
      <c r="X85" s="8"/>
      <c r="Y85" s="8"/>
      <c r="AA85" s="8"/>
      <c r="AB85" s="8"/>
      <c r="AD85" s="8"/>
      <c r="AE85" s="8"/>
      <c r="AG85" s="8"/>
      <c r="AH85" s="8"/>
      <c r="AJ85" s="8"/>
      <c r="AK85" s="8"/>
      <c r="AM85" s="8"/>
      <c r="AN85" s="8"/>
    </row>
    <row r="86" spans="2:40" ht="14" x14ac:dyDescent="0.15">
      <c r="B86" s="328" t="s">
        <v>59</v>
      </c>
      <c r="C86" s="329"/>
      <c r="D86" s="329"/>
      <c r="F86" s="329"/>
      <c r="G86" s="329"/>
      <c r="I86" s="329"/>
      <c r="J86" s="329"/>
      <c r="L86" s="329"/>
      <c r="M86" s="329"/>
      <c r="O86" s="329"/>
      <c r="P86" s="329"/>
      <c r="R86" s="329"/>
      <c r="S86" s="329"/>
      <c r="U86" s="329"/>
      <c r="V86" s="329"/>
      <c r="X86" s="329"/>
      <c r="Y86" s="329"/>
      <c r="AA86" s="329"/>
      <c r="AB86" s="329"/>
      <c r="AD86" s="329"/>
      <c r="AE86" s="329"/>
      <c r="AG86" s="329"/>
      <c r="AH86" s="329"/>
      <c r="AJ86" s="329"/>
      <c r="AK86" s="329"/>
      <c r="AM86" s="329"/>
      <c r="AN86" s="329"/>
    </row>
    <row r="87" spans="2:40" ht="14" x14ac:dyDescent="0.15">
      <c r="B87" s="325" t="s">
        <v>41</v>
      </c>
      <c r="C87" s="326">
        <v>-4532319.4550000001</v>
      </c>
      <c r="D87" s="327">
        <v>-4.172588E-2</v>
      </c>
      <c r="F87" s="326">
        <v>-466143.3</v>
      </c>
      <c r="G87" s="327">
        <v>-7.9315499999999997E-2</v>
      </c>
      <c r="I87" s="326">
        <v>-362442.26</v>
      </c>
      <c r="J87" s="327">
        <v>-5.2988720000000003E-2</v>
      </c>
      <c r="L87" s="326">
        <v>-384952.75</v>
      </c>
      <c r="M87" s="327">
        <v>-3.9932570000000001E-2</v>
      </c>
      <c r="O87" s="326">
        <v>-378486.45</v>
      </c>
      <c r="P87" s="327">
        <v>-5.4661300000000003E-2</v>
      </c>
      <c r="R87" s="326">
        <v>-356729.16</v>
      </c>
      <c r="S87" s="327">
        <v>-3.4889459999999997E-2</v>
      </c>
      <c r="U87" s="326">
        <v>-219243.27</v>
      </c>
      <c r="V87" s="327">
        <v>-2.620859E-2</v>
      </c>
      <c r="X87" s="326">
        <v>-370070.1998</v>
      </c>
      <c r="Y87" s="327">
        <v>-4.4305190000000001E-2</v>
      </c>
      <c r="AA87" s="326">
        <v>-363286.12219999998</v>
      </c>
      <c r="AB87" s="327">
        <v>-4.0151289999999999E-2</v>
      </c>
      <c r="AD87" s="326">
        <v>-419586.50060000003</v>
      </c>
      <c r="AE87" s="327">
        <v>-3.3699609999999998E-2</v>
      </c>
      <c r="AG87" s="326">
        <v>-408091.35230000003</v>
      </c>
      <c r="AH87" s="327">
        <v>-3.4026920000000002E-2</v>
      </c>
      <c r="AJ87" s="326">
        <v>-432282.85710000002</v>
      </c>
      <c r="AK87" s="327">
        <v>-4.0582529999999999E-2</v>
      </c>
      <c r="AM87" s="326">
        <v>-371005.23300000001</v>
      </c>
      <c r="AN87" s="327">
        <v>-4.4951369999999997E-2</v>
      </c>
    </row>
    <row r="88" spans="2:40" x14ac:dyDescent="0.15">
      <c r="B88" s="8"/>
      <c r="C88" s="8"/>
      <c r="D88" s="8"/>
      <c r="F88" s="8"/>
      <c r="G88" s="8"/>
      <c r="I88" s="8"/>
      <c r="J88" s="8"/>
      <c r="L88" s="8"/>
      <c r="M88" s="8"/>
      <c r="O88" s="8"/>
      <c r="P88" s="8"/>
      <c r="R88" s="8"/>
      <c r="S88" s="8"/>
      <c r="U88" s="8"/>
      <c r="V88" s="8"/>
      <c r="X88" s="8"/>
      <c r="Y88" s="8"/>
      <c r="AA88" s="8"/>
      <c r="AB88" s="8"/>
      <c r="AD88" s="8"/>
      <c r="AE88" s="8"/>
      <c r="AG88" s="8"/>
      <c r="AH88" s="8"/>
      <c r="AJ88" s="8"/>
      <c r="AK88" s="8"/>
      <c r="AM88" s="8"/>
      <c r="AN88" s="8"/>
    </row>
    <row r="89" spans="2:40" ht="14" x14ac:dyDescent="0.15">
      <c r="B89" s="325" t="s">
        <v>23</v>
      </c>
      <c r="C89" s="326">
        <v>21106432.138799999</v>
      </c>
      <c r="D89" s="327">
        <v>0.19431208999999999</v>
      </c>
      <c r="F89" s="326">
        <v>-220132.82</v>
      </c>
      <c r="G89" s="327">
        <v>-3.7456169999999997E-2</v>
      </c>
      <c r="I89" s="326">
        <v>-444098.16</v>
      </c>
      <c r="J89" s="327">
        <v>-6.4926730000000002E-2</v>
      </c>
      <c r="L89" s="326">
        <v>1287426.1299999999</v>
      </c>
      <c r="M89" s="327">
        <v>0.13354944999999999</v>
      </c>
      <c r="O89" s="326">
        <v>390936.21</v>
      </c>
      <c r="P89" s="327">
        <v>5.6459299999999997E-2</v>
      </c>
      <c r="R89" s="326">
        <v>2950728.41</v>
      </c>
      <c r="S89" s="327">
        <v>0.28859236999999999</v>
      </c>
      <c r="U89" s="326">
        <v>1516398.53</v>
      </c>
      <c r="V89" s="327">
        <v>0.18127202000000001</v>
      </c>
      <c r="X89" s="326">
        <v>1489843.6224</v>
      </c>
      <c r="Y89" s="327">
        <v>0.17836563</v>
      </c>
      <c r="AA89" s="326">
        <v>1981906.7641</v>
      </c>
      <c r="AB89" s="327">
        <v>0.21904528000000001</v>
      </c>
      <c r="AD89" s="326">
        <v>4231997.1041999999</v>
      </c>
      <c r="AE89" s="327">
        <v>0.33989810999999998</v>
      </c>
      <c r="AG89" s="326">
        <v>4108946.6028999998</v>
      </c>
      <c r="AH89" s="327">
        <v>0.34260665000000001</v>
      </c>
      <c r="AJ89" s="326">
        <v>2757120.6066000001</v>
      </c>
      <c r="AK89" s="327">
        <v>0.25883732999999998</v>
      </c>
      <c r="AM89" s="326">
        <v>1055359.1385999999</v>
      </c>
      <c r="AN89" s="327">
        <v>0.12786839</v>
      </c>
    </row>
    <row r="90" spans="2:40" x14ac:dyDescent="0.15">
      <c r="B90" s="8"/>
      <c r="C90" s="8"/>
      <c r="D90" s="8"/>
      <c r="F90" s="8"/>
      <c r="G90" s="8"/>
      <c r="I90" s="8"/>
      <c r="J90" s="8"/>
      <c r="L90" s="8"/>
      <c r="M90" s="8"/>
      <c r="O90" s="8"/>
      <c r="P90" s="8"/>
      <c r="R90" s="8"/>
      <c r="S90" s="8"/>
      <c r="U90" s="8"/>
      <c r="V90" s="8"/>
      <c r="X90" s="8"/>
      <c r="Y90" s="8"/>
      <c r="AA90" s="8"/>
      <c r="AB90" s="8"/>
      <c r="AD90" s="8"/>
      <c r="AE90" s="8"/>
      <c r="AG90" s="8"/>
      <c r="AH90" s="8"/>
      <c r="AJ90" s="8"/>
      <c r="AK90" s="8"/>
      <c r="AM90" s="8"/>
      <c r="AN90" s="8"/>
    </row>
    <row r="91" spans="2:40" ht="14" x14ac:dyDescent="0.15">
      <c r="B91" s="325" t="s">
        <v>60</v>
      </c>
      <c r="C91" s="326">
        <v>5628700.3600000003</v>
      </c>
      <c r="D91" s="327">
        <v>5.1819490000000003E-2</v>
      </c>
      <c r="F91" s="326">
        <v>22394.720000000001</v>
      </c>
      <c r="G91" s="327">
        <v>3.81052E-3</v>
      </c>
      <c r="I91" s="326">
        <v>1043040.29</v>
      </c>
      <c r="J91" s="327">
        <v>0.1524915</v>
      </c>
      <c r="L91" s="326">
        <v>468893.8</v>
      </c>
      <c r="M91" s="327">
        <v>4.8640080000000002E-2</v>
      </c>
      <c r="O91" s="326">
        <v>605920.55000000005</v>
      </c>
      <c r="P91" s="327">
        <v>8.7507509999999997E-2</v>
      </c>
      <c r="R91" s="326">
        <v>319524.53999999998</v>
      </c>
      <c r="S91" s="327">
        <v>3.1250710000000001E-2</v>
      </c>
      <c r="U91" s="326">
        <v>-210927.54</v>
      </c>
      <c r="V91" s="327">
        <v>-2.5214520000000001E-2</v>
      </c>
      <c r="X91" s="326">
        <v>688309</v>
      </c>
      <c r="Y91" s="327">
        <v>8.2405069999999997E-2</v>
      </c>
      <c r="AA91" s="326">
        <v>538309</v>
      </c>
      <c r="AB91" s="327">
        <v>5.9495250000000013E-2</v>
      </c>
      <c r="AD91" s="326">
        <v>538309</v>
      </c>
      <c r="AE91" s="327">
        <v>4.3234960000000003E-2</v>
      </c>
      <c r="AG91" s="326">
        <v>538309</v>
      </c>
      <c r="AH91" s="327">
        <v>4.4884559999999997E-2</v>
      </c>
      <c r="AJ91" s="326">
        <v>538309</v>
      </c>
      <c r="AK91" s="327">
        <v>5.053622E-2</v>
      </c>
      <c r="AM91" s="326">
        <v>538309</v>
      </c>
      <c r="AN91" s="327">
        <v>6.5222069999999993E-2</v>
      </c>
    </row>
    <row r="92" spans="2:40" ht="14" x14ac:dyDescent="0.15">
      <c r="B92" s="5" t="s">
        <v>61</v>
      </c>
      <c r="C92" s="8">
        <v>4570015.6100000003</v>
      </c>
      <c r="D92" s="7">
        <v>4.207292E-2</v>
      </c>
      <c r="F92" s="8">
        <v>22188.53</v>
      </c>
      <c r="G92" s="7">
        <v>3.7754400000000001E-3</v>
      </c>
      <c r="I92" s="8">
        <v>910556.49</v>
      </c>
      <c r="J92" s="7">
        <v>0.1331225</v>
      </c>
      <c r="L92" s="8">
        <v>382931.89</v>
      </c>
      <c r="M92" s="7">
        <v>3.9722929999999997E-2</v>
      </c>
      <c r="O92" s="8">
        <v>528224.35</v>
      </c>
      <c r="P92" s="7">
        <v>7.6286560000000003E-2</v>
      </c>
      <c r="R92" s="8">
        <v>237689.85</v>
      </c>
      <c r="S92" s="7">
        <v>2.3246960000000001E-2</v>
      </c>
      <c r="U92" s="8">
        <v>-300591.5</v>
      </c>
      <c r="V92" s="7">
        <v>-3.5933050000000001E-2</v>
      </c>
      <c r="X92" s="8">
        <v>464836</v>
      </c>
      <c r="Y92" s="7">
        <v>5.5650650000000003E-2</v>
      </c>
      <c r="AA92" s="8">
        <v>464836</v>
      </c>
      <c r="AB92" s="7">
        <v>5.1374830000000003E-2</v>
      </c>
      <c r="AD92" s="8">
        <v>464836</v>
      </c>
      <c r="AE92" s="7">
        <v>3.733388E-2</v>
      </c>
      <c r="AG92" s="8">
        <v>464836</v>
      </c>
      <c r="AH92" s="7">
        <v>3.8758330000000001E-2</v>
      </c>
      <c r="AJ92" s="8">
        <v>464836</v>
      </c>
      <c r="AK92" s="7">
        <v>4.3638610000000001E-2</v>
      </c>
      <c r="AM92" s="8">
        <v>464836</v>
      </c>
      <c r="AN92" s="7">
        <v>5.6320000000000002E-2</v>
      </c>
    </row>
    <row r="93" spans="2:40" ht="14" x14ac:dyDescent="0.15">
      <c r="B93" s="5" t="s">
        <v>62</v>
      </c>
      <c r="C93" s="8">
        <v>192353.75</v>
      </c>
      <c r="D93" s="7">
        <v>1.7708699999999999E-3</v>
      </c>
      <c r="F93" s="8">
        <v>206.19</v>
      </c>
      <c r="G93" s="7">
        <v>3.5080000000000003E-5</v>
      </c>
      <c r="I93" s="8">
        <v>3194.8</v>
      </c>
      <c r="J93" s="7">
        <v>4.6707999999999998E-4</v>
      </c>
      <c r="L93" s="8">
        <v>1660.91</v>
      </c>
      <c r="M93" s="7">
        <v>1.7228999999999999E-4</v>
      </c>
      <c r="O93" s="8">
        <v>1644.2</v>
      </c>
      <c r="P93" s="7">
        <v>2.3745999999999999E-4</v>
      </c>
      <c r="R93" s="8">
        <v>536.69000000000005</v>
      </c>
      <c r="S93" s="7">
        <v>5.2490000000000001E-5</v>
      </c>
      <c r="U93" s="8">
        <v>1318.96</v>
      </c>
      <c r="V93" s="7">
        <v>1.5767E-4</v>
      </c>
      <c r="X93" s="8">
        <v>155632</v>
      </c>
      <c r="Y93" s="7">
        <v>1.8632429999999998E-2</v>
      </c>
      <c r="AA93" s="8">
        <v>5632</v>
      </c>
      <c r="AB93" s="7">
        <v>6.2246000000000003E-4</v>
      </c>
      <c r="AD93" s="8">
        <v>5632</v>
      </c>
      <c r="AE93" s="7">
        <v>4.5234000000000002E-4</v>
      </c>
      <c r="AG93" s="8">
        <v>5632</v>
      </c>
      <c r="AH93" s="7">
        <v>4.6959999999999998E-4</v>
      </c>
      <c r="AJ93" s="8">
        <v>5632</v>
      </c>
      <c r="AK93" s="7">
        <v>5.2873000000000004E-4</v>
      </c>
      <c r="AM93" s="8">
        <v>5632</v>
      </c>
      <c r="AN93" s="7">
        <v>6.823799999999999E-4</v>
      </c>
    </row>
    <row r="94" spans="2:40" ht="14" x14ac:dyDescent="0.15">
      <c r="B94" s="5" t="s">
        <v>63</v>
      </c>
      <c r="C94" s="8">
        <v>866331</v>
      </c>
      <c r="D94" s="7">
        <v>7.9757000000000005E-3</v>
      </c>
      <c r="F94" s="8">
        <v>0</v>
      </c>
      <c r="G94" s="7">
        <v>0</v>
      </c>
      <c r="I94" s="8">
        <v>129289</v>
      </c>
      <c r="J94" s="7">
        <v>1.8901930000000001E-2</v>
      </c>
      <c r="L94" s="8">
        <v>84301</v>
      </c>
      <c r="M94" s="7">
        <v>8.7448500000000002E-3</v>
      </c>
      <c r="O94" s="8">
        <v>76052</v>
      </c>
      <c r="P94" s="7">
        <v>1.098349E-2</v>
      </c>
      <c r="R94" s="8">
        <v>81298</v>
      </c>
      <c r="S94" s="7">
        <v>7.95125E-3</v>
      </c>
      <c r="U94" s="8">
        <v>88345</v>
      </c>
      <c r="V94" s="7">
        <v>1.056086E-2</v>
      </c>
      <c r="X94" s="8">
        <v>67841</v>
      </c>
      <c r="Y94" s="7">
        <v>8.1220000000000007E-3</v>
      </c>
      <c r="AA94" s="8">
        <v>67841</v>
      </c>
      <c r="AB94" s="7">
        <v>7.4979600000000014E-3</v>
      </c>
      <c r="AD94" s="8">
        <v>67841</v>
      </c>
      <c r="AE94" s="7">
        <v>5.4487300000000006E-3</v>
      </c>
      <c r="AG94" s="8">
        <v>67841</v>
      </c>
      <c r="AH94" s="7">
        <v>5.6566300000000002E-3</v>
      </c>
      <c r="AJ94" s="8">
        <v>67841</v>
      </c>
      <c r="AK94" s="7">
        <v>6.3688800000000004E-3</v>
      </c>
      <c r="AM94" s="8">
        <v>67841</v>
      </c>
      <c r="AN94" s="7">
        <v>8.21968E-3</v>
      </c>
    </row>
    <row r="95" spans="2:40" ht="14" x14ac:dyDescent="0.15">
      <c r="B95" s="5" t="s">
        <v>64</v>
      </c>
      <c r="C95" s="8">
        <v>0</v>
      </c>
      <c r="D95" s="7">
        <v>0</v>
      </c>
      <c r="F95" s="8">
        <v>0</v>
      </c>
      <c r="G95" s="7">
        <v>0</v>
      </c>
      <c r="I95" s="8">
        <v>0</v>
      </c>
      <c r="J95" s="7">
        <v>0</v>
      </c>
      <c r="L95" s="8">
        <v>0</v>
      </c>
      <c r="M95" s="7">
        <v>0</v>
      </c>
      <c r="O95" s="8">
        <v>0</v>
      </c>
      <c r="P95" s="7">
        <v>0</v>
      </c>
      <c r="R95" s="8">
        <v>0</v>
      </c>
      <c r="S95" s="7">
        <v>0</v>
      </c>
      <c r="U95" s="8">
        <v>0</v>
      </c>
      <c r="V95" s="7">
        <v>0</v>
      </c>
      <c r="X95" s="8">
        <v>0</v>
      </c>
      <c r="Y95" s="7">
        <v>0</v>
      </c>
      <c r="AA95" s="8">
        <v>0</v>
      </c>
      <c r="AB95" s="7">
        <v>0</v>
      </c>
      <c r="AD95" s="8">
        <v>0</v>
      </c>
      <c r="AE95" s="7">
        <v>0</v>
      </c>
      <c r="AG95" s="8">
        <v>0</v>
      </c>
      <c r="AH95" s="7">
        <v>0</v>
      </c>
      <c r="AJ95" s="8">
        <v>0</v>
      </c>
      <c r="AK95" s="7">
        <v>0</v>
      </c>
      <c r="AM95" s="8">
        <v>0</v>
      </c>
      <c r="AN95" s="7">
        <v>0</v>
      </c>
    </row>
    <row r="96" spans="2:40" x14ac:dyDescent="0.15">
      <c r="B96" s="8"/>
      <c r="C96" s="8"/>
      <c r="D96" s="8"/>
      <c r="F96" s="8"/>
      <c r="G96" s="8"/>
      <c r="I96" s="8"/>
      <c r="J96" s="8"/>
      <c r="L96" s="8"/>
      <c r="M96" s="8"/>
      <c r="O96" s="8"/>
      <c r="P96" s="8"/>
      <c r="R96" s="8"/>
      <c r="S96" s="8"/>
      <c r="U96" s="8"/>
      <c r="V96" s="8"/>
      <c r="X96" s="8"/>
      <c r="Y96" s="8"/>
      <c r="AA96" s="8"/>
      <c r="AB96" s="8"/>
      <c r="AD96" s="8"/>
      <c r="AE96" s="8"/>
      <c r="AG96" s="8"/>
      <c r="AH96" s="8"/>
      <c r="AJ96" s="8"/>
      <c r="AK96" s="8"/>
      <c r="AM96" s="8"/>
      <c r="AN96" s="8"/>
    </row>
    <row r="97" spans="2:40" ht="14" x14ac:dyDescent="0.15">
      <c r="B97" s="325" t="s">
        <v>65</v>
      </c>
      <c r="C97" s="326">
        <v>6043236.1399999997</v>
      </c>
      <c r="D97" s="327">
        <v>5.5635829999999997E-2</v>
      </c>
      <c r="F97" s="326">
        <v>2255.91</v>
      </c>
      <c r="G97" s="327">
        <v>3.8384999999999998E-4</v>
      </c>
      <c r="I97" s="326">
        <v>946898.2</v>
      </c>
      <c r="J97" s="327">
        <v>0.13843562000000001</v>
      </c>
      <c r="L97" s="326">
        <v>471395.38</v>
      </c>
      <c r="M97" s="327">
        <v>4.8899579999999998E-2</v>
      </c>
      <c r="O97" s="326">
        <v>471378.67</v>
      </c>
      <c r="P97" s="327">
        <v>6.8076869999999998E-2</v>
      </c>
      <c r="R97" s="326">
        <v>470229.67</v>
      </c>
      <c r="S97" s="327">
        <v>4.5990240000000002E-2</v>
      </c>
      <c r="U97" s="326">
        <v>203966.31</v>
      </c>
      <c r="V97" s="327">
        <v>2.438237E-2</v>
      </c>
      <c r="X97" s="326">
        <v>707852</v>
      </c>
      <c r="Y97" s="327">
        <v>8.4744779999999992E-2</v>
      </c>
      <c r="AA97" s="326">
        <v>553852</v>
      </c>
      <c r="AB97" s="327">
        <v>6.1213099999999999E-2</v>
      </c>
      <c r="AD97" s="326">
        <v>553852</v>
      </c>
      <c r="AE97" s="327">
        <v>4.4483309999999998E-2</v>
      </c>
      <c r="AG97" s="326">
        <v>553852</v>
      </c>
      <c r="AH97" s="327">
        <v>4.6180539999999999E-2</v>
      </c>
      <c r="AJ97" s="326">
        <v>553852</v>
      </c>
      <c r="AK97" s="327">
        <v>5.1995390000000002E-2</v>
      </c>
      <c r="AM97" s="326">
        <v>553852</v>
      </c>
      <c r="AN97" s="327">
        <v>6.7105269999999995E-2</v>
      </c>
    </row>
    <row r="98" spans="2:40" ht="14" x14ac:dyDescent="0.15">
      <c r="B98" s="5" t="s">
        <v>66</v>
      </c>
      <c r="C98" s="8">
        <v>5245535.59</v>
      </c>
      <c r="D98" s="7">
        <v>4.8291959999999988E-2</v>
      </c>
      <c r="F98" s="8">
        <v>0</v>
      </c>
      <c r="G98" s="7">
        <v>0</v>
      </c>
      <c r="I98" s="8">
        <v>909673.82</v>
      </c>
      <c r="J98" s="7">
        <v>0.13299345000000001</v>
      </c>
      <c r="L98" s="8">
        <v>454836.91</v>
      </c>
      <c r="M98" s="7">
        <v>4.7181910000000001E-2</v>
      </c>
      <c r="O98" s="8">
        <v>454836.91</v>
      </c>
      <c r="P98" s="7">
        <v>6.5687889999999999E-2</v>
      </c>
      <c r="R98" s="8">
        <v>454836.91</v>
      </c>
      <c r="S98" s="7">
        <v>4.4484769999999993E-2</v>
      </c>
      <c r="U98" s="8">
        <v>187351.04000000001</v>
      </c>
      <c r="V98" s="7">
        <v>2.2396159999999998E-2</v>
      </c>
      <c r="X98" s="8">
        <v>464000</v>
      </c>
      <c r="Y98" s="7">
        <v>5.5550560000000013E-2</v>
      </c>
      <c r="AA98" s="8">
        <v>464000</v>
      </c>
      <c r="AB98" s="7">
        <v>5.1282439999999999E-2</v>
      </c>
      <c r="AD98" s="8">
        <v>464000</v>
      </c>
      <c r="AE98" s="7">
        <v>3.726674E-2</v>
      </c>
      <c r="AG98" s="8">
        <v>464000</v>
      </c>
      <c r="AH98" s="7">
        <v>3.868862E-2</v>
      </c>
      <c r="AJ98" s="8">
        <v>464000</v>
      </c>
      <c r="AK98" s="7">
        <v>4.3560130000000002E-2</v>
      </c>
      <c r="AM98" s="8">
        <v>464000</v>
      </c>
      <c r="AN98" s="7">
        <v>5.6218709999999998E-2</v>
      </c>
    </row>
    <row r="99" spans="2:40" ht="14" x14ac:dyDescent="0.15">
      <c r="B99" s="5" t="s">
        <v>67</v>
      </c>
      <c r="C99" s="8">
        <v>797700.55</v>
      </c>
      <c r="D99" s="7">
        <v>7.3438699999999997E-3</v>
      </c>
      <c r="F99" s="8">
        <v>2255.91</v>
      </c>
      <c r="G99" s="7">
        <v>3.8384999999999998E-4</v>
      </c>
      <c r="I99" s="8">
        <v>37224.379999999997</v>
      </c>
      <c r="J99" s="7">
        <v>5.4421699999999996E-3</v>
      </c>
      <c r="L99" s="8">
        <v>16558.47</v>
      </c>
      <c r="M99" s="7">
        <v>1.7176699999999999E-3</v>
      </c>
      <c r="O99" s="8">
        <v>16541.759999999998</v>
      </c>
      <c r="P99" s="7">
        <v>2.3889699999999998E-3</v>
      </c>
      <c r="R99" s="8">
        <v>15392.76</v>
      </c>
      <c r="S99" s="7">
        <v>1.5054700000000001E-3</v>
      </c>
      <c r="U99" s="8">
        <v>16615.27</v>
      </c>
      <c r="V99" s="7">
        <v>1.98621E-3</v>
      </c>
      <c r="X99" s="8">
        <v>243852</v>
      </c>
      <c r="Y99" s="7">
        <v>2.919422E-2</v>
      </c>
      <c r="AA99" s="8">
        <v>89852</v>
      </c>
      <c r="AB99" s="7">
        <v>9.9306700000000008E-3</v>
      </c>
      <c r="AD99" s="8">
        <v>89852</v>
      </c>
      <c r="AE99" s="7">
        <v>7.2165800000000002E-3</v>
      </c>
      <c r="AG99" s="8">
        <v>89852</v>
      </c>
      <c r="AH99" s="7">
        <v>7.49192E-3</v>
      </c>
      <c r="AJ99" s="8">
        <v>89852</v>
      </c>
      <c r="AK99" s="7">
        <v>8.4352699999999999E-3</v>
      </c>
      <c r="AM99" s="8">
        <v>89852</v>
      </c>
      <c r="AN99" s="7">
        <v>1.088656E-2</v>
      </c>
    </row>
    <row r="100" spans="2:40" x14ac:dyDescent="0.15">
      <c r="B100" s="8"/>
      <c r="C100" s="8"/>
      <c r="D100" s="8"/>
      <c r="F100" s="8"/>
      <c r="G100" s="8"/>
      <c r="I100" s="8"/>
      <c r="J100" s="8"/>
      <c r="L100" s="8"/>
      <c r="M100" s="8"/>
      <c r="O100" s="8"/>
      <c r="P100" s="8"/>
      <c r="R100" s="8"/>
      <c r="S100" s="8"/>
      <c r="U100" s="8"/>
      <c r="V100" s="8"/>
      <c r="X100" s="8"/>
      <c r="Y100" s="8"/>
      <c r="AA100" s="8"/>
      <c r="AB100" s="8"/>
      <c r="AD100" s="8"/>
      <c r="AE100" s="8"/>
      <c r="AG100" s="8"/>
      <c r="AH100" s="8"/>
      <c r="AJ100" s="8"/>
      <c r="AK100" s="8"/>
      <c r="AM100" s="8"/>
      <c r="AN100" s="8"/>
    </row>
    <row r="101" spans="2:40" ht="28" x14ac:dyDescent="0.15">
      <c r="B101" s="325" t="s">
        <v>68</v>
      </c>
      <c r="C101" s="326">
        <v>-414535.78</v>
      </c>
      <c r="D101" s="327">
        <v>-3.8163400000000001E-3</v>
      </c>
      <c r="F101" s="326">
        <v>20138.810000000001</v>
      </c>
      <c r="G101" s="327">
        <v>3.4266700000000001E-3</v>
      </c>
      <c r="I101" s="326">
        <v>96142.09</v>
      </c>
      <c r="J101" s="327">
        <v>1.405588E-2</v>
      </c>
      <c r="L101" s="326">
        <v>-2501.58</v>
      </c>
      <c r="M101" s="327">
        <v>-2.5950000000000002E-4</v>
      </c>
      <c r="O101" s="326">
        <v>134541.88</v>
      </c>
      <c r="P101" s="327">
        <v>1.9430639999999999E-2</v>
      </c>
      <c r="R101" s="326">
        <v>-150705.13</v>
      </c>
      <c r="S101" s="327">
        <v>-1.4739530000000001E-2</v>
      </c>
      <c r="U101" s="326">
        <v>-414893.85</v>
      </c>
      <c r="V101" s="327">
        <v>-4.9596889999999998E-2</v>
      </c>
      <c r="X101" s="326">
        <v>-19543</v>
      </c>
      <c r="Y101" s="327">
        <v>-2.3397100000000001E-3</v>
      </c>
      <c r="AA101" s="326">
        <v>-15543</v>
      </c>
      <c r="AB101" s="327">
        <v>-1.7178499999999999E-3</v>
      </c>
      <c r="AD101" s="326">
        <v>-15543</v>
      </c>
      <c r="AE101" s="327">
        <v>-1.24836E-3</v>
      </c>
      <c r="AG101" s="326">
        <v>-15543</v>
      </c>
      <c r="AH101" s="327">
        <v>-1.2959899999999999E-3</v>
      </c>
      <c r="AJ101" s="326">
        <v>-15543</v>
      </c>
      <c r="AK101" s="327">
        <v>-1.4591700000000001E-3</v>
      </c>
      <c r="AM101" s="326">
        <v>-15543</v>
      </c>
      <c r="AN101" s="327">
        <v>-1.88321E-3</v>
      </c>
    </row>
    <row r="102" spans="2:40" x14ac:dyDescent="0.15">
      <c r="B102" s="8"/>
      <c r="C102" s="8"/>
      <c r="D102" s="8"/>
      <c r="F102" s="8"/>
      <c r="G102" s="8"/>
      <c r="I102" s="8"/>
      <c r="J102" s="8"/>
      <c r="L102" s="8"/>
      <c r="M102" s="8"/>
      <c r="O102" s="8"/>
      <c r="P102" s="8"/>
      <c r="R102" s="8"/>
      <c r="S102" s="8"/>
      <c r="U102" s="8"/>
      <c r="V102" s="8"/>
      <c r="X102" s="8"/>
      <c r="Y102" s="8"/>
      <c r="AA102" s="8"/>
      <c r="AB102" s="8"/>
      <c r="AD102" s="8"/>
      <c r="AE102" s="8"/>
      <c r="AG102" s="8"/>
      <c r="AH102" s="8"/>
      <c r="AJ102" s="8"/>
      <c r="AK102" s="8"/>
      <c r="AM102" s="8"/>
      <c r="AN102" s="8"/>
    </row>
    <row r="103" spans="2:40" ht="14" x14ac:dyDescent="0.15">
      <c r="B103" s="325" t="s">
        <v>69</v>
      </c>
      <c r="C103" s="326">
        <v>20691896.358800001</v>
      </c>
      <c r="D103" s="327">
        <v>0.19049574999999999</v>
      </c>
      <c r="F103" s="326">
        <v>-199994.01</v>
      </c>
      <c r="G103" s="327">
        <v>-3.4029499999999997E-2</v>
      </c>
      <c r="I103" s="326">
        <v>-347956.07</v>
      </c>
      <c r="J103" s="327">
        <v>-5.0870850000000002E-2</v>
      </c>
      <c r="L103" s="326">
        <v>1284924.55</v>
      </c>
      <c r="M103" s="327">
        <v>0.13328994999999999</v>
      </c>
      <c r="O103" s="326">
        <v>525478.09</v>
      </c>
      <c r="P103" s="327">
        <v>7.5889949999999998E-2</v>
      </c>
      <c r="R103" s="326">
        <v>2800023.28</v>
      </c>
      <c r="S103" s="327">
        <v>0.27385283999999999</v>
      </c>
      <c r="U103" s="326">
        <v>1101504.68</v>
      </c>
      <c r="V103" s="327">
        <v>0.13167513</v>
      </c>
      <c r="X103" s="326">
        <v>1470300.6224</v>
      </c>
      <c r="Y103" s="327">
        <v>0.17602592</v>
      </c>
      <c r="AA103" s="326">
        <v>1966363.7641</v>
      </c>
      <c r="AB103" s="327">
        <v>0.21732742999999999</v>
      </c>
      <c r="AD103" s="326">
        <v>4216454.1041999999</v>
      </c>
      <c r="AE103" s="327">
        <v>0.33864975000000003</v>
      </c>
      <c r="AG103" s="326">
        <v>4093403.6028999998</v>
      </c>
      <c r="AH103" s="327">
        <v>0.34131065999999999</v>
      </c>
      <c r="AJ103" s="326">
        <v>2741577.6066000001</v>
      </c>
      <c r="AK103" s="327">
        <v>0.25737816000000002</v>
      </c>
      <c r="AM103" s="326">
        <v>1039816.1385999999</v>
      </c>
      <c r="AN103" s="327">
        <v>0.12598519</v>
      </c>
    </row>
    <row r="104" spans="2:40" x14ac:dyDescent="0.15">
      <c r="B104" s="8"/>
      <c r="C104" s="8"/>
      <c r="D104" s="8"/>
      <c r="F104" s="8"/>
      <c r="G104" s="8"/>
      <c r="I104" s="8"/>
      <c r="J104" s="8"/>
      <c r="L104" s="8"/>
      <c r="M104" s="8"/>
      <c r="O104" s="8"/>
      <c r="P104" s="8"/>
      <c r="R104" s="8"/>
      <c r="S104" s="8"/>
      <c r="U104" s="8"/>
      <c r="V104" s="8"/>
      <c r="X104" s="8"/>
      <c r="Y104" s="8"/>
      <c r="AA104" s="8"/>
      <c r="AB104" s="8"/>
      <c r="AD104" s="8"/>
      <c r="AE104" s="8"/>
      <c r="AG104" s="8"/>
      <c r="AH104" s="8"/>
      <c r="AJ104" s="8"/>
      <c r="AK104" s="8"/>
      <c r="AM104" s="8"/>
      <c r="AN104" s="8"/>
    </row>
    <row r="105" spans="2:40" ht="14" x14ac:dyDescent="0.15">
      <c r="B105" s="325" t="s">
        <v>70</v>
      </c>
      <c r="C105" s="326">
        <v>2084064.2</v>
      </c>
      <c r="D105" s="327">
        <v>1.918651E-2</v>
      </c>
      <c r="F105" s="326">
        <v>129397.9</v>
      </c>
      <c r="G105" s="327">
        <v>2.2017390000000001E-2</v>
      </c>
      <c r="I105" s="326">
        <v>117032.84</v>
      </c>
      <c r="J105" s="327">
        <v>1.7110090000000001E-2</v>
      </c>
      <c r="L105" s="326">
        <v>121952.61</v>
      </c>
      <c r="M105" s="327">
        <v>1.265059E-2</v>
      </c>
      <c r="O105" s="326">
        <v>232129.67</v>
      </c>
      <c r="P105" s="327">
        <v>3.352434E-2</v>
      </c>
      <c r="R105" s="326">
        <v>113980.37</v>
      </c>
      <c r="S105" s="327">
        <v>1.114771E-2</v>
      </c>
      <c r="U105" s="326">
        <v>113766.29</v>
      </c>
      <c r="V105" s="327">
        <v>1.3599750000000001E-2</v>
      </c>
      <c r="X105" s="326">
        <v>207356.43</v>
      </c>
      <c r="Y105" s="327">
        <v>2.4824929999999999E-2</v>
      </c>
      <c r="AA105" s="326">
        <v>213189.4</v>
      </c>
      <c r="AB105" s="327">
        <v>2.3562219999999998E-2</v>
      </c>
      <c r="AD105" s="326">
        <v>207356.43</v>
      </c>
      <c r="AE105" s="327">
        <v>1.665409E-2</v>
      </c>
      <c r="AG105" s="326">
        <v>207356.43</v>
      </c>
      <c r="AH105" s="327">
        <v>1.7289510000000001E-2</v>
      </c>
      <c r="AJ105" s="326">
        <v>213189.4</v>
      </c>
      <c r="AK105" s="327">
        <v>2.0014130000000002E-2</v>
      </c>
      <c r="AM105" s="326">
        <v>207356.43</v>
      </c>
      <c r="AN105" s="327">
        <v>2.512352E-2</v>
      </c>
    </row>
    <row r="106" spans="2:40" ht="14" x14ac:dyDescent="0.15">
      <c r="B106" s="5" t="s">
        <v>71</v>
      </c>
      <c r="C106" s="8">
        <v>746308.95</v>
      </c>
      <c r="D106" s="7">
        <v>6.8707399999999993E-3</v>
      </c>
      <c r="F106" s="8">
        <v>46596.53</v>
      </c>
      <c r="G106" s="7">
        <v>7.9285199999999997E-3</v>
      </c>
      <c r="I106" s="8">
        <v>40494.99</v>
      </c>
      <c r="J106" s="7">
        <v>5.9203300000000014E-3</v>
      </c>
      <c r="L106" s="8">
        <v>50414.29</v>
      </c>
      <c r="M106" s="7">
        <v>5.2296600000000014E-3</v>
      </c>
      <c r="O106" s="8">
        <v>160909.9</v>
      </c>
      <c r="P106" s="7">
        <v>2.3238729999999999E-2</v>
      </c>
      <c r="R106" s="8">
        <v>45406.99</v>
      </c>
      <c r="S106" s="7">
        <v>4.4409699999999998E-3</v>
      </c>
      <c r="U106" s="8">
        <v>45406.99</v>
      </c>
      <c r="V106" s="7">
        <v>5.4279999999999997E-3</v>
      </c>
      <c r="X106" s="8">
        <v>59513.21</v>
      </c>
      <c r="Y106" s="7">
        <v>7.1249800000000004E-3</v>
      </c>
      <c r="AA106" s="8">
        <v>59513.21</v>
      </c>
      <c r="AB106" s="7">
        <v>6.5775499999999997E-3</v>
      </c>
      <c r="AD106" s="8">
        <v>59513.21</v>
      </c>
      <c r="AE106" s="7">
        <v>4.7798800000000002E-3</v>
      </c>
      <c r="AG106" s="8">
        <v>59513.21</v>
      </c>
      <c r="AH106" s="7">
        <v>4.9622500000000014E-3</v>
      </c>
      <c r="AJ106" s="8">
        <v>59513.21</v>
      </c>
      <c r="AK106" s="7">
        <v>5.5870799999999986E-3</v>
      </c>
      <c r="AM106" s="8">
        <v>59513.21</v>
      </c>
      <c r="AN106" s="7">
        <v>7.2106800000000014E-3</v>
      </c>
    </row>
    <row r="107" spans="2:40" ht="14" x14ac:dyDescent="0.15">
      <c r="B107" s="5" t="s">
        <v>72</v>
      </c>
      <c r="C107" s="8">
        <v>75356.28</v>
      </c>
      <c r="D107" s="7">
        <v>6.9375000000000003E-4</v>
      </c>
      <c r="F107" s="8">
        <v>0</v>
      </c>
      <c r="G107" s="7">
        <v>0</v>
      </c>
      <c r="I107" s="8">
        <v>4601.59</v>
      </c>
      <c r="J107" s="7">
        <v>6.7275000000000006E-4</v>
      </c>
      <c r="L107" s="8">
        <v>148.55000000000001</v>
      </c>
      <c r="M107" s="7">
        <v>1.541E-5</v>
      </c>
      <c r="O107" s="8">
        <v>0</v>
      </c>
      <c r="P107" s="7">
        <v>0</v>
      </c>
      <c r="R107" s="8">
        <v>334.08</v>
      </c>
      <c r="S107" s="7">
        <v>3.2669999999999997E-5</v>
      </c>
      <c r="U107" s="8">
        <v>0</v>
      </c>
      <c r="V107" s="7">
        <v>0</v>
      </c>
      <c r="X107" s="8">
        <v>11712.01</v>
      </c>
      <c r="Y107" s="7">
        <v>1.4021699999999999E-3</v>
      </c>
      <c r="AA107" s="8">
        <v>11712.01</v>
      </c>
      <c r="AB107" s="7">
        <v>1.29444E-3</v>
      </c>
      <c r="AD107" s="8">
        <v>11712.01</v>
      </c>
      <c r="AE107" s="7">
        <v>9.4065999999999996E-4</v>
      </c>
      <c r="AG107" s="8">
        <v>11712.01</v>
      </c>
      <c r="AH107" s="7">
        <v>9.7656000000000001E-4</v>
      </c>
      <c r="AJ107" s="8">
        <v>11712.01</v>
      </c>
      <c r="AK107" s="7">
        <v>1.0995200000000001E-3</v>
      </c>
      <c r="AM107" s="8">
        <v>11712.01</v>
      </c>
      <c r="AN107" s="7">
        <v>1.4190400000000001E-3</v>
      </c>
    </row>
    <row r="108" spans="2:40" ht="14" x14ac:dyDescent="0.15">
      <c r="B108" s="5" t="s">
        <v>73</v>
      </c>
      <c r="C108" s="8">
        <v>491741.86</v>
      </c>
      <c r="D108" s="7">
        <v>4.5271199999999999E-3</v>
      </c>
      <c r="F108" s="8">
        <v>32408.86</v>
      </c>
      <c r="G108" s="7">
        <v>5.5144499999999997E-3</v>
      </c>
      <c r="I108" s="8">
        <v>19260.2</v>
      </c>
      <c r="J108" s="7">
        <v>2.8158200000000001E-3</v>
      </c>
      <c r="L108" s="8">
        <v>19010.2</v>
      </c>
      <c r="M108" s="7">
        <v>1.9719999999999998E-3</v>
      </c>
      <c r="O108" s="8">
        <v>19010.2</v>
      </c>
      <c r="P108" s="7">
        <v>2.7454699999999999E-3</v>
      </c>
      <c r="R108" s="8">
        <v>19010.2</v>
      </c>
      <c r="S108" s="7">
        <v>1.8592700000000001E-3</v>
      </c>
      <c r="U108" s="8">
        <v>19010.2</v>
      </c>
      <c r="V108" s="7">
        <v>2.2725000000000002E-3</v>
      </c>
      <c r="X108" s="8">
        <v>60672</v>
      </c>
      <c r="Y108" s="7">
        <v>7.2637099999999996E-3</v>
      </c>
      <c r="AA108" s="8">
        <v>60672</v>
      </c>
      <c r="AB108" s="7">
        <v>6.7056199999999998E-3</v>
      </c>
      <c r="AD108" s="8">
        <v>60672</v>
      </c>
      <c r="AE108" s="7">
        <v>4.87295E-3</v>
      </c>
      <c r="AG108" s="8">
        <v>60672</v>
      </c>
      <c r="AH108" s="7">
        <v>5.05887E-3</v>
      </c>
      <c r="AJ108" s="8">
        <v>60672</v>
      </c>
      <c r="AK108" s="7">
        <v>5.6958600000000014E-3</v>
      </c>
      <c r="AM108" s="8">
        <v>60672</v>
      </c>
      <c r="AN108" s="7">
        <v>7.3510799999999994E-3</v>
      </c>
    </row>
    <row r="109" spans="2:40" ht="14" x14ac:dyDescent="0.15">
      <c r="B109" s="5" t="s">
        <v>74</v>
      </c>
      <c r="C109" s="8">
        <v>91111.96</v>
      </c>
      <c r="D109" s="7">
        <v>8.3880000000000001E-4</v>
      </c>
      <c r="F109" s="8">
        <v>5818.8</v>
      </c>
      <c r="G109" s="7">
        <v>9.9007999999999995E-4</v>
      </c>
      <c r="I109" s="8">
        <v>4023.8</v>
      </c>
      <c r="J109" s="7">
        <v>5.8827999999999994E-4</v>
      </c>
      <c r="L109" s="8">
        <v>8969.27</v>
      </c>
      <c r="M109" s="7">
        <v>9.3041999999999995E-4</v>
      </c>
      <c r="O109" s="8">
        <v>8799.27</v>
      </c>
      <c r="P109" s="7">
        <v>1.2708000000000001E-3</v>
      </c>
      <c r="R109" s="8">
        <v>5818.8</v>
      </c>
      <c r="S109" s="7">
        <v>5.6910000000000001E-4</v>
      </c>
      <c r="U109" s="8">
        <v>5938.8</v>
      </c>
      <c r="V109" s="7">
        <v>7.0993E-4</v>
      </c>
      <c r="X109" s="8">
        <v>8623.8700000000008</v>
      </c>
      <c r="Y109" s="7">
        <v>1.03246E-3</v>
      </c>
      <c r="AA109" s="8">
        <v>8623.8700000000008</v>
      </c>
      <c r="AB109" s="7">
        <v>9.5312999999999995E-4</v>
      </c>
      <c r="AD109" s="8">
        <v>8623.8700000000008</v>
      </c>
      <c r="AE109" s="7">
        <v>6.9264000000000001E-4</v>
      </c>
      <c r="AG109" s="8">
        <v>8623.8700000000008</v>
      </c>
      <c r="AH109" s="7">
        <v>7.1905999999999999E-4</v>
      </c>
      <c r="AJ109" s="8">
        <v>8623.8700000000008</v>
      </c>
      <c r="AK109" s="7">
        <v>8.096100000000001E-4</v>
      </c>
      <c r="AM109" s="8">
        <v>8623.8700000000008</v>
      </c>
      <c r="AN109" s="7">
        <v>1.04488E-3</v>
      </c>
    </row>
    <row r="110" spans="2:40" ht="14" x14ac:dyDescent="0.15">
      <c r="B110" s="5" t="s">
        <v>75</v>
      </c>
      <c r="C110" s="8">
        <v>537473.81000000006</v>
      </c>
      <c r="D110" s="7">
        <v>4.9481400000000002E-3</v>
      </c>
      <c r="F110" s="8">
        <v>32013.919999999998</v>
      </c>
      <c r="G110" s="7">
        <v>5.4472499999999998E-3</v>
      </c>
      <c r="I110" s="8">
        <v>47999.21</v>
      </c>
      <c r="J110" s="7">
        <v>7.0174400000000007E-3</v>
      </c>
      <c r="L110" s="8">
        <v>42757.25</v>
      </c>
      <c r="M110" s="7">
        <v>4.4353700000000001E-3</v>
      </c>
      <c r="O110" s="8">
        <v>42757.25</v>
      </c>
      <c r="P110" s="7">
        <v>6.1750300000000006E-3</v>
      </c>
      <c r="R110" s="8">
        <v>42757.25</v>
      </c>
      <c r="S110" s="7">
        <v>4.1818200000000002E-3</v>
      </c>
      <c r="U110" s="8">
        <v>42757.25</v>
      </c>
      <c r="V110" s="7">
        <v>5.1112500000000003E-3</v>
      </c>
      <c r="X110" s="8">
        <v>45794.29</v>
      </c>
      <c r="Y110" s="7">
        <v>5.4825400000000002E-3</v>
      </c>
      <c r="AA110" s="8">
        <v>51627.26</v>
      </c>
      <c r="AB110" s="7">
        <v>5.7059700000000003E-3</v>
      </c>
      <c r="AD110" s="8">
        <v>45794.29</v>
      </c>
      <c r="AE110" s="7">
        <v>3.6780300000000001E-3</v>
      </c>
      <c r="AG110" s="8">
        <v>45794.29</v>
      </c>
      <c r="AH110" s="7">
        <v>3.8183599999999998E-3</v>
      </c>
      <c r="AJ110" s="8">
        <v>51627.26</v>
      </c>
      <c r="AK110" s="7">
        <v>4.8467500000000004E-3</v>
      </c>
      <c r="AM110" s="8">
        <v>45794.29</v>
      </c>
      <c r="AN110" s="7">
        <v>5.5484799999999997E-3</v>
      </c>
    </row>
    <row r="111" spans="2:40" ht="14" x14ac:dyDescent="0.15">
      <c r="B111" s="5" t="s">
        <v>76</v>
      </c>
      <c r="C111" s="8">
        <v>142071.34</v>
      </c>
      <c r="D111" s="7">
        <v>1.30795E-3</v>
      </c>
      <c r="F111" s="8">
        <v>12559.79</v>
      </c>
      <c r="G111" s="7">
        <v>2.13708E-3</v>
      </c>
      <c r="I111" s="8">
        <v>653.04999999999995</v>
      </c>
      <c r="J111" s="7">
        <v>9.5479999999999987E-5</v>
      </c>
      <c r="L111" s="8">
        <v>653.04999999999995</v>
      </c>
      <c r="M111" s="7">
        <v>6.7739999999999999E-5</v>
      </c>
      <c r="O111" s="8">
        <v>653.04999999999995</v>
      </c>
      <c r="P111" s="7">
        <v>9.4309999999999997E-5</v>
      </c>
      <c r="R111" s="8">
        <v>653.04999999999995</v>
      </c>
      <c r="S111" s="7">
        <v>6.3869999999999997E-5</v>
      </c>
      <c r="U111" s="8">
        <v>653.04999999999995</v>
      </c>
      <c r="V111" s="7">
        <v>7.8070000000000003E-5</v>
      </c>
      <c r="X111" s="8">
        <v>21041.05</v>
      </c>
      <c r="Y111" s="7">
        <v>2.51906E-3</v>
      </c>
      <c r="AA111" s="8">
        <v>21041.05</v>
      </c>
      <c r="AB111" s="7">
        <v>2.3255099999999998E-3</v>
      </c>
      <c r="AD111" s="8">
        <v>21041.05</v>
      </c>
      <c r="AE111" s="7">
        <v>1.68994E-3</v>
      </c>
      <c r="AG111" s="8">
        <v>21041.05</v>
      </c>
      <c r="AH111" s="7">
        <v>1.75442E-3</v>
      </c>
      <c r="AJ111" s="8">
        <v>21041.05</v>
      </c>
      <c r="AK111" s="7">
        <v>1.97533E-3</v>
      </c>
      <c r="AM111" s="8">
        <v>21041.05</v>
      </c>
      <c r="AN111" s="7">
        <v>2.5493600000000001E-3</v>
      </c>
    </row>
    <row r="112" spans="2:40" ht="14" x14ac:dyDescent="0.15">
      <c r="B112" s="5" t="s">
        <v>77</v>
      </c>
      <c r="C112" s="8">
        <v>0</v>
      </c>
      <c r="D112" s="7">
        <v>0</v>
      </c>
      <c r="F112" s="8">
        <v>0</v>
      </c>
      <c r="G112" s="7">
        <v>0</v>
      </c>
      <c r="I112" s="8">
        <v>0</v>
      </c>
      <c r="J112" s="7">
        <v>0</v>
      </c>
      <c r="L112" s="8">
        <v>0</v>
      </c>
      <c r="M112" s="7">
        <v>0</v>
      </c>
      <c r="O112" s="8">
        <v>0</v>
      </c>
      <c r="P112" s="7">
        <v>0</v>
      </c>
      <c r="R112" s="8">
        <v>0</v>
      </c>
      <c r="S112" s="7">
        <v>0</v>
      </c>
      <c r="U112" s="8">
        <v>0</v>
      </c>
      <c r="V112" s="7">
        <v>0</v>
      </c>
      <c r="X112" s="8">
        <v>0</v>
      </c>
      <c r="Y112" s="7">
        <v>0</v>
      </c>
      <c r="AA112" s="8">
        <v>0</v>
      </c>
      <c r="AB112" s="7">
        <v>0</v>
      </c>
      <c r="AD112" s="8">
        <v>0</v>
      </c>
      <c r="AE112" s="7">
        <v>0</v>
      </c>
      <c r="AG112" s="8">
        <v>0</v>
      </c>
      <c r="AH112" s="7">
        <v>0</v>
      </c>
      <c r="AJ112" s="8">
        <v>0</v>
      </c>
      <c r="AK112" s="7">
        <v>0</v>
      </c>
      <c r="AM112" s="8">
        <v>0</v>
      </c>
      <c r="AN112" s="7">
        <v>0</v>
      </c>
    </row>
    <row r="113" spans="2:40" ht="14" x14ac:dyDescent="0.15">
      <c r="B113" s="5" t="s">
        <v>78</v>
      </c>
      <c r="C113" s="8">
        <v>0</v>
      </c>
      <c r="D113" s="7">
        <v>0</v>
      </c>
      <c r="F113" s="8">
        <v>0</v>
      </c>
      <c r="G113" s="7">
        <v>0</v>
      </c>
      <c r="I113" s="8">
        <v>0</v>
      </c>
      <c r="J113" s="7">
        <v>0</v>
      </c>
      <c r="L113" s="8">
        <v>0</v>
      </c>
      <c r="M113" s="7">
        <v>0</v>
      </c>
      <c r="O113" s="8">
        <v>0</v>
      </c>
      <c r="P113" s="7">
        <v>0</v>
      </c>
      <c r="R113" s="8">
        <v>0</v>
      </c>
      <c r="S113" s="7">
        <v>0</v>
      </c>
      <c r="U113" s="8">
        <v>0</v>
      </c>
      <c r="V113" s="7">
        <v>0</v>
      </c>
      <c r="X113" s="8">
        <v>0</v>
      </c>
      <c r="Y113" s="7">
        <v>0</v>
      </c>
      <c r="AA113" s="8">
        <v>0</v>
      </c>
      <c r="AB113" s="7">
        <v>0</v>
      </c>
      <c r="AD113" s="8">
        <v>0</v>
      </c>
      <c r="AE113" s="7">
        <v>0</v>
      </c>
      <c r="AG113" s="8">
        <v>0</v>
      </c>
      <c r="AH113" s="7">
        <v>0</v>
      </c>
      <c r="AJ113" s="8">
        <v>0</v>
      </c>
      <c r="AK113" s="7">
        <v>0</v>
      </c>
      <c r="AM113" s="8">
        <v>0</v>
      </c>
      <c r="AN113" s="7">
        <v>0</v>
      </c>
    </row>
    <row r="114" spans="2:40" ht="14" x14ac:dyDescent="0.15">
      <c r="B114" s="5" t="s">
        <v>79</v>
      </c>
      <c r="C114" s="8">
        <v>0</v>
      </c>
      <c r="D114" s="7">
        <v>0</v>
      </c>
      <c r="F114" s="8">
        <v>0</v>
      </c>
      <c r="G114" s="7">
        <v>0</v>
      </c>
      <c r="I114" s="8">
        <v>0</v>
      </c>
      <c r="J114" s="7">
        <v>0</v>
      </c>
      <c r="L114" s="8">
        <v>0</v>
      </c>
      <c r="M114" s="7">
        <v>0</v>
      </c>
      <c r="O114" s="8">
        <v>0</v>
      </c>
      <c r="P114" s="7">
        <v>0</v>
      </c>
      <c r="R114" s="8">
        <v>0</v>
      </c>
      <c r="S114" s="7">
        <v>0</v>
      </c>
      <c r="U114" s="8">
        <v>0</v>
      </c>
      <c r="V114" s="7">
        <v>0</v>
      </c>
      <c r="X114" s="8">
        <v>0</v>
      </c>
      <c r="Y114" s="7">
        <v>0</v>
      </c>
      <c r="AA114" s="8">
        <v>0</v>
      </c>
      <c r="AB114" s="7">
        <v>0</v>
      </c>
      <c r="AD114" s="8">
        <v>0</v>
      </c>
      <c r="AE114" s="7">
        <v>0</v>
      </c>
      <c r="AG114" s="8">
        <v>0</v>
      </c>
      <c r="AH114" s="7">
        <v>0</v>
      </c>
      <c r="AJ114" s="8">
        <v>0</v>
      </c>
      <c r="AK114" s="7">
        <v>0</v>
      </c>
      <c r="AM114" s="8">
        <v>0</v>
      </c>
      <c r="AN114" s="7">
        <v>0</v>
      </c>
    </row>
    <row r="115" spans="2:40" ht="14" x14ac:dyDescent="0.15">
      <c r="B115" s="5" t="s">
        <v>80</v>
      </c>
      <c r="C115" s="8">
        <v>0</v>
      </c>
      <c r="D115" s="7">
        <v>0</v>
      </c>
      <c r="F115" s="8">
        <v>0</v>
      </c>
      <c r="G115" s="7">
        <v>0</v>
      </c>
      <c r="I115" s="8">
        <v>0</v>
      </c>
      <c r="J115" s="7">
        <v>0</v>
      </c>
      <c r="L115" s="8">
        <v>0</v>
      </c>
      <c r="M115" s="7">
        <v>0</v>
      </c>
      <c r="O115" s="8">
        <v>0</v>
      </c>
      <c r="P115" s="7">
        <v>0</v>
      </c>
      <c r="R115" s="8">
        <v>0</v>
      </c>
      <c r="S115" s="7">
        <v>0</v>
      </c>
      <c r="U115" s="8">
        <v>0</v>
      </c>
      <c r="V115" s="7">
        <v>0</v>
      </c>
      <c r="X115" s="8">
        <v>0</v>
      </c>
      <c r="Y115" s="7">
        <v>0</v>
      </c>
      <c r="AA115" s="8">
        <v>0</v>
      </c>
      <c r="AB115" s="7">
        <v>0</v>
      </c>
      <c r="AD115" s="8">
        <v>0</v>
      </c>
      <c r="AE115" s="7">
        <v>0</v>
      </c>
      <c r="AG115" s="8">
        <v>0</v>
      </c>
      <c r="AH115" s="7">
        <v>0</v>
      </c>
      <c r="AJ115" s="8">
        <v>0</v>
      </c>
      <c r="AK115" s="7">
        <v>0</v>
      </c>
      <c r="AM115" s="8">
        <v>0</v>
      </c>
      <c r="AN115" s="7">
        <v>0</v>
      </c>
    </row>
    <row r="116" spans="2:40" x14ac:dyDescent="0.15">
      <c r="B116" s="8"/>
      <c r="C116" s="8"/>
      <c r="D116" s="8"/>
      <c r="F116" s="8"/>
      <c r="G116" s="8"/>
      <c r="I116" s="8"/>
      <c r="J116" s="8"/>
      <c r="L116" s="8"/>
      <c r="M116" s="8"/>
      <c r="O116" s="8"/>
      <c r="P116" s="8"/>
      <c r="R116" s="8"/>
      <c r="S116" s="8"/>
      <c r="U116" s="8"/>
      <c r="V116" s="8"/>
      <c r="X116" s="8"/>
      <c r="Y116" s="8"/>
      <c r="AA116" s="8"/>
      <c r="AB116" s="8"/>
      <c r="AD116" s="8"/>
      <c r="AE116" s="8"/>
      <c r="AG116" s="8"/>
      <c r="AH116" s="8"/>
      <c r="AJ116" s="8"/>
      <c r="AK116" s="8"/>
      <c r="AM116" s="8"/>
      <c r="AN116" s="8"/>
    </row>
    <row r="117" spans="2:40" ht="14" x14ac:dyDescent="0.15">
      <c r="B117" s="325" t="s">
        <v>81</v>
      </c>
      <c r="C117" s="326">
        <v>0</v>
      </c>
      <c r="D117" s="327">
        <v>0</v>
      </c>
      <c r="F117" s="326">
        <v>0</v>
      </c>
      <c r="G117" s="327">
        <v>0</v>
      </c>
      <c r="I117" s="326">
        <v>0</v>
      </c>
      <c r="J117" s="327">
        <v>0</v>
      </c>
      <c r="L117" s="326">
        <v>0</v>
      </c>
      <c r="M117" s="327">
        <v>0</v>
      </c>
      <c r="O117" s="326">
        <v>0</v>
      </c>
      <c r="P117" s="327">
        <v>0</v>
      </c>
      <c r="R117" s="326">
        <v>0</v>
      </c>
      <c r="S117" s="327">
        <v>0</v>
      </c>
      <c r="U117" s="326">
        <v>0</v>
      </c>
      <c r="V117" s="327">
        <v>0</v>
      </c>
      <c r="X117" s="326">
        <v>0</v>
      </c>
      <c r="Y117" s="327">
        <v>0</v>
      </c>
      <c r="AA117" s="326">
        <v>0</v>
      </c>
      <c r="AB117" s="327">
        <v>0</v>
      </c>
      <c r="AD117" s="326">
        <v>0</v>
      </c>
      <c r="AE117" s="327">
        <v>0</v>
      </c>
      <c r="AG117" s="326">
        <v>0</v>
      </c>
      <c r="AH117" s="327">
        <v>0</v>
      </c>
      <c r="AJ117" s="326">
        <v>0</v>
      </c>
      <c r="AK117" s="327">
        <v>0</v>
      </c>
      <c r="AM117" s="326">
        <v>0</v>
      </c>
      <c r="AN117" s="327">
        <v>0</v>
      </c>
    </row>
    <row r="118" spans="2:40" ht="14" x14ac:dyDescent="0.15">
      <c r="B118" s="5" t="s">
        <v>82</v>
      </c>
      <c r="C118" s="8">
        <v>0</v>
      </c>
      <c r="D118" s="7">
        <v>0</v>
      </c>
      <c r="F118" s="8">
        <v>0</v>
      </c>
      <c r="G118" s="7">
        <v>0</v>
      </c>
      <c r="I118" s="8">
        <v>0</v>
      </c>
      <c r="J118" s="7">
        <v>0</v>
      </c>
      <c r="L118" s="8">
        <v>0</v>
      </c>
      <c r="M118" s="7">
        <v>0</v>
      </c>
      <c r="O118" s="8">
        <v>0</v>
      </c>
      <c r="P118" s="7">
        <v>0</v>
      </c>
      <c r="R118" s="8">
        <v>0</v>
      </c>
      <c r="S118" s="7">
        <v>0</v>
      </c>
      <c r="U118" s="8">
        <v>0</v>
      </c>
      <c r="V118" s="7">
        <v>0</v>
      </c>
      <c r="X118" s="8">
        <v>0</v>
      </c>
      <c r="Y118" s="7">
        <v>0</v>
      </c>
      <c r="AA118" s="8">
        <v>0</v>
      </c>
      <c r="AB118" s="7">
        <v>0</v>
      </c>
      <c r="AD118" s="8">
        <v>0</v>
      </c>
      <c r="AE118" s="7">
        <v>0</v>
      </c>
      <c r="AG118" s="8">
        <v>0</v>
      </c>
      <c r="AH118" s="7">
        <v>0</v>
      </c>
      <c r="AJ118" s="8">
        <v>0</v>
      </c>
      <c r="AK118" s="7">
        <v>0</v>
      </c>
      <c r="AM118" s="8">
        <v>0</v>
      </c>
      <c r="AN118" s="7">
        <v>0</v>
      </c>
    </row>
    <row r="119" spans="2:40" ht="14" x14ac:dyDescent="0.15">
      <c r="B119" s="5" t="s">
        <v>83</v>
      </c>
      <c r="C119" s="8">
        <v>0</v>
      </c>
      <c r="D119" s="7">
        <v>0</v>
      </c>
      <c r="F119" s="8">
        <v>0</v>
      </c>
      <c r="G119" s="7">
        <v>0</v>
      </c>
      <c r="I119" s="8">
        <v>0</v>
      </c>
      <c r="J119" s="7">
        <v>0</v>
      </c>
      <c r="L119" s="8">
        <v>0</v>
      </c>
      <c r="M119" s="7">
        <v>0</v>
      </c>
      <c r="O119" s="8">
        <v>0</v>
      </c>
      <c r="P119" s="7">
        <v>0</v>
      </c>
      <c r="R119" s="8">
        <v>0</v>
      </c>
      <c r="S119" s="7">
        <v>0</v>
      </c>
      <c r="U119" s="8">
        <v>0</v>
      </c>
      <c r="V119" s="7">
        <v>0</v>
      </c>
      <c r="X119" s="8">
        <v>0</v>
      </c>
      <c r="Y119" s="7">
        <v>0</v>
      </c>
      <c r="AA119" s="8">
        <v>0</v>
      </c>
      <c r="AB119" s="7">
        <v>0</v>
      </c>
      <c r="AD119" s="8">
        <v>0</v>
      </c>
      <c r="AE119" s="7">
        <v>0</v>
      </c>
      <c r="AG119" s="8">
        <v>0</v>
      </c>
      <c r="AH119" s="7">
        <v>0</v>
      </c>
      <c r="AJ119" s="8">
        <v>0</v>
      </c>
      <c r="AK119" s="7">
        <v>0</v>
      </c>
      <c r="AM119" s="8">
        <v>0</v>
      </c>
      <c r="AN119" s="7">
        <v>0</v>
      </c>
    </row>
    <row r="120" spans="2:40" x14ac:dyDescent="0.15">
      <c r="B120" s="8"/>
      <c r="C120" s="8"/>
      <c r="D120" s="8"/>
      <c r="F120" s="8"/>
      <c r="G120" s="8"/>
      <c r="I120" s="8"/>
      <c r="J120" s="8"/>
      <c r="L120" s="8"/>
      <c r="M120" s="8"/>
      <c r="O120" s="8"/>
      <c r="P120" s="8"/>
      <c r="R120" s="8"/>
      <c r="S120" s="8"/>
      <c r="U120" s="8"/>
      <c r="V120" s="8"/>
      <c r="X120" s="8"/>
      <c r="Y120" s="8"/>
      <c r="AA120" s="8"/>
      <c r="AB120" s="8"/>
      <c r="AD120" s="8"/>
      <c r="AE120" s="8"/>
      <c r="AG120" s="8"/>
      <c r="AH120" s="8"/>
      <c r="AJ120" s="8"/>
      <c r="AK120" s="8"/>
      <c r="AM120" s="8"/>
      <c r="AN120" s="8"/>
    </row>
    <row r="121" spans="2:40" ht="14" x14ac:dyDescent="0.15">
      <c r="B121" s="325" t="s">
        <v>84</v>
      </c>
      <c r="C121" s="326">
        <v>18607832.158799998</v>
      </c>
      <c r="D121" s="327">
        <v>0.17130924</v>
      </c>
      <c r="F121" s="326">
        <v>-329391.90999999997</v>
      </c>
      <c r="G121" s="327">
        <v>-5.6046890000000002E-2</v>
      </c>
      <c r="I121" s="326">
        <v>-464988.91</v>
      </c>
      <c r="J121" s="327">
        <v>-6.7980940000000004E-2</v>
      </c>
      <c r="L121" s="326">
        <v>1162971.94</v>
      </c>
      <c r="M121" s="327">
        <v>0.12063936</v>
      </c>
      <c r="O121" s="326">
        <v>293348.42</v>
      </c>
      <c r="P121" s="327">
        <v>4.2365600000000003E-2</v>
      </c>
      <c r="R121" s="326">
        <v>2686042.91</v>
      </c>
      <c r="S121" s="327">
        <v>0.26270513000000001</v>
      </c>
      <c r="U121" s="326">
        <v>987738.39</v>
      </c>
      <c r="V121" s="327">
        <v>0.11807537999999999</v>
      </c>
      <c r="X121" s="326">
        <v>1262944.1924000001</v>
      </c>
      <c r="Y121" s="327">
        <v>0.15120099000000001</v>
      </c>
      <c r="AA121" s="326">
        <v>1753174.3640999999</v>
      </c>
      <c r="AB121" s="327">
        <v>0.19376520999999999</v>
      </c>
      <c r="AD121" s="326">
        <v>4009097.6741999998</v>
      </c>
      <c r="AE121" s="327">
        <v>0.32199566000000002</v>
      </c>
      <c r="AG121" s="326">
        <v>3886047.1729000001</v>
      </c>
      <c r="AH121" s="327">
        <v>0.32402114999999998</v>
      </c>
      <c r="AJ121" s="326">
        <v>2528388.2066000002</v>
      </c>
      <c r="AK121" s="327">
        <v>0.23736403</v>
      </c>
      <c r="AM121" s="326">
        <v>832459.70860000001</v>
      </c>
      <c r="AN121" s="327">
        <v>0.10086167</v>
      </c>
    </row>
    <row r="122" spans="2:40" ht="14" x14ac:dyDescent="0.15">
      <c r="B122" s="5" t="s">
        <v>85</v>
      </c>
      <c r="C122" s="8">
        <v>1417253.8436</v>
      </c>
      <c r="D122" s="7">
        <v>1.3047660000000001E-2</v>
      </c>
      <c r="F122" s="8">
        <v>81269.53</v>
      </c>
      <c r="G122" s="7">
        <v>1.382822E-2</v>
      </c>
      <c r="I122" s="8">
        <v>102246.12</v>
      </c>
      <c r="J122" s="7">
        <v>1.4948289999999999E-2</v>
      </c>
      <c r="L122" s="8">
        <v>24485.34</v>
      </c>
      <c r="M122" s="7">
        <v>2.53995E-3</v>
      </c>
      <c r="O122" s="8">
        <v>201049.43</v>
      </c>
      <c r="P122" s="7">
        <v>2.9035709999999999E-2</v>
      </c>
      <c r="R122" s="8">
        <v>120935.37</v>
      </c>
      <c r="S122" s="7">
        <v>1.182794E-2</v>
      </c>
      <c r="U122" s="8">
        <v>99817.14</v>
      </c>
      <c r="V122" s="7">
        <v>1.193226E-2</v>
      </c>
      <c r="X122" s="8">
        <v>95706.762499999997</v>
      </c>
      <c r="Y122" s="7">
        <v>1.1458110000000001E-2</v>
      </c>
      <c r="AA122" s="8">
        <v>107800.24069999999</v>
      </c>
      <c r="AB122" s="7">
        <v>1.1914350000000001E-2</v>
      </c>
      <c r="AD122" s="8">
        <v>156700.9982</v>
      </c>
      <c r="AE122" s="7">
        <v>1.258564E-2</v>
      </c>
      <c r="AG122" s="8">
        <v>161863.6839</v>
      </c>
      <c r="AH122" s="7">
        <v>1.3496299999999999E-2</v>
      </c>
      <c r="AJ122" s="8">
        <v>151858.93900000001</v>
      </c>
      <c r="AK122" s="7">
        <v>1.425645E-2</v>
      </c>
      <c r="AM122" s="8">
        <v>113520.2893</v>
      </c>
      <c r="AN122" s="7">
        <v>1.3754229999999999E-2</v>
      </c>
    </row>
    <row r="123" spans="2:40" x14ac:dyDescent="0.15">
      <c r="B123" s="8"/>
      <c r="C123" s="8"/>
      <c r="D123" s="8"/>
      <c r="F123" s="8"/>
      <c r="G123" s="8"/>
      <c r="I123" s="8"/>
      <c r="J123" s="8"/>
      <c r="L123" s="8"/>
      <c r="M123" s="8"/>
      <c r="O123" s="8"/>
      <c r="P123" s="8"/>
      <c r="R123" s="8"/>
      <c r="S123" s="8"/>
      <c r="U123" s="8"/>
      <c r="V123" s="8"/>
      <c r="X123" s="8"/>
      <c r="Y123" s="8"/>
      <c r="AA123" s="8"/>
      <c r="AB123" s="8"/>
      <c r="AD123" s="8"/>
      <c r="AE123" s="8"/>
      <c r="AG123" s="8"/>
      <c r="AH123" s="8"/>
      <c r="AJ123" s="8"/>
      <c r="AK123" s="8"/>
      <c r="AM123" s="8"/>
      <c r="AN123" s="8"/>
    </row>
    <row r="124" spans="2:40" ht="14" x14ac:dyDescent="0.15">
      <c r="B124" s="325" t="s">
        <v>86</v>
      </c>
      <c r="C124" s="326">
        <v>17190578.315699998</v>
      </c>
      <c r="D124" s="327">
        <v>0.15826158000000001</v>
      </c>
      <c r="F124" s="326">
        <v>-410661.44</v>
      </c>
      <c r="G124" s="327">
        <v>-6.9875119999999999E-2</v>
      </c>
      <c r="I124" s="326">
        <v>-567235.03</v>
      </c>
      <c r="J124" s="327">
        <v>-8.2929220000000012E-2</v>
      </c>
      <c r="L124" s="326">
        <v>1138486.6000000001</v>
      </c>
      <c r="M124" s="327">
        <v>0.11809939999999999</v>
      </c>
      <c r="O124" s="326">
        <v>92298.99</v>
      </c>
      <c r="P124" s="327">
        <v>1.332989E-2</v>
      </c>
      <c r="R124" s="326">
        <v>2565107.54</v>
      </c>
      <c r="S124" s="327">
        <v>0.25087719000000003</v>
      </c>
      <c r="U124" s="326">
        <v>887921.25</v>
      </c>
      <c r="V124" s="327">
        <v>0.10614311999999999</v>
      </c>
      <c r="X124" s="326">
        <v>1167237.4299000001</v>
      </c>
      <c r="Y124" s="327">
        <v>0.13974288000000001</v>
      </c>
      <c r="AA124" s="326">
        <v>1645374.1237000001</v>
      </c>
      <c r="AB124" s="327">
        <v>0.18185085000000001</v>
      </c>
      <c r="AD124" s="326">
        <v>3852396.676</v>
      </c>
      <c r="AE124" s="327">
        <v>0.30941003</v>
      </c>
      <c r="AG124" s="326">
        <v>3724183.4892000002</v>
      </c>
      <c r="AH124" s="327">
        <v>0.31052485000000002</v>
      </c>
      <c r="AJ124" s="326">
        <v>2376529.2675999999</v>
      </c>
      <c r="AK124" s="327">
        <v>0.22310758</v>
      </c>
      <c r="AM124" s="326">
        <v>718939.41929999995</v>
      </c>
      <c r="AN124" s="327">
        <v>8.7107430000000013E-2</v>
      </c>
    </row>
    <row r="125" spans="2:40" ht="14" x14ac:dyDescent="0.15">
      <c r="B125" s="5" t="s">
        <v>87</v>
      </c>
      <c r="C125" s="8">
        <v>18282.48</v>
      </c>
      <c r="D125" s="7">
        <v>1.6830999999999999E-4</v>
      </c>
      <c r="F125" s="8">
        <v>3047.08</v>
      </c>
      <c r="G125" s="7">
        <v>5.1846999999999993E-4</v>
      </c>
      <c r="I125" s="8">
        <v>3047.08</v>
      </c>
      <c r="J125" s="7">
        <v>4.4548E-4</v>
      </c>
      <c r="L125" s="8">
        <v>3047.08</v>
      </c>
      <c r="M125" s="7">
        <v>3.1608E-4</v>
      </c>
      <c r="O125" s="8">
        <v>3047.08</v>
      </c>
      <c r="P125" s="7">
        <v>4.4005999999999998E-4</v>
      </c>
      <c r="R125" s="8">
        <v>3047.08</v>
      </c>
      <c r="S125" s="7">
        <v>2.9802000000000002E-4</v>
      </c>
      <c r="U125" s="8">
        <v>3047.08</v>
      </c>
      <c r="V125" s="7">
        <v>3.6424999999999999E-4</v>
      </c>
      <c r="X125" s="8">
        <v>0</v>
      </c>
      <c r="Y125" s="7">
        <v>0</v>
      </c>
      <c r="AA125" s="8">
        <v>0</v>
      </c>
      <c r="AB125" s="7">
        <v>0</v>
      </c>
      <c r="AD125" s="8">
        <v>0</v>
      </c>
      <c r="AE125" s="7">
        <v>0</v>
      </c>
      <c r="AG125" s="8">
        <v>0</v>
      </c>
      <c r="AH125" s="7">
        <v>0</v>
      </c>
      <c r="AJ125" s="8">
        <v>0</v>
      </c>
      <c r="AK125" s="7">
        <v>0</v>
      </c>
      <c r="AM125" s="8">
        <v>0</v>
      </c>
      <c r="AN125" s="7">
        <v>0</v>
      </c>
    </row>
    <row r="126" spans="2:40" x14ac:dyDescent="0.15">
      <c r="B126" s="8"/>
      <c r="C126" s="8"/>
      <c r="D126" s="8"/>
      <c r="F126" s="8"/>
      <c r="G126" s="8"/>
      <c r="I126" s="8"/>
      <c r="J126" s="8"/>
      <c r="L126" s="8"/>
      <c r="M126" s="8"/>
      <c r="O126" s="8"/>
      <c r="P126" s="8"/>
      <c r="R126" s="8"/>
      <c r="S126" s="8"/>
      <c r="U126" s="8"/>
      <c r="V126" s="8"/>
      <c r="X126" s="8"/>
      <c r="Y126" s="8"/>
      <c r="AA126" s="8"/>
      <c r="AB126" s="8"/>
      <c r="AD126" s="8"/>
      <c r="AE126" s="8"/>
      <c r="AG126" s="8"/>
      <c r="AH126" s="8"/>
      <c r="AJ126" s="8"/>
      <c r="AK126" s="8"/>
      <c r="AM126" s="8"/>
      <c r="AN126" s="8"/>
    </row>
    <row r="127" spans="2:40" ht="14" x14ac:dyDescent="0.15">
      <c r="B127" s="325" t="s">
        <v>88</v>
      </c>
      <c r="C127" s="326">
        <v>17172295.835700002</v>
      </c>
      <c r="D127" s="327">
        <v>0.15809326000000001</v>
      </c>
      <c r="F127" s="326">
        <v>-413708.52</v>
      </c>
      <c r="G127" s="327">
        <v>-7.0393590000000006E-2</v>
      </c>
      <c r="I127" s="326">
        <v>-570282.11</v>
      </c>
      <c r="J127" s="327">
        <v>-8.3374710000000005E-2</v>
      </c>
      <c r="L127" s="326">
        <v>1135439.52</v>
      </c>
      <c r="M127" s="327">
        <v>0.11778332</v>
      </c>
      <c r="O127" s="326">
        <v>89251.91</v>
      </c>
      <c r="P127" s="327">
        <v>1.288983E-2</v>
      </c>
      <c r="R127" s="326">
        <v>2562060.46</v>
      </c>
      <c r="S127" s="327">
        <v>0.25057918000000001</v>
      </c>
      <c r="U127" s="326">
        <v>884874.17</v>
      </c>
      <c r="V127" s="327">
        <v>0.10577887</v>
      </c>
      <c r="X127" s="326">
        <v>1167237.4299000001</v>
      </c>
      <c r="Y127" s="327">
        <v>0.13974288000000001</v>
      </c>
      <c r="AA127" s="326">
        <v>1645374.1237000001</v>
      </c>
      <c r="AB127" s="327">
        <v>0.18185085000000001</v>
      </c>
      <c r="AD127" s="326">
        <v>3852396.676</v>
      </c>
      <c r="AE127" s="327">
        <v>0.30941003</v>
      </c>
      <c r="AG127" s="326">
        <v>3724183.4892000002</v>
      </c>
      <c r="AH127" s="327">
        <v>0.31052485000000002</v>
      </c>
      <c r="AJ127" s="326">
        <v>2376529.2675999999</v>
      </c>
      <c r="AK127" s="327">
        <v>0.22310758</v>
      </c>
      <c r="AM127" s="326">
        <v>718939.41929999995</v>
      </c>
      <c r="AN127" s="327">
        <v>8.7107430000000013E-2</v>
      </c>
    </row>
    <row r="128" spans="2:40" x14ac:dyDescent="0.15">
      <c r="B128" s="8"/>
      <c r="C128" s="8"/>
      <c r="D128" s="8"/>
      <c r="F128" s="8"/>
      <c r="G128" s="8"/>
      <c r="I128" s="8"/>
      <c r="J128" s="8"/>
      <c r="L128" s="8"/>
      <c r="M128" s="8"/>
      <c r="O128" s="8"/>
      <c r="P128" s="8"/>
      <c r="R128" s="8"/>
      <c r="S128" s="8"/>
      <c r="U128" s="8"/>
      <c r="V128" s="8"/>
      <c r="X128" s="8"/>
      <c r="Y128" s="8"/>
      <c r="AA128" s="8"/>
      <c r="AB128" s="8"/>
      <c r="AD128" s="8"/>
      <c r="AE128" s="8"/>
      <c r="AG128" s="8"/>
      <c r="AH128" s="8"/>
      <c r="AJ128" s="8"/>
      <c r="AK128" s="8"/>
      <c r="AM128" s="8"/>
      <c r="AN128" s="8"/>
    </row>
    <row r="129" spans="2:40" ht="14" x14ac:dyDescent="0.15">
      <c r="B129" s="325" t="s">
        <v>89</v>
      </c>
      <c r="C129" s="326">
        <v>2519444.8731999998</v>
      </c>
      <c r="D129" s="327">
        <v>2.3194759999999998E-2</v>
      </c>
      <c r="F129" s="326">
        <v>159645.4</v>
      </c>
      <c r="G129" s="327">
        <v>2.716408E-2</v>
      </c>
      <c r="I129" s="326">
        <v>189127.69</v>
      </c>
      <c r="J129" s="327">
        <v>2.7650290000000001E-2</v>
      </c>
      <c r="L129" s="326">
        <v>224583.8</v>
      </c>
      <c r="M129" s="327">
        <v>2.3296899999999999E-2</v>
      </c>
      <c r="O129" s="326">
        <v>168276.8</v>
      </c>
      <c r="P129" s="327">
        <v>2.430266E-2</v>
      </c>
      <c r="R129" s="326">
        <v>229337.25</v>
      </c>
      <c r="S129" s="327">
        <v>2.243005E-2</v>
      </c>
      <c r="U129" s="326">
        <v>195423.9</v>
      </c>
      <c r="V129" s="327">
        <v>2.3361199999999999E-2</v>
      </c>
      <c r="X129" s="326">
        <v>172780.2009</v>
      </c>
      <c r="Y129" s="327">
        <v>2.0685430000000001E-2</v>
      </c>
      <c r="AA129" s="326">
        <v>191664.71770000001</v>
      </c>
      <c r="AB129" s="327">
        <v>2.1183259999999999E-2</v>
      </c>
      <c r="AD129" s="326">
        <v>283319.6667</v>
      </c>
      <c r="AE129" s="327">
        <v>2.2755170000000002E-2</v>
      </c>
      <c r="AG129" s="326">
        <v>273264.65090000001</v>
      </c>
      <c r="AH129" s="327">
        <v>2.278498E-2</v>
      </c>
      <c r="AJ129" s="326">
        <v>250079.41260000001</v>
      </c>
      <c r="AK129" s="327">
        <v>2.3477350000000001E-2</v>
      </c>
      <c r="AM129" s="326">
        <v>181941.38440000001</v>
      </c>
      <c r="AN129" s="327">
        <v>2.20442E-2</v>
      </c>
    </row>
    <row r="130" spans="2:40" ht="14" x14ac:dyDescent="0.15">
      <c r="B130" s="5" t="s">
        <v>90</v>
      </c>
      <c r="C130" s="8">
        <v>2519444.8731999998</v>
      </c>
      <c r="D130" s="7">
        <v>2.3194759999999998E-2</v>
      </c>
      <c r="F130" s="8">
        <v>159645.4</v>
      </c>
      <c r="G130" s="7">
        <v>2.716408E-2</v>
      </c>
      <c r="I130" s="8">
        <v>189127.69</v>
      </c>
      <c r="J130" s="7">
        <v>2.7650290000000001E-2</v>
      </c>
      <c r="L130" s="8">
        <v>224583.8</v>
      </c>
      <c r="M130" s="7">
        <v>2.3296899999999999E-2</v>
      </c>
      <c r="O130" s="8">
        <v>168276.8</v>
      </c>
      <c r="P130" s="7">
        <v>2.430266E-2</v>
      </c>
      <c r="R130" s="8">
        <v>229337.25</v>
      </c>
      <c r="S130" s="7">
        <v>2.243005E-2</v>
      </c>
      <c r="U130" s="8">
        <v>195423.9</v>
      </c>
      <c r="V130" s="7">
        <v>2.3361199999999999E-2</v>
      </c>
      <c r="X130" s="8">
        <v>172780.2009</v>
      </c>
      <c r="Y130" s="7">
        <v>2.0685430000000001E-2</v>
      </c>
      <c r="AA130" s="8">
        <v>191664.71770000001</v>
      </c>
      <c r="AB130" s="7">
        <v>2.1183259999999999E-2</v>
      </c>
      <c r="AD130" s="8">
        <v>283319.6667</v>
      </c>
      <c r="AE130" s="7">
        <v>2.2755170000000002E-2</v>
      </c>
      <c r="AG130" s="8">
        <v>273264.65090000001</v>
      </c>
      <c r="AH130" s="7">
        <v>2.278498E-2</v>
      </c>
      <c r="AJ130" s="8">
        <v>250079.41260000001</v>
      </c>
      <c r="AK130" s="7">
        <v>2.3477350000000001E-2</v>
      </c>
      <c r="AM130" s="8">
        <v>181941.38440000001</v>
      </c>
      <c r="AN130" s="7">
        <v>2.20442E-2</v>
      </c>
    </row>
    <row r="131" spans="2:40" ht="14" x14ac:dyDescent="0.15">
      <c r="B131" s="5" t="s">
        <v>91</v>
      </c>
      <c r="C131" s="8">
        <v>0</v>
      </c>
      <c r="D131" s="7">
        <v>0</v>
      </c>
      <c r="F131" s="8">
        <v>0</v>
      </c>
      <c r="G131" s="7">
        <v>0</v>
      </c>
      <c r="I131" s="8">
        <v>0</v>
      </c>
      <c r="J131" s="7">
        <v>0</v>
      </c>
      <c r="L131" s="8">
        <v>0</v>
      </c>
      <c r="M131" s="7">
        <v>0</v>
      </c>
      <c r="O131" s="8">
        <v>0</v>
      </c>
      <c r="P131" s="7">
        <v>0</v>
      </c>
      <c r="R131" s="8">
        <v>0</v>
      </c>
      <c r="S131" s="7">
        <v>0</v>
      </c>
      <c r="U131" s="8">
        <v>0</v>
      </c>
      <c r="V131" s="7">
        <v>0</v>
      </c>
      <c r="X131" s="8">
        <v>0</v>
      </c>
      <c r="Y131" s="7">
        <v>0</v>
      </c>
      <c r="AA131" s="8">
        <v>0</v>
      </c>
      <c r="AB131" s="7">
        <v>0</v>
      </c>
      <c r="AD131" s="8">
        <v>0</v>
      </c>
      <c r="AE131" s="7">
        <v>0</v>
      </c>
      <c r="AG131" s="8">
        <v>0</v>
      </c>
      <c r="AH131" s="7">
        <v>0</v>
      </c>
      <c r="AJ131" s="8">
        <v>0</v>
      </c>
      <c r="AK131" s="7">
        <v>0</v>
      </c>
      <c r="AM131" s="8">
        <v>0</v>
      </c>
      <c r="AN131" s="7">
        <v>0</v>
      </c>
    </row>
    <row r="132" spans="2:40" ht="14" x14ac:dyDescent="0.15">
      <c r="B132" s="5" t="s">
        <v>92</v>
      </c>
      <c r="C132" s="8">
        <v>0</v>
      </c>
      <c r="D132" s="7">
        <v>0</v>
      </c>
      <c r="F132" s="8">
        <v>0</v>
      </c>
      <c r="G132" s="7">
        <v>0</v>
      </c>
      <c r="I132" s="8">
        <v>0</v>
      </c>
      <c r="J132" s="7">
        <v>0</v>
      </c>
      <c r="L132" s="8">
        <v>0</v>
      </c>
      <c r="M132" s="7">
        <v>0</v>
      </c>
      <c r="O132" s="8">
        <v>0</v>
      </c>
      <c r="P132" s="7">
        <v>0</v>
      </c>
      <c r="R132" s="8">
        <v>0</v>
      </c>
      <c r="S132" s="7">
        <v>0</v>
      </c>
      <c r="U132" s="8">
        <v>0</v>
      </c>
      <c r="V132" s="7">
        <v>0</v>
      </c>
      <c r="X132" s="8">
        <v>0</v>
      </c>
      <c r="Y132" s="7">
        <v>0</v>
      </c>
      <c r="AA132" s="8">
        <v>0</v>
      </c>
      <c r="AB132" s="7">
        <v>0</v>
      </c>
      <c r="AD132" s="8">
        <v>0</v>
      </c>
      <c r="AE132" s="7">
        <v>0</v>
      </c>
      <c r="AG132" s="8">
        <v>0</v>
      </c>
      <c r="AH132" s="7">
        <v>0</v>
      </c>
      <c r="AJ132" s="8">
        <v>0</v>
      </c>
      <c r="AK132" s="7">
        <v>0</v>
      </c>
      <c r="AM132" s="8">
        <v>0</v>
      </c>
      <c r="AN132" s="7">
        <v>0</v>
      </c>
    </row>
    <row r="133" spans="2:40" x14ac:dyDescent="0.15">
      <c r="B133" s="8"/>
      <c r="C133" s="8"/>
      <c r="D133" s="8"/>
      <c r="F133" s="8"/>
      <c r="G133" s="8"/>
      <c r="I133" s="8"/>
      <c r="J133" s="8"/>
      <c r="L133" s="8"/>
      <c r="M133" s="8"/>
      <c r="O133" s="8"/>
      <c r="P133" s="8"/>
      <c r="R133" s="8"/>
      <c r="S133" s="8"/>
      <c r="U133" s="8"/>
      <c r="V133" s="8"/>
      <c r="X133" s="8"/>
      <c r="Y133" s="8"/>
      <c r="AA133" s="8"/>
      <c r="AB133" s="8"/>
      <c r="AD133" s="8"/>
      <c r="AE133" s="8"/>
      <c r="AG133" s="8"/>
      <c r="AH133" s="8"/>
      <c r="AJ133" s="8"/>
      <c r="AK133" s="8"/>
      <c r="AM133" s="8"/>
      <c r="AN133" s="8"/>
    </row>
    <row r="134" spans="2:40" ht="14" x14ac:dyDescent="0.15">
      <c r="B134" s="325" t="s">
        <v>93</v>
      </c>
      <c r="C134" s="326">
        <v>14652850.962400001</v>
      </c>
      <c r="D134" s="327">
        <v>0.1348985</v>
      </c>
      <c r="F134" s="326">
        <v>-573353.92000000004</v>
      </c>
      <c r="G134" s="327">
        <v>-9.7557669999999999E-2</v>
      </c>
      <c r="I134" s="326">
        <v>-759409.8</v>
      </c>
      <c r="J134" s="327">
        <v>-0.11102499</v>
      </c>
      <c r="L134" s="326">
        <v>910855.72</v>
      </c>
      <c r="M134" s="327">
        <v>9.4486420000000002E-2</v>
      </c>
      <c r="O134" s="326">
        <v>-79024.89</v>
      </c>
      <c r="P134" s="327">
        <v>-1.1412830000000001E-2</v>
      </c>
      <c r="R134" s="326">
        <v>2332723.21</v>
      </c>
      <c r="S134" s="327">
        <v>0.22814913000000001</v>
      </c>
      <c r="U134" s="326">
        <v>689450.27</v>
      </c>
      <c r="V134" s="327">
        <v>8.2417669999999998E-2</v>
      </c>
      <c r="X134" s="326">
        <v>994457.22880000004</v>
      </c>
      <c r="Y134" s="327">
        <v>0.11905745</v>
      </c>
      <c r="AA134" s="326">
        <v>1453709.406</v>
      </c>
      <c r="AB134" s="327">
        <v>0.16066759</v>
      </c>
      <c r="AD134" s="326">
        <v>3569077.0092000002</v>
      </c>
      <c r="AE134" s="327">
        <v>0.28665486000000001</v>
      </c>
      <c r="AG134" s="326">
        <v>3450918.8380999998</v>
      </c>
      <c r="AH134" s="327">
        <v>0.28773986000000001</v>
      </c>
      <c r="AJ134" s="326">
        <v>2126449.8552999999</v>
      </c>
      <c r="AK134" s="327">
        <v>0.19963022999999999</v>
      </c>
      <c r="AM134" s="326">
        <v>536998.03500000003</v>
      </c>
      <c r="AN134" s="327">
        <v>6.506323E-2</v>
      </c>
    </row>
    <row r="135" spans="2:40" x14ac:dyDescent="0.15">
      <c r="B135" s="8"/>
      <c r="C135" s="8"/>
      <c r="D135" s="8"/>
      <c r="F135" s="8"/>
      <c r="G135" s="8"/>
      <c r="I135" s="8"/>
      <c r="J135" s="8"/>
      <c r="L135" s="8"/>
      <c r="M135" s="8"/>
      <c r="O135" s="8"/>
      <c r="P135" s="8"/>
      <c r="R135" s="8"/>
      <c r="S135" s="8"/>
      <c r="U135" s="8"/>
      <c r="V135" s="8"/>
      <c r="X135" s="8"/>
      <c r="Y135" s="8"/>
      <c r="AA135" s="8"/>
      <c r="AB135" s="8"/>
      <c r="AD135" s="8"/>
      <c r="AE135" s="8"/>
      <c r="AG135" s="8"/>
      <c r="AH135" s="8"/>
      <c r="AJ135" s="8"/>
      <c r="AK135" s="8"/>
      <c r="AM135" s="8"/>
      <c r="AN135" s="8"/>
    </row>
    <row r="136" spans="2:40" ht="14" x14ac:dyDescent="0.15">
      <c r="B136" s="325" t="s">
        <v>94</v>
      </c>
      <c r="C136" s="326">
        <v>24538204.475299999</v>
      </c>
      <c r="D136" s="327">
        <v>0.22590600999999999</v>
      </c>
      <c r="F136" s="326">
        <v>2058917.22</v>
      </c>
      <c r="G136" s="327">
        <v>0.35033014000000001</v>
      </c>
      <c r="I136" s="326">
        <v>2114282.9700000002</v>
      </c>
      <c r="J136" s="327">
        <v>0.30910617000000001</v>
      </c>
      <c r="L136" s="326">
        <v>1824723.08</v>
      </c>
      <c r="M136" s="327">
        <v>0.18928523999999999</v>
      </c>
      <c r="O136" s="326">
        <v>2008992.99</v>
      </c>
      <c r="P136" s="327">
        <v>0.29014030000000002</v>
      </c>
      <c r="R136" s="326">
        <v>2048366.24</v>
      </c>
      <c r="S136" s="327">
        <v>0.20033793999999999</v>
      </c>
      <c r="U136" s="326">
        <v>1907608.94</v>
      </c>
      <c r="V136" s="327">
        <v>0.22803776000000001</v>
      </c>
      <c r="X136" s="326">
        <v>1976212.7076000001</v>
      </c>
      <c r="Y136" s="327">
        <v>0.23659424000000001</v>
      </c>
      <c r="AA136" s="326">
        <v>2042944.8304999999</v>
      </c>
      <c r="AB136" s="327">
        <v>0.22579136</v>
      </c>
      <c r="AD136" s="326">
        <v>2187180.8829999999</v>
      </c>
      <c r="AE136" s="327">
        <v>0.17566614999999999</v>
      </c>
      <c r="AG136" s="326">
        <v>2207013.4051000001</v>
      </c>
      <c r="AH136" s="327">
        <v>0.18402221999999999</v>
      </c>
      <c r="AJ136" s="326">
        <v>2155295.7133999998</v>
      </c>
      <c r="AK136" s="327">
        <v>0.20233825999999999</v>
      </c>
      <c r="AM136" s="326">
        <v>2006665.4957000001</v>
      </c>
      <c r="AN136" s="327">
        <v>0.24312964000000001</v>
      </c>
    </row>
    <row r="137" spans="2:40" ht="14" x14ac:dyDescent="0.15">
      <c r="B137" s="5" t="s">
        <v>95</v>
      </c>
      <c r="C137" s="8">
        <v>22052733.059999999</v>
      </c>
      <c r="D137" s="7">
        <v>0.20302402</v>
      </c>
      <c r="F137" s="8">
        <v>2058917.22</v>
      </c>
      <c r="G137" s="7">
        <v>0.35033014000000001</v>
      </c>
      <c r="I137" s="8">
        <v>2114282.9700000002</v>
      </c>
      <c r="J137" s="7">
        <v>0.30910617000000001</v>
      </c>
      <c r="L137" s="8">
        <v>1824723.08</v>
      </c>
      <c r="M137" s="7">
        <v>0.18928523999999999</v>
      </c>
      <c r="O137" s="8">
        <v>2008992.99</v>
      </c>
      <c r="P137" s="7">
        <v>0.29014030000000002</v>
      </c>
      <c r="R137" s="8">
        <v>2048366.24</v>
      </c>
      <c r="S137" s="7">
        <v>0.20033793999999999</v>
      </c>
      <c r="U137" s="8">
        <v>1907608.94</v>
      </c>
      <c r="V137" s="7">
        <v>0.22803776000000001</v>
      </c>
      <c r="X137" s="8">
        <v>1687352.04</v>
      </c>
      <c r="Y137" s="7">
        <v>0.20201153999999999</v>
      </c>
      <c r="AA137" s="8">
        <v>1687352.04</v>
      </c>
      <c r="AB137" s="7">
        <v>0.18649035999999999</v>
      </c>
      <c r="AD137" s="8">
        <v>1687352.04</v>
      </c>
      <c r="AE137" s="7">
        <v>0.13552178000000001</v>
      </c>
      <c r="AG137" s="8">
        <v>1637352.04</v>
      </c>
      <c r="AH137" s="7">
        <v>0.13652348</v>
      </c>
      <c r="AJ137" s="8">
        <v>1695216.73</v>
      </c>
      <c r="AK137" s="7">
        <v>0.15914623999999999</v>
      </c>
      <c r="AM137" s="8">
        <v>1695216.73</v>
      </c>
      <c r="AN137" s="7">
        <v>0.20539419</v>
      </c>
    </row>
    <row r="138" spans="2:40" ht="14" x14ac:dyDescent="0.15">
      <c r="B138" s="5" t="s">
        <v>96</v>
      </c>
      <c r="C138" s="8">
        <v>2485471.4153</v>
      </c>
      <c r="D138" s="7">
        <v>2.2881990000000001E-2</v>
      </c>
      <c r="F138" s="8">
        <v>0</v>
      </c>
      <c r="G138" s="7">
        <v>0</v>
      </c>
      <c r="I138" s="8">
        <v>0</v>
      </c>
      <c r="J138" s="7">
        <v>0</v>
      </c>
      <c r="L138" s="8">
        <v>0</v>
      </c>
      <c r="M138" s="7">
        <v>0</v>
      </c>
      <c r="O138" s="8">
        <v>0</v>
      </c>
      <c r="P138" s="7">
        <v>0</v>
      </c>
      <c r="R138" s="8">
        <v>0</v>
      </c>
      <c r="S138" s="7">
        <v>0</v>
      </c>
      <c r="U138" s="8">
        <v>0</v>
      </c>
      <c r="V138" s="7">
        <v>0</v>
      </c>
      <c r="X138" s="8">
        <v>288860.66759999999</v>
      </c>
      <c r="Y138" s="7">
        <v>3.4582700000000001E-2</v>
      </c>
      <c r="AA138" s="8">
        <v>355592.7905</v>
      </c>
      <c r="AB138" s="7">
        <v>3.9301000000000003E-2</v>
      </c>
      <c r="AD138" s="8">
        <v>499828.84299999999</v>
      </c>
      <c r="AE138" s="7">
        <v>4.0144369999999999E-2</v>
      </c>
      <c r="AG138" s="8">
        <v>569661.36510000005</v>
      </c>
      <c r="AH138" s="7">
        <v>4.7498739999999998E-2</v>
      </c>
      <c r="AJ138" s="8">
        <v>460078.98340000003</v>
      </c>
      <c r="AK138" s="7">
        <v>4.3192019999999998E-2</v>
      </c>
      <c r="AM138" s="8">
        <v>311448.76569999999</v>
      </c>
      <c r="AN138" s="7">
        <v>3.7735449999999997E-2</v>
      </c>
    </row>
    <row r="139" spans="2:40" ht="14" x14ac:dyDescent="0.15">
      <c r="B139" s="5" t="s">
        <v>97</v>
      </c>
      <c r="C139" s="8">
        <v>0</v>
      </c>
      <c r="D139" s="7">
        <v>0</v>
      </c>
      <c r="F139" s="8">
        <v>0</v>
      </c>
      <c r="G139" s="7">
        <v>0</v>
      </c>
      <c r="I139" s="8">
        <v>0</v>
      </c>
      <c r="J139" s="7">
        <v>0</v>
      </c>
      <c r="L139" s="8">
        <v>0</v>
      </c>
      <c r="M139" s="7">
        <v>0</v>
      </c>
      <c r="O139" s="8">
        <v>0</v>
      </c>
      <c r="P139" s="7">
        <v>0</v>
      </c>
      <c r="R139" s="8">
        <v>0</v>
      </c>
      <c r="S139" s="7">
        <v>0</v>
      </c>
      <c r="U139" s="8">
        <v>0</v>
      </c>
      <c r="V139" s="7">
        <v>0</v>
      </c>
      <c r="X139" s="8">
        <v>0</v>
      </c>
      <c r="Y139" s="7">
        <v>0</v>
      </c>
      <c r="AA139" s="8">
        <v>0</v>
      </c>
      <c r="AB139" s="7">
        <v>0</v>
      </c>
      <c r="AD139" s="8">
        <v>0</v>
      </c>
      <c r="AE139" s="7">
        <v>0</v>
      </c>
      <c r="AG139" s="8">
        <v>0</v>
      </c>
      <c r="AH139" s="7">
        <v>0</v>
      </c>
      <c r="AJ139" s="8">
        <v>0</v>
      </c>
      <c r="AK139" s="7">
        <v>0</v>
      </c>
      <c r="AM139" s="8">
        <v>0</v>
      </c>
      <c r="AN139" s="7">
        <v>0</v>
      </c>
    </row>
    <row r="140" spans="2:40" x14ac:dyDescent="0.15">
      <c r="B140" s="8"/>
      <c r="C140" s="8"/>
      <c r="D140" s="8"/>
      <c r="F140" s="8"/>
      <c r="G140" s="8"/>
      <c r="I140" s="8"/>
      <c r="J140" s="8"/>
      <c r="L140" s="8"/>
      <c r="M140" s="8"/>
      <c r="O140" s="8"/>
      <c r="P140" s="8"/>
      <c r="R140" s="8"/>
      <c r="S140" s="8"/>
      <c r="U140" s="8"/>
      <c r="V140" s="8"/>
      <c r="X140" s="8"/>
      <c r="Y140" s="8"/>
      <c r="AA140" s="8"/>
      <c r="AB140" s="8"/>
      <c r="AD140" s="8"/>
      <c r="AE140" s="8"/>
      <c r="AG140" s="8"/>
      <c r="AH140" s="8"/>
      <c r="AJ140" s="8"/>
      <c r="AK140" s="8"/>
      <c r="AM140" s="8"/>
      <c r="AN140" s="8"/>
    </row>
    <row r="141" spans="2:40" ht="28" x14ac:dyDescent="0.15">
      <c r="B141" s="325" t="s">
        <v>98</v>
      </c>
      <c r="C141" s="326">
        <v>-9885353.5129000004</v>
      </c>
      <c r="D141" s="327">
        <v>-9.1007499999999991E-2</v>
      </c>
      <c r="F141" s="326">
        <v>-2632271.14</v>
      </c>
      <c r="G141" s="327">
        <v>-0.44788781</v>
      </c>
      <c r="I141" s="326">
        <v>-2873692.77</v>
      </c>
      <c r="J141" s="327">
        <v>-0.42013117</v>
      </c>
      <c r="L141" s="326">
        <v>-913867.36</v>
      </c>
      <c r="M141" s="327">
        <v>-9.4798820000000006E-2</v>
      </c>
      <c r="O141" s="326">
        <v>-2088017.88</v>
      </c>
      <c r="P141" s="327">
        <v>-0.30155313</v>
      </c>
      <c r="R141" s="326">
        <v>284356.96999999997</v>
      </c>
      <c r="S141" s="327">
        <v>2.7811180000000001E-2</v>
      </c>
      <c r="U141" s="326">
        <v>-1218158.67</v>
      </c>
      <c r="V141" s="327">
        <v>-0.14562008000000001</v>
      </c>
      <c r="X141" s="326">
        <v>-981755.47880000004</v>
      </c>
      <c r="Y141" s="327">
        <v>-0.11753679</v>
      </c>
      <c r="AA141" s="326">
        <v>-589235.42460000003</v>
      </c>
      <c r="AB141" s="327">
        <v>-6.5123769999999997E-2</v>
      </c>
      <c r="AD141" s="326">
        <v>1381896.1262999999</v>
      </c>
      <c r="AE141" s="327">
        <v>0.11098871</v>
      </c>
      <c r="AG141" s="326">
        <v>1243905.433</v>
      </c>
      <c r="AH141" s="327">
        <v>0.10371764999999999</v>
      </c>
      <c r="AJ141" s="326">
        <v>-28845.858100000001</v>
      </c>
      <c r="AK141" s="327">
        <v>-2.7080400000000001E-3</v>
      </c>
      <c r="AM141" s="326">
        <v>-1469667.4606999999</v>
      </c>
      <c r="AN141" s="327">
        <v>-0.17806641000000001</v>
      </c>
    </row>
    <row r="142" spans="2:40" ht="14" x14ac:dyDescent="0.15">
      <c r="B142" s="5" t="s">
        <v>99</v>
      </c>
      <c r="C142" s="8">
        <v>90609</v>
      </c>
      <c r="D142" s="7">
        <v>8.3417000000000007E-4</v>
      </c>
      <c r="F142" s="8">
        <v>0</v>
      </c>
      <c r="G142" s="7">
        <v>0</v>
      </c>
      <c r="I142" s="8">
        <v>14399</v>
      </c>
      <c r="J142" s="7">
        <v>2.1051199999999998E-3</v>
      </c>
      <c r="L142" s="8">
        <v>8337</v>
      </c>
      <c r="M142" s="7">
        <v>8.6483000000000003E-4</v>
      </c>
      <c r="O142" s="8">
        <v>7326</v>
      </c>
      <c r="P142" s="7">
        <v>1.05803E-3</v>
      </c>
      <c r="R142" s="8">
        <v>7831</v>
      </c>
      <c r="S142" s="7">
        <v>7.6590000000000002E-4</v>
      </c>
      <c r="U142" s="8">
        <v>7326</v>
      </c>
      <c r="V142" s="7">
        <v>8.7576000000000006E-4</v>
      </c>
      <c r="X142" s="8">
        <v>7565</v>
      </c>
      <c r="Y142" s="7">
        <v>9.0569000000000001E-4</v>
      </c>
      <c r="AA142" s="8">
        <v>7565</v>
      </c>
      <c r="AB142" s="7">
        <v>8.3609999999999999E-4</v>
      </c>
      <c r="AD142" s="8">
        <v>7565</v>
      </c>
      <c r="AE142" s="7">
        <v>6.0758999999999997E-4</v>
      </c>
      <c r="AG142" s="8">
        <v>7565</v>
      </c>
      <c r="AH142" s="7">
        <v>6.307699999999999E-4</v>
      </c>
      <c r="AJ142" s="8">
        <v>7565</v>
      </c>
      <c r="AK142" s="7">
        <v>7.1020000000000002E-4</v>
      </c>
      <c r="AM142" s="8">
        <v>7565</v>
      </c>
      <c r="AN142" s="7">
        <v>9.1658000000000006E-4</v>
      </c>
    </row>
    <row r="143" spans="2:40" x14ac:dyDescent="0.15">
      <c r="B143" s="8"/>
      <c r="C143" s="8"/>
      <c r="D143" s="8"/>
      <c r="F143" s="8"/>
      <c r="G143" s="8"/>
      <c r="I143" s="8"/>
      <c r="J143" s="8"/>
      <c r="L143" s="8"/>
      <c r="M143" s="8"/>
      <c r="O143" s="8"/>
      <c r="P143" s="8"/>
      <c r="R143" s="8"/>
      <c r="S143" s="8"/>
      <c r="U143" s="8"/>
      <c r="V143" s="8"/>
      <c r="X143" s="8"/>
      <c r="Y143" s="8"/>
      <c r="AA143" s="8"/>
      <c r="AB143" s="8"/>
      <c r="AD143" s="8"/>
      <c r="AE143" s="8"/>
      <c r="AG143" s="8"/>
      <c r="AH143" s="8"/>
      <c r="AJ143" s="8"/>
      <c r="AK143" s="8"/>
      <c r="AM143" s="8"/>
      <c r="AN143" s="8"/>
    </row>
    <row r="144" spans="2:40" ht="14" x14ac:dyDescent="0.15">
      <c r="B144" s="325" t="s">
        <v>100</v>
      </c>
      <c r="C144" s="326">
        <v>-9975962.5129000004</v>
      </c>
      <c r="D144" s="327">
        <v>-9.1841679999999995E-2</v>
      </c>
      <c r="F144" s="326">
        <v>-2632271.14</v>
      </c>
      <c r="G144" s="327">
        <v>-0.44788781</v>
      </c>
      <c r="I144" s="326">
        <v>-2888091.77</v>
      </c>
      <c r="J144" s="327">
        <v>-0.42223629000000001</v>
      </c>
      <c r="L144" s="326">
        <v>-922204.36</v>
      </c>
      <c r="M144" s="327">
        <v>-9.5663649999999989E-2</v>
      </c>
      <c r="O144" s="326">
        <v>-2095343.88</v>
      </c>
      <c r="P144" s="327">
        <v>-0.30261115999999999</v>
      </c>
      <c r="R144" s="326">
        <v>276525.96999999997</v>
      </c>
      <c r="S144" s="327">
        <v>2.7045280000000001E-2</v>
      </c>
      <c r="U144" s="326">
        <v>-1225484.67</v>
      </c>
      <c r="V144" s="327">
        <v>-0.14649583999999999</v>
      </c>
      <c r="X144" s="326">
        <v>-989320.47880000004</v>
      </c>
      <c r="Y144" s="327">
        <v>-0.11844248</v>
      </c>
      <c r="AA144" s="326">
        <v>-596800.42460000003</v>
      </c>
      <c r="AB144" s="327">
        <v>-6.5959870000000004E-2</v>
      </c>
      <c r="AD144" s="326">
        <v>1374331.1262999999</v>
      </c>
      <c r="AE144" s="327">
        <v>0.11038111</v>
      </c>
      <c r="AG144" s="326">
        <v>1236340.433</v>
      </c>
      <c r="AH144" s="327">
        <v>0.10308687</v>
      </c>
      <c r="AJ144" s="326">
        <v>-36410.858099999998</v>
      </c>
      <c r="AK144" s="327">
        <v>-3.4182399999999999E-3</v>
      </c>
      <c r="AM144" s="326">
        <v>-1477232.4606999999</v>
      </c>
      <c r="AN144" s="327">
        <v>-0.17898299000000001</v>
      </c>
    </row>
    <row r="145" spans="2:40" ht="14" x14ac:dyDescent="0.15">
      <c r="B145" s="5" t="s">
        <v>101</v>
      </c>
      <c r="C145" s="8">
        <v>0</v>
      </c>
      <c r="D145" s="7">
        <v>0</v>
      </c>
      <c r="F145" s="8">
        <v>0</v>
      </c>
      <c r="G145" s="7">
        <v>0</v>
      </c>
      <c r="I145" s="8">
        <v>0</v>
      </c>
      <c r="J145" s="7">
        <v>0</v>
      </c>
      <c r="L145" s="8">
        <v>0</v>
      </c>
      <c r="M145" s="7">
        <v>0</v>
      </c>
      <c r="O145" s="8">
        <v>0</v>
      </c>
      <c r="P145" s="7">
        <v>0</v>
      </c>
      <c r="R145" s="8">
        <v>0</v>
      </c>
      <c r="S145" s="7">
        <v>0</v>
      </c>
      <c r="U145" s="8">
        <v>0</v>
      </c>
      <c r="V145" s="7">
        <v>0</v>
      </c>
      <c r="X145" s="8">
        <v>0</v>
      </c>
      <c r="Y145" s="7">
        <v>0</v>
      </c>
      <c r="AA145" s="8">
        <v>0</v>
      </c>
      <c r="AB145" s="7">
        <v>0</v>
      </c>
      <c r="AD145" s="8">
        <v>0</v>
      </c>
      <c r="AE145" s="7">
        <v>0</v>
      </c>
      <c r="AG145" s="8">
        <v>0</v>
      </c>
      <c r="AH145" s="7">
        <v>0</v>
      </c>
      <c r="AJ145" s="8">
        <v>0</v>
      </c>
      <c r="AK145" s="7">
        <v>0</v>
      </c>
      <c r="AM145" s="8">
        <v>0</v>
      </c>
      <c r="AN145" s="7">
        <v>0</v>
      </c>
    </row>
    <row r="146" spans="2:40" x14ac:dyDescent="0.15">
      <c r="B146" s="8"/>
      <c r="C146" s="8"/>
      <c r="D146" s="8"/>
      <c r="F146" s="8"/>
      <c r="G146" s="8"/>
      <c r="I146" s="8"/>
      <c r="J146" s="8"/>
      <c r="L146" s="8"/>
      <c r="M146" s="8"/>
      <c r="O146" s="8"/>
      <c r="P146" s="8"/>
      <c r="R146" s="8"/>
      <c r="S146" s="8"/>
      <c r="U146" s="8"/>
      <c r="V146" s="8"/>
      <c r="X146" s="8"/>
      <c r="Y146" s="8"/>
      <c r="AA146" s="8"/>
      <c r="AB146" s="8"/>
      <c r="AD146" s="8"/>
      <c r="AE146" s="8"/>
      <c r="AG146" s="8"/>
      <c r="AH146" s="8"/>
      <c r="AJ146" s="8"/>
      <c r="AK146" s="8"/>
      <c r="AM146" s="8"/>
      <c r="AN146" s="8"/>
    </row>
    <row r="147" spans="2:40" ht="28" x14ac:dyDescent="0.15">
      <c r="B147" s="325" t="s">
        <v>102</v>
      </c>
      <c r="C147" s="326">
        <v>-9975962.5129000004</v>
      </c>
      <c r="D147" s="327">
        <v>-9.1841679999999995E-2</v>
      </c>
      <c r="F147" s="326">
        <v>-2632271.14</v>
      </c>
      <c r="G147" s="327">
        <v>-0.44788781</v>
      </c>
      <c r="I147" s="326">
        <v>-2888091.77</v>
      </c>
      <c r="J147" s="327">
        <v>-0.42223629000000001</v>
      </c>
      <c r="L147" s="326">
        <v>-922204.36</v>
      </c>
      <c r="M147" s="327">
        <v>-9.5663649999999989E-2</v>
      </c>
      <c r="O147" s="326">
        <v>-2095343.88</v>
      </c>
      <c r="P147" s="327">
        <v>-0.30261115999999999</v>
      </c>
      <c r="R147" s="326">
        <v>276525.96999999997</v>
      </c>
      <c r="S147" s="327">
        <v>2.7045280000000001E-2</v>
      </c>
      <c r="U147" s="326">
        <v>-1225484.67</v>
      </c>
      <c r="V147" s="327">
        <v>-0.14649583999999999</v>
      </c>
      <c r="X147" s="326">
        <v>-989320.47880000004</v>
      </c>
      <c r="Y147" s="327">
        <v>-0.11844248</v>
      </c>
      <c r="AA147" s="326">
        <v>-596800.42460000003</v>
      </c>
      <c r="AB147" s="327">
        <v>-6.5959870000000004E-2</v>
      </c>
      <c r="AD147" s="326">
        <v>1374331.1262999999</v>
      </c>
      <c r="AE147" s="327">
        <v>0.11038111</v>
      </c>
      <c r="AG147" s="326">
        <v>1236340.433</v>
      </c>
      <c r="AH147" s="327">
        <v>0.10308687</v>
      </c>
      <c r="AJ147" s="326">
        <v>-36410.858099999998</v>
      </c>
      <c r="AK147" s="327">
        <v>-3.4182399999999999E-3</v>
      </c>
      <c r="AM147" s="326">
        <v>-1477232.4606999999</v>
      </c>
      <c r="AN147" s="327">
        <v>-0.17898299000000001</v>
      </c>
    </row>
    <row r="148" spans="2:40" ht="14" x14ac:dyDescent="0.15">
      <c r="B148" s="5" t="s">
        <v>103</v>
      </c>
      <c r="C148" s="8">
        <v>0</v>
      </c>
      <c r="D148" s="7">
        <v>0</v>
      </c>
      <c r="F148" s="8">
        <v>0</v>
      </c>
      <c r="G148" s="7">
        <v>0</v>
      </c>
      <c r="I148" s="8">
        <v>0</v>
      </c>
      <c r="J148" s="7">
        <v>0</v>
      </c>
      <c r="L148" s="8">
        <v>0</v>
      </c>
      <c r="M148" s="7">
        <v>0</v>
      </c>
      <c r="O148" s="8">
        <v>0</v>
      </c>
      <c r="P148" s="7">
        <v>0</v>
      </c>
      <c r="R148" s="8">
        <v>0</v>
      </c>
      <c r="S148" s="7">
        <v>0</v>
      </c>
      <c r="U148" s="8">
        <v>0</v>
      </c>
      <c r="V148" s="7">
        <v>0</v>
      </c>
      <c r="X148" s="8">
        <v>0</v>
      </c>
      <c r="Y148" s="7">
        <v>0</v>
      </c>
      <c r="AA148" s="8">
        <v>0</v>
      </c>
      <c r="AB148" s="7">
        <v>0</v>
      </c>
      <c r="AD148" s="8">
        <v>0</v>
      </c>
      <c r="AE148" s="7">
        <v>0</v>
      </c>
      <c r="AG148" s="8">
        <v>0</v>
      </c>
      <c r="AH148" s="7">
        <v>0</v>
      </c>
      <c r="AJ148" s="8">
        <v>0</v>
      </c>
      <c r="AK148" s="7">
        <v>0</v>
      </c>
      <c r="AM148" s="8">
        <v>0</v>
      </c>
      <c r="AN148" s="7">
        <v>0</v>
      </c>
    </row>
    <row r="149" spans="2:40" x14ac:dyDescent="0.15">
      <c r="B149" s="8"/>
      <c r="C149" s="8"/>
      <c r="D149" s="8"/>
      <c r="F149" s="8"/>
      <c r="G149" s="8"/>
      <c r="I149" s="8"/>
      <c r="J149" s="8"/>
      <c r="L149" s="8"/>
      <c r="M149" s="8"/>
      <c r="O149" s="8"/>
      <c r="P149" s="8"/>
      <c r="R149" s="8"/>
      <c r="S149" s="8"/>
      <c r="U149" s="8"/>
      <c r="V149" s="8"/>
      <c r="X149" s="8"/>
      <c r="Y149" s="8"/>
      <c r="AA149" s="8"/>
      <c r="AB149" s="8"/>
      <c r="AD149" s="8"/>
      <c r="AE149" s="8"/>
      <c r="AG149" s="8"/>
      <c r="AH149" s="8"/>
      <c r="AJ149" s="8"/>
      <c r="AK149" s="8"/>
      <c r="AM149" s="8"/>
      <c r="AN149" s="8"/>
    </row>
    <row r="150" spans="2:40" ht="14" x14ac:dyDescent="0.15">
      <c r="B150" s="325" t="s">
        <v>104</v>
      </c>
      <c r="C150" s="326">
        <v>-9975962.5129000004</v>
      </c>
      <c r="D150" s="327">
        <v>-9.1841679999999995E-2</v>
      </c>
      <c r="F150" s="326">
        <v>-2632271.14</v>
      </c>
      <c r="G150" s="327">
        <v>-0.44788781</v>
      </c>
      <c r="I150" s="326">
        <v>-2888091.77</v>
      </c>
      <c r="J150" s="327">
        <v>-0.42223629000000001</v>
      </c>
      <c r="L150" s="326">
        <v>-922204.36</v>
      </c>
      <c r="M150" s="327">
        <v>-9.5663649999999989E-2</v>
      </c>
      <c r="O150" s="326">
        <v>-2095343.88</v>
      </c>
      <c r="P150" s="327">
        <v>-0.30261115999999999</v>
      </c>
      <c r="R150" s="326">
        <v>276525.96999999997</v>
      </c>
      <c r="S150" s="327">
        <v>2.7045280000000001E-2</v>
      </c>
      <c r="U150" s="326">
        <v>-1225484.67</v>
      </c>
      <c r="V150" s="327">
        <v>-0.14649583999999999</v>
      </c>
      <c r="X150" s="326">
        <v>-989320.47880000004</v>
      </c>
      <c r="Y150" s="327">
        <v>-0.11844248</v>
      </c>
      <c r="AA150" s="326">
        <v>-596800.42460000003</v>
      </c>
      <c r="AB150" s="327">
        <v>-6.5959870000000004E-2</v>
      </c>
      <c r="AD150" s="326">
        <v>1374331.1262999999</v>
      </c>
      <c r="AE150" s="327">
        <v>0.11038111</v>
      </c>
      <c r="AG150" s="326">
        <v>1236340.433</v>
      </c>
      <c r="AH150" s="327">
        <v>0.10308687</v>
      </c>
      <c r="AJ150" s="326">
        <v>-36410.858099999998</v>
      </c>
      <c r="AK150" s="327">
        <v>-3.4182399999999999E-3</v>
      </c>
      <c r="AM150" s="326">
        <v>-1477232.4606999999</v>
      </c>
      <c r="AN150" s="327">
        <v>-0.17898299000000001</v>
      </c>
    </row>
    <row r="151" spans="2:40" x14ac:dyDescent="0.15">
      <c r="B151" s="8"/>
      <c r="C151" s="8"/>
      <c r="D151" s="8"/>
      <c r="F151" s="8"/>
      <c r="G151" s="8"/>
      <c r="I151" s="8"/>
      <c r="J151" s="8"/>
      <c r="L151" s="8"/>
      <c r="M151" s="8"/>
      <c r="O151" s="8"/>
      <c r="P151" s="8"/>
      <c r="R151" s="8"/>
      <c r="S151" s="8"/>
      <c r="U151" s="8"/>
      <c r="V151" s="8"/>
      <c r="X151" s="8"/>
      <c r="Y151" s="8"/>
      <c r="AA151" s="8"/>
      <c r="AB151" s="8"/>
      <c r="AD151" s="8"/>
      <c r="AE151" s="8"/>
      <c r="AG151" s="8"/>
      <c r="AH151" s="8"/>
      <c r="AJ151" s="8"/>
      <c r="AK151" s="8"/>
      <c r="AM151" s="8"/>
      <c r="AN151" s="8"/>
    </row>
    <row r="152" spans="2:40" ht="14" x14ac:dyDescent="0.15">
      <c r="B152" s="328" t="s">
        <v>105</v>
      </c>
      <c r="C152" s="329"/>
      <c r="D152" s="329"/>
      <c r="F152" s="329"/>
      <c r="G152" s="329"/>
      <c r="I152" s="329"/>
      <c r="J152" s="329"/>
      <c r="L152" s="329"/>
      <c r="M152" s="329"/>
      <c r="O152" s="329"/>
      <c r="P152" s="329"/>
      <c r="R152" s="329"/>
      <c r="S152" s="329"/>
      <c r="U152" s="329"/>
      <c r="V152" s="329"/>
      <c r="X152" s="329"/>
      <c r="Y152" s="329"/>
      <c r="AA152" s="329"/>
      <c r="AB152" s="329"/>
      <c r="AD152" s="329"/>
      <c r="AE152" s="329"/>
      <c r="AG152" s="329"/>
      <c r="AH152" s="329"/>
      <c r="AJ152" s="329"/>
      <c r="AK152" s="329"/>
      <c r="AM152" s="329"/>
      <c r="AN152" s="329"/>
    </row>
    <row r="153" spans="2:40" ht="14" x14ac:dyDescent="0.15">
      <c r="B153" s="5" t="s">
        <v>106</v>
      </c>
      <c r="C153" s="6">
        <v>-10117871.312899999</v>
      </c>
      <c r="D153" s="7">
        <v>-9.3148129999999996E-2</v>
      </c>
      <c r="F153" s="8">
        <v>-2587302.4900000002</v>
      </c>
      <c r="G153" s="7">
        <v>-0.44023627999999998</v>
      </c>
      <c r="I153" s="8">
        <v>-2983068.52</v>
      </c>
      <c r="J153" s="7">
        <v>-0.4361218</v>
      </c>
      <c r="L153" s="8">
        <v>-978505.11</v>
      </c>
      <c r="M153" s="7">
        <v>-0.10150394</v>
      </c>
      <c r="O153" s="8">
        <v>-2144406.63</v>
      </c>
      <c r="P153" s="7">
        <v>-0.30969683999999997</v>
      </c>
      <c r="R153" s="8">
        <v>222722.22</v>
      </c>
      <c r="S153" s="7">
        <v>2.1783070000000002E-2</v>
      </c>
      <c r="U153" s="8">
        <v>-1286840.42</v>
      </c>
      <c r="V153" s="7">
        <v>-0.15383037999999999</v>
      </c>
      <c r="X153" s="8">
        <v>-967883.42879999999</v>
      </c>
      <c r="Y153" s="7">
        <v>-0.11587601</v>
      </c>
      <c r="AA153" s="8">
        <v>-575363.37459999998</v>
      </c>
      <c r="AB153" s="7">
        <v>-6.3590599999999997E-2</v>
      </c>
      <c r="AD153" s="8">
        <v>1395768.1762999999</v>
      </c>
      <c r="AE153" s="7">
        <v>0.11210286</v>
      </c>
      <c r="AG153" s="8">
        <v>1257777.483</v>
      </c>
      <c r="AH153" s="7">
        <v>0.10487431</v>
      </c>
      <c r="AJ153" s="8">
        <v>-14973.8081</v>
      </c>
      <c r="AK153" s="7">
        <v>-1.40573E-3</v>
      </c>
      <c r="AM153" s="8">
        <v>-1455795.4106999999</v>
      </c>
      <c r="AN153" s="7">
        <v>-0.17638566</v>
      </c>
    </row>
    <row r="154" spans="2:40" ht="14" x14ac:dyDescent="0.15">
      <c r="B154" s="5" t="s">
        <v>107</v>
      </c>
      <c r="C154" s="6">
        <v>-10609613.172900001</v>
      </c>
      <c r="D154" s="7">
        <v>-9.7675249999999991E-2</v>
      </c>
      <c r="F154" s="8">
        <v>-2619711.35</v>
      </c>
      <c r="G154" s="7">
        <v>-0.44575072999999998</v>
      </c>
      <c r="I154" s="8">
        <v>-3002328.72</v>
      </c>
      <c r="J154" s="7">
        <v>-0.43893761999999997</v>
      </c>
      <c r="L154" s="8">
        <v>-997515.31</v>
      </c>
      <c r="M154" s="7">
        <v>-0.10347592999999999</v>
      </c>
      <c r="O154" s="8">
        <v>-2163416.83</v>
      </c>
      <c r="P154" s="7">
        <v>-0.31244231</v>
      </c>
      <c r="R154" s="8">
        <v>203712.02</v>
      </c>
      <c r="S154" s="7">
        <v>1.9923799999999998E-2</v>
      </c>
      <c r="U154" s="8">
        <v>-1305850.6200000001</v>
      </c>
      <c r="V154" s="7">
        <v>-0.15610288</v>
      </c>
      <c r="X154" s="8">
        <v>-1028555.4288</v>
      </c>
      <c r="Y154" s="7">
        <v>-0.12313973</v>
      </c>
      <c r="AA154" s="8">
        <v>-636035.37459999998</v>
      </c>
      <c r="AB154" s="7">
        <v>-7.0296219999999993E-2</v>
      </c>
      <c r="AD154" s="8">
        <v>1335096.1762999999</v>
      </c>
      <c r="AE154" s="7">
        <v>0.10722991</v>
      </c>
      <c r="AG154" s="8">
        <v>1197105.483</v>
      </c>
      <c r="AH154" s="7">
        <v>9.9815439999999991E-2</v>
      </c>
      <c r="AJ154" s="8">
        <v>-75645.808099999995</v>
      </c>
      <c r="AK154" s="7">
        <v>-7.1015999999999996E-3</v>
      </c>
      <c r="AM154" s="8">
        <v>-1516467.4106999999</v>
      </c>
      <c r="AN154" s="7">
        <v>-0.18373674000000001</v>
      </c>
    </row>
    <row r="155" spans="2:40" ht="14" x14ac:dyDescent="0.15">
      <c r="B155" s="325" t="s">
        <v>108</v>
      </c>
      <c r="C155" s="330">
        <v>3967222.0101000001</v>
      </c>
      <c r="D155" s="327">
        <v>3.6523430000000003E-2</v>
      </c>
      <c r="F155" s="326">
        <v>265711.99</v>
      </c>
      <c r="G155" s="327">
        <v>4.5211590000000003E-2</v>
      </c>
      <c r="I155" s="326">
        <v>317693.40999999997</v>
      </c>
      <c r="J155" s="327">
        <v>4.6446479999999998E-2</v>
      </c>
      <c r="L155" s="326">
        <v>390494.35</v>
      </c>
      <c r="M155" s="327">
        <v>4.0507420000000002E-2</v>
      </c>
      <c r="O155" s="326">
        <v>294399.5</v>
      </c>
      <c r="P155" s="327">
        <v>4.2517399999999997E-2</v>
      </c>
      <c r="R155" s="326">
        <v>400592.63</v>
      </c>
      <c r="S155" s="327">
        <v>3.9179470000000001E-2</v>
      </c>
      <c r="U155" s="326">
        <v>340619.55</v>
      </c>
      <c r="V155" s="327">
        <v>4.0718050000000013E-2</v>
      </c>
      <c r="X155" s="326">
        <v>251826.8481</v>
      </c>
      <c r="Y155" s="327">
        <v>3.0148970000000001E-2</v>
      </c>
      <c r="AA155" s="326">
        <v>277033.20689999999</v>
      </c>
      <c r="AB155" s="327">
        <v>3.06184E-2</v>
      </c>
      <c r="AD155" s="326">
        <v>407365.37569999998</v>
      </c>
      <c r="AE155" s="327">
        <v>3.271806E-2</v>
      </c>
      <c r="AG155" s="326">
        <v>394544.42170000001</v>
      </c>
      <c r="AH155" s="327">
        <v>3.2897370000000002E-2</v>
      </c>
      <c r="AJ155" s="326">
        <v>361742.33909999998</v>
      </c>
      <c r="AK155" s="327">
        <v>3.3960219999999999E-2</v>
      </c>
      <c r="AM155" s="326">
        <v>265198.38860000001</v>
      </c>
      <c r="AN155" s="327">
        <v>3.2131710000000001E-2</v>
      </c>
    </row>
    <row r="156" spans="2:40" ht="14" x14ac:dyDescent="0.15">
      <c r="B156" s="5" t="s">
        <v>109</v>
      </c>
      <c r="C156" s="6">
        <v>0</v>
      </c>
      <c r="D156" s="7">
        <v>0</v>
      </c>
      <c r="F156" s="8">
        <v>0</v>
      </c>
      <c r="G156" s="7">
        <v>0</v>
      </c>
      <c r="I156" s="8">
        <v>0</v>
      </c>
      <c r="J156" s="7">
        <v>0</v>
      </c>
      <c r="L156" s="8">
        <v>0</v>
      </c>
      <c r="M156" s="7">
        <v>0</v>
      </c>
      <c r="O156" s="8">
        <v>0</v>
      </c>
      <c r="P156" s="7">
        <v>0</v>
      </c>
      <c r="R156" s="8">
        <v>0</v>
      </c>
      <c r="S156" s="7">
        <v>0</v>
      </c>
      <c r="U156" s="8">
        <v>0</v>
      </c>
      <c r="V156" s="7">
        <v>0</v>
      </c>
      <c r="X156" s="8">
        <v>0</v>
      </c>
      <c r="Y156" s="7">
        <v>0</v>
      </c>
      <c r="AA156" s="8">
        <v>0</v>
      </c>
      <c r="AB156" s="7">
        <v>0</v>
      </c>
      <c r="AD156" s="8">
        <v>0</v>
      </c>
      <c r="AE156" s="7">
        <v>0</v>
      </c>
      <c r="AG156" s="8">
        <v>0</v>
      </c>
      <c r="AH156" s="7">
        <v>0</v>
      </c>
      <c r="AJ156" s="8">
        <v>0</v>
      </c>
      <c r="AK156" s="7">
        <v>0</v>
      </c>
      <c r="AM156" s="8">
        <v>0</v>
      </c>
      <c r="AN156" s="7">
        <v>0</v>
      </c>
    </row>
    <row r="157" spans="2:40" ht="14" x14ac:dyDescent="0.15">
      <c r="B157" s="5" t="s">
        <v>110</v>
      </c>
      <c r="C157" s="6">
        <v>0</v>
      </c>
      <c r="D157" s="7">
        <v>0</v>
      </c>
      <c r="F157" s="8">
        <v>0</v>
      </c>
      <c r="G157" s="7">
        <v>0</v>
      </c>
      <c r="I157" s="8">
        <v>0</v>
      </c>
      <c r="J157" s="7">
        <v>0</v>
      </c>
      <c r="L157" s="8">
        <v>0</v>
      </c>
      <c r="M157" s="7">
        <v>0</v>
      </c>
      <c r="O157" s="8">
        <v>0</v>
      </c>
      <c r="P157" s="7">
        <v>0</v>
      </c>
      <c r="R157" s="8">
        <v>0</v>
      </c>
      <c r="S157" s="7">
        <v>0</v>
      </c>
      <c r="U157" s="8">
        <v>0</v>
      </c>
      <c r="V157" s="7">
        <v>0</v>
      </c>
      <c r="X157" s="8">
        <v>0</v>
      </c>
      <c r="Y157" s="7">
        <v>0</v>
      </c>
      <c r="AA157" s="8">
        <v>0</v>
      </c>
      <c r="AB157" s="7">
        <v>0</v>
      </c>
      <c r="AD157" s="8">
        <v>0</v>
      </c>
      <c r="AE157" s="7">
        <v>0</v>
      </c>
      <c r="AG157" s="8">
        <v>0</v>
      </c>
      <c r="AH157" s="7">
        <v>0</v>
      </c>
      <c r="AJ157" s="8">
        <v>0</v>
      </c>
      <c r="AK157" s="7">
        <v>0</v>
      </c>
      <c r="AM157" s="8">
        <v>0</v>
      </c>
      <c r="AN157" s="7">
        <v>0</v>
      </c>
    </row>
    <row r="158" spans="2:40" ht="14" x14ac:dyDescent="0.15">
      <c r="B158" s="5" t="s">
        <v>111</v>
      </c>
      <c r="C158" s="6">
        <v>919935.95779999997</v>
      </c>
      <c r="D158" s="7">
        <v>8.4691999999999996E-3</v>
      </c>
      <c r="F158" s="8">
        <v>52851.45</v>
      </c>
      <c r="G158" s="7">
        <v>8.9928100000000004E-3</v>
      </c>
      <c r="I158" s="8">
        <v>62060.39</v>
      </c>
      <c r="J158" s="7">
        <v>9.0731700000000002E-3</v>
      </c>
      <c r="L158" s="8">
        <v>83723.38</v>
      </c>
      <c r="M158" s="7">
        <v>8.6849300000000004E-3</v>
      </c>
      <c r="O158" s="8">
        <v>63016.28</v>
      </c>
      <c r="P158" s="7">
        <v>9.1008599999999988E-3</v>
      </c>
      <c r="R158" s="8">
        <v>84505.04</v>
      </c>
      <c r="S158" s="7">
        <v>8.2649100000000003E-3</v>
      </c>
      <c r="U158" s="8">
        <v>71730.47</v>
      </c>
      <c r="V158" s="7">
        <v>8.5747399999999991E-3</v>
      </c>
      <c r="X158" s="8">
        <v>64234.7719</v>
      </c>
      <c r="Y158" s="7">
        <v>7.6902499999999992E-3</v>
      </c>
      <c r="AA158" s="8">
        <v>70914.641099999993</v>
      </c>
      <c r="AB158" s="7">
        <v>7.8376599999999998E-3</v>
      </c>
      <c r="AD158" s="8">
        <v>102504.8854</v>
      </c>
      <c r="AE158" s="7">
        <v>8.2328100000000001E-3</v>
      </c>
      <c r="AG158" s="8">
        <v>102764.63649999999</v>
      </c>
      <c r="AH158" s="7">
        <v>8.5685799999999993E-3</v>
      </c>
      <c r="AJ158" s="8">
        <v>93462.854600000006</v>
      </c>
      <c r="AK158" s="7">
        <v>8.7742500000000008E-3</v>
      </c>
      <c r="AM158" s="8">
        <v>68167.158299999996</v>
      </c>
      <c r="AN158" s="7">
        <v>8.2591999999999995E-3</v>
      </c>
    </row>
    <row r="159" spans="2:40" ht="14" x14ac:dyDescent="0.15">
      <c r="B159" s="5" t="s">
        <v>112</v>
      </c>
      <c r="C159" s="6">
        <v>1033811.0853</v>
      </c>
      <c r="D159" s="7">
        <v>9.5175699999999995E-3</v>
      </c>
      <c r="F159" s="8">
        <v>-45929.66</v>
      </c>
      <c r="G159" s="7">
        <v>-7.8150500000000005E-3</v>
      </c>
      <c r="I159" s="8">
        <v>744.43</v>
      </c>
      <c r="J159" s="7">
        <v>1.0883E-4</v>
      </c>
      <c r="L159" s="8">
        <v>13158.58</v>
      </c>
      <c r="M159" s="7">
        <v>1.36499E-3</v>
      </c>
      <c r="O159" s="8">
        <v>-3576.01</v>
      </c>
      <c r="P159" s="7">
        <v>-5.1645E-4</v>
      </c>
      <c r="R159" s="8">
        <v>27494.62</v>
      </c>
      <c r="S159" s="7">
        <v>2.6890799999999999E-3</v>
      </c>
      <c r="U159" s="8">
        <v>7500.62</v>
      </c>
      <c r="V159" s="7">
        <v>8.9663000000000004E-4</v>
      </c>
      <c r="X159" s="8">
        <v>124563.4345</v>
      </c>
      <c r="Y159" s="7">
        <v>1.491286E-2</v>
      </c>
      <c r="AA159" s="8">
        <v>139179.00090000001</v>
      </c>
      <c r="AB159" s="7">
        <v>1.5382409999999999E-2</v>
      </c>
      <c r="AD159" s="8">
        <v>213789.7647</v>
      </c>
      <c r="AE159" s="7">
        <v>1.7170789999999998E-2</v>
      </c>
      <c r="AG159" s="8">
        <v>219542.90160000001</v>
      </c>
      <c r="AH159" s="7">
        <v>1.830563E-2</v>
      </c>
      <c r="AJ159" s="8">
        <v>199358.93460000001</v>
      </c>
      <c r="AK159" s="7">
        <v>1.871573E-2</v>
      </c>
      <c r="AM159" s="8">
        <v>137984.46900000001</v>
      </c>
      <c r="AN159" s="7">
        <v>1.6718340000000002E-2</v>
      </c>
    </row>
    <row r="160" spans="2:40" ht="14" x14ac:dyDescent="0.15">
      <c r="B160" s="5" t="s">
        <v>113</v>
      </c>
      <c r="C160" s="6">
        <v>2519444.8731999998</v>
      </c>
      <c r="D160" s="7">
        <v>2.3194759999999998E-2</v>
      </c>
      <c r="F160" s="8">
        <v>159645.4</v>
      </c>
      <c r="G160" s="7">
        <v>2.716408E-2</v>
      </c>
      <c r="I160" s="8">
        <v>189127.69</v>
      </c>
      <c r="J160" s="7">
        <v>2.7650290000000001E-2</v>
      </c>
      <c r="L160" s="8">
        <v>224583.8</v>
      </c>
      <c r="M160" s="7">
        <v>2.3296899999999999E-2</v>
      </c>
      <c r="O160" s="8">
        <v>168276.8</v>
      </c>
      <c r="P160" s="7">
        <v>2.430266E-2</v>
      </c>
      <c r="R160" s="8">
        <v>229337.25</v>
      </c>
      <c r="S160" s="7">
        <v>2.243005E-2</v>
      </c>
      <c r="U160" s="8">
        <v>195423.9</v>
      </c>
      <c r="V160" s="7">
        <v>2.3361199999999999E-2</v>
      </c>
      <c r="X160" s="8">
        <v>172780.2009</v>
      </c>
      <c r="Y160" s="7">
        <v>2.0685430000000001E-2</v>
      </c>
      <c r="AA160" s="8">
        <v>191664.71770000001</v>
      </c>
      <c r="AB160" s="7">
        <v>2.1183259999999999E-2</v>
      </c>
      <c r="AD160" s="8">
        <v>283319.6667</v>
      </c>
      <c r="AE160" s="7">
        <v>2.2755170000000002E-2</v>
      </c>
      <c r="AG160" s="8">
        <v>273264.65090000001</v>
      </c>
      <c r="AH160" s="7">
        <v>2.278498E-2</v>
      </c>
      <c r="AJ160" s="8">
        <v>250079.41260000001</v>
      </c>
      <c r="AK160" s="7">
        <v>2.3477350000000001E-2</v>
      </c>
      <c r="AM160" s="8">
        <v>181941.38440000001</v>
      </c>
      <c r="AN160" s="7">
        <v>2.20442E-2</v>
      </c>
    </row>
    <row r="161" spans="2:40" ht="14" x14ac:dyDescent="0.15">
      <c r="B161" s="5" t="s">
        <v>114</v>
      </c>
      <c r="C161" s="6">
        <v>527841.17929999996</v>
      </c>
      <c r="D161" s="7">
        <v>4.8594599999999986E-3</v>
      </c>
      <c r="F161" s="8">
        <v>53215.14</v>
      </c>
      <c r="G161" s="7">
        <v>9.0547000000000006E-3</v>
      </c>
      <c r="I161" s="8">
        <v>66505.33</v>
      </c>
      <c r="J161" s="7">
        <v>9.7230200000000006E-3</v>
      </c>
      <c r="L161" s="8">
        <v>82187.17</v>
      </c>
      <c r="M161" s="7">
        <v>8.5255799999999996E-3</v>
      </c>
      <c r="O161" s="8">
        <v>63106.42</v>
      </c>
      <c r="P161" s="7">
        <v>9.1138799999999996E-3</v>
      </c>
      <c r="R161" s="8">
        <v>86750.34</v>
      </c>
      <c r="S161" s="7">
        <v>8.4845099999999989E-3</v>
      </c>
      <c r="U161" s="8">
        <v>73465.179999999993</v>
      </c>
      <c r="V161" s="7">
        <v>8.7821099999999992E-3</v>
      </c>
      <c r="X161" s="8">
        <v>14811.8752</v>
      </c>
      <c r="Y161" s="7">
        <v>1.7732900000000001E-3</v>
      </c>
      <c r="AA161" s="8">
        <v>14453.8482</v>
      </c>
      <c r="AB161" s="7">
        <v>1.5974800000000001E-3</v>
      </c>
      <c r="AD161" s="8">
        <v>21540.823499999999</v>
      </c>
      <c r="AE161" s="7">
        <v>1.7300799999999999E-3</v>
      </c>
      <c r="AG161" s="8">
        <v>18515.134699999999</v>
      </c>
      <c r="AH161" s="7">
        <v>1.5437999999999999E-3</v>
      </c>
      <c r="AJ161" s="8">
        <v>18200.0717</v>
      </c>
      <c r="AK161" s="7">
        <v>1.7086200000000001E-3</v>
      </c>
      <c r="AM161" s="8">
        <v>15089.846</v>
      </c>
      <c r="AN161" s="7">
        <v>1.8282999999999999E-3</v>
      </c>
    </row>
    <row r="162" spans="2:40" ht="14" x14ac:dyDescent="0.15">
      <c r="B162" s="325" t="s">
        <v>115</v>
      </c>
      <c r="C162" s="330">
        <v>4928875.2615999999</v>
      </c>
      <c r="D162" s="327">
        <v>4.5376689999999997E-2</v>
      </c>
      <c r="F162" s="326">
        <v>307057.37</v>
      </c>
      <c r="G162" s="327">
        <v>5.2246609999999999E-2</v>
      </c>
      <c r="I162" s="326">
        <v>339113.36</v>
      </c>
      <c r="J162" s="327">
        <v>4.9578049999999999E-2</v>
      </c>
      <c r="L162" s="326">
        <v>396862.89</v>
      </c>
      <c r="M162" s="327">
        <v>4.1168049999999998E-2</v>
      </c>
      <c r="O162" s="326">
        <v>373893.28</v>
      </c>
      <c r="P162" s="327">
        <v>5.3997950000000003E-2</v>
      </c>
      <c r="R162" s="326">
        <v>423462.85</v>
      </c>
      <c r="S162" s="327">
        <v>4.1416260000000003E-2</v>
      </c>
      <c r="U162" s="326">
        <v>392522.91</v>
      </c>
      <c r="V162" s="327">
        <v>4.6922639999999988E-2</v>
      </c>
      <c r="X162" s="326">
        <v>356923.5784</v>
      </c>
      <c r="Y162" s="327">
        <v>4.2731260000000007E-2</v>
      </c>
      <c r="AA162" s="326">
        <v>390844.96600000001</v>
      </c>
      <c r="AB162" s="327">
        <v>4.3197159999999998E-2</v>
      </c>
      <c r="AD162" s="326">
        <v>539286.8493</v>
      </c>
      <c r="AE162" s="327">
        <v>4.3313490000000003E-2</v>
      </c>
      <c r="AG162" s="326">
        <v>564348.21569999994</v>
      </c>
      <c r="AH162" s="327">
        <v>4.7055720000000002E-2</v>
      </c>
      <c r="AJ162" s="326">
        <v>485973.65710000001</v>
      </c>
      <c r="AK162" s="327">
        <v>4.5622999999999997E-2</v>
      </c>
      <c r="AM162" s="326">
        <v>358585.33510000003</v>
      </c>
      <c r="AN162" s="327">
        <v>4.3446569999999997E-2</v>
      </c>
    </row>
    <row r="163" spans="2:40" ht="14" x14ac:dyDescent="0.15">
      <c r="B163" s="5" t="s">
        <v>116</v>
      </c>
      <c r="C163" s="6">
        <v>2312515.1028</v>
      </c>
      <c r="D163" s="7">
        <v>2.1289700000000002E-2</v>
      </c>
      <c r="F163" s="8">
        <v>130853.71</v>
      </c>
      <c r="G163" s="7">
        <v>2.2265099999999999E-2</v>
      </c>
      <c r="I163" s="8">
        <v>177177.93</v>
      </c>
      <c r="J163" s="7">
        <v>2.5903249999999999E-2</v>
      </c>
      <c r="L163" s="8">
        <v>195602.94</v>
      </c>
      <c r="M163" s="7">
        <v>2.0290610000000001E-2</v>
      </c>
      <c r="O163" s="8">
        <v>172954.75</v>
      </c>
      <c r="P163" s="7">
        <v>2.4978259999999999E-2</v>
      </c>
      <c r="R163" s="8">
        <v>217484.46</v>
      </c>
      <c r="S163" s="7">
        <v>2.1270799999999999E-2</v>
      </c>
      <c r="U163" s="8">
        <v>185473.72</v>
      </c>
      <c r="V163" s="7">
        <v>2.2171739999999999E-2</v>
      </c>
      <c r="X163" s="8">
        <v>156822.9614</v>
      </c>
      <c r="Y163" s="7">
        <v>1.8775010000000002E-2</v>
      </c>
      <c r="AA163" s="8">
        <v>176849.55129999999</v>
      </c>
      <c r="AB163" s="7">
        <v>1.954585E-2</v>
      </c>
      <c r="AD163" s="8">
        <v>251639.32430000001</v>
      </c>
      <c r="AE163" s="7">
        <v>2.021073E-2</v>
      </c>
      <c r="AG163" s="8">
        <v>262819.82539999997</v>
      </c>
      <c r="AH163" s="7">
        <v>2.1914090000000001E-2</v>
      </c>
      <c r="AJ163" s="8">
        <v>224602.7879</v>
      </c>
      <c r="AK163" s="7">
        <v>2.1085619999999999E-2</v>
      </c>
      <c r="AM163" s="8">
        <v>160233.14249999999</v>
      </c>
      <c r="AN163" s="7">
        <v>1.9414009999999999E-2</v>
      </c>
    </row>
    <row r="164" spans="2:40" ht="14" x14ac:dyDescent="0.15">
      <c r="B164" s="5" t="s">
        <v>117</v>
      </c>
      <c r="C164" s="6">
        <v>1549952.5009999999</v>
      </c>
      <c r="D164" s="7">
        <v>1.426932E-2</v>
      </c>
      <c r="F164" s="8">
        <v>92272.86</v>
      </c>
      <c r="G164" s="7">
        <v>1.5700470000000001E-2</v>
      </c>
      <c r="I164" s="8">
        <v>111097.41</v>
      </c>
      <c r="J164" s="7">
        <v>1.6242340000000001E-2</v>
      </c>
      <c r="L164" s="8">
        <v>120934.02</v>
      </c>
      <c r="M164" s="7">
        <v>1.2544929999999999E-2</v>
      </c>
      <c r="O164" s="8">
        <v>109589.65</v>
      </c>
      <c r="P164" s="7">
        <v>1.5827020000000001E-2</v>
      </c>
      <c r="R164" s="8">
        <v>116441.34</v>
      </c>
      <c r="S164" s="7">
        <v>1.13884E-2</v>
      </c>
      <c r="U164" s="8">
        <v>125416.88</v>
      </c>
      <c r="V164" s="7">
        <v>1.4992480000000001E-2</v>
      </c>
      <c r="X164" s="8">
        <v>112395.5778</v>
      </c>
      <c r="Y164" s="7">
        <v>1.345612E-2</v>
      </c>
      <c r="AA164" s="8">
        <v>125553.72689999999</v>
      </c>
      <c r="AB164" s="7">
        <v>1.387651E-2</v>
      </c>
      <c r="AD164" s="8">
        <v>175611.41329999999</v>
      </c>
      <c r="AE164" s="7">
        <v>1.4104449999999999E-2</v>
      </c>
      <c r="AG164" s="8">
        <v>187077.6801</v>
      </c>
      <c r="AH164" s="7">
        <v>1.559866E-2</v>
      </c>
      <c r="AJ164" s="8">
        <v>159867.9693</v>
      </c>
      <c r="AK164" s="7">
        <v>1.500834E-2</v>
      </c>
      <c r="AM164" s="8">
        <v>113693.9736</v>
      </c>
      <c r="AN164" s="7">
        <v>1.3775280000000001E-2</v>
      </c>
    </row>
    <row r="165" spans="2:40" ht="14" x14ac:dyDescent="0.15">
      <c r="B165" s="5" t="s">
        <v>118</v>
      </c>
      <c r="C165" s="6">
        <v>504148.53259999998</v>
      </c>
      <c r="D165" s="7">
        <v>4.6413399999999999E-3</v>
      </c>
      <c r="F165" s="8">
        <v>46226.16</v>
      </c>
      <c r="G165" s="7">
        <v>7.8654999999999992E-3</v>
      </c>
      <c r="I165" s="8">
        <v>8934.18</v>
      </c>
      <c r="J165" s="7">
        <v>1.3061699999999999E-3</v>
      </c>
      <c r="L165" s="8">
        <v>31531.42</v>
      </c>
      <c r="M165" s="7">
        <v>3.2708699999999999E-3</v>
      </c>
      <c r="O165" s="8">
        <v>45643.34</v>
      </c>
      <c r="P165" s="7">
        <v>6.5918499999999998E-3</v>
      </c>
      <c r="R165" s="8">
        <v>34261.11</v>
      </c>
      <c r="S165" s="7">
        <v>3.3508700000000002E-3</v>
      </c>
      <c r="U165" s="8">
        <v>28203.759999999998</v>
      </c>
      <c r="V165" s="7">
        <v>3.3715099999999999E-3</v>
      </c>
      <c r="X165" s="8">
        <v>52453.389600000002</v>
      </c>
      <c r="Y165" s="7">
        <v>6.2797699999999996E-3</v>
      </c>
      <c r="AA165" s="8">
        <v>50367.441500000001</v>
      </c>
      <c r="AB165" s="7">
        <v>5.5667399999999997E-3</v>
      </c>
      <c r="AD165" s="8">
        <v>54171.852299999999</v>
      </c>
      <c r="AE165" s="7">
        <v>4.3508799999999997E-3</v>
      </c>
      <c r="AG165" s="8">
        <v>56932.981099999997</v>
      </c>
      <c r="AH165" s="7">
        <v>4.7471099999999997E-3</v>
      </c>
      <c r="AJ165" s="8">
        <v>49208.114399999999</v>
      </c>
      <c r="AK165" s="7">
        <v>4.6196400000000004E-3</v>
      </c>
      <c r="AM165" s="8">
        <v>46214.7837</v>
      </c>
      <c r="AN165" s="7">
        <v>5.5994299999999999E-3</v>
      </c>
    </row>
    <row r="166" spans="2:40" ht="14" x14ac:dyDescent="0.15">
      <c r="B166" s="5" t="s">
        <v>119</v>
      </c>
      <c r="C166" s="6">
        <v>562259.12540000002</v>
      </c>
      <c r="D166" s="7">
        <v>5.1763199999999999E-3</v>
      </c>
      <c r="F166" s="8">
        <v>37704.639999999999</v>
      </c>
      <c r="G166" s="7">
        <v>6.41554E-3</v>
      </c>
      <c r="I166" s="8">
        <v>41903.839999999997</v>
      </c>
      <c r="J166" s="7">
        <v>6.1263000000000003E-3</v>
      </c>
      <c r="L166" s="8">
        <v>48794.51</v>
      </c>
      <c r="M166" s="7">
        <v>5.0616300000000001E-3</v>
      </c>
      <c r="O166" s="8">
        <v>45705.54</v>
      </c>
      <c r="P166" s="7">
        <v>6.6008299999999994E-3</v>
      </c>
      <c r="R166" s="8">
        <v>55275.94</v>
      </c>
      <c r="S166" s="7">
        <v>5.4061999999999999E-3</v>
      </c>
      <c r="U166" s="8">
        <v>53428.55</v>
      </c>
      <c r="V166" s="7">
        <v>6.38691E-3</v>
      </c>
      <c r="X166" s="8">
        <v>35251.649700000002</v>
      </c>
      <c r="Y166" s="7">
        <v>4.2203600000000003E-3</v>
      </c>
      <c r="AA166" s="8">
        <v>38074.246400000004</v>
      </c>
      <c r="AB166" s="7">
        <v>4.2080599999999996E-3</v>
      </c>
      <c r="AD166" s="8">
        <v>57864.259400000003</v>
      </c>
      <c r="AE166" s="7">
        <v>4.6474400000000001E-3</v>
      </c>
      <c r="AG166" s="8">
        <v>57517.728999999999</v>
      </c>
      <c r="AH166" s="7">
        <v>4.7958699999999998E-3</v>
      </c>
      <c r="AJ166" s="8">
        <v>52294.785499999998</v>
      </c>
      <c r="AK166" s="7">
        <v>4.9094100000000003E-3</v>
      </c>
      <c r="AM166" s="8">
        <v>38443.435400000002</v>
      </c>
      <c r="AN166" s="7">
        <v>4.6578499999999998E-3</v>
      </c>
    </row>
    <row r="168" spans="2:40" ht="14" x14ac:dyDescent="0.15">
      <c r="B168" t="s">
        <v>616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R10:S10"/>
    <mergeCell ref="C10:D10"/>
    <mergeCell ref="F10:G10"/>
    <mergeCell ref="I10:J10"/>
    <mergeCell ref="L10:M10"/>
    <mergeCell ref="O10:P10"/>
    <mergeCell ref="AM10:AN10"/>
    <mergeCell ref="U10:V10"/>
    <mergeCell ref="X10:Y10"/>
    <mergeCell ref="AA10:AB10"/>
    <mergeCell ref="AD10:AE10"/>
    <mergeCell ref="AG10:AH10"/>
    <mergeCell ref="AJ10:AK10"/>
  </mergeCells>
  <pageMargins left="0.5" right="0.5" top="0.5" bottom="0.5" header="0.3" footer="0.3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AE16-83FF-4D98-AB94-4073C297A76F}">
  <sheetPr>
    <tabColor rgb="FF92D050"/>
    <pageSetUpPr fitToPage="1"/>
  </sheetPr>
  <dimension ref="A1:U81"/>
  <sheetViews>
    <sheetView zoomScale="80" zoomScaleNormal="80" workbookViewId="0">
      <pane xSplit="1" ySplit="3" topLeftCell="B4" activePane="bottomRight" state="frozen"/>
      <selection pane="topRight"/>
      <selection pane="bottomLeft"/>
      <selection pane="bottomRight" activeCell="F41" sqref="F41"/>
    </sheetView>
  </sheetViews>
  <sheetFormatPr baseColWidth="10" defaultColWidth="9.1640625" defaultRowHeight="14" outlineLevelRow="1" outlineLevelCol="1" x14ac:dyDescent="0.15"/>
  <cols>
    <col min="1" max="1" width="46.6640625" style="103" customWidth="1"/>
    <col min="2" max="2" width="11.6640625" style="33" customWidth="1"/>
    <col min="3" max="3" width="9.6640625" style="33" customWidth="1"/>
    <col min="4" max="4" width="9.1640625" style="33" bestFit="1" customWidth="1"/>
    <col min="5" max="5" width="10.1640625" style="33" bestFit="1" customWidth="1"/>
    <col min="6" max="6" width="9.6640625" style="33" bestFit="1" customWidth="1"/>
    <col min="7" max="7" width="10.1640625" style="33" bestFit="1" customWidth="1"/>
    <col min="8" max="8" width="10.6640625" style="33" customWidth="1"/>
    <col min="9" max="9" width="9.1640625" style="33"/>
    <col min="10" max="11" width="9.5" style="33" hidden="1" customWidth="1" outlineLevel="1"/>
    <col min="12" max="12" width="9.83203125" style="33" hidden="1" customWidth="1" outlineLevel="1"/>
    <col min="13" max="13" width="9.5" style="33" hidden="1" customWidth="1" outlineLevel="1"/>
    <col min="14" max="15" width="9.83203125" style="33" hidden="1" customWidth="1" outlineLevel="1"/>
    <col min="16" max="16" width="9.1640625" style="33" collapsed="1"/>
    <col min="17" max="16384" width="9.1640625" style="33"/>
  </cols>
  <sheetData>
    <row r="1" spans="1:15" ht="15" thickBot="1" x14ac:dyDescent="0.2">
      <c r="A1" s="105" t="s">
        <v>367</v>
      </c>
    </row>
    <row r="2" spans="1:15" ht="20.5" customHeight="1" x14ac:dyDescent="0.15">
      <c r="A2" s="234" t="s">
        <v>123</v>
      </c>
      <c r="B2" s="235" t="s">
        <v>326</v>
      </c>
      <c r="C2" s="235" t="s">
        <v>322</v>
      </c>
      <c r="D2" s="235" t="s">
        <v>323</v>
      </c>
      <c r="E2" s="235" t="s">
        <v>324</v>
      </c>
      <c r="F2" s="235" t="s">
        <v>307</v>
      </c>
      <c r="G2" s="235" t="s">
        <v>312</v>
      </c>
      <c r="H2" s="236" t="s">
        <v>325</v>
      </c>
      <c r="J2" s="235" t="s">
        <v>322</v>
      </c>
      <c r="K2" s="235" t="s">
        <v>323</v>
      </c>
      <c r="L2" s="235" t="s">
        <v>324</v>
      </c>
      <c r="M2" s="235" t="s">
        <v>307</v>
      </c>
      <c r="N2" s="235" t="s">
        <v>312</v>
      </c>
      <c r="O2" s="236" t="s">
        <v>325</v>
      </c>
    </row>
    <row r="3" spans="1:15" ht="6" customHeight="1" x14ac:dyDescent="0.15">
      <c r="A3" s="185"/>
      <c r="H3" s="237"/>
    </row>
    <row r="4" spans="1:15" x14ac:dyDescent="0.15">
      <c r="A4" s="187" t="s">
        <v>327</v>
      </c>
      <c r="B4" s="238">
        <v>3000000</v>
      </c>
      <c r="C4" s="238">
        <v>4761468.75</v>
      </c>
      <c r="D4" s="238">
        <v>6114525.220346326</v>
      </c>
      <c r="E4" s="238">
        <v>6704388.8984827874</v>
      </c>
      <c r="F4" s="238">
        <v>5525812.7764416113</v>
      </c>
      <c r="G4" s="238">
        <v>4526136.1668738313</v>
      </c>
      <c r="H4" s="239">
        <v>4258286.875068251</v>
      </c>
      <c r="J4" s="238">
        <f>+C4</f>
        <v>4761468.75</v>
      </c>
      <c r="K4" s="238">
        <f>+J50</f>
        <v>6402921.9451973652</v>
      </c>
      <c r="L4" s="238">
        <f t="shared" ref="L4:O4" si="0">+K50</f>
        <v>8896804.051124312</v>
      </c>
      <c r="M4" s="238">
        <f t="shared" si="0"/>
        <v>8650599.2189705186</v>
      </c>
      <c r="N4" s="238">
        <f t="shared" si="0"/>
        <v>7531599.1970809838</v>
      </c>
      <c r="O4" s="238">
        <f t="shared" si="0"/>
        <v>7693581.6915429654</v>
      </c>
    </row>
    <row r="5" spans="1:15" ht="15" hidden="1" thickBot="1" x14ac:dyDescent="0.2">
      <c r="A5" s="189" t="s">
        <v>262</v>
      </c>
      <c r="B5" s="240">
        <v>0</v>
      </c>
      <c r="C5" s="240">
        <v>0</v>
      </c>
      <c r="D5" s="240">
        <v>0</v>
      </c>
      <c r="E5" s="240">
        <v>0</v>
      </c>
      <c r="F5" s="240">
        <v>0</v>
      </c>
      <c r="G5" s="240">
        <v>0</v>
      </c>
      <c r="H5" s="241">
        <v>0</v>
      </c>
      <c r="J5" s="238"/>
      <c r="K5" s="238"/>
      <c r="L5" s="238"/>
      <c r="M5" s="238"/>
      <c r="N5" s="238"/>
      <c r="O5" s="238"/>
    </row>
    <row r="6" spans="1:15" hidden="1" x14ac:dyDescent="0.15">
      <c r="A6" s="191" t="s">
        <v>261</v>
      </c>
      <c r="B6" s="238">
        <v>0</v>
      </c>
      <c r="C6" s="238">
        <v>4761468.75</v>
      </c>
      <c r="D6" s="238">
        <v>6114525.220346326</v>
      </c>
      <c r="E6" s="238">
        <v>6704388.8984827874</v>
      </c>
      <c r="F6" s="238">
        <v>5525812.7764416113</v>
      </c>
      <c r="G6" s="238">
        <v>4526136.1668738313</v>
      </c>
      <c r="H6" s="239">
        <v>4258286.875068251</v>
      </c>
      <c r="J6" s="238"/>
      <c r="K6" s="238"/>
      <c r="L6" s="238"/>
      <c r="M6" s="238"/>
      <c r="N6" s="238"/>
      <c r="O6" s="238"/>
    </row>
    <row r="7" spans="1:15" x14ac:dyDescent="0.15">
      <c r="A7" s="192" t="s">
        <v>260</v>
      </c>
      <c r="B7" s="242"/>
      <c r="C7" s="242"/>
      <c r="D7" s="242"/>
      <c r="E7" s="242"/>
      <c r="F7" s="242"/>
      <c r="G7" s="242" t="s">
        <v>219</v>
      </c>
      <c r="H7" s="243" t="s">
        <v>219</v>
      </c>
      <c r="J7" s="238"/>
      <c r="K7" s="238"/>
      <c r="L7" s="238"/>
      <c r="M7" s="238"/>
      <c r="N7" s="238"/>
      <c r="O7" s="238"/>
    </row>
    <row r="8" spans="1:15" ht="11.25" customHeight="1" x14ac:dyDescent="0.15">
      <c r="A8" s="195" t="s">
        <v>259</v>
      </c>
      <c r="B8" s="238">
        <v>0</v>
      </c>
      <c r="C8" s="238">
        <v>1985625.6100959999</v>
      </c>
      <c r="D8" s="238">
        <v>0</v>
      </c>
      <c r="E8" s="238">
        <v>2155965.0853739991</v>
      </c>
      <c r="F8" s="238">
        <v>1910266.6056409997</v>
      </c>
      <c r="G8" s="238">
        <v>2025043.0844159995</v>
      </c>
      <c r="H8" s="239">
        <v>1910725.9401669998</v>
      </c>
      <c r="J8" s="238">
        <f>-'[1]Exec Summary_Base Case'!D93</f>
        <v>1668592.9496605042</v>
      </c>
      <c r="K8" s="238"/>
      <c r="L8" s="238">
        <f>-'[1]Exec Summary_Base Case'!F93</f>
        <v>1811735.3658605036</v>
      </c>
      <c r="M8" s="238">
        <f>-'[1]Exec Summary_Base Case'!G93</f>
        <v>1605266.0551605041</v>
      </c>
      <c r="N8" s="238">
        <f>-'[1]Exec Summary_Base Case'!H93</f>
        <v>1701716.8776605038</v>
      </c>
      <c r="O8" s="238">
        <f>-'[1]Exec Summary_Base Case'!I93</f>
        <v>1605652.0505605042</v>
      </c>
    </row>
    <row r="9" spans="1:15" hidden="1" x14ac:dyDescent="0.15">
      <c r="A9" s="196" t="s">
        <v>258</v>
      </c>
      <c r="B9" s="238">
        <v>0</v>
      </c>
      <c r="C9" s="238">
        <v>0</v>
      </c>
      <c r="D9" s="238">
        <v>0</v>
      </c>
      <c r="E9" s="238">
        <v>0</v>
      </c>
      <c r="F9" s="238">
        <v>0</v>
      </c>
      <c r="G9" s="238">
        <v>0</v>
      </c>
      <c r="H9" s="239">
        <v>0</v>
      </c>
      <c r="J9" s="238"/>
      <c r="K9" s="238"/>
      <c r="L9" s="238"/>
      <c r="M9" s="238"/>
      <c r="N9" s="238"/>
      <c r="O9" s="238"/>
    </row>
    <row r="10" spans="1:15" x14ac:dyDescent="0.15">
      <c r="A10" s="195" t="s">
        <v>257</v>
      </c>
      <c r="B10" s="238">
        <v>1250000</v>
      </c>
      <c r="C10" s="238">
        <v>4050000</v>
      </c>
      <c r="D10" s="238">
        <v>5142904.9284360018</v>
      </c>
      <c r="E10" s="238">
        <v>6097028.2576802382</v>
      </c>
      <c r="F10" s="238">
        <v>4826493.0656050798</v>
      </c>
      <c r="G10" s="238">
        <v>5720424.9335143156</v>
      </c>
      <c r="H10" s="239">
        <v>6099134.1216166541</v>
      </c>
      <c r="J10" s="238">
        <f>+'[1]Exec Summary_Base Case'!D94*1.19</f>
        <v>4294109.9785177298</v>
      </c>
      <c r="K10" s="238">
        <f>+'[1]Exec Summary_Base Case'!E94*1.19</f>
        <v>5152904.9284360018</v>
      </c>
      <c r="L10" s="238">
        <f>+'[1]Exec Summary_Base Case'!F94*1.19</f>
        <v>6167028.2576802382</v>
      </c>
      <c r="M10" s="238">
        <f>+'[1]Exec Summary_Base Case'!G94*1.19</f>
        <v>5076493.0656050798</v>
      </c>
      <c r="N10" s="238">
        <f>+'[1]Exec Summary_Base Case'!H94*1.19</f>
        <v>5800424.9335143156</v>
      </c>
      <c r="O10" s="238">
        <f>+'[1]Exec Summary_Base Case'!I94*1.19</f>
        <v>6099134.1216166541</v>
      </c>
    </row>
    <row r="11" spans="1:15" hidden="1" outlineLevel="1" x14ac:dyDescent="0.15">
      <c r="A11" s="195" t="s">
        <v>256</v>
      </c>
      <c r="B11" s="238">
        <v>0</v>
      </c>
      <c r="C11" s="238">
        <v>0</v>
      </c>
      <c r="D11" s="238">
        <v>0</v>
      </c>
      <c r="E11" s="238">
        <v>0</v>
      </c>
      <c r="F11" s="238">
        <v>0</v>
      </c>
      <c r="G11" s="238">
        <v>0</v>
      </c>
      <c r="H11" s="239">
        <v>0</v>
      </c>
      <c r="J11" s="238"/>
      <c r="K11" s="238"/>
      <c r="L11" s="238"/>
      <c r="M11" s="238"/>
      <c r="N11" s="238"/>
      <c r="O11" s="238"/>
    </row>
    <row r="12" spans="1:15" hidden="1" outlineLevel="1" x14ac:dyDescent="0.15">
      <c r="A12" s="195" t="s">
        <v>255</v>
      </c>
      <c r="B12" s="238">
        <v>0</v>
      </c>
      <c r="C12" s="238">
        <v>0</v>
      </c>
      <c r="D12" s="238">
        <v>0</v>
      </c>
      <c r="E12" s="238">
        <v>0</v>
      </c>
      <c r="F12" s="238">
        <v>0</v>
      </c>
      <c r="G12" s="238">
        <v>0</v>
      </c>
      <c r="H12" s="239">
        <v>0</v>
      </c>
      <c r="J12" s="238"/>
      <c r="K12" s="238"/>
      <c r="L12" s="238"/>
      <c r="M12" s="238"/>
      <c r="N12" s="238"/>
      <c r="O12" s="238"/>
    </row>
    <row r="13" spans="1:15" hidden="1" outlineLevel="1" x14ac:dyDescent="0.15">
      <c r="A13" s="195" t="s">
        <v>254</v>
      </c>
      <c r="B13" s="238">
        <v>0</v>
      </c>
      <c r="C13" s="238">
        <v>0</v>
      </c>
      <c r="D13" s="238">
        <v>0</v>
      </c>
      <c r="E13" s="238">
        <v>0</v>
      </c>
      <c r="F13" s="238">
        <v>0</v>
      </c>
      <c r="G13" s="238">
        <v>0</v>
      </c>
      <c r="H13" s="239">
        <v>0</v>
      </c>
      <c r="J13" s="238"/>
      <c r="K13" s="238"/>
      <c r="L13" s="238"/>
      <c r="M13" s="238"/>
      <c r="N13" s="238"/>
      <c r="O13" s="238"/>
    </row>
    <row r="14" spans="1:15" hidden="1" outlineLevel="1" x14ac:dyDescent="0.15">
      <c r="A14" s="195" t="s">
        <v>253</v>
      </c>
      <c r="B14" s="238">
        <v>0</v>
      </c>
      <c r="C14" s="238">
        <v>0</v>
      </c>
      <c r="D14" s="238">
        <v>0</v>
      </c>
      <c r="E14" s="238">
        <v>0</v>
      </c>
      <c r="F14" s="238">
        <v>0</v>
      </c>
      <c r="G14" s="238">
        <v>0</v>
      </c>
      <c r="H14" s="239">
        <v>0</v>
      </c>
      <c r="J14" s="238"/>
      <c r="K14" s="238"/>
      <c r="L14" s="238"/>
      <c r="M14" s="238"/>
      <c r="N14" s="238"/>
      <c r="O14" s="238"/>
    </row>
    <row r="15" spans="1:15" hidden="1" outlineLevel="1" x14ac:dyDescent="0.15">
      <c r="A15" s="195" t="s">
        <v>252</v>
      </c>
      <c r="B15" s="238">
        <v>0</v>
      </c>
      <c r="C15" s="238">
        <v>0</v>
      </c>
      <c r="D15" s="238">
        <v>0</v>
      </c>
      <c r="E15" s="238">
        <v>0</v>
      </c>
      <c r="F15" s="238">
        <v>0</v>
      </c>
      <c r="G15" s="238">
        <v>0</v>
      </c>
      <c r="H15" s="239">
        <v>0</v>
      </c>
      <c r="J15" s="238"/>
      <c r="K15" s="238"/>
      <c r="L15" s="238"/>
      <c r="M15" s="238"/>
      <c r="N15" s="238"/>
      <c r="O15" s="238"/>
    </row>
    <row r="16" spans="1:15" hidden="1" outlineLevel="1" x14ac:dyDescent="0.15">
      <c r="A16" s="195" t="s">
        <v>251</v>
      </c>
      <c r="B16" s="238">
        <v>0</v>
      </c>
      <c r="C16" s="238">
        <v>0</v>
      </c>
      <c r="D16" s="238">
        <v>0</v>
      </c>
      <c r="E16" s="238">
        <v>0</v>
      </c>
      <c r="F16" s="238">
        <v>0</v>
      </c>
      <c r="G16" s="238">
        <v>0</v>
      </c>
      <c r="H16" s="239">
        <v>0</v>
      </c>
      <c r="J16" s="238"/>
      <c r="K16" s="238"/>
      <c r="L16" s="238"/>
      <c r="M16" s="238"/>
      <c r="N16" s="238"/>
      <c r="O16" s="238"/>
    </row>
    <row r="17" spans="1:21" hidden="1" outlineLevel="1" x14ac:dyDescent="0.15">
      <c r="A17" s="195" t="s">
        <v>250</v>
      </c>
      <c r="B17" s="238">
        <v>0</v>
      </c>
      <c r="C17" s="238">
        <v>0</v>
      </c>
      <c r="D17" s="238">
        <v>0</v>
      </c>
      <c r="E17" s="238">
        <v>0</v>
      </c>
      <c r="F17" s="238">
        <v>0</v>
      </c>
      <c r="G17" s="238">
        <v>0</v>
      </c>
      <c r="H17" s="239">
        <v>0</v>
      </c>
      <c r="J17" s="238"/>
      <c r="K17" s="238"/>
      <c r="L17" s="238"/>
      <c r="M17" s="238"/>
      <c r="N17" s="238"/>
      <c r="O17" s="238"/>
    </row>
    <row r="18" spans="1:21" hidden="1" outlineLevel="1" x14ac:dyDescent="0.15">
      <c r="A18" s="195" t="s">
        <v>249</v>
      </c>
      <c r="B18" s="238">
        <v>0</v>
      </c>
      <c r="C18" s="238">
        <v>0</v>
      </c>
      <c r="D18" s="238">
        <v>0</v>
      </c>
      <c r="E18" s="238">
        <v>0</v>
      </c>
      <c r="F18" s="238">
        <v>0</v>
      </c>
      <c r="G18" s="238">
        <v>0</v>
      </c>
      <c r="H18" s="239">
        <v>0</v>
      </c>
      <c r="J18" s="238"/>
      <c r="K18" s="238"/>
      <c r="L18" s="238"/>
      <c r="M18" s="238"/>
      <c r="N18" s="238"/>
      <c r="O18" s="238"/>
    </row>
    <row r="19" spans="1:21" hidden="1" outlineLevel="1" x14ac:dyDescent="0.15">
      <c r="A19" s="195" t="s">
        <v>248</v>
      </c>
      <c r="B19" s="238">
        <v>0</v>
      </c>
      <c r="C19" s="238">
        <v>0</v>
      </c>
      <c r="D19" s="238">
        <v>0</v>
      </c>
      <c r="E19" s="238">
        <v>0</v>
      </c>
      <c r="F19" s="238">
        <v>0</v>
      </c>
      <c r="G19" s="238">
        <v>0</v>
      </c>
      <c r="H19" s="239">
        <v>0</v>
      </c>
      <c r="J19" s="238"/>
      <c r="K19" s="238"/>
      <c r="L19" s="238"/>
      <c r="M19" s="238"/>
      <c r="N19" s="238"/>
      <c r="O19" s="238"/>
    </row>
    <row r="20" spans="1:21" hidden="1" outlineLevel="1" x14ac:dyDescent="0.15">
      <c r="A20" s="195" t="s">
        <v>247</v>
      </c>
      <c r="B20" s="238">
        <v>0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9">
        <v>0</v>
      </c>
      <c r="J20" s="238"/>
      <c r="K20" s="238"/>
      <c r="L20" s="238"/>
      <c r="M20" s="238"/>
      <c r="N20" s="238"/>
      <c r="O20" s="238"/>
    </row>
    <row r="21" spans="1:21" hidden="1" outlineLevel="1" x14ac:dyDescent="0.15">
      <c r="A21" s="195" t="s">
        <v>246</v>
      </c>
      <c r="B21" s="238">
        <v>0</v>
      </c>
      <c r="C21" s="238">
        <v>0</v>
      </c>
      <c r="D21" s="238">
        <v>0</v>
      </c>
      <c r="E21" s="238">
        <v>0</v>
      </c>
      <c r="F21" s="238">
        <v>0</v>
      </c>
      <c r="G21" s="238">
        <v>0</v>
      </c>
      <c r="H21" s="239">
        <v>0</v>
      </c>
      <c r="J21" s="238"/>
      <c r="K21" s="238"/>
      <c r="L21" s="238"/>
      <c r="M21" s="238"/>
      <c r="N21" s="238"/>
      <c r="O21" s="238"/>
    </row>
    <row r="22" spans="1:21" hidden="1" outlineLevel="1" x14ac:dyDescent="0.15">
      <c r="A22" s="195" t="s">
        <v>245</v>
      </c>
      <c r="B22" s="238">
        <v>0</v>
      </c>
      <c r="C22" s="238">
        <v>0</v>
      </c>
      <c r="D22" s="238">
        <v>0</v>
      </c>
      <c r="E22" s="238">
        <v>0</v>
      </c>
      <c r="F22" s="238">
        <v>0</v>
      </c>
      <c r="G22" s="238">
        <v>0</v>
      </c>
      <c r="H22" s="239">
        <v>0</v>
      </c>
      <c r="J22" s="238"/>
      <c r="K22" s="238"/>
      <c r="L22" s="238"/>
      <c r="M22" s="238"/>
      <c r="N22" s="238"/>
      <c r="O22" s="238"/>
    </row>
    <row r="23" spans="1:21" collapsed="1" x14ac:dyDescent="0.15">
      <c r="A23" s="195" t="s">
        <v>244</v>
      </c>
      <c r="B23" s="238">
        <v>0</v>
      </c>
      <c r="C23" s="238">
        <v>60000</v>
      </c>
      <c r="D23" s="238">
        <v>0</v>
      </c>
      <c r="E23" s="238">
        <v>60000</v>
      </c>
      <c r="F23" s="238">
        <v>0</v>
      </c>
      <c r="G23" s="238">
        <v>60000</v>
      </c>
      <c r="H23" s="239">
        <v>0</v>
      </c>
      <c r="J23" s="238"/>
      <c r="K23" s="238"/>
      <c r="L23" s="238"/>
      <c r="M23" s="238"/>
      <c r="N23" s="238"/>
      <c r="O23" s="238"/>
    </row>
    <row r="24" spans="1:21" x14ac:dyDescent="0.15">
      <c r="A24" s="195" t="s">
        <v>232</v>
      </c>
      <c r="B24" s="238">
        <v>0</v>
      </c>
      <c r="C24" s="238">
        <v>100000</v>
      </c>
      <c r="D24" s="238">
        <v>100000</v>
      </c>
      <c r="E24" s="238">
        <v>100000</v>
      </c>
      <c r="F24" s="238">
        <v>100000</v>
      </c>
      <c r="G24" s="238">
        <v>100000</v>
      </c>
      <c r="H24" s="239">
        <v>100000</v>
      </c>
      <c r="J24" s="238"/>
      <c r="K24" s="238"/>
      <c r="L24" s="238"/>
      <c r="M24" s="238"/>
      <c r="N24" s="238"/>
      <c r="O24" s="238"/>
      <c r="U24" s="244" t="s">
        <v>339</v>
      </c>
    </row>
    <row r="25" spans="1:21" x14ac:dyDescent="0.15">
      <c r="A25" s="195" t="s">
        <v>243</v>
      </c>
      <c r="B25" s="238">
        <v>0</v>
      </c>
      <c r="C25" s="238">
        <v>180000</v>
      </c>
      <c r="D25" s="238">
        <v>10000</v>
      </c>
      <c r="E25" s="238">
        <v>10000</v>
      </c>
      <c r="F25" s="238">
        <v>250000</v>
      </c>
      <c r="G25" s="238">
        <v>20000</v>
      </c>
      <c r="H25" s="239">
        <v>0</v>
      </c>
      <c r="J25" s="238"/>
      <c r="K25" s="238"/>
      <c r="L25" s="238"/>
      <c r="M25" s="238"/>
      <c r="N25" s="238"/>
      <c r="O25" s="238"/>
    </row>
    <row r="26" spans="1:21" x14ac:dyDescent="0.15">
      <c r="A26" s="195" t="s">
        <v>242</v>
      </c>
      <c r="B26" s="238">
        <v>170000</v>
      </c>
      <c r="C26" s="238">
        <v>170000</v>
      </c>
      <c r="D26" s="238">
        <v>170000</v>
      </c>
      <c r="E26" s="238">
        <v>1550000</v>
      </c>
      <c r="F26" s="238">
        <v>1550000</v>
      </c>
      <c r="G26" s="238">
        <v>1550000</v>
      </c>
      <c r="H26" s="239">
        <v>1550000</v>
      </c>
      <c r="J26" s="238">
        <v>3100000</v>
      </c>
      <c r="K26" s="238">
        <f>+J26</f>
        <v>3100000</v>
      </c>
      <c r="L26" s="238">
        <v>2720000</v>
      </c>
      <c r="M26" s="238">
        <v>2750000</v>
      </c>
      <c r="N26" s="238">
        <v>2750000</v>
      </c>
      <c r="O26" s="238">
        <v>2750000</v>
      </c>
    </row>
    <row r="27" spans="1:21" x14ac:dyDescent="0.15">
      <c r="A27" s="195" t="s">
        <v>241</v>
      </c>
      <c r="B27" s="238">
        <v>0</v>
      </c>
      <c r="C27" s="238">
        <v>0</v>
      </c>
      <c r="D27" s="238">
        <v>0</v>
      </c>
      <c r="E27" s="238">
        <v>850000</v>
      </c>
      <c r="F27" s="238">
        <v>850000</v>
      </c>
      <c r="G27" s="238">
        <v>850000</v>
      </c>
      <c r="H27" s="239">
        <v>850000</v>
      </c>
      <c r="J27" s="238">
        <v>-2930000</v>
      </c>
      <c r="K27" s="238">
        <f>+J27</f>
        <v>-2930000</v>
      </c>
      <c r="L27" s="238"/>
      <c r="M27" s="238"/>
      <c r="N27" s="238"/>
      <c r="O27" s="238"/>
    </row>
    <row r="28" spans="1:21" x14ac:dyDescent="0.15">
      <c r="A28" s="195" t="s">
        <v>240</v>
      </c>
      <c r="B28" s="238">
        <v>0</v>
      </c>
      <c r="C28" s="238">
        <v>0</v>
      </c>
      <c r="D28" s="238">
        <v>0</v>
      </c>
      <c r="E28" s="238">
        <v>350000</v>
      </c>
      <c r="F28" s="238">
        <v>350000</v>
      </c>
      <c r="G28" s="238">
        <v>350000</v>
      </c>
      <c r="H28" s="239">
        <v>350000</v>
      </c>
      <c r="J28" s="238"/>
      <c r="K28" s="238"/>
      <c r="L28" s="238"/>
      <c r="M28" s="238"/>
      <c r="N28" s="238"/>
      <c r="O28" s="238"/>
    </row>
    <row r="29" spans="1:21" x14ac:dyDescent="0.15">
      <c r="A29" s="195" t="s">
        <v>239</v>
      </c>
      <c r="B29" s="238">
        <v>0</v>
      </c>
      <c r="C29" s="238">
        <v>-350314.98791062587</v>
      </c>
      <c r="D29" s="238">
        <v>-73565.065378302475</v>
      </c>
      <c r="E29" s="238">
        <v>-327098.9827555333</v>
      </c>
      <c r="F29" s="238">
        <v>-318831.0093025259</v>
      </c>
      <c r="G29" s="238">
        <v>-251345.76061425859</v>
      </c>
      <c r="H29" s="239">
        <v>-296063.42623497063</v>
      </c>
      <c r="J29" s="238"/>
      <c r="K29" s="238"/>
      <c r="L29" s="238"/>
      <c r="M29" s="238"/>
      <c r="N29" s="238"/>
      <c r="O29" s="238"/>
    </row>
    <row r="30" spans="1:21" x14ac:dyDescent="0.15">
      <c r="A30" s="195" t="s">
        <v>365</v>
      </c>
      <c r="B30" s="238">
        <v>0</v>
      </c>
      <c r="C30" s="238">
        <v>0</v>
      </c>
      <c r="D30" s="238">
        <v>1500000</v>
      </c>
      <c r="E30" s="238">
        <v>0</v>
      </c>
      <c r="F30" s="238">
        <v>0</v>
      </c>
      <c r="G30" s="238">
        <v>0</v>
      </c>
      <c r="H30" s="239">
        <v>2400000</v>
      </c>
      <c r="J30" s="238"/>
      <c r="K30" s="238"/>
      <c r="L30" s="238"/>
      <c r="M30" s="238"/>
      <c r="N30" s="238"/>
      <c r="O30" s="238"/>
      <c r="U30" s="244" t="s">
        <v>338</v>
      </c>
    </row>
    <row r="31" spans="1:21" hidden="1" outlineLevel="1" x14ac:dyDescent="0.15">
      <c r="A31" s="197" t="s">
        <v>238</v>
      </c>
      <c r="B31" s="238">
        <v>0</v>
      </c>
      <c r="C31" s="238">
        <v>0</v>
      </c>
      <c r="D31" s="238">
        <v>0</v>
      </c>
      <c r="E31" s="238">
        <v>0</v>
      </c>
      <c r="F31" s="238">
        <v>0</v>
      </c>
      <c r="G31" s="238">
        <v>0</v>
      </c>
      <c r="H31" s="239">
        <v>0</v>
      </c>
      <c r="J31" s="238"/>
      <c r="K31" s="238"/>
      <c r="L31" s="238"/>
      <c r="M31" s="238"/>
      <c r="N31" s="238"/>
      <c r="O31" s="238"/>
    </row>
    <row r="32" spans="1:21" collapsed="1" x14ac:dyDescent="0.15">
      <c r="A32" s="198" t="s">
        <v>237</v>
      </c>
      <c r="B32" s="245">
        <v>1420000</v>
      </c>
      <c r="C32" s="245">
        <v>6195310.6221853746</v>
      </c>
      <c r="D32" s="245">
        <v>6849339.8630576991</v>
      </c>
      <c r="E32" s="245">
        <v>10845894.360298704</v>
      </c>
      <c r="F32" s="245">
        <v>9517928.661943553</v>
      </c>
      <c r="G32" s="245">
        <v>10424122.257316055</v>
      </c>
      <c r="H32" s="246">
        <v>12963796.635548683</v>
      </c>
      <c r="J32" s="238">
        <f>SUM(J8:J29)</f>
        <v>6132702.928178234</v>
      </c>
      <c r="K32" s="238">
        <f t="shared" ref="K32:O32" si="1">SUM(K8:K29)</f>
        <v>5322904.9284360018</v>
      </c>
      <c r="L32" s="238">
        <f t="shared" si="1"/>
        <v>10698763.623540742</v>
      </c>
      <c r="M32" s="238">
        <f t="shared" si="1"/>
        <v>9431759.1207655836</v>
      </c>
      <c r="N32" s="238">
        <f t="shared" si="1"/>
        <v>10252141.811174819</v>
      </c>
      <c r="O32" s="238">
        <f t="shared" si="1"/>
        <v>10454786.172177158</v>
      </c>
    </row>
    <row r="33" spans="1:15" x14ac:dyDescent="0.15">
      <c r="A33" s="200"/>
      <c r="B33" s="238"/>
      <c r="C33" s="238"/>
      <c r="D33" s="238"/>
      <c r="E33" s="238"/>
      <c r="F33" s="238"/>
      <c r="G33" s="238"/>
      <c r="H33" s="239"/>
      <c r="J33" s="238"/>
      <c r="K33" s="238"/>
      <c r="L33" s="238"/>
      <c r="M33" s="238"/>
      <c r="N33" s="238"/>
      <c r="O33" s="238"/>
    </row>
    <row r="34" spans="1:15" x14ac:dyDescent="0.15">
      <c r="A34" s="201" t="s">
        <v>236</v>
      </c>
      <c r="B34" s="247"/>
      <c r="C34" s="247"/>
      <c r="D34" s="247"/>
      <c r="E34" s="247"/>
      <c r="F34" s="247"/>
      <c r="G34" s="247"/>
      <c r="H34" s="248"/>
      <c r="J34" s="238"/>
      <c r="K34" s="238"/>
      <c r="L34" s="238"/>
      <c r="M34" s="238"/>
      <c r="N34" s="238"/>
      <c r="O34" s="238"/>
    </row>
    <row r="35" spans="1:15" hidden="1" outlineLevel="1" x14ac:dyDescent="0.15">
      <c r="A35" s="200" t="s">
        <v>235</v>
      </c>
      <c r="B35" s="238">
        <v>0</v>
      </c>
      <c r="C35" s="238">
        <v>0</v>
      </c>
      <c r="D35" s="238">
        <v>0</v>
      </c>
      <c r="E35" s="238">
        <v>0</v>
      </c>
      <c r="F35" s="238">
        <v>0</v>
      </c>
      <c r="G35" s="238">
        <v>0</v>
      </c>
      <c r="H35" s="239">
        <v>0</v>
      </c>
      <c r="J35" s="238"/>
      <c r="K35" s="238"/>
      <c r="L35" s="238"/>
      <c r="M35" s="238"/>
      <c r="N35" s="238"/>
      <c r="O35" s="238"/>
    </row>
    <row r="36" spans="1:15" hidden="1" outlineLevel="1" x14ac:dyDescent="0.15">
      <c r="A36" s="200" t="s">
        <v>234</v>
      </c>
      <c r="B36" s="238">
        <v>0</v>
      </c>
      <c r="C36" s="238">
        <v>0</v>
      </c>
      <c r="D36" s="238">
        <v>0</v>
      </c>
      <c r="E36" s="238">
        <v>0</v>
      </c>
      <c r="F36" s="238">
        <v>0</v>
      </c>
      <c r="G36" s="238">
        <v>0</v>
      </c>
      <c r="H36" s="239">
        <v>0</v>
      </c>
      <c r="J36" s="238"/>
      <c r="K36" s="238"/>
      <c r="L36" s="238"/>
      <c r="M36" s="238"/>
      <c r="N36" s="238"/>
      <c r="O36" s="238"/>
    </row>
    <row r="37" spans="1:15" hidden="1" outlineLevel="1" x14ac:dyDescent="0.15">
      <c r="A37" s="200" t="s">
        <v>233</v>
      </c>
      <c r="B37" s="238">
        <v>0</v>
      </c>
      <c r="C37" s="238">
        <v>0</v>
      </c>
      <c r="D37" s="238">
        <v>0</v>
      </c>
      <c r="E37" s="238">
        <v>0</v>
      </c>
      <c r="F37" s="238">
        <v>0</v>
      </c>
      <c r="G37" s="238">
        <v>0</v>
      </c>
      <c r="H37" s="239">
        <v>0</v>
      </c>
      <c r="J37" s="238"/>
      <c r="K37" s="238"/>
      <c r="L37" s="238"/>
      <c r="M37" s="238"/>
      <c r="N37" s="238"/>
      <c r="O37" s="238"/>
    </row>
    <row r="38" spans="1:15" hidden="1" outlineLevel="1" x14ac:dyDescent="0.15">
      <c r="A38" s="200" t="s">
        <v>232</v>
      </c>
      <c r="B38" s="238">
        <v>0</v>
      </c>
      <c r="C38" s="238">
        <v>0</v>
      </c>
      <c r="D38" s="238">
        <v>0</v>
      </c>
      <c r="E38" s="238">
        <v>0</v>
      </c>
      <c r="F38" s="238">
        <v>0</v>
      </c>
      <c r="G38" s="238">
        <v>0</v>
      </c>
      <c r="H38" s="239">
        <v>0</v>
      </c>
      <c r="J38" s="238"/>
      <c r="K38" s="238"/>
      <c r="L38" s="238"/>
      <c r="M38" s="238"/>
      <c r="N38" s="238"/>
      <c r="O38" s="238"/>
    </row>
    <row r="39" spans="1:15" hidden="1" outlineLevel="1" x14ac:dyDescent="0.15">
      <c r="A39" s="200" t="s">
        <v>231</v>
      </c>
      <c r="B39" s="238">
        <v>0</v>
      </c>
      <c r="C39" s="238">
        <v>0</v>
      </c>
      <c r="D39" s="238">
        <v>0</v>
      </c>
      <c r="E39" s="238">
        <v>0</v>
      </c>
      <c r="F39" s="238">
        <v>0</v>
      </c>
      <c r="G39" s="238">
        <v>0</v>
      </c>
      <c r="H39" s="239">
        <v>0</v>
      </c>
      <c r="J39" s="238"/>
      <c r="K39" s="238"/>
      <c r="L39" s="238"/>
      <c r="M39" s="238"/>
      <c r="N39" s="238"/>
      <c r="O39" s="238"/>
    </row>
    <row r="40" spans="1:15" collapsed="1" x14ac:dyDescent="0.15">
      <c r="A40" s="204" t="s">
        <v>230</v>
      </c>
      <c r="B40" s="238">
        <v>967750</v>
      </c>
      <c r="C40" s="238">
        <v>4370953.061687801</v>
      </c>
      <c r="D40" s="238">
        <v>3908393.5171814733</v>
      </c>
      <c r="E40" s="238">
        <v>5226279.3956934735</v>
      </c>
      <c r="F40" s="238">
        <v>4156379.5494380267</v>
      </c>
      <c r="G40" s="238">
        <v>5207062.1528183995</v>
      </c>
      <c r="H40" s="239">
        <v>5127362.7539968407</v>
      </c>
      <c r="J40" s="238"/>
      <c r="K40" s="238"/>
      <c r="L40" s="238"/>
      <c r="M40" s="238"/>
      <c r="N40" s="238"/>
      <c r="O40" s="238"/>
    </row>
    <row r="41" spans="1:15" ht="15" thickBot="1" x14ac:dyDescent="0.2">
      <c r="A41" s="205" t="s">
        <v>229</v>
      </c>
      <c r="B41" s="240">
        <v>2213718.75</v>
      </c>
      <c r="C41" s="240">
        <v>3177414.0308438982</v>
      </c>
      <c r="D41" s="240">
        <v>3530810.0240126872</v>
      </c>
      <c r="E41" s="240">
        <v>4441038.8425640566</v>
      </c>
      <c r="F41" s="240">
        <v>4361872.502937749</v>
      </c>
      <c r="G41" s="240">
        <v>4949210.812692075</v>
      </c>
      <c r="H41" s="241">
        <v>4904541.8025625264</v>
      </c>
      <c r="J41" s="238"/>
      <c r="K41" s="238"/>
      <c r="L41" s="238"/>
      <c r="M41" s="238"/>
      <c r="N41" s="238"/>
      <c r="O41" s="238"/>
    </row>
    <row r="42" spans="1:15" x14ac:dyDescent="0.15">
      <c r="A42" s="201" t="s">
        <v>227</v>
      </c>
      <c r="B42" s="247">
        <v>3181468.75</v>
      </c>
      <c r="C42" s="247">
        <v>7548367.0925316997</v>
      </c>
      <c r="D42" s="247">
        <v>7439203.5411941605</v>
      </c>
      <c r="E42" s="247">
        <v>9667318.2382575292</v>
      </c>
      <c r="F42" s="247">
        <v>8518252.0523757748</v>
      </c>
      <c r="G42" s="247">
        <v>10156272.965510478</v>
      </c>
      <c r="H42" s="248">
        <v>10031904.556559365</v>
      </c>
      <c r="J42" s="238">
        <f>+'[1]Exec Summary_Base Case'!D89*(70%*1.07+30%*1.19)+[1]Januar!AP42</f>
        <v>7774156.1233755993</v>
      </c>
      <c r="K42" s="238">
        <f>+'[1]Exec Summary_Base Case'!E89*(70%*1.07+30%*1.19)</f>
        <v>7816787.0343629494</v>
      </c>
      <c r="L42" s="238">
        <f>+'[1]Exec Summary_Base Case'!F89*(70%*1.07+30%*1.19)</f>
        <v>10452558.791386949</v>
      </c>
      <c r="M42" s="238">
        <f>+'[1]Exec Summary_Base Case'!G89*(70%*1.07+30%*1.19)</f>
        <v>8312759.0988760488</v>
      </c>
      <c r="N42" s="238">
        <f>+'[1]Exec Summary_Base Case'!H89*(70%*1.07+30%*1.19)</f>
        <v>10414124.305636801</v>
      </c>
      <c r="O42" s="238">
        <f>+'[1]Exec Summary_Base Case'!I89*(70%*1.07+30%*1.19)</f>
        <v>10254725.507993679</v>
      </c>
    </row>
    <row r="43" spans="1:15" ht="6" customHeight="1" x14ac:dyDescent="0.15">
      <c r="A43" s="200" t="s">
        <v>219</v>
      </c>
      <c r="B43" s="238"/>
      <c r="C43" s="238" t="s">
        <v>219</v>
      </c>
      <c r="D43" s="238" t="s">
        <v>219</v>
      </c>
      <c r="E43" s="238"/>
      <c r="F43" s="238" t="s">
        <v>219</v>
      </c>
      <c r="G43" s="238" t="s">
        <v>219</v>
      </c>
      <c r="H43" s="239" t="s">
        <v>219</v>
      </c>
    </row>
    <row r="44" spans="1:15" x14ac:dyDescent="0.15">
      <c r="A44" s="200" t="s">
        <v>224</v>
      </c>
      <c r="B44" s="238">
        <v>1761468.75</v>
      </c>
      <c r="C44" s="238">
        <v>1353056.4703463251</v>
      </c>
      <c r="D44" s="238">
        <v>589863.67813646141</v>
      </c>
      <c r="E44" s="238">
        <v>-1178576.1220411737</v>
      </c>
      <c r="F44" s="238">
        <v>-999676.60956777819</v>
      </c>
      <c r="G44" s="238">
        <v>-267849.29180557653</v>
      </c>
      <c r="H44" s="239">
        <v>-2931892.0789893176</v>
      </c>
      <c r="J44" s="238">
        <f>+J42-J32</f>
        <v>1641453.1951973652</v>
      </c>
      <c r="K44" s="238">
        <f t="shared" ref="K44:O44" si="2">+K42-K32</f>
        <v>2493882.1059269477</v>
      </c>
      <c r="L44" s="238">
        <f t="shared" si="2"/>
        <v>-246204.83215379342</v>
      </c>
      <c r="M44" s="238">
        <f t="shared" si="2"/>
        <v>-1119000.0218895348</v>
      </c>
      <c r="N44" s="238">
        <f t="shared" si="2"/>
        <v>161982.49446198158</v>
      </c>
      <c r="O44" s="238">
        <f t="shared" si="2"/>
        <v>-200060.6641834788</v>
      </c>
    </row>
    <row r="45" spans="1:15" hidden="1" outlineLevel="1" x14ac:dyDescent="0.15">
      <c r="A45" s="200"/>
      <c r="B45" s="238"/>
      <c r="C45" s="238"/>
      <c r="D45" s="238"/>
      <c r="E45" s="238"/>
      <c r="F45" s="238"/>
      <c r="G45" s="238"/>
      <c r="H45" s="239"/>
    </row>
    <row r="46" spans="1:15" hidden="1" outlineLevel="1" x14ac:dyDescent="0.15">
      <c r="A46" s="200" t="s">
        <v>223</v>
      </c>
      <c r="B46" s="238"/>
      <c r="C46" s="238"/>
      <c r="D46" s="238"/>
      <c r="E46" s="238"/>
      <c r="F46" s="238"/>
      <c r="G46" s="238"/>
      <c r="H46" s="239"/>
    </row>
    <row r="47" spans="1:15" hidden="1" outlineLevel="1" x14ac:dyDescent="0.15">
      <c r="A47" s="200" t="s">
        <v>219</v>
      </c>
      <c r="B47" s="238"/>
      <c r="C47" s="238"/>
      <c r="D47" s="238"/>
      <c r="E47" s="238"/>
      <c r="F47" s="238"/>
      <c r="G47" s="238"/>
      <c r="H47" s="239"/>
    </row>
    <row r="48" spans="1:15" hidden="1" outlineLevel="1" x14ac:dyDescent="0.15">
      <c r="A48" s="200" t="s">
        <v>219</v>
      </c>
      <c r="B48" s="238"/>
      <c r="C48" s="238"/>
      <c r="D48" s="238"/>
      <c r="E48" s="238"/>
      <c r="F48" s="238"/>
      <c r="G48" s="238"/>
      <c r="H48" s="239"/>
    </row>
    <row r="49" spans="1:17" ht="2.5" customHeight="1" collapsed="1" x14ac:dyDescent="0.15">
      <c r="A49" s="206"/>
      <c r="B49" s="238"/>
      <c r="C49" s="238"/>
      <c r="D49" s="238"/>
      <c r="E49" s="238"/>
      <c r="F49" s="238"/>
      <c r="G49" s="238"/>
      <c r="H49" s="239"/>
    </row>
    <row r="50" spans="1:17" ht="15" thickBot="1" x14ac:dyDescent="0.2">
      <c r="A50" s="207" t="s">
        <v>328</v>
      </c>
      <c r="B50" s="249">
        <v>4761468.75</v>
      </c>
      <c r="C50" s="249">
        <v>6114525.2203463251</v>
      </c>
      <c r="D50" s="249">
        <v>6704388.8984827874</v>
      </c>
      <c r="E50" s="249">
        <v>5525812.7764416113</v>
      </c>
      <c r="F50" s="249">
        <v>4526136.1668738332</v>
      </c>
      <c r="G50" s="249">
        <v>4258286.8750682548</v>
      </c>
      <c r="H50" s="250">
        <v>1326394.7960789334</v>
      </c>
      <c r="J50" s="238">
        <f>+J4+J44</f>
        <v>6402921.9451973652</v>
      </c>
      <c r="K50" s="238">
        <f t="shared" ref="K50:O50" si="3">+K4+K44</f>
        <v>8896804.051124312</v>
      </c>
      <c r="L50" s="238">
        <f t="shared" si="3"/>
        <v>8650599.2189705186</v>
      </c>
      <c r="M50" s="238">
        <f t="shared" si="3"/>
        <v>7531599.1970809838</v>
      </c>
      <c r="N50" s="238">
        <f t="shared" si="3"/>
        <v>7693581.6915429654</v>
      </c>
      <c r="O50" s="238">
        <f t="shared" si="3"/>
        <v>7493521.0273594866</v>
      </c>
    </row>
    <row r="51" spans="1:17" x14ac:dyDescent="0.15">
      <c r="A51" s="179"/>
      <c r="B51" s="238"/>
      <c r="C51" s="238"/>
      <c r="D51" s="238"/>
      <c r="J51" s="238">
        <f>+J42-C42</f>
        <v>225789.03084389959</v>
      </c>
      <c r="K51" s="238">
        <f t="shared" ref="K51:O51" si="4">+K42-D42</f>
        <v>377583.49316878896</v>
      </c>
      <c r="L51" s="238">
        <f t="shared" si="4"/>
        <v>785240.55312941968</v>
      </c>
      <c r="M51" s="238">
        <f t="shared" si="4"/>
        <v>-205492.95349972602</v>
      </c>
      <c r="N51" s="238">
        <f t="shared" si="4"/>
        <v>257851.34012632258</v>
      </c>
      <c r="O51" s="238">
        <f t="shared" si="4"/>
        <v>222820.95143431425</v>
      </c>
    </row>
    <row r="52" spans="1:17" ht="13" x14ac:dyDescent="0.15">
      <c r="A52" s="33"/>
      <c r="B52" s="238"/>
      <c r="C52" s="238"/>
    </row>
    <row r="53" spans="1:17" x14ac:dyDescent="0.15">
      <c r="A53" s="251" t="s">
        <v>348</v>
      </c>
      <c r="C53" s="252"/>
      <c r="D53" s="252"/>
      <c r="E53" s="252"/>
      <c r="F53" s="252"/>
      <c r="G53" s="252"/>
      <c r="H53" s="253"/>
      <c r="I53" s="252"/>
      <c r="J53" s="252"/>
      <c r="K53" s="252"/>
      <c r="L53" s="252"/>
      <c r="M53" s="252"/>
      <c r="N53" s="252"/>
      <c r="O53" s="252"/>
      <c r="P53" s="252"/>
      <c r="Q53" s="252"/>
    </row>
    <row r="54" spans="1:17" ht="13" x14ac:dyDescent="0.15">
      <c r="A54" s="368" t="s">
        <v>352</v>
      </c>
      <c r="B54" s="368"/>
      <c r="C54" s="368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</row>
    <row r="55" spans="1:17" ht="13" x14ac:dyDescent="0.15">
      <c r="A55" s="368" t="s">
        <v>357</v>
      </c>
      <c r="B55" s="368"/>
      <c r="C55" s="368"/>
      <c r="D55" s="368"/>
      <c r="E55" s="368"/>
      <c r="F55" s="368"/>
      <c r="G55" s="368"/>
      <c r="H55" s="368"/>
      <c r="I55" s="368"/>
      <c r="J55" s="368"/>
      <c r="K55" s="368"/>
      <c r="L55" s="368"/>
      <c r="M55" s="368"/>
      <c r="N55" s="368"/>
      <c r="O55" s="368"/>
      <c r="P55" s="368"/>
      <c r="Q55" s="368"/>
    </row>
    <row r="56" spans="1:17" ht="13" x14ac:dyDescent="0.15">
      <c r="A56" s="368" t="s">
        <v>358</v>
      </c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</row>
    <row r="57" spans="1:17" ht="13" x14ac:dyDescent="0.15">
      <c r="A57" s="368"/>
      <c r="B57" s="368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</row>
    <row r="58" spans="1:17" ht="13" x14ac:dyDescent="0.15">
      <c r="A58" s="368" t="s">
        <v>349</v>
      </c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</row>
    <row r="59" spans="1:17" ht="13" x14ac:dyDescent="0.15">
      <c r="A59" s="368" t="s">
        <v>359</v>
      </c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</row>
    <row r="60" spans="1:17" ht="13" x14ac:dyDescent="0.15">
      <c r="A60" s="368" t="s">
        <v>350</v>
      </c>
      <c r="B60" s="368"/>
      <c r="C60" s="368"/>
      <c r="D60" s="368"/>
      <c r="E60" s="368"/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</row>
    <row r="61" spans="1:17" ht="13" x14ac:dyDescent="0.15">
      <c r="A61" s="368" t="s">
        <v>360</v>
      </c>
      <c r="B61" s="368"/>
      <c r="C61" s="368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8"/>
    </row>
    <row r="62" spans="1:17" ht="13" x14ac:dyDescent="0.15">
      <c r="A62" s="368" t="s">
        <v>361</v>
      </c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</row>
    <row r="63" spans="1:17" ht="13" x14ac:dyDescent="0.15">
      <c r="A63" s="368" t="s">
        <v>362</v>
      </c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68"/>
      <c r="Q63" s="368"/>
    </row>
    <row r="64" spans="1:17" ht="13" x14ac:dyDescent="0.15">
      <c r="A64" s="368" t="s">
        <v>356</v>
      </c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68"/>
      <c r="Q64" s="368"/>
    </row>
    <row r="65" spans="1:17" ht="13" x14ac:dyDescent="0.15">
      <c r="A65" s="368" t="s">
        <v>355</v>
      </c>
      <c r="B65" s="368"/>
      <c r="C65" s="368"/>
      <c r="D65" s="368"/>
      <c r="E65" s="368"/>
      <c r="F65" s="368"/>
      <c r="G65" s="368"/>
      <c r="H65" s="368"/>
      <c r="I65" s="368"/>
      <c r="J65" s="368"/>
      <c r="K65" s="368"/>
      <c r="L65" s="368"/>
      <c r="M65" s="368"/>
      <c r="N65" s="368"/>
      <c r="O65" s="368"/>
      <c r="P65" s="368"/>
      <c r="Q65" s="368"/>
    </row>
    <row r="66" spans="1:17" ht="13" x14ac:dyDescent="0.15">
      <c r="A66" s="368"/>
      <c r="B66" s="368"/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</row>
    <row r="67" spans="1:17" ht="27.75" customHeight="1" x14ac:dyDescent="0.15">
      <c r="A67" s="368" t="s">
        <v>353</v>
      </c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8"/>
      <c r="P67" s="368"/>
      <c r="Q67" s="368"/>
    </row>
    <row r="68" spans="1:17" ht="13" x14ac:dyDescent="0.15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8"/>
      <c r="P68" s="368"/>
      <c r="Q68" s="368"/>
    </row>
    <row r="69" spans="1:17" ht="13" x14ac:dyDescent="0.15">
      <c r="A69" s="368" t="s">
        <v>354</v>
      </c>
      <c r="B69" s="368"/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</row>
    <row r="70" spans="1:17" ht="13" x14ac:dyDescent="0.15">
      <c r="A70" s="33"/>
    </row>
    <row r="71" spans="1:17" ht="13" x14ac:dyDescent="0.15">
      <c r="A71" s="368" t="s">
        <v>363</v>
      </c>
      <c r="B71" s="368"/>
      <c r="C71" s="368"/>
      <c r="D71" s="368"/>
      <c r="E71" s="368"/>
      <c r="F71" s="368"/>
      <c r="G71" s="368"/>
      <c r="H71" s="368"/>
      <c r="I71" s="368"/>
      <c r="J71" s="368"/>
      <c r="K71" s="368"/>
      <c r="L71" s="368"/>
      <c r="M71" s="368"/>
      <c r="N71" s="368"/>
      <c r="O71" s="368"/>
      <c r="P71" s="368"/>
      <c r="Q71" s="368"/>
    </row>
    <row r="72" spans="1:17" ht="13" x14ac:dyDescent="0.15">
      <c r="A72" s="33"/>
    </row>
    <row r="73" spans="1:17" ht="13" x14ac:dyDescent="0.15">
      <c r="A73" s="33"/>
    </row>
    <row r="74" spans="1:17" ht="13" x14ac:dyDescent="0.15">
      <c r="A74" s="33"/>
    </row>
    <row r="75" spans="1:17" ht="13" x14ac:dyDescent="0.15">
      <c r="A75" s="33"/>
    </row>
    <row r="76" spans="1:17" ht="13" x14ac:dyDescent="0.15">
      <c r="A76" s="33"/>
    </row>
    <row r="77" spans="1:17" ht="13" x14ac:dyDescent="0.15">
      <c r="A77" s="33"/>
    </row>
    <row r="78" spans="1:17" ht="13" x14ac:dyDescent="0.15">
      <c r="A78" s="33"/>
    </row>
    <row r="79" spans="1:17" ht="13" x14ac:dyDescent="0.15">
      <c r="A79" s="33"/>
    </row>
    <row r="81" spans="1:1" x14ac:dyDescent="0.15">
      <c r="A81" s="104"/>
    </row>
  </sheetData>
  <mergeCells count="17">
    <mergeCell ref="A66:Q66"/>
    <mergeCell ref="A67:Q67"/>
    <mergeCell ref="A68:Q68"/>
    <mergeCell ref="A69:Q69"/>
    <mergeCell ref="A71:Q71"/>
    <mergeCell ref="A65:Q65"/>
    <mergeCell ref="A54:Q54"/>
    <mergeCell ref="A55:Q55"/>
    <mergeCell ref="A56:Q56"/>
    <mergeCell ref="A57:Q57"/>
    <mergeCell ref="A58:Q58"/>
    <mergeCell ref="A59:Q59"/>
    <mergeCell ref="A60:Q60"/>
    <mergeCell ref="A61:Q61"/>
    <mergeCell ref="A62:Q62"/>
    <mergeCell ref="A63:Q63"/>
    <mergeCell ref="A64:Q6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  <headerFooter>
    <oddFooter>&amp;L&amp;F/&amp;A&amp;R&amp;D</oddFooter>
  </headerFooter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EFA1-2615-4E83-B243-7638EF64C652}">
  <sheetPr>
    <pageSetUpPr fitToPage="1"/>
  </sheetPr>
  <dimension ref="B2:O177"/>
  <sheetViews>
    <sheetView workbookViewId="0">
      <pane xSplit="2" ySplit="10" topLeftCell="C150" activePane="bottomRight" state="frozen"/>
      <selection activeCell="J173" sqref="J173"/>
      <selection pane="topRight" activeCell="J173" sqref="J173"/>
      <selection pane="bottomLeft" activeCell="J173" sqref="J173"/>
      <selection pane="bottomRight" activeCell="J173" sqref="J173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28" x14ac:dyDescent="0.15">
      <c r="B3" s="35" t="s">
        <v>153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Oberstaufen'!C11</f>
        <v>3655658.0660999999</v>
      </c>
      <c r="D11" s="39">
        <f>'Data entry Oberstaufen'!F11</f>
        <v>52326.52</v>
      </c>
      <c r="E11" s="39">
        <f>'Data entry Oberstaufen'!I11</f>
        <v>237539.18</v>
      </c>
      <c r="F11" s="39">
        <f>'Data entry Oberstaufen'!L11</f>
        <v>235872.65</v>
      </c>
      <c r="G11" s="39">
        <f>'Data entry Oberstaufen'!O11</f>
        <v>288964.69</v>
      </c>
      <c r="H11" s="39">
        <f>'Data entry Oberstaufen'!R11</f>
        <v>336958.804</v>
      </c>
      <c r="I11" s="39">
        <f>'Data entry Oberstaufen'!U11</f>
        <v>333605.01120000001</v>
      </c>
      <c r="J11" s="39">
        <f>'Data entry Oberstaufen'!X11</f>
        <v>440527.74599999998</v>
      </c>
      <c r="K11" s="39">
        <f>'Data entry Oberstaufen'!AA11</f>
        <v>544336.73770000006</v>
      </c>
      <c r="L11" s="39">
        <f>'Data entry Oberstaufen'!AD11</f>
        <v>414881.77039999998</v>
      </c>
      <c r="M11" s="39">
        <f>'Data entry Oberstaufen'!AG11</f>
        <v>399136.3285</v>
      </c>
      <c r="N11" s="39">
        <f>'Data entry Oberstaufen'!AJ11</f>
        <v>275538.72779999999</v>
      </c>
      <c r="O11" s="39">
        <f>'Data entry Oberstaufen'!AM11</f>
        <v>95969.900500000003</v>
      </c>
    </row>
    <row r="12" spans="2:15" ht="14" x14ac:dyDescent="0.15">
      <c r="B12" s="38" t="s">
        <v>22</v>
      </c>
      <c r="C12" s="39">
        <f>'Data entry Oberstaufen'!C12</f>
        <v>2192585.7245999998</v>
      </c>
      <c r="D12" s="39">
        <f>'Data entry Oberstaufen'!F12</f>
        <v>80191.25</v>
      </c>
      <c r="E12" s="39">
        <f>'Data entry Oberstaufen'!I12</f>
        <v>212841.81</v>
      </c>
      <c r="F12" s="39">
        <f>'Data entry Oberstaufen'!L12</f>
        <v>167124.44</v>
      </c>
      <c r="G12" s="39">
        <f>'Data entry Oberstaufen'!O12</f>
        <v>193309.08</v>
      </c>
      <c r="H12" s="39">
        <f>'Data entry Oberstaufen'!R12</f>
        <v>190934.7107</v>
      </c>
      <c r="I12" s="39">
        <f>'Data entry Oberstaufen'!U12</f>
        <v>209285.8505</v>
      </c>
      <c r="J12" s="39">
        <f>'Data entry Oberstaufen'!X12</f>
        <v>174481.0068</v>
      </c>
      <c r="K12" s="39">
        <f>'Data entry Oberstaufen'!AA12</f>
        <v>188750.74309999999</v>
      </c>
      <c r="L12" s="39">
        <f>'Data entry Oberstaufen'!AD12</f>
        <v>189660.87409999999</v>
      </c>
      <c r="M12" s="39">
        <f>'Data entry Oberstaufen'!AG12</f>
        <v>194370.86569999999</v>
      </c>
      <c r="N12" s="39">
        <f>'Data entry Oberstaufen'!AJ12</f>
        <v>202192.8939</v>
      </c>
      <c r="O12" s="39">
        <f>'Data entry Oberstaufen'!AM12</f>
        <v>189442.1998</v>
      </c>
    </row>
    <row r="13" spans="2:15" ht="14" x14ac:dyDescent="0.15">
      <c r="B13" s="38" t="s">
        <v>23</v>
      </c>
      <c r="C13" s="39">
        <f>'Data entry Oberstaufen'!C13</f>
        <v>-323480.6691</v>
      </c>
      <c r="D13" s="39">
        <f>'Data entry Oberstaufen'!F13</f>
        <v>-117890.1</v>
      </c>
      <c r="E13" s="39">
        <f>'Data entry Oberstaufen'!I13</f>
        <v>-100391.1</v>
      </c>
      <c r="F13" s="39">
        <f>'Data entry Oberstaufen'!L13</f>
        <v>-51409.32</v>
      </c>
      <c r="G13" s="39">
        <f>'Data entry Oberstaufen'!O13</f>
        <v>-61657.58</v>
      </c>
      <c r="H13" s="39">
        <f>'Data entry Oberstaufen'!R13</f>
        <v>-15241.6325</v>
      </c>
      <c r="I13" s="39">
        <f>'Data entry Oberstaufen'!U13</f>
        <v>-34323.999799999998</v>
      </c>
      <c r="J13" s="39">
        <f>'Data entry Oberstaufen'!X13</f>
        <v>78327.031799999997</v>
      </c>
      <c r="K13" s="39">
        <f>'Data entry Oberstaufen'!AA13</f>
        <v>147892.4835</v>
      </c>
      <c r="L13" s="39">
        <f>'Data entry Oberstaufen'!AD13</f>
        <v>54790.364999999998</v>
      </c>
      <c r="M13" s="39">
        <f>'Data entry Oberstaufen'!AG13</f>
        <v>17273.391</v>
      </c>
      <c r="N13" s="39">
        <f>'Data entry Oberstaufen'!AJ13</f>
        <v>-75038.768299999996</v>
      </c>
      <c r="O13" s="39">
        <f>'Data entry Oberstaufen'!AM13</f>
        <v>-165811.43979999999</v>
      </c>
    </row>
    <row r="14" spans="2:15" ht="14" x14ac:dyDescent="0.15">
      <c r="B14" s="38" t="s">
        <v>24</v>
      </c>
      <c r="C14" s="39">
        <f>'Data entry Oberstaufen'!C14</f>
        <v>31581</v>
      </c>
      <c r="D14" s="39">
        <f>'Data entry Oberstaufen'!F14</f>
        <v>2523</v>
      </c>
      <c r="E14" s="39">
        <f>'Data entry Oberstaufen'!I14</f>
        <v>2436</v>
      </c>
      <c r="F14" s="39">
        <f>'Data entry Oberstaufen'!L14</f>
        <v>2697</v>
      </c>
      <c r="G14" s="39">
        <f>'Data entry Oberstaufen'!O14</f>
        <v>2610</v>
      </c>
      <c r="H14" s="39">
        <f>'Data entry Oberstaufen'!R14</f>
        <v>2697</v>
      </c>
      <c r="I14" s="39">
        <f>'Data entry Oberstaufen'!U14</f>
        <v>2610</v>
      </c>
      <c r="J14" s="39">
        <f>'Data entry Oberstaufen'!X14</f>
        <v>2697</v>
      </c>
      <c r="K14" s="39">
        <f>'Data entry Oberstaufen'!AA14</f>
        <v>2697</v>
      </c>
      <c r="L14" s="39">
        <f>'Data entry Oberstaufen'!AD14</f>
        <v>2610</v>
      </c>
      <c r="M14" s="39">
        <f>'Data entry Oberstaufen'!AG14</f>
        <v>2697</v>
      </c>
      <c r="N14" s="39">
        <f>'Data entry Oberstaufen'!AJ14</f>
        <v>2610</v>
      </c>
      <c r="O14" s="39">
        <f>'Data entry Oberstaufen'!AM14</f>
        <v>2697</v>
      </c>
    </row>
    <row r="15" spans="2:15" ht="14" x14ac:dyDescent="0.15">
      <c r="B15" s="38" t="s">
        <v>25</v>
      </c>
      <c r="C15" s="39">
        <f>'Data entry Oberstaufen'!C15</f>
        <v>15333</v>
      </c>
      <c r="D15" s="39">
        <f>'Data entry Oberstaufen'!F15</f>
        <v>219</v>
      </c>
      <c r="E15" s="39">
        <f>'Data entry Oberstaufen'!I15</f>
        <v>1113</v>
      </c>
      <c r="F15" s="39">
        <f>'Data entry Oberstaufen'!L15</f>
        <v>1079</v>
      </c>
      <c r="G15" s="39">
        <f>'Data entry Oberstaufen'!O15</f>
        <v>1261</v>
      </c>
      <c r="H15" s="39">
        <f>'Data entry Oberstaufen'!R15</f>
        <v>1394</v>
      </c>
      <c r="I15" s="39">
        <f>'Data entry Oberstaufen'!U15</f>
        <v>1423</v>
      </c>
      <c r="J15" s="39">
        <f>'Data entry Oberstaufen'!X15</f>
        <v>1791</v>
      </c>
      <c r="K15" s="39">
        <f>'Data entry Oberstaufen'!AA15</f>
        <v>2257</v>
      </c>
      <c r="L15" s="39">
        <f>'Data entry Oberstaufen'!AD15</f>
        <v>1607</v>
      </c>
      <c r="M15" s="39">
        <f>'Data entry Oberstaufen'!AG15</f>
        <v>1646</v>
      </c>
      <c r="N15" s="39">
        <f>'Data entry Oberstaufen'!AJ15</f>
        <v>1193</v>
      </c>
      <c r="O15" s="39">
        <f>'Data entry Oberstaufen'!AM15</f>
        <v>350</v>
      </c>
    </row>
    <row r="16" spans="2:15" ht="14" x14ac:dyDescent="0.15">
      <c r="B16" s="38" t="s">
        <v>26</v>
      </c>
      <c r="C16" s="39">
        <f>'Data entry Oberstaufen'!C16</f>
        <v>50.052246603971</v>
      </c>
      <c r="D16" s="39">
        <f>'Data entry Oberstaufen'!F16</f>
        <v>9.0764962346413007</v>
      </c>
      <c r="E16" s="39">
        <f>'Data entry Oberstaufen'!I16</f>
        <v>47.536945812808</v>
      </c>
      <c r="F16" s="39">
        <f>'Data entry Oberstaufen'!L16</f>
        <v>42.973674453096002</v>
      </c>
      <c r="G16" s="39">
        <f>'Data entry Oberstaufen'!O16</f>
        <v>51.647509578544003</v>
      </c>
      <c r="H16" s="39">
        <f>'Data entry Oberstaufen'!R16</f>
        <v>53.170189098999003</v>
      </c>
      <c r="I16" s="39">
        <f>'Data entry Oberstaufen'!U16</f>
        <v>55.823754789272002</v>
      </c>
      <c r="J16" s="39">
        <f>'Data entry Oberstaufen'!X16</f>
        <v>67.741935483871003</v>
      </c>
      <c r="K16" s="39">
        <f>'Data entry Oberstaufen'!AA16</f>
        <v>84.909158324063995</v>
      </c>
      <c r="L16" s="39">
        <f>'Data entry Oberstaufen'!AD16</f>
        <v>62.873563218390998</v>
      </c>
      <c r="M16" s="39">
        <f>'Data entry Oberstaufen'!AG16</f>
        <v>62.180200222468997</v>
      </c>
      <c r="N16" s="39">
        <f>'Data entry Oberstaufen'!AJ16</f>
        <v>46.934865900383002</v>
      </c>
      <c r="O16" s="39">
        <f>'Data entry Oberstaufen'!AM16</f>
        <v>13.422321097516001</v>
      </c>
    </row>
    <row r="17" spans="2:15" ht="14" x14ac:dyDescent="0.15">
      <c r="B17" s="38" t="s">
        <v>27</v>
      </c>
      <c r="C17" s="39">
        <f>'Data entry Oberstaufen'!C17</f>
        <v>159.70150525010999</v>
      </c>
      <c r="D17" s="39">
        <f>'Data entry Oberstaufen'!F17</f>
        <v>147.37799086758</v>
      </c>
      <c r="E17" s="39">
        <f>'Data entry Oberstaufen'!I17</f>
        <v>129.21045822101999</v>
      </c>
      <c r="F17" s="39">
        <f>'Data entry Oberstaufen'!L17</f>
        <v>138.74804448563</v>
      </c>
      <c r="G17" s="39">
        <f>'Data entry Oberstaufen'!O17</f>
        <v>150.10242664552001</v>
      </c>
      <c r="H17" s="39">
        <f>'Data entry Oberstaufen'!R17</f>
        <v>159.68146341463</v>
      </c>
      <c r="I17" s="39">
        <f>'Data entry Oberstaufen'!U17</f>
        <v>160.64286718201001</v>
      </c>
      <c r="J17" s="39">
        <f>'Data entry Oberstaufen'!X17</f>
        <v>170.00940815186999</v>
      </c>
      <c r="K17" s="39">
        <f>'Data entry Oberstaufen'!AA17</f>
        <v>168.94033673017</v>
      </c>
      <c r="L17" s="39">
        <f>'Data entry Oberstaufen'!AD17</f>
        <v>187.57502177971</v>
      </c>
      <c r="M17" s="39">
        <f>'Data entry Oberstaufen'!AG17</f>
        <v>166.36178614823999</v>
      </c>
      <c r="N17" s="39">
        <f>'Data entry Oberstaufen'!AJ17</f>
        <v>138.95813076278</v>
      </c>
      <c r="O17" s="39">
        <f>'Data entry Oberstaufen'!AM17</f>
        <v>158.88657142856999</v>
      </c>
    </row>
    <row r="18" spans="2:15" ht="14" x14ac:dyDescent="0.15">
      <c r="B18" s="38" t="s">
        <v>28</v>
      </c>
      <c r="C18" s="39">
        <f>'Data entry Oberstaufen'!C18</f>
        <v>76.400833412495004</v>
      </c>
      <c r="D18" s="39">
        <f>'Data entry Oberstaufen'!F18</f>
        <v>12.725941339675</v>
      </c>
      <c r="E18" s="39">
        <f>'Data entry Oberstaufen'!I18</f>
        <v>58.316473727422</v>
      </c>
      <c r="F18" s="39">
        <f>'Data entry Oberstaufen'!L18</f>
        <v>54.989699666295998</v>
      </c>
      <c r="G18" s="39">
        <f>'Data entry Oberstaufen'!O18</f>
        <v>71.250252873562999</v>
      </c>
      <c r="H18" s="39">
        <f>'Data entry Oberstaufen'!R18</f>
        <v>81.311071560993994</v>
      </c>
      <c r="I18" s="39">
        <f>'Data entry Oberstaufen'!U18</f>
        <v>86.243218390804998</v>
      </c>
      <c r="J18" s="39">
        <f>'Data entry Oberstaufen'!X18</f>
        <v>111.60061179088</v>
      </c>
      <c r="K18" s="39">
        <f>'Data entry Oberstaufen'!AA18</f>
        <v>139.59893956248001</v>
      </c>
      <c r="L18" s="39">
        <f>'Data entry Oberstaufen'!AD18</f>
        <v>113.69082758621001</v>
      </c>
      <c r="M18" s="39">
        <f>'Data entry Oberstaufen'!AG18</f>
        <v>99.789210233592996</v>
      </c>
      <c r="N18" s="39">
        <f>'Data entry Oberstaufen'!AJ18</f>
        <v>62.845613026819997</v>
      </c>
      <c r="O18" s="39">
        <f>'Data entry Oberstaufen'!AM18</f>
        <v>19.506970708194</v>
      </c>
    </row>
    <row r="19" spans="2:15" ht="14" x14ac:dyDescent="0.15">
      <c r="B19" s="38" t="s">
        <v>29</v>
      </c>
      <c r="C19" s="39">
        <f>'Data entry Oberstaufen'!C19</f>
        <v>115.75498135271</v>
      </c>
      <c r="D19" s="39">
        <f>'Data entry Oberstaufen'!F19</f>
        <v>20.739801823225999</v>
      </c>
      <c r="E19" s="39">
        <f>'Data entry Oberstaufen'!I19</f>
        <v>97.511978653529994</v>
      </c>
      <c r="F19" s="39">
        <f>'Data entry Oberstaufen'!L19</f>
        <v>87.457415647014997</v>
      </c>
      <c r="G19" s="39">
        <f>'Data entry Oberstaufen'!O19</f>
        <v>110.71444061303001</v>
      </c>
      <c r="H19" s="39">
        <f>'Data entry Oberstaufen'!R19</f>
        <v>124.93837745643</v>
      </c>
      <c r="I19" s="39">
        <f>'Data entry Oberstaufen'!U19</f>
        <v>127.81801195401999</v>
      </c>
      <c r="J19" s="39">
        <f>'Data entry Oberstaufen'!X19</f>
        <v>163.33991323692999</v>
      </c>
      <c r="K19" s="39">
        <f>'Data entry Oberstaufen'!AA19</f>
        <v>201.83045520949</v>
      </c>
      <c r="L19" s="39">
        <f>'Data entry Oberstaufen'!AD19</f>
        <v>158.95853272030999</v>
      </c>
      <c r="M19" s="39">
        <f>'Data entry Oberstaufen'!AG19</f>
        <v>147.99270615499</v>
      </c>
      <c r="N19" s="39">
        <f>'Data entry Oberstaufen'!AJ19</f>
        <v>105.5703937931</v>
      </c>
      <c r="O19" s="39">
        <f>'Data entry Oberstaufen'!AM19</f>
        <v>35.583945309603003</v>
      </c>
    </row>
    <row r="20" spans="2:15" ht="14" x14ac:dyDescent="0.15">
      <c r="B20" s="38" t="s">
        <v>30</v>
      </c>
      <c r="C20" s="39">
        <f>'Data entry Oberstaufen'!C20</f>
        <v>28969.25</v>
      </c>
      <c r="D20" s="39">
        <f>'Data entry Oberstaufen'!F20</f>
        <v>419</v>
      </c>
      <c r="E20" s="39">
        <f>'Data entry Oberstaufen'!I20</f>
        <v>2204</v>
      </c>
      <c r="F20" s="39">
        <f>'Data entry Oberstaufen'!L20</f>
        <v>2172</v>
      </c>
      <c r="G20" s="39">
        <f>'Data entry Oberstaufen'!O20</f>
        <v>2500</v>
      </c>
      <c r="H20" s="39">
        <f>'Data entry Oberstaufen'!R20</f>
        <v>2557.8000000000002</v>
      </c>
      <c r="I20" s="39">
        <f>'Data entry Oberstaufen'!U20</f>
        <v>2591.63</v>
      </c>
      <c r="J20" s="39">
        <f>'Data entry Oberstaufen'!X20</f>
        <v>3523.34</v>
      </c>
      <c r="K20" s="39">
        <f>'Data entry Oberstaufen'!AA20</f>
        <v>4603.7700000000004</v>
      </c>
      <c r="L20" s="39">
        <f>'Data entry Oberstaufen'!AD20</f>
        <v>2638.75</v>
      </c>
      <c r="M20" s="39">
        <f>'Data entry Oberstaufen'!AG20</f>
        <v>2979.1</v>
      </c>
      <c r="N20" s="39">
        <f>'Data entry Oberstaufen'!AJ20</f>
        <v>2183.86</v>
      </c>
      <c r="O20" s="39">
        <f>'Data entry Oberstaufen'!AM20</f>
        <v>596</v>
      </c>
    </row>
    <row r="21" spans="2:15" ht="14" x14ac:dyDescent="0.15">
      <c r="B21" s="38" t="s">
        <v>31</v>
      </c>
      <c r="C21" s="39">
        <f>'Data entry Oberstaufen'!C21</f>
        <v>1.8326848864426999</v>
      </c>
      <c r="D21" s="39">
        <f>'Data entry Oberstaufen'!F21</f>
        <v>1.8296943231441001</v>
      </c>
      <c r="E21" s="39">
        <f>'Data entry Oberstaufen'!I21</f>
        <v>1.9032815198618001</v>
      </c>
      <c r="F21" s="39">
        <f>'Data entry Oberstaufen'!L21</f>
        <v>1.8740293356341999</v>
      </c>
      <c r="G21" s="39">
        <f>'Data entry Oberstaufen'!O21</f>
        <v>1.8545994065282001</v>
      </c>
      <c r="H21" s="39">
        <f>'Data entry Oberstaufen'!R21</f>
        <v>1.7836820083681999</v>
      </c>
      <c r="I21" s="39">
        <f>'Data entry Oberstaufen'!U21</f>
        <v>1.7787439945093</v>
      </c>
      <c r="J21" s="39">
        <f>'Data entry Oberstaufen'!X21</f>
        <v>1.9284838533113999</v>
      </c>
      <c r="K21" s="39">
        <f>'Data entry Oberstaufen'!AA21</f>
        <v>2.0103799126638</v>
      </c>
      <c r="L21" s="39">
        <f>'Data entry Oberstaufen'!AD21</f>
        <v>1.6080134064595</v>
      </c>
      <c r="M21" s="39">
        <f>'Data entry Oberstaufen'!AG21</f>
        <v>1.7764460345855999</v>
      </c>
      <c r="N21" s="39">
        <f>'Data entry Oberstaufen'!AJ21</f>
        <v>1.7827428571429</v>
      </c>
      <c r="O21" s="39">
        <f>'Data entry Oberstaufen'!AM21</f>
        <v>1.646408839779</v>
      </c>
    </row>
    <row r="22" spans="2:15" ht="14" x14ac:dyDescent="0.15">
      <c r="B22" s="38" t="s">
        <v>32</v>
      </c>
      <c r="C22" s="39">
        <f>'Data entry Oberstaufen'!C22</f>
        <v>27504.623100000001</v>
      </c>
      <c r="D22" s="39">
        <f>'Data entry Oberstaufen'!F22</f>
        <v>0</v>
      </c>
      <c r="E22" s="39">
        <f>'Data entry Oberstaufen'!I22</f>
        <v>0</v>
      </c>
      <c r="F22" s="39">
        <f>'Data entry Oberstaufen'!L22</f>
        <v>0</v>
      </c>
      <c r="G22" s="39">
        <f>'Data entry Oberstaufen'!O22</f>
        <v>0</v>
      </c>
      <c r="H22" s="39">
        <f>'Data entry Oberstaufen'!R22</f>
        <v>3323.3901000000001</v>
      </c>
      <c r="I22" s="39">
        <f>'Data entry Oberstaufen'!U22</f>
        <v>3213.2473</v>
      </c>
      <c r="J22" s="39">
        <f>'Data entry Oberstaufen'!X22</f>
        <v>4356.2876999999999</v>
      </c>
      <c r="K22" s="39">
        <f>'Data entry Oberstaufen'!AA22</f>
        <v>5418.6859999999997</v>
      </c>
      <c r="L22" s="39">
        <f>'Data entry Oberstaufen'!AD22</f>
        <v>3341.09</v>
      </c>
      <c r="M22" s="39">
        <f>'Data entry Oberstaufen'!AG22</f>
        <v>3838.7319000000002</v>
      </c>
      <c r="N22" s="39">
        <f>'Data entry Oberstaufen'!AJ22</f>
        <v>3217.8845999999999</v>
      </c>
      <c r="O22" s="39">
        <f>'Data entry Oberstaufen'!AM22</f>
        <v>795.30550000000005</v>
      </c>
    </row>
    <row r="23" spans="2:15" ht="14" x14ac:dyDescent="0.15">
      <c r="B23" s="38" t="s">
        <v>33</v>
      </c>
      <c r="C23" s="39">
        <f>'Data entry Oberstaufen'!C23</f>
        <v>45.2575</v>
      </c>
      <c r="D23" s="39">
        <f>'Data entry Oberstaufen'!F23</f>
        <v>49.87</v>
      </c>
      <c r="E23" s="39">
        <f>'Data entry Oberstaufen'!I23</f>
        <v>49.87</v>
      </c>
      <c r="F23" s="39">
        <f>'Data entry Oberstaufen'!L23</f>
        <v>48.35</v>
      </c>
      <c r="G23" s="39">
        <f>'Data entry Oberstaufen'!O23</f>
        <v>47.72</v>
      </c>
      <c r="H23" s="39">
        <f>'Data entry Oberstaufen'!R23</f>
        <v>44.16</v>
      </c>
      <c r="I23" s="39">
        <f>'Data entry Oberstaufen'!U23</f>
        <v>44.16</v>
      </c>
      <c r="J23" s="39">
        <f>'Data entry Oberstaufen'!X23</f>
        <v>44.16</v>
      </c>
      <c r="K23" s="39">
        <f>'Data entry Oberstaufen'!AA23</f>
        <v>42.16</v>
      </c>
      <c r="L23" s="39">
        <f>'Data entry Oberstaufen'!AD23</f>
        <v>43.16</v>
      </c>
      <c r="M23" s="39">
        <f>'Data entry Oberstaufen'!AG23</f>
        <v>43.16</v>
      </c>
      <c r="N23" s="39">
        <f>'Data entry Oberstaufen'!AJ23</f>
        <v>43.16</v>
      </c>
      <c r="O23" s="39">
        <f>'Data entry Oberstaufen'!AM23</f>
        <v>43.16</v>
      </c>
    </row>
    <row r="24" spans="2:15" x14ac:dyDescent="0.15">
      <c r="C24" s="39">
        <f>'Data entry Oberstaufen'!C24</f>
        <v>0</v>
      </c>
      <c r="D24" s="39">
        <f>'Data entry Oberstaufen'!F24</f>
        <v>0</v>
      </c>
      <c r="E24" s="39">
        <f>'Data entry Oberstaufen'!I24</f>
        <v>0</v>
      </c>
      <c r="F24" s="39">
        <f>'Data entry Oberstaufen'!L24</f>
        <v>0</v>
      </c>
      <c r="G24" s="39">
        <f>'Data entry Oberstaufen'!O24</f>
        <v>0</v>
      </c>
      <c r="H24" s="39">
        <f>'Data entry Oberstaufen'!R24</f>
        <v>0</v>
      </c>
      <c r="I24" s="39">
        <f>'Data entry Oberstaufen'!U24</f>
        <v>0</v>
      </c>
      <c r="J24" s="39">
        <f>'Data entry Oberstaufen'!X24</f>
        <v>0</v>
      </c>
      <c r="K24" s="39">
        <f>'Data entry Oberstaufen'!AA24</f>
        <v>0</v>
      </c>
      <c r="L24" s="39">
        <f>'Data entry Oberstaufen'!AD24</f>
        <v>0</v>
      </c>
      <c r="M24" s="39">
        <f>'Data entry Oberstaufen'!AG24</f>
        <v>0</v>
      </c>
      <c r="N24" s="39">
        <f>'Data entry Oberstaufen'!AJ24</f>
        <v>0</v>
      </c>
      <c r="O24" s="39">
        <f>'Data entry Oberstaufen'!AM24</f>
        <v>0</v>
      </c>
    </row>
    <row r="25" spans="2:15" ht="14" x14ac:dyDescent="0.15">
      <c r="B25" s="38" t="s">
        <v>34</v>
      </c>
      <c r="C25" s="39">
        <f>'Data entry Oberstaufen'!C25</f>
        <v>0</v>
      </c>
      <c r="D25" s="39">
        <f>'Data entry Oberstaufen'!F25</f>
        <v>0</v>
      </c>
      <c r="E25" s="39">
        <f>'Data entry Oberstaufen'!I25</f>
        <v>0</v>
      </c>
      <c r="F25" s="39">
        <f>'Data entry Oberstaufen'!L25</f>
        <v>0</v>
      </c>
      <c r="G25" s="39">
        <f>'Data entry Oberstaufen'!O25</f>
        <v>0</v>
      </c>
      <c r="H25" s="39">
        <f>'Data entry Oberstaufen'!R25</f>
        <v>0</v>
      </c>
      <c r="I25" s="39">
        <f>'Data entry Oberstaufen'!U25</f>
        <v>0</v>
      </c>
      <c r="J25" s="39">
        <f>'Data entry Oberstaufen'!X25</f>
        <v>0</v>
      </c>
      <c r="K25" s="39">
        <f>'Data entry Oberstaufen'!AA25</f>
        <v>0</v>
      </c>
      <c r="L25" s="39">
        <f>'Data entry Oberstaufen'!AD25</f>
        <v>0</v>
      </c>
      <c r="M25" s="39">
        <f>'Data entry Oberstaufen'!AG25</f>
        <v>0</v>
      </c>
      <c r="N25" s="39">
        <f>'Data entry Oberstaufen'!AJ25</f>
        <v>0</v>
      </c>
      <c r="O25" s="39">
        <f>'Data entry Oberstaufen'!AM25</f>
        <v>0</v>
      </c>
    </row>
    <row r="26" spans="2:15" x14ac:dyDescent="0.15">
      <c r="B26" s="40"/>
      <c r="C26" s="39">
        <f>'Data entry Oberstaufen'!C26</f>
        <v>0</v>
      </c>
      <c r="D26" s="39">
        <f>'Data entry Oberstaufen'!F26</f>
        <v>0</v>
      </c>
      <c r="E26" s="39">
        <f>'Data entry Oberstaufen'!I26</f>
        <v>0</v>
      </c>
      <c r="F26" s="39">
        <f>'Data entry Oberstaufen'!L26</f>
        <v>0</v>
      </c>
      <c r="G26" s="39">
        <f>'Data entry Oberstaufen'!O26</f>
        <v>0</v>
      </c>
      <c r="H26" s="39">
        <f>'Data entry Oberstaufen'!R26</f>
        <v>0</v>
      </c>
      <c r="I26" s="39">
        <f>'Data entry Oberstaufen'!U26</f>
        <v>0</v>
      </c>
      <c r="J26" s="39">
        <f>'Data entry Oberstaufen'!X26</f>
        <v>0</v>
      </c>
      <c r="K26" s="39">
        <f>'Data entry Oberstaufen'!AA26</f>
        <v>0</v>
      </c>
      <c r="L26" s="39">
        <f>'Data entry Oberstaufen'!AD26</f>
        <v>0</v>
      </c>
      <c r="M26" s="39">
        <f>'Data entry Oberstaufen'!AG26</f>
        <v>0</v>
      </c>
      <c r="N26" s="39">
        <f>'Data entry Oberstaufen'!AJ26</f>
        <v>0</v>
      </c>
      <c r="O26" s="39">
        <f>'Data entry Oberstaufen'!AM26</f>
        <v>0</v>
      </c>
    </row>
    <row r="27" spans="2:15" ht="14" x14ac:dyDescent="0.15">
      <c r="B27" s="42" t="s">
        <v>21</v>
      </c>
      <c r="C27" s="39">
        <f>'Data entry Oberstaufen'!C27</f>
        <v>3655658.0660999999</v>
      </c>
      <c r="D27" s="39">
        <f>'Data entry Oberstaufen'!F27</f>
        <v>52326.52</v>
      </c>
      <c r="E27" s="39">
        <f>'Data entry Oberstaufen'!I27</f>
        <v>237539.18</v>
      </c>
      <c r="F27" s="39">
        <f>'Data entry Oberstaufen'!L27</f>
        <v>235872.65</v>
      </c>
      <c r="G27" s="39">
        <f>'Data entry Oberstaufen'!O27</f>
        <v>288964.69</v>
      </c>
      <c r="H27" s="39">
        <f>'Data entry Oberstaufen'!R27</f>
        <v>336958.804</v>
      </c>
      <c r="I27" s="39">
        <f>'Data entry Oberstaufen'!U27</f>
        <v>333605.01120000001</v>
      </c>
      <c r="J27" s="39">
        <f>'Data entry Oberstaufen'!X27</f>
        <v>440527.74599999998</v>
      </c>
      <c r="K27" s="39">
        <f>'Data entry Oberstaufen'!AA27</f>
        <v>544336.73770000006</v>
      </c>
      <c r="L27" s="39">
        <f>'Data entry Oberstaufen'!AD27</f>
        <v>414881.77039999998</v>
      </c>
      <c r="M27" s="39">
        <f>'Data entry Oberstaufen'!AG27</f>
        <v>399136.3285</v>
      </c>
      <c r="N27" s="39">
        <f>'Data entry Oberstaufen'!AJ27</f>
        <v>275538.72779999999</v>
      </c>
      <c r="O27" s="39">
        <f>'Data entry Oberstaufen'!AM27</f>
        <v>95969.900500000003</v>
      </c>
    </row>
    <row r="28" spans="2:15" ht="14" x14ac:dyDescent="0.15">
      <c r="B28" s="38" t="s">
        <v>35</v>
      </c>
      <c r="C28" s="39">
        <f>'Data entry Oberstaufen'!C28</f>
        <v>2448703.1800000002</v>
      </c>
      <c r="D28" s="39">
        <f>'Data entry Oberstaufen'!F28</f>
        <v>32275.78</v>
      </c>
      <c r="E28" s="39">
        <f>'Data entry Oberstaufen'!I28</f>
        <v>143811.24</v>
      </c>
      <c r="F28" s="39">
        <f>'Data entry Oberstaufen'!L28</f>
        <v>149709.14000000001</v>
      </c>
      <c r="G28" s="39">
        <f>'Data entry Oberstaufen'!O28</f>
        <v>189279.16</v>
      </c>
      <c r="H28" s="39">
        <f>'Data entry Oberstaufen'!R28</f>
        <v>222595.96</v>
      </c>
      <c r="I28" s="39">
        <f>'Data entry Oberstaufen'!U28</f>
        <v>228594.8</v>
      </c>
      <c r="J28" s="39">
        <f>'Data entry Oberstaufen'!X28</f>
        <v>304486.84999999998</v>
      </c>
      <c r="K28" s="39">
        <f>'Data entry Oberstaufen'!AA28</f>
        <v>381298.34</v>
      </c>
      <c r="L28" s="39">
        <f>'Data entry Oberstaufen'!AD28</f>
        <v>301433.06</v>
      </c>
      <c r="M28" s="39">
        <f>'Data entry Oberstaufen'!AG28</f>
        <v>273831.5</v>
      </c>
      <c r="N28" s="39">
        <f>'Data entry Oberstaufen'!AJ28</f>
        <v>165777.04999999999</v>
      </c>
      <c r="O28" s="39">
        <f>'Data entry Oberstaufen'!AM28</f>
        <v>55610.3</v>
      </c>
    </row>
    <row r="29" spans="2:15" ht="14" x14ac:dyDescent="0.15">
      <c r="B29" s="38" t="s">
        <v>36</v>
      </c>
      <c r="C29" s="39">
        <f>'Data entry Oberstaufen'!C29</f>
        <v>940034.34310000006</v>
      </c>
      <c r="D29" s="39">
        <f>'Data entry Oberstaufen'!F29</f>
        <v>15036.66</v>
      </c>
      <c r="E29" s="39">
        <f>'Data entry Oberstaufen'!I29</f>
        <v>67564.570000000007</v>
      </c>
      <c r="F29" s="39">
        <f>'Data entry Oberstaufen'!L29</f>
        <v>69447.25</v>
      </c>
      <c r="G29" s="39">
        <f>'Data entry Oberstaufen'!O29</f>
        <v>79398.91</v>
      </c>
      <c r="H29" s="39">
        <f>'Data entry Oberstaufen'!R29</f>
        <v>90205.660600000003</v>
      </c>
      <c r="I29" s="39">
        <f>'Data entry Oberstaufen'!U29</f>
        <v>82781.790599999993</v>
      </c>
      <c r="J29" s="39">
        <f>'Data entry Oberstaufen'!X29</f>
        <v>112436.7424</v>
      </c>
      <c r="K29" s="39">
        <f>'Data entry Oberstaufen'!AA29</f>
        <v>134883.3977</v>
      </c>
      <c r="L29" s="39">
        <f>'Data entry Oberstaufen'!AD29</f>
        <v>85023.723599999998</v>
      </c>
      <c r="M29" s="39">
        <f>'Data entry Oberstaufen'!AG29</f>
        <v>95946.045800000007</v>
      </c>
      <c r="N29" s="39">
        <f>'Data entry Oberstaufen'!AJ29</f>
        <v>88104.191900000005</v>
      </c>
      <c r="O29" s="39">
        <f>'Data entry Oberstaufen'!AM29</f>
        <v>19205.4005</v>
      </c>
    </row>
    <row r="30" spans="2:15" ht="14" x14ac:dyDescent="0.15">
      <c r="B30" s="38" t="s">
        <v>37</v>
      </c>
      <c r="C30" s="39">
        <f>'Data entry Oberstaufen'!C30</f>
        <v>263529.43300000002</v>
      </c>
      <c r="D30" s="39">
        <f>'Data entry Oberstaufen'!F30</f>
        <v>4620.24</v>
      </c>
      <c r="E30" s="39">
        <f>'Data entry Oberstaufen'!I30</f>
        <v>25247.48</v>
      </c>
      <c r="F30" s="39">
        <f>'Data entry Oberstaufen'!L30</f>
        <v>16241.84</v>
      </c>
      <c r="G30" s="39">
        <f>'Data entry Oberstaufen'!O30</f>
        <v>20279.66</v>
      </c>
      <c r="H30" s="39">
        <f>'Data entry Oberstaufen'!R30</f>
        <v>23957.183400000002</v>
      </c>
      <c r="I30" s="39">
        <f>'Data entry Oberstaufen'!U30</f>
        <v>22028.420600000001</v>
      </c>
      <c r="J30" s="39">
        <f>'Data entry Oberstaufen'!X30</f>
        <v>23404.153699999999</v>
      </c>
      <c r="K30" s="39">
        <f>'Data entry Oberstaufen'!AA30</f>
        <v>27955</v>
      </c>
      <c r="L30" s="39">
        <f>'Data entry Oberstaufen'!AD30</f>
        <v>28224.986799999999</v>
      </c>
      <c r="M30" s="39">
        <f>'Data entry Oberstaufen'!AG30</f>
        <v>29158.7827</v>
      </c>
      <c r="N30" s="39">
        <f>'Data entry Oberstaufen'!AJ30</f>
        <v>21457.485799999999</v>
      </c>
      <c r="O30" s="39">
        <f>'Data entry Oberstaufen'!AM30</f>
        <v>20954.2</v>
      </c>
    </row>
    <row r="31" spans="2:15" ht="14" x14ac:dyDescent="0.15">
      <c r="B31" s="38" t="s">
        <v>38</v>
      </c>
      <c r="C31" s="39">
        <f>'Data entry Oberstaufen'!C31</f>
        <v>3391.11</v>
      </c>
      <c r="D31" s="39">
        <f>'Data entry Oberstaufen'!F31</f>
        <v>393.84</v>
      </c>
      <c r="E31" s="39">
        <f>'Data entry Oberstaufen'!I31</f>
        <v>915.89</v>
      </c>
      <c r="F31" s="39">
        <f>'Data entry Oberstaufen'!L31</f>
        <v>474.42</v>
      </c>
      <c r="G31" s="39">
        <f>'Data entry Oberstaufen'!O31</f>
        <v>6.96</v>
      </c>
      <c r="H31" s="39">
        <f>'Data entry Oberstaufen'!R31</f>
        <v>200</v>
      </c>
      <c r="I31" s="39">
        <f>'Data entry Oberstaufen'!U31</f>
        <v>200</v>
      </c>
      <c r="J31" s="39">
        <f>'Data entry Oberstaufen'!X31</f>
        <v>200</v>
      </c>
      <c r="K31" s="39">
        <f>'Data entry Oberstaufen'!AA31</f>
        <v>200</v>
      </c>
      <c r="L31" s="39">
        <f>'Data entry Oberstaufen'!AD31</f>
        <v>200</v>
      </c>
      <c r="M31" s="39">
        <f>'Data entry Oberstaufen'!AG31</f>
        <v>200</v>
      </c>
      <c r="N31" s="39">
        <f>'Data entry Oberstaufen'!AJ31</f>
        <v>200</v>
      </c>
      <c r="O31" s="39">
        <f>'Data entry Oberstaufen'!AM31</f>
        <v>200</v>
      </c>
    </row>
    <row r="32" spans="2:15" x14ac:dyDescent="0.15">
      <c r="B32" s="40"/>
      <c r="C32" s="39">
        <f>'Data entry Oberstaufen'!C32</f>
        <v>0</v>
      </c>
      <c r="D32" s="39">
        <f>'Data entry Oberstaufen'!F32</f>
        <v>0</v>
      </c>
      <c r="E32" s="39">
        <f>'Data entry Oberstaufen'!I32</f>
        <v>0</v>
      </c>
      <c r="F32" s="39">
        <f>'Data entry Oberstaufen'!L32</f>
        <v>0</v>
      </c>
      <c r="G32" s="39">
        <f>'Data entry Oberstaufen'!O32</f>
        <v>0</v>
      </c>
      <c r="H32" s="39">
        <f>'Data entry Oberstaufen'!R32</f>
        <v>0</v>
      </c>
      <c r="I32" s="39">
        <f>'Data entry Oberstaufen'!U32</f>
        <v>0</v>
      </c>
      <c r="J32" s="39">
        <f>'Data entry Oberstaufen'!X32</f>
        <v>0</v>
      </c>
      <c r="K32" s="39">
        <f>'Data entry Oberstaufen'!AA32</f>
        <v>0</v>
      </c>
      <c r="L32" s="39">
        <f>'Data entry Oberstaufen'!AD32</f>
        <v>0</v>
      </c>
      <c r="M32" s="39">
        <f>'Data entry Oberstaufen'!AG32</f>
        <v>0</v>
      </c>
      <c r="N32" s="39">
        <f>'Data entry Oberstaufen'!AJ32</f>
        <v>0</v>
      </c>
      <c r="O32" s="39">
        <f>'Data entry Oberstaufen'!AM32</f>
        <v>0</v>
      </c>
    </row>
    <row r="33" spans="2:15" ht="14" x14ac:dyDescent="0.15">
      <c r="B33" s="44" t="s">
        <v>39</v>
      </c>
      <c r="C33" s="39">
        <f>'Data entry Oberstaufen'!C33</f>
        <v>0</v>
      </c>
      <c r="D33" s="39">
        <f>'Data entry Oberstaufen'!F33</f>
        <v>0</v>
      </c>
      <c r="E33" s="39">
        <f>'Data entry Oberstaufen'!I33</f>
        <v>0</v>
      </c>
      <c r="F33" s="39">
        <f>'Data entry Oberstaufen'!L33</f>
        <v>0</v>
      </c>
      <c r="G33" s="39">
        <f>'Data entry Oberstaufen'!O33</f>
        <v>0</v>
      </c>
      <c r="H33" s="39">
        <f>'Data entry Oberstaufen'!R33</f>
        <v>0</v>
      </c>
      <c r="I33" s="39">
        <f>'Data entry Oberstaufen'!U33</f>
        <v>0</v>
      </c>
      <c r="J33" s="39">
        <f>'Data entry Oberstaufen'!X33</f>
        <v>0</v>
      </c>
      <c r="K33" s="39">
        <f>'Data entry Oberstaufen'!AA33</f>
        <v>0</v>
      </c>
      <c r="L33" s="39">
        <f>'Data entry Oberstaufen'!AD33</f>
        <v>0</v>
      </c>
      <c r="M33" s="39">
        <f>'Data entry Oberstaufen'!AG33</f>
        <v>0</v>
      </c>
      <c r="N33" s="39">
        <f>'Data entry Oberstaufen'!AJ33</f>
        <v>0</v>
      </c>
      <c r="O33" s="39">
        <f>'Data entry Oberstaufen'!AM33</f>
        <v>0</v>
      </c>
    </row>
    <row r="34" spans="2:15" ht="14" x14ac:dyDescent="0.15">
      <c r="B34" s="42" t="s">
        <v>35</v>
      </c>
      <c r="C34" s="39">
        <f>'Data entry Oberstaufen'!C34</f>
        <v>2448703.1800000002</v>
      </c>
      <c r="D34" s="39">
        <f>'Data entry Oberstaufen'!F34</f>
        <v>32275.78</v>
      </c>
      <c r="E34" s="39">
        <f>'Data entry Oberstaufen'!I34</f>
        <v>143811.24</v>
      </c>
      <c r="F34" s="39">
        <f>'Data entry Oberstaufen'!L34</f>
        <v>149709.14000000001</v>
      </c>
      <c r="G34" s="39">
        <f>'Data entry Oberstaufen'!O34</f>
        <v>189279.16</v>
      </c>
      <c r="H34" s="39">
        <f>'Data entry Oberstaufen'!R34</f>
        <v>222595.96</v>
      </c>
      <c r="I34" s="39">
        <f>'Data entry Oberstaufen'!U34</f>
        <v>228594.8</v>
      </c>
      <c r="J34" s="39">
        <f>'Data entry Oberstaufen'!X34</f>
        <v>304486.84999999998</v>
      </c>
      <c r="K34" s="39">
        <f>'Data entry Oberstaufen'!AA34</f>
        <v>381298.34</v>
      </c>
      <c r="L34" s="39">
        <f>'Data entry Oberstaufen'!AD34</f>
        <v>301433.06</v>
      </c>
      <c r="M34" s="39">
        <f>'Data entry Oberstaufen'!AG34</f>
        <v>273831.5</v>
      </c>
      <c r="N34" s="39">
        <f>'Data entry Oberstaufen'!AJ34</f>
        <v>165777.04999999999</v>
      </c>
      <c r="O34" s="39">
        <f>'Data entry Oberstaufen'!AM34</f>
        <v>55610.3</v>
      </c>
    </row>
    <row r="35" spans="2:15" ht="14" x14ac:dyDescent="0.15">
      <c r="B35" s="38" t="s">
        <v>22</v>
      </c>
      <c r="C35" s="39">
        <f>'Data entry Oberstaufen'!C35</f>
        <v>718703.56279999996</v>
      </c>
      <c r="D35" s="39">
        <f>'Data entry Oberstaufen'!F35</f>
        <v>19085.900000000001</v>
      </c>
      <c r="E35" s="39">
        <f>'Data entry Oberstaufen'!I35</f>
        <v>68932.61</v>
      </c>
      <c r="F35" s="39">
        <f>'Data entry Oberstaufen'!L35</f>
        <v>56649.04</v>
      </c>
      <c r="G35" s="39">
        <f>'Data entry Oberstaufen'!O35</f>
        <v>62206.82</v>
      </c>
      <c r="H35" s="39">
        <f>'Data entry Oberstaufen'!R35</f>
        <v>53663.223700000002</v>
      </c>
      <c r="I35" s="39">
        <f>'Data entry Oberstaufen'!U35</f>
        <v>64910.056299999997</v>
      </c>
      <c r="J35" s="39">
        <f>'Data entry Oberstaufen'!X35</f>
        <v>62900.454299999998</v>
      </c>
      <c r="K35" s="39">
        <f>'Data entry Oberstaufen'!AA35</f>
        <v>64810.684099999999</v>
      </c>
      <c r="L35" s="39">
        <f>'Data entry Oberstaufen'!AD35</f>
        <v>63466.735399999998</v>
      </c>
      <c r="M35" s="39">
        <f>'Data entry Oberstaufen'!AG35</f>
        <v>65438.237500000003</v>
      </c>
      <c r="N35" s="39">
        <f>'Data entry Oberstaufen'!AJ35</f>
        <v>69611.602899999998</v>
      </c>
      <c r="O35" s="39">
        <f>'Data entry Oberstaufen'!AM35</f>
        <v>67028.198600000003</v>
      </c>
    </row>
    <row r="36" spans="2:15" ht="14" x14ac:dyDescent="0.15">
      <c r="B36" s="38" t="s">
        <v>40</v>
      </c>
      <c r="C36" s="39">
        <f>'Data entry Oberstaufen'!C36</f>
        <v>561946.27989999996</v>
      </c>
      <c r="D36" s="39">
        <f>'Data entry Oberstaufen'!F36</f>
        <v>16814.849999999999</v>
      </c>
      <c r="E36" s="39">
        <f>'Data entry Oberstaufen'!I36</f>
        <v>54088.87</v>
      </c>
      <c r="F36" s="39">
        <f>'Data entry Oberstaufen'!L36</f>
        <v>37602.410000000003</v>
      </c>
      <c r="G36" s="39">
        <f>'Data entry Oberstaufen'!O36</f>
        <v>42716.89</v>
      </c>
      <c r="H36" s="39">
        <f>'Data entry Oberstaufen'!R36</f>
        <v>49740.456400000003</v>
      </c>
      <c r="I36" s="39">
        <f>'Data entry Oberstaufen'!U36</f>
        <v>50028.656900000002</v>
      </c>
      <c r="J36" s="39">
        <f>'Data entry Oberstaufen'!X36</f>
        <v>62584.431799999998</v>
      </c>
      <c r="K36" s="39">
        <f>'Data entry Oberstaufen'!AA36</f>
        <v>74157.639299999995</v>
      </c>
      <c r="L36" s="39">
        <f>'Data entry Oberstaufen'!AD36</f>
        <v>62717.0743</v>
      </c>
      <c r="M36" s="39">
        <f>'Data entry Oberstaufen'!AG36</f>
        <v>62090.982499999998</v>
      </c>
      <c r="N36" s="39">
        <f>'Data entry Oberstaufen'!AJ36</f>
        <v>35593.002200000003</v>
      </c>
      <c r="O36" s="39">
        <f>'Data entry Oberstaufen'!AM36</f>
        <v>13811.0165</v>
      </c>
    </row>
    <row r="37" spans="2:15" ht="14" x14ac:dyDescent="0.15">
      <c r="B37" s="42" t="s">
        <v>41</v>
      </c>
      <c r="C37" s="39">
        <f>'Data entry Oberstaufen'!C37</f>
        <v>1168053.3374000001</v>
      </c>
      <c r="D37" s="39">
        <f>'Data entry Oberstaufen'!F37</f>
        <v>-3624.97</v>
      </c>
      <c r="E37" s="39">
        <f>'Data entry Oberstaufen'!I37</f>
        <v>20789.759999999998</v>
      </c>
      <c r="F37" s="39">
        <f>'Data entry Oberstaufen'!L37</f>
        <v>55457.69</v>
      </c>
      <c r="G37" s="39">
        <f>'Data entry Oberstaufen'!O37</f>
        <v>84355.45</v>
      </c>
      <c r="H37" s="39">
        <f>'Data entry Oberstaufen'!R37</f>
        <v>119192.27989999999</v>
      </c>
      <c r="I37" s="39">
        <f>'Data entry Oberstaufen'!U37</f>
        <v>113656.08689999999</v>
      </c>
      <c r="J37" s="39">
        <f>'Data entry Oberstaufen'!X37</f>
        <v>179001.9639</v>
      </c>
      <c r="K37" s="39">
        <f>'Data entry Oberstaufen'!AA37</f>
        <v>242330.0166</v>
      </c>
      <c r="L37" s="39">
        <f>'Data entry Oberstaufen'!AD37</f>
        <v>175249.25030000001</v>
      </c>
      <c r="M37" s="39">
        <f>'Data entry Oberstaufen'!AG37</f>
        <v>146302.28</v>
      </c>
      <c r="N37" s="39">
        <f>'Data entry Oberstaufen'!AJ37</f>
        <v>60572.444900000002</v>
      </c>
      <c r="O37" s="39">
        <f>'Data entry Oberstaufen'!AM37</f>
        <v>-25228.915099999998</v>
      </c>
    </row>
    <row r="38" spans="2:15" x14ac:dyDescent="0.15">
      <c r="B38" s="40"/>
      <c r="C38" s="39">
        <f>'Data entry Oberstaufen'!C38</f>
        <v>0</v>
      </c>
      <c r="D38" s="39">
        <f>'Data entry Oberstaufen'!F38</f>
        <v>0</v>
      </c>
      <c r="E38" s="39">
        <f>'Data entry Oberstaufen'!I38</f>
        <v>0</v>
      </c>
      <c r="F38" s="39">
        <f>'Data entry Oberstaufen'!L38</f>
        <v>0</v>
      </c>
      <c r="G38" s="39">
        <f>'Data entry Oberstaufen'!O38</f>
        <v>0</v>
      </c>
      <c r="H38" s="39">
        <f>'Data entry Oberstaufen'!R38</f>
        <v>0</v>
      </c>
      <c r="I38" s="39">
        <f>'Data entry Oberstaufen'!U38</f>
        <v>0</v>
      </c>
      <c r="J38" s="39">
        <f>'Data entry Oberstaufen'!X38</f>
        <v>0</v>
      </c>
      <c r="K38" s="39">
        <f>'Data entry Oberstaufen'!AA38</f>
        <v>0</v>
      </c>
      <c r="L38" s="39">
        <f>'Data entry Oberstaufen'!AD38</f>
        <v>0</v>
      </c>
      <c r="M38" s="39">
        <f>'Data entry Oberstaufen'!AG38</f>
        <v>0</v>
      </c>
      <c r="N38" s="39">
        <f>'Data entry Oberstaufen'!AJ38</f>
        <v>0</v>
      </c>
      <c r="O38" s="39">
        <f>'Data entry Oberstaufen'!AM38</f>
        <v>0</v>
      </c>
    </row>
    <row r="39" spans="2:15" ht="14" x14ac:dyDescent="0.15">
      <c r="B39" s="44" t="s">
        <v>42</v>
      </c>
      <c r="C39" s="39">
        <f>'Data entry Oberstaufen'!C39</f>
        <v>0</v>
      </c>
      <c r="D39" s="39">
        <f>'Data entry Oberstaufen'!F39</f>
        <v>0</v>
      </c>
      <c r="E39" s="39">
        <f>'Data entry Oberstaufen'!I39</f>
        <v>0</v>
      </c>
      <c r="F39" s="39">
        <f>'Data entry Oberstaufen'!L39</f>
        <v>0</v>
      </c>
      <c r="G39" s="39">
        <f>'Data entry Oberstaufen'!O39</f>
        <v>0</v>
      </c>
      <c r="H39" s="39">
        <f>'Data entry Oberstaufen'!R39</f>
        <v>0</v>
      </c>
      <c r="I39" s="39">
        <f>'Data entry Oberstaufen'!U39</f>
        <v>0</v>
      </c>
      <c r="J39" s="39">
        <f>'Data entry Oberstaufen'!X39</f>
        <v>0</v>
      </c>
      <c r="K39" s="39">
        <f>'Data entry Oberstaufen'!AA39</f>
        <v>0</v>
      </c>
      <c r="L39" s="39">
        <f>'Data entry Oberstaufen'!AD39</f>
        <v>0</v>
      </c>
      <c r="M39" s="39">
        <f>'Data entry Oberstaufen'!AG39</f>
        <v>0</v>
      </c>
      <c r="N39" s="39">
        <f>'Data entry Oberstaufen'!AJ39</f>
        <v>0</v>
      </c>
      <c r="O39" s="39">
        <f>'Data entry Oberstaufen'!AM39</f>
        <v>0</v>
      </c>
    </row>
    <row r="40" spans="2:15" ht="14" x14ac:dyDescent="0.15">
      <c r="B40" s="38" t="s">
        <v>43</v>
      </c>
      <c r="C40" s="39">
        <f>'Data entry Oberstaufen'!C40</f>
        <v>678510.13910000003</v>
      </c>
      <c r="D40" s="39">
        <f>'Data entry Oberstaufen'!F40</f>
        <v>11343.37</v>
      </c>
      <c r="E40" s="39">
        <f>'Data entry Oberstaufen'!I40</f>
        <v>51302.12</v>
      </c>
      <c r="F40" s="39">
        <f>'Data entry Oberstaufen'!L40</f>
        <v>52708.35</v>
      </c>
      <c r="G40" s="39">
        <f>'Data entry Oberstaufen'!O40</f>
        <v>58664.99</v>
      </c>
      <c r="H40" s="39">
        <f>'Data entry Oberstaufen'!R40</f>
        <v>62949.059600000001</v>
      </c>
      <c r="I40" s="39">
        <f>'Data entry Oberstaufen'!U40</f>
        <v>56999.014999999999</v>
      </c>
      <c r="J40" s="39">
        <f>'Data entry Oberstaufen'!X40</f>
        <v>76956.708599999998</v>
      </c>
      <c r="K40" s="39">
        <f>'Data entry Oberstaufen'!AA40</f>
        <v>88523.433799999999</v>
      </c>
      <c r="L40" s="39">
        <f>'Data entry Oberstaufen'!AD40</f>
        <v>61090.261100000003</v>
      </c>
      <c r="M40" s="39">
        <f>'Data entry Oberstaufen'!AG40</f>
        <v>71904.708799999993</v>
      </c>
      <c r="N40" s="39">
        <f>'Data entry Oberstaufen'!AJ40</f>
        <v>70480.441699999996</v>
      </c>
      <c r="O40" s="39">
        <f>'Data entry Oberstaufen'!AM40</f>
        <v>15587.6805</v>
      </c>
    </row>
    <row r="41" spans="2:15" ht="14" x14ac:dyDescent="0.15">
      <c r="B41" s="38" t="s">
        <v>44</v>
      </c>
      <c r="C41" s="39">
        <f>'Data entry Oberstaufen'!C41</f>
        <v>261524.204</v>
      </c>
      <c r="D41" s="39">
        <f>'Data entry Oberstaufen'!F41</f>
        <v>3693.29</v>
      </c>
      <c r="E41" s="39">
        <f>'Data entry Oberstaufen'!I41</f>
        <v>16262.45</v>
      </c>
      <c r="F41" s="39">
        <f>'Data entry Oberstaufen'!L41</f>
        <v>16738.900000000001</v>
      </c>
      <c r="G41" s="39">
        <f>'Data entry Oberstaufen'!O41</f>
        <v>20733.919999999998</v>
      </c>
      <c r="H41" s="39">
        <f>'Data entry Oberstaufen'!R41</f>
        <v>27256.600999999999</v>
      </c>
      <c r="I41" s="39">
        <f>'Data entry Oberstaufen'!U41</f>
        <v>25782.775600000001</v>
      </c>
      <c r="J41" s="39">
        <f>'Data entry Oberstaufen'!X41</f>
        <v>35480.033799999997</v>
      </c>
      <c r="K41" s="39">
        <f>'Data entry Oberstaufen'!AA41</f>
        <v>46359.963900000002</v>
      </c>
      <c r="L41" s="39">
        <f>'Data entry Oberstaufen'!AD41</f>
        <v>23933.462500000001</v>
      </c>
      <c r="M41" s="39">
        <f>'Data entry Oberstaufen'!AG41</f>
        <v>24041.337</v>
      </c>
      <c r="N41" s="39">
        <f>'Data entry Oberstaufen'!AJ41</f>
        <v>17623.750199999999</v>
      </c>
      <c r="O41" s="39">
        <f>'Data entry Oberstaufen'!AM41</f>
        <v>3617.72</v>
      </c>
    </row>
    <row r="42" spans="2:15" ht="14" x14ac:dyDescent="0.15">
      <c r="B42" s="38" t="s">
        <v>45</v>
      </c>
      <c r="C42" s="39">
        <f>'Data entry Oberstaufen'!C42</f>
        <v>0</v>
      </c>
      <c r="D42" s="39">
        <f>'Data entry Oberstaufen'!F42</f>
        <v>0</v>
      </c>
      <c r="E42" s="39">
        <f>'Data entry Oberstaufen'!I42</f>
        <v>0</v>
      </c>
      <c r="F42" s="39">
        <f>'Data entry Oberstaufen'!L42</f>
        <v>0</v>
      </c>
      <c r="G42" s="39">
        <f>'Data entry Oberstaufen'!O42</f>
        <v>0</v>
      </c>
      <c r="H42" s="39">
        <f>'Data entry Oberstaufen'!R42</f>
        <v>0</v>
      </c>
      <c r="I42" s="39">
        <f>'Data entry Oberstaufen'!U42</f>
        <v>0</v>
      </c>
      <c r="J42" s="39">
        <f>'Data entry Oberstaufen'!X42</f>
        <v>0</v>
      </c>
      <c r="K42" s="39">
        <f>'Data entry Oberstaufen'!AA42</f>
        <v>0</v>
      </c>
      <c r="L42" s="39">
        <f>'Data entry Oberstaufen'!AD42</f>
        <v>0</v>
      </c>
      <c r="M42" s="39">
        <f>'Data entry Oberstaufen'!AG42</f>
        <v>0</v>
      </c>
      <c r="N42" s="39">
        <f>'Data entry Oberstaufen'!AJ42</f>
        <v>0</v>
      </c>
      <c r="O42" s="39">
        <f>'Data entry Oberstaufen'!AM42</f>
        <v>0</v>
      </c>
    </row>
    <row r="43" spans="2:15" ht="14" x14ac:dyDescent="0.15">
      <c r="B43" s="42" t="s">
        <v>36</v>
      </c>
      <c r="C43" s="39">
        <f>'Data entry Oberstaufen'!C43</f>
        <v>940034.34310000006</v>
      </c>
      <c r="D43" s="39">
        <f>'Data entry Oberstaufen'!F43</f>
        <v>15036.66</v>
      </c>
      <c r="E43" s="39">
        <f>'Data entry Oberstaufen'!I43</f>
        <v>67564.570000000007</v>
      </c>
      <c r="F43" s="39">
        <f>'Data entry Oberstaufen'!L43</f>
        <v>69447.25</v>
      </c>
      <c r="G43" s="39">
        <f>'Data entry Oberstaufen'!O43</f>
        <v>79398.91</v>
      </c>
      <c r="H43" s="39">
        <f>'Data entry Oberstaufen'!R43</f>
        <v>90205.660600000003</v>
      </c>
      <c r="I43" s="39">
        <f>'Data entry Oberstaufen'!U43</f>
        <v>82781.790599999993</v>
      </c>
      <c r="J43" s="39">
        <f>'Data entry Oberstaufen'!X43</f>
        <v>112436.7424</v>
      </c>
      <c r="K43" s="39">
        <f>'Data entry Oberstaufen'!AA43</f>
        <v>134883.3977</v>
      </c>
      <c r="L43" s="39">
        <f>'Data entry Oberstaufen'!AD43</f>
        <v>85023.723599999998</v>
      </c>
      <c r="M43" s="39">
        <f>'Data entry Oberstaufen'!AG43</f>
        <v>95946.045800000007</v>
      </c>
      <c r="N43" s="39">
        <f>'Data entry Oberstaufen'!AJ43</f>
        <v>88104.191900000005</v>
      </c>
      <c r="O43" s="39">
        <f>'Data entry Oberstaufen'!AM43</f>
        <v>19205.4005</v>
      </c>
    </row>
    <row r="44" spans="2:15" ht="14" x14ac:dyDescent="0.15">
      <c r="B44" s="38" t="s">
        <v>46</v>
      </c>
      <c r="C44" s="39">
        <f>'Data entry Oberstaufen'!C44</f>
        <v>252223.4553</v>
      </c>
      <c r="D44" s="39">
        <f>'Data entry Oberstaufen'!F44</f>
        <v>8406.66</v>
      </c>
      <c r="E44" s="39">
        <f>'Data entry Oberstaufen'!I44</f>
        <v>21405.64</v>
      </c>
      <c r="F44" s="39">
        <f>'Data entry Oberstaufen'!L44</f>
        <v>21617.17</v>
      </c>
      <c r="G44" s="39">
        <f>'Data entry Oberstaufen'!O44</f>
        <v>25523.7</v>
      </c>
      <c r="H44" s="39">
        <f>'Data entry Oberstaufen'!R44</f>
        <v>22085.4882</v>
      </c>
      <c r="I44" s="39">
        <f>'Data entry Oberstaufen'!U44</f>
        <v>19997.695</v>
      </c>
      <c r="J44" s="39">
        <f>'Data entry Oberstaufen'!X44</f>
        <v>26999.4378</v>
      </c>
      <c r="K44" s="39">
        <f>'Data entry Oberstaufen'!AA44</f>
        <v>31055.565999999999</v>
      </c>
      <c r="L44" s="39">
        <f>'Data entry Oberstaufen'!AD44</f>
        <v>21433.419600000001</v>
      </c>
      <c r="M44" s="39">
        <f>'Data entry Oberstaufen'!AG44</f>
        <v>25228.096099999999</v>
      </c>
      <c r="N44" s="39">
        <f>'Data entry Oberstaufen'!AJ44</f>
        <v>24730.969700000001</v>
      </c>
      <c r="O44" s="39">
        <f>'Data entry Oberstaufen'!AM44</f>
        <v>3739.6129000000001</v>
      </c>
    </row>
    <row r="45" spans="2:15" ht="14" x14ac:dyDescent="0.15">
      <c r="B45" s="38" t="s">
        <v>47</v>
      </c>
      <c r="C45" s="39">
        <f>'Data entry Oberstaufen'!C45</f>
        <v>59862.375200000002</v>
      </c>
      <c r="D45" s="39">
        <f>'Data entry Oberstaufen'!F45</f>
        <v>3150.3</v>
      </c>
      <c r="E45" s="39">
        <f>'Data entry Oberstaufen'!I45</f>
        <v>2175</v>
      </c>
      <c r="F45" s="39">
        <f>'Data entry Oberstaufen'!L45</f>
        <v>5016.01</v>
      </c>
      <c r="G45" s="39">
        <f>'Data entry Oberstaufen'!O45</f>
        <v>7105.38</v>
      </c>
      <c r="H45" s="39">
        <f>'Data entry Oberstaufen'!R45</f>
        <v>5695.0734000000002</v>
      </c>
      <c r="I45" s="39">
        <f>'Data entry Oberstaufen'!U45</f>
        <v>5387.5815000000002</v>
      </c>
      <c r="J45" s="39">
        <f>'Data entry Oberstaufen'!X45</f>
        <v>7413.8119999999999</v>
      </c>
      <c r="K45" s="39">
        <f>'Data entry Oberstaufen'!AA45</f>
        <v>9687.2528000000002</v>
      </c>
      <c r="L45" s="39">
        <f>'Data entry Oberstaufen'!AD45</f>
        <v>4998.3203000000003</v>
      </c>
      <c r="M45" s="39">
        <f>'Data entry Oberstaufen'!AG45</f>
        <v>5017.4002</v>
      </c>
      <c r="N45" s="39">
        <f>'Data entry Oberstaufen'!AJ45</f>
        <v>3678.0569999999998</v>
      </c>
      <c r="O45" s="39">
        <f>'Data entry Oberstaufen'!AM45</f>
        <v>538.18799999999999</v>
      </c>
    </row>
    <row r="46" spans="2:15" ht="14" x14ac:dyDescent="0.15">
      <c r="B46" s="38" t="s">
        <v>48</v>
      </c>
      <c r="C46" s="39">
        <f>'Data entry Oberstaufen'!C46</f>
        <v>2306.67</v>
      </c>
      <c r="D46" s="39">
        <f>'Data entry Oberstaufen'!F46</f>
        <v>534.14</v>
      </c>
      <c r="E46" s="39">
        <f>'Data entry Oberstaufen'!I46</f>
        <v>467.21</v>
      </c>
      <c r="F46" s="39">
        <f>'Data entry Oberstaufen'!L46</f>
        <v>52.21</v>
      </c>
      <c r="G46" s="39">
        <f>'Data entry Oberstaufen'!O46</f>
        <v>1253.1099999999999</v>
      </c>
      <c r="H46" s="39">
        <f>'Data entry Oberstaufen'!R46</f>
        <v>0</v>
      </c>
      <c r="I46" s="39">
        <f>'Data entry Oberstaufen'!U46</f>
        <v>0</v>
      </c>
      <c r="J46" s="39">
        <f>'Data entry Oberstaufen'!X46</f>
        <v>0</v>
      </c>
      <c r="K46" s="39">
        <f>'Data entry Oberstaufen'!AA46</f>
        <v>0</v>
      </c>
      <c r="L46" s="39">
        <f>'Data entry Oberstaufen'!AD46</f>
        <v>0</v>
      </c>
      <c r="M46" s="39">
        <f>'Data entry Oberstaufen'!AG46</f>
        <v>0</v>
      </c>
      <c r="N46" s="39">
        <f>'Data entry Oberstaufen'!AJ46</f>
        <v>0</v>
      </c>
      <c r="O46" s="39">
        <f>'Data entry Oberstaufen'!AM46</f>
        <v>0</v>
      </c>
    </row>
    <row r="47" spans="2:15" ht="14" x14ac:dyDescent="0.15">
      <c r="B47" s="42" t="s">
        <v>49</v>
      </c>
      <c r="C47" s="39">
        <f>'Data entry Oberstaufen'!C47</f>
        <v>314392.50069999998</v>
      </c>
      <c r="D47" s="39">
        <f>'Data entry Oberstaufen'!F47</f>
        <v>12091.1</v>
      </c>
      <c r="E47" s="39">
        <f>'Data entry Oberstaufen'!I47</f>
        <v>24047.85</v>
      </c>
      <c r="F47" s="39">
        <f>'Data entry Oberstaufen'!L47</f>
        <v>26685.39</v>
      </c>
      <c r="G47" s="39">
        <f>'Data entry Oberstaufen'!O47</f>
        <v>33882.19</v>
      </c>
      <c r="H47" s="39">
        <f>'Data entry Oberstaufen'!R47</f>
        <v>27780.561600000001</v>
      </c>
      <c r="I47" s="39">
        <f>'Data entry Oberstaufen'!U47</f>
        <v>25385.2765</v>
      </c>
      <c r="J47" s="39">
        <f>'Data entry Oberstaufen'!X47</f>
        <v>34413.249799999998</v>
      </c>
      <c r="K47" s="39">
        <f>'Data entry Oberstaufen'!AA47</f>
        <v>40742.818899999998</v>
      </c>
      <c r="L47" s="39">
        <f>'Data entry Oberstaufen'!AD47</f>
        <v>26431.7399</v>
      </c>
      <c r="M47" s="39">
        <f>'Data entry Oberstaufen'!AG47</f>
        <v>30245.4964</v>
      </c>
      <c r="N47" s="39">
        <f>'Data entry Oberstaufen'!AJ47</f>
        <v>28409.026699999999</v>
      </c>
      <c r="O47" s="39">
        <f>'Data entry Oberstaufen'!AM47</f>
        <v>4277.8009000000002</v>
      </c>
    </row>
    <row r="48" spans="2:15" ht="14" x14ac:dyDescent="0.15">
      <c r="B48" s="38" t="s">
        <v>22</v>
      </c>
      <c r="C48" s="39">
        <f>'Data entry Oberstaufen'!C48</f>
        <v>884385.06019999995</v>
      </c>
      <c r="D48" s="39">
        <f>'Data entry Oberstaufen'!F48</f>
        <v>34662.019999999997</v>
      </c>
      <c r="E48" s="39">
        <f>'Data entry Oberstaufen'!I48</f>
        <v>77821.69</v>
      </c>
      <c r="F48" s="39">
        <f>'Data entry Oberstaufen'!L48</f>
        <v>60841.59</v>
      </c>
      <c r="G48" s="39">
        <f>'Data entry Oberstaufen'!O48</f>
        <v>79675.98</v>
      </c>
      <c r="H48" s="39">
        <f>'Data entry Oberstaufen'!R48</f>
        <v>88126.995800000004</v>
      </c>
      <c r="I48" s="39">
        <f>'Data entry Oberstaufen'!U48</f>
        <v>95099.594800000006</v>
      </c>
      <c r="J48" s="39">
        <f>'Data entry Oberstaufen'!X48</f>
        <v>67193.597800000003</v>
      </c>
      <c r="K48" s="39">
        <f>'Data entry Oberstaufen'!AA48</f>
        <v>72118.990399999995</v>
      </c>
      <c r="L48" s="39">
        <f>'Data entry Oberstaufen'!AD48</f>
        <v>74783.186000000002</v>
      </c>
      <c r="M48" s="39">
        <f>'Data entry Oberstaufen'!AG48</f>
        <v>77433.229200000002</v>
      </c>
      <c r="N48" s="39">
        <f>'Data entry Oberstaufen'!AJ48</f>
        <v>80312.973599999998</v>
      </c>
      <c r="O48" s="39">
        <f>'Data entry Oberstaufen'!AM48</f>
        <v>76315.212599999999</v>
      </c>
    </row>
    <row r="49" spans="2:15" ht="14" x14ac:dyDescent="0.15">
      <c r="B49" s="38" t="s">
        <v>40</v>
      </c>
      <c r="C49" s="39">
        <f>'Data entry Oberstaufen'!C49</f>
        <v>51653.47</v>
      </c>
      <c r="D49" s="39">
        <f>'Data entry Oberstaufen'!F49</f>
        <v>1751.75</v>
      </c>
      <c r="E49" s="39">
        <f>'Data entry Oberstaufen'!I49</f>
        <v>2343.5</v>
      </c>
      <c r="F49" s="39">
        <f>'Data entry Oberstaufen'!L49</f>
        <v>3426.6</v>
      </c>
      <c r="G49" s="39">
        <f>'Data entry Oberstaufen'!O49</f>
        <v>4246.42</v>
      </c>
      <c r="H49" s="39">
        <f>'Data entry Oberstaufen'!R49</f>
        <v>6025.65</v>
      </c>
      <c r="I49" s="39">
        <f>'Data entry Oberstaufen'!U49</f>
        <v>5625.65</v>
      </c>
      <c r="J49" s="39">
        <f>'Data entry Oberstaufen'!X49</f>
        <v>4375.6499999999996</v>
      </c>
      <c r="K49" s="39">
        <f>'Data entry Oberstaufen'!AA49</f>
        <v>5145.6499999999996</v>
      </c>
      <c r="L49" s="39">
        <f>'Data entry Oberstaufen'!AD49</f>
        <v>5025.6499999999996</v>
      </c>
      <c r="M49" s="39">
        <f>'Data entry Oberstaufen'!AG49</f>
        <v>5315.65</v>
      </c>
      <c r="N49" s="39">
        <f>'Data entry Oberstaufen'!AJ49</f>
        <v>4045.65</v>
      </c>
      <c r="O49" s="39">
        <f>'Data entry Oberstaufen'!AM49</f>
        <v>4325.6499999999996</v>
      </c>
    </row>
    <row r="50" spans="2:15" ht="14" x14ac:dyDescent="0.15">
      <c r="B50" s="42" t="s">
        <v>41</v>
      </c>
      <c r="C50" s="39">
        <f>'Data entry Oberstaufen'!C50</f>
        <v>-310396.68780000001</v>
      </c>
      <c r="D50" s="39">
        <f>'Data entry Oberstaufen'!F50</f>
        <v>-33468.21</v>
      </c>
      <c r="E50" s="39">
        <f>'Data entry Oberstaufen'!I50</f>
        <v>-36648.47</v>
      </c>
      <c r="F50" s="39">
        <f>'Data entry Oberstaufen'!L50</f>
        <v>-21506.33</v>
      </c>
      <c r="G50" s="39">
        <f>'Data entry Oberstaufen'!O50</f>
        <v>-38405.68</v>
      </c>
      <c r="H50" s="39">
        <f>'Data entry Oberstaufen'!R50</f>
        <v>-31727.5468</v>
      </c>
      <c r="I50" s="39">
        <f>'Data entry Oberstaufen'!U50</f>
        <v>-43328.7307</v>
      </c>
      <c r="J50" s="39">
        <f>'Data entry Oberstaufen'!X50</f>
        <v>6454.2447000000002</v>
      </c>
      <c r="K50" s="39">
        <f>'Data entry Oberstaufen'!AA50</f>
        <v>16875.938399999999</v>
      </c>
      <c r="L50" s="39">
        <f>'Data entry Oberstaufen'!AD50</f>
        <v>-21216.852299999999</v>
      </c>
      <c r="M50" s="39">
        <f>'Data entry Oberstaufen'!AG50</f>
        <v>-17048.329699999998</v>
      </c>
      <c r="N50" s="39">
        <f>'Data entry Oberstaufen'!AJ50</f>
        <v>-24663.4584</v>
      </c>
      <c r="O50" s="39">
        <f>'Data entry Oberstaufen'!AM50</f>
        <v>-65713.263000000006</v>
      </c>
    </row>
    <row r="51" spans="2:15" x14ac:dyDescent="0.15">
      <c r="B51" s="40"/>
      <c r="C51" s="39">
        <f>'Data entry Oberstaufen'!C51</f>
        <v>0</v>
      </c>
      <c r="D51" s="39">
        <f>'Data entry Oberstaufen'!F51</f>
        <v>0</v>
      </c>
      <c r="E51" s="39">
        <f>'Data entry Oberstaufen'!I51</f>
        <v>0</v>
      </c>
      <c r="F51" s="39">
        <f>'Data entry Oberstaufen'!L51</f>
        <v>0</v>
      </c>
      <c r="G51" s="39">
        <f>'Data entry Oberstaufen'!O51</f>
        <v>0</v>
      </c>
      <c r="H51" s="39">
        <f>'Data entry Oberstaufen'!R51</f>
        <v>0</v>
      </c>
      <c r="I51" s="39">
        <f>'Data entry Oberstaufen'!U51</f>
        <v>0</v>
      </c>
      <c r="J51" s="39">
        <f>'Data entry Oberstaufen'!X51</f>
        <v>0</v>
      </c>
      <c r="K51" s="39">
        <f>'Data entry Oberstaufen'!AA51</f>
        <v>0</v>
      </c>
      <c r="L51" s="39">
        <f>'Data entry Oberstaufen'!AD51</f>
        <v>0</v>
      </c>
      <c r="M51" s="39">
        <f>'Data entry Oberstaufen'!AG51</f>
        <v>0</v>
      </c>
      <c r="N51" s="39">
        <f>'Data entry Oberstaufen'!AJ51</f>
        <v>0</v>
      </c>
      <c r="O51" s="39">
        <f>'Data entry Oberstaufen'!AM51</f>
        <v>0</v>
      </c>
    </row>
    <row r="52" spans="2:15" ht="14" x14ac:dyDescent="0.15">
      <c r="B52" s="44" t="s">
        <v>50</v>
      </c>
      <c r="C52" s="39">
        <f>'Data entry Oberstaufen'!C52</f>
        <v>0</v>
      </c>
      <c r="D52" s="39">
        <f>'Data entry Oberstaufen'!F52</f>
        <v>0</v>
      </c>
      <c r="E52" s="39">
        <f>'Data entry Oberstaufen'!I52</f>
        <v>0</v>
      </c>
      <c r="F52" s="39">
        <f>'Data entry Oberstaufen'!L52</f>
        <v>0</v>
      </c>
      <c r="G52" s="39">
        <f>'Data entry Oberstaufen'!O52</f>
        <v>0</v>
      </c>
      <c r="H52" s="39">
        <f>'Data entry Oberstaufen'!R52</f>
        <v>0</v>
      </c>
      <c r="I52" s="39">
        <f>'Data entry Oberstaufen'!U52</f>
        <v>0</v>
      </c>
      <c r="J52" s="39">
        <f>'Data entry Oberstaufen'!X52</f>
        <v>0</v>
      </c>
      <c r="K52" s="39">
        <f>'Data entry Oberstaufen'!AA52</f>
        <v>0</v>
      </c>
      <c r="L52" s="39">
        <f>'Data entry Oberstaufen'!AD52</f>
        <v>0</v>
      </c>
      <c r="M52" s="39">
        <f>'Data entry Oberstaufen'!AG52</f>
        <v>0</v>
      </c>
      <c r="N52" s="39">
        <f>'Data entry Oberstaufen'!AJ52</f>
        <v>0</v>
      </c>
      <c r="O52" s="39">
        <f>'Data entry Oberstaufen'!AM52</f>
        <v>0</v>
      </c>
    </row>
    <row r="53" spans="2:15" ht="14" x14ac:dyDescent="0.15">
      <c r="B53" s="38" t="s">
        <v>37</v>
      </c>
      <c r="C53" s="39">
        <f>'Data entry Oberstaufen'!C53</f>
        <v>263529.43300000002</v>
      </c>
      <c r="D53" s="39">
        <f>'Data entry Oberstaufen'!F53</f>
        <v>4620.24</v>
      </c>
      <c r="E53" s="39">
        <f>'Data entry Oberstaufen'!I53</f>
        <v>25247.48</v>
      </c>
      <c r="F53" s="39">
        <f>'Data entry Oberstaufen'!L53</f>
        <v>16241.84</v>
      </c>
      <c r="G53" s="39">
        <f>'Data entry Oberstaufen'!O53</f>
        <v>20279.66</v>
      </c>
      <c r="H53" s="39">
        <f>'Data entry Oberstaufen'!R53</f>
        <v>23957.183400000002</v>
      </c>
      <c r="I53" s="39">
        <f>'Data entry Oberstaufen'!U53</f>
        <v>22028.420600000001</v>
      </c>
      <c r="J53" s="39">
        <f>'Data entry Oberstaufen'!X53</f>
        <v>23404.153699999999</v>
      </c>
      <c r="K53" s="39">
        <f>'Data entry Oberstaufen'!AA53</f>
        <v>27955</v>
      </c>
      <c r="L53" s="39">
        <f>'Data entry Oberstaufen'!AD53</f>
        <v>28224.986799999999</v>
      </c>
      <c r="M53" s="39">
        <f>'Data entry Oberstaufen'!AG53</f>
        <v>29158.7827</v>
      </c>
      <c r="N53" s="39">
        <f>'Data entry Oberstaufen'!AJ53</f>
        <v>21457.485799999999</v>
      </c>
      <c r="O53" s="39">
        <f>'Data entry Oberstaufen'!AM53</f>
        <v>20954.2</v>
      </c>
    </row>
    <row r="54" spans="2:15" ht="14" x14ac:dyDescent="0.15">
      <c r="B54" s="38" t="s">
        <v>49</v>
      </c>
      <c r="C54" s="39">
        <f>'Data entry Oberstaufen'!C54</f>
        <v>28816.185399999998</v>
      </c>
      <c r="D54" s="39">
        <f>'Data entry Oberstaufen'!F54</f>
        <v>-66.16</v>
      </c>
      <c r="E54" s="39">
        <f>'Data entry Oberstaufen'!I54</f>
        <v>10321.469999999999</v>
      </c>
      <c r="F54" s="39">
        <f>'Data entry Oberstaufen'!L54</f>
        <v>2130.75</v>
      </c>
      <c r="G54" s="39">
        <f>'Data entry Oberstaufen'!O54</f>
        <v>345.51</v>
      </c>
      <c r="H54" s="39">
        <f>'Data entry Oberstaufen'!R54</f>
        <v>2300</v>
      </c>
      <c r="I54" s="39">
        <f>'Data entry Oberstaufen'!U54</f>
        <v>1800</v>
      </c>
      <c r="J54" s="39">
        <f>'Data entry Oberstaufen'!X54</f>
        <v>2200</v>
      </c>
      <c r="K54" s="39">
        <f>'Data entry Oberstaufen'!AA54</f>
        <v>1800</v>
      </c>
      <c r="L54" s="39">
        <f>'Data entry Oberstaufen'!AD54</f>
        <v>2376.9231</v>
      </c>
      <c r="M54" s="39">
        <f>'Data entry Oberstaufen'!AG54</f>
        <v>1776.9231</v>
      </c>
      <c r="N54" s="39">
        <f>'Data entry Oberstaufen'!AJ54</f>
        <v>2300</v>
      </c>
      <c r="O54" s="39">
        <f>'Data entry Oberstaufen'!AM54</f>
        <v>1530.7692</v>
      </c>
    </row>
    <row r="55" spans="2:15" ht="14" x14ac:dyDescent="0.15">
      <c r="B55" s="38" t="s">
        <v>22</v>
      </c>
      <c r="C55" s="39">
        <f>'Data entry Oberstaufen'!C55</f>
        <v>191397.43090000001</v>
      </c>
      <c r="D55" s="39">
        <f>'Data entry Oberstaufen'!F55</f>
        <v>4004.7</v>
      </c>
      <c r="E55" s="39">
        <f>'Data entry Oberstaufen'!I55</f>
        <v>20663.71</v>
      </c>
      <c r="F55" s="39">
        <f>'Data entry Oberstaufen'!L55</f>
        <v>14545.1</v>
      </c>
      <c r="G55" s="39">
        <f>'Data entry Oberstaufen'!O55</f>
        <v>15191.17</v>
      </c>
      <c r="H55" s="39">
        <f>'Data entry Oberstaufen'!R55</f>
        <v>16934.055100000001</v>
      </c>
      <c r="I55" s="39">
        <f>'Data entry Oberstaufen'!U55</f>
        <v>16898.295999999998</v>
      </c>
      <c r="J55" s="39">
        <f>'Data entry Oberstaufen'!X55</f>
        <v>16329.5249</v>
      </c>
      <c r="K55" s="39">
        <f>'Data entry Oberstaufen'!AA55</f>
        <v>16566.633399999999</v>
      </c>
      <c r="L55" s="39">
        <f>'Data entry Oberstaufen'!AD55</f>
        <v>18457.476699999999</v>
      </c>
      <c r="M55" s="39">
        <f>'Data entry Oberstaufen'!AG55</f>
        <v>17004.223699999999</v>
      </c>
      <c r="N55" s="39">
        <f>'Data entry Oberstaufen'!AJ55</f>
        <v>17401.380399999998</v>
      </c>
      <c r="O55" s="39">
        <f>'Data entry Oberstaufen'!AM55</f>
        <v>17401.1607</v>
      </c>
    </row>
    <row r="56" spans="2:15" ht="14" x14ac:dyDescent="0.15">
      <c r="B56" s="38" t="s">
        <v>40</v>
      </c>
      <c r="C56" s="39">
        <f>'Data entry Oberstaufen'!C56</f>
        <v>16832.16</v>
      </c>
      <c r="D56" s="39">
        <f>'Data entry Oberstaufen'!F56</f>
        <v>6873.05</v>
      </c>
      <c r="E56" s="39">
        <f>'Data entry Oberstaufen'!I56</f>
        <v>38.979999999999997</v>
      </c>
      <c r="F56" s="39">
        <f>'Data entry Oberstaufen'!L56</f>
        <v>816.55</v>
      </c>
      <c r="G56" s="39">
        <f>'Data entry Oberstaufen'!O56</f>
        <v>2777.34</v>
      </c>
      <c r="H56" s="39">
        <f>'Data entry Oberstaufen'!R56</f>
        <v>753.28</v>
      </c>
      <c r="I56" s="39">
        <f>'Data entry Oberstaufen'!U56</f>
        <v>1053.28</v>
      </c>
      <c r="J56" s="39">
        <f>'Data entry Oberstaufen'!X56</f>
        <v>753.28</v>
      </c>
      <c r="K56" s="39">
        <f>'Data entry Oberstaufen'!AA56</f>
        <v>753.28</v>
      </c>
      <c r="L56" s="39">
        <f>'Data entry Oberstaufen'!AD56</f>
        <v>753.28</v>
      </c>
      <c r="M56" s="39">
        <f>'Data entry Oberstaufen'!AG56</f>
        <v>753.28</v>
      </c>
      <c r="N56" s="39">
        <f>'Data entry Oberstaufen'!AJ56</f>
        <v>753.28</v>
      </c>
      <c r="O56" s="39">
        <f>'Data entry Oberstaufen'!AM56</f>
        <v>753.28</v>
      </c>
    </row>
    <row r="57" spans="2:15" ht="14" x14ac:dyDescent="0.15">
      <c r="B57" s="42" t="s">
        <v>41</v>
      </c>
      <c r="C57" s="39">
        <f>'Data entry Oberstaufen'!C57</f>
        <v>26483.656800000001</v>
      </c>
      <c r="D57" s="39">
        <f>'Data entry Oberstaufen'!F57</f>
        <v>-6191.35</v>
      </c>
      <c r="E57" s="39">
        <f>'Data entry Oberstaufen'!I57</f>
        <v>-5776.68</v>
      </c>
      <c r="F57" s="39">
        <f>'Data entry Oberstaufen'!L57</f>
        <v>-1250.56</v>
      </c>
      <c r="G57" s="39">
        <f>'Data entry Oberstaufen'!O57</f>
        <v>1965.64</v>
      </c>
      <c r="H57" s="39">
        <f>'Data entry Oberstaufen'!R57</f>
        <v>3969.8483999999999</v>
      </c>
      <c r="I57" s="39">
        <f>'Data entry Oberstaufen'!U57</f>
        <v>2276.8445999999999</v>
      </c>
      <c r="J57" s="39">
        <f>'Data entry Oberstaufen'!X57</f>
        <v>4121.3486999999996</v>
      </c>
      <c r="K57" s="39">
        <f>'Data entry Oberstaufen'!AA57</f>
        <v>8835.0866000000005</v>
      </c>
      <c r="L57" s="39">
        <f>'Data entry Oberstaufen'!AD57</f>
        <v>6637.3069999999998</v>
      </c>
      <c r="M57" s="39">
        <f>'Data entry Oberstaufen'!AG57</f>
        <v>9624.3559000000005</v>
      </c>
      <c r="N57" s="39">
        <f>'Data entry Oberstaufen'!AJ57</f>
        <v>1002.8255</v>
      </c>
      <c r="O57" s="39">
        <f>'Data entry Oberstaufen'!AM57</f>
        <v>1268.9901</v>
      </c>
    </row>
    <row r="58" spans="2:15" x14ac:dyDescent="0.15">
      <c r="B58" s="40"/>
      <c r="C58" s="39">
        <f>'Data entry Oberstaufen'!C58</f>
        <v>0</v>
      </c>
      <c r="D58" s="39">
        <f>'Data entry Oberstaufen'!F58</f>
        <v>0</v>
      </c>
      <c r="E58" s="39">
        <f>'Data entry Oberstaufen'!I58</f>
        <v>0</v>
      </c>
      <c r="F58" s="39">
        <f>'Data entry Oberstaufen'!L58</f>
        <v>0</v>
      </c>
      <c r="G58" s="39">
        <f>'Data entry Oberstaufen'!O58</f>
        <v>0</v>
      </c>
      <c r="H58" s="39">
        <f>'Data entry Oberstaufen'!R58</f>
        <v>0</v>
      </c>
      <c r="I58" s="39">
        <f>'Data entry Oberstaufen'!U58</f>
        <v>0</v>
      </c>
      <c r="J58" s="39">
        <f>'Data entry Oberstaufen'!X58</f>
        <v>0</v>
      </c>
      <c r="K58" s="39">
        <f>'Data entry Oberstaufen'!AA58</f>
        <v>0</v>
      </c>
      <c r="L58" s="39">
        <f>'Data entry Oberstaufen'!AD58</f>
        <v>0</v>
      </c>
      <c r="M58" s="39">
        <f>'Data entry Oberstaufen'!AG58</f>
        <v>0</v>
      </c>
      <c r="N58" s="39">
        <f>'Data entry Oberstaufen'!AJ58</f>
        <v>0</v>
      </c>
      <c r="O58" s="39">
        <f>'Data entry Oberstaufen'!AM58</f>
        <v>0</v>
      </c>
    </row>
    <row r="59" spans="2:15" ht="14" x14ac:dyDescent="0.15">
      <c r="B59" s="44" t="s">
        <v>38</v>
      </c>
      <c r="C59" s="39">
        <f>'Data entry Oberstaufen'!C59</f>
        <v>0</v>
      </c>
      <c r="D59" s="39">
        <f>'Data entry Oberstaufen'!F59</f>
        <v>0</v>
      </c>
      <c r="E59" s="39">
        <f>'Data entry Oberstaufen'!I59</f>
        <v>0</v>
      </c>
      <c r="F59" s="39">
        <f>'Data entry Oberstaufen'!L59</f>
        <v>0</v>
      </c>
      <c r="G59" s="39">
        <f>'Data entry Oberstaufen'!O59</f>
        <v>0</v>
      </c>
      <c r="H59" s="39">
        <f>'Data entry Oberstaufen'!R59</f>
        <v>0</v>
      </c>
      <c r="I59" s="39">
        <f>'Data entry Oberstaufen'!U59</f>
        <v>0</v>
      </c>
      <c r="J59" s="39">
        <f>'Data entry Oberstaufen'!X59</f>
        <v>0</v>
      </c>
      <c r="K59" s="39">
        <f>'Data entry Oberstaufen'!AA59</f>
        <v>0</v>
      </c>
      <c r="L59" s="39">
        <f>'Data entry Oberstaufen'!AD59</f>
        <v>0</v>
      </c>
      <c r="M59" s="39">
        <f>'Data entry Oberstaufen'!AG59</f>
        <v>0</v>
      </c>
      <c r="N59" s="39">
        <f>'Data entry Oberstaufen'!AJ59</f>
        <v>0</v>
      </c>
      <c r="O59" s="39">
        <f>'Data entry Oberstaufen'!AM59</f>
        <v>0</v>
      </c>
    </row>
    <row r="60" spans="2:15" ht="14" x14ac:dyDescent="0.15">
      <c r="B60" s="42" t="s">
        <v>38</v>
      </c>
      <c r="C60" s="39">
        <f>'Data entry Oberstaufen'!C60</f>
        <v>3391.11</v>
      </c>
      <c r="D60" s="39">
        <f>'Data entry Oberstaufen'!F60</f>
        <v>393.84</v>
      </c>
      <c r="E60" s="39">
        <f>'Data entry Oberstaufen'!I60</f>
        <v>915.89</v>
      </c>
      <c r="F60" s="39">
        <f>'Data entry Oberstaufen'!L60</f>
        <v>474.42</v>
      </c>
      <c r="G60" s="39">
        <f>'Data entry Oberstaufen'!O60</f>
        <v>6.96</v>
      </c>
      <c r="H60" s="39">
        <f>'Data entry Oberstaufen'!R60</f>
        <v>200</v>
      </c>
      <c r="I60" s="39">
        <f>'Data entry Oberstaufen'!U60</f>
        <v>200</v>
      </c>
      <c r="J60" s="39">
        <f>'Data entry Oberstaufen'!X60</f>
        <v>200</v>
      </c>
      <c r="K60" s="39">
        <f>'Data entry Oberstaufen'!AA60</f>
        <v>200</v>
      </c>
      <c r="L60" s="39">
        <f>'Data entry Oberstaufen'!AD60</f>
        <v>200</v>
      </c>
      <c r="M60" s="39">
        <f>'Data entry Oberstaufen'!AG60</f>
        <v>200</v>
      </c>
      <c r="N60" s="39">
        <f>'Data entry Oberstaufen'!AJ60</f>
        <v>200</v>
      </c>
      <c r="O60" s="39">
        <f>'Data entry Oberstaufen'!AM60</f>
        <v>200</v>
      </c>
    </row>
    <row r="61" spans="2:15" x14ac:dyDescent="0.15">
      <c r="B61" s="40"/>
      <c r="C61" s="39">
        <f>'Data entry Oberstaufen'!C61</f>
        <v>0</v>
      </c>
      <c r="D61" s="39">
        <f>'Data entry Oberstaufen'!F61</f>
        <v>0</v>
      </c>
      <c r="E61" s="39">
        <f>'Data entry Oberstaufen'!I61</f>
        <v>0</v>
      </c>
      <c r="F61" s="39">
        <f>'Data entry Oberstaufen'!L61</f>
        <v>0</v>
      </c>
      <c r="G61" s="39">
        <f>'Data entry Oberstaufen'!O61</f>
        <v>0</v>
      </c>
      <c r="H61" s="39">
        <f>'Data entry Oberstaufen'!R61</f>
        <v>0</v>
      </c>
      <c r="I61" s="39">
        <f>'Data entry Oberstaufen'!U61</f>
        <v>0</v>
      </c>
      <c r="J61" s="39">
        <f>'Data entry Oberstaufen'!X61</f>
        <v>0</v>
      </c>
      <c r="K61" s="39">
        <f>'Data entry Oberstaufen'!AA61</f>
        <v>0</v>
      </c>
      <c r="L61" s="39">
        <f>'Data entry Oberstaufen'!AD61</f>
        <v>0</v>
      </c>
      <c r="M61" s="39">
        <f>'Data entry Oberstaufen'!AG61</f>
        <v>0</v>
      </c>
      <c r="N61" s="39">
        <f>'Data entry Oberstaufen'!AJ61</f>
        <v>0</v>
      </c>
      <c r="O61" s="39">
        <f>'Data entry Oberstaufen'!AM61</f>
        <v>0</v>
      </c>
    </row>
    <row r="62" spans="2:15" ht="14" x14ac:dyDescent="0.15">
      <c r="B62" s="44" t="s">
        <v>51</v>
      </c>
      <c r="C62" s="39">
        <f>'Data entry Oberstaufen'!C62</f>
        <v>0</v>
      </c>
      <c r="D62" s="39">
        <f>'Data entry Oberstaufen'!F62</f>
        <v>0</v>
      </c>
      <c r="E62" s="39">
        <f>'Data entry Oberstaufen'!I62</f>
        <v>0</v>
      </c>
      <c r="F62" s="39">
        <f>'Data entry Oberstaufen'!L62</f>
        <v>0</v>
      </c>
      <c r="G62" s="39">
        <f>'Data entry Oberstaufen'!O62</f>
        <v>0</v>
      </c>
      <c r="H62" s="39">
        <f>'Data entry Oberstaufen'!R62</f>
        <v>0</v>
      </c>
      <c r="I62" s="39">
        <f>'Data entry Oberstaufen'!U62</f>
        <v>0</v>
      </c>
      <c r="J62" s="39">
        <f>'Data entry Oberstaufen'!X62</f>
        <v>0</v>
      </c>
      <c r="K62" s="39">
        <f>'Data entry Oberstaufen'!AA62</f>
        <v>0</v>
      </c>
      <c r="L62" s="39">
        <f>'Data entry Oberstaufen'!AD62</f>
        <v>0</v>
      </c>
      <c r="M62" s="39">
        <f>'Data entry Oberstaufen'!AG62</f>
        <v>0</v>
      </c>
      <c r="N62" s="39">
        <f>'Data entry Oberstaufen'!AJ62</f>
        <v>0</v>
      </c>
      <c r="O62" s="39">
        <f>'Data entry Oberstaufen'!AM62</f>
        <v>0</v>
      </c>
    </row>
    <row r="63" spans="2:15" ht="14" x14ac:dyDescent="0.15">
      <c r="B63" s="42" t="s">
        <v>52</v>
      </c>
      <c r="C63" s="39">
        <f>'Data entry Oberstaufen'!C63</f>
        <v>887531.41639999999</v>
      </c>
      <c r="D63" s="39">
        <f>'Data entry Oberstaufen'!F63</f>
        <v>-42890.69</v>
      </c>
      <c r="E63" s="39">
        <f>'Data entry Oberstaufen'!I63</f>
        <v>-20719.5</v>
      </c>
      <c r="F63" s="39">
        <f>'Data entry Oberstaufen'!L63</f>
        <v>33175.22</v>
      </c>
      <c r="G63" s="39">
        <f>'Data entry Oberstaufen'!O63</f>
        <v>47922.37</v>
      </c>
      <c r="H63" s="39">
        <f>'Data entry Oberstaufen'!R63</f>
        <v>91634.5815</v>
      </c>
      <c r="I63" s="39">
        <f>'Data entry Oberstaufen'!U63</f>
        <v>72804.200800000006</v>
      </c>
      <c r="J63" s="39">
        <f>'Data entry Oberstaufen'!X63</f>
        <v>189777.55739999999</v>
      </c>
      <c r="K63" s="39">
        <f>'Data entry Oberstaufen'!AA63</f>
        <v>268241.0417</v>
      </c>
      <c r="L63" s="39">
        <f>'Data entry Oberstaufen'!AD63</f>
        <v>160869.70499999999</v>
      </c>
      <c r="M63" s="39">
        <f>'Data entry Oberstaufen'!AG63</f>
        <v>139078.30619999999</v>
      </c>
      <c r="N63" s="39">
        <f>'Data entry Oberstaufen'!AJ63</f>
        <v>37111.811900000001</v>
      </c>
      <c r="O63" s="39">
        <f>'Data entry Oberstaufen'!AM63</f>
        <v>-89473.188099999999</v>
      </c>
    </row>
    <row r="64" spans="2:15" x14ac:dyDescent="0.15">
      <c r="B64" s="40"/>
      <c r="C64" s="39">
        <f>'Data entry Oberstaufen'!C64</f>
        <v>0</v>
      </c>
      <c r="D64" s="39">
        <f>'Data entry Oberstaufen'!F64</f>
        <v>0</v>
      </c>
      <c r="E64" s="39">
        <f>'Data entry Oberstaufen'!I64</f>
        <v>0</v>
      </c>
      <c r="F64" s="39">
        <f>'Data entry Oberstaufen'!L64</f>
        <v>0</v>
      </c>
      <c r="G64" s="39">
        <f>'Data entry Oberstaufen'!O64</f>
        <v>0</v>
      </c>
      <c r="H64" s="39">
        <f>'Data entry Oberstaufen'!R64</f>
        <v>0</v>
      </c>
      <c r="I64" s="39">
        <f>'Data entry Oberstaufen'!U64</f>
        <v>0</v>
      </c>
      <c r="J64" s="39">
        <f>'Data entry Oberstaufen'!X64</f>
        <v>0</v>
      </c>
      <c r="K64" s="39">
        <f>'Data entry Oberstaufen'!AA64</f>
        <v>0</v>
      </c>
      <c r="L64" s="39">
        <f>'Data entry Oberstaufen'!AD64</f>
        <v>0</v>
      </c>
      <c r="M64" s="39">
        <f>'Data entry Oberstaufen'!AG64</f>
        <v>0</v>
      </c>
      <c r="N64" s="39">
        <f>'Data entry Oberstaufen'!AJ64</f>
        <v>0</v>
      </c>
      <c r="O64" s="39">
        <f>'Data entry Oberstaufen'!AM64</f>
        <v>0</v>
      </c>
    </row>
    <row r="65" spans="2:15" ht="14" x14ac:dyDescent="0.15">
      <c r="B65" s="44" t="s">
        <v>53</v>
      </c>
      <c r="C65" s="39">
        <f>'Data entry Oberstaufen'!C65</f>
        <v>0</v>
      </c>
      <c r="D65" s="39">
        <f>'Data entry Oberstaufen'!F65</f>
        <v>0</v>
      </c>
      <c r="E65" s="39">
        <f>'Data entry Oberstaufen'!I65</f>
        <v>0</v>
      </c>
      <c r="F65" s="39">
        <f>'Data entry Oberstaufen'!L65</f>
        <v>0</v>
      </c>
      <c r="G65" s="39">
        <f>'Data entry Oberstaufen'!O65</f>
        <v>0</v>
      </c>
      <c r="H65" s="39">
        <f>'Data entry Oberstaufen'!R65</f>
        <v>0</v>
      </c>
      <c r="I65" s="39">
        <f>'Data entry Oberstaufen'!U65</f>
        <v>0</v>
      </c>
      <c r="J65" s="39">
        <f>'Data entry Oberstaufen'!X65</f>
        <v>0</v>
      </c>
      <c r="K65" s="39">
        <f>'Data entry Oberstaufen'!AA65</f>
        <v>0</v>
      </c>
      <c r="L65" s="39">
        <f>'Data entry Oberstaufen'!AD65</f>
        <v>0</v>
      </c>
      <c r="M65" s="39">
        <f>'Data entry Oberstaufen'!AG65</f>
        <v>0</v>
      </c>
      <c r="N65" s="39">
        <f>'Data entry Oberstaufen'!AJ65</f>
        <v>0</v>
      </c>
      <c r="O65" s="39">
        <f>'Data entry Oberstaufen'!AM65</f>
        <v>0</v>
      </c>
    </row>
    <row r="66" spans="2:15" ht="14" x14ac:dyDescent="0.15">
      <c r="B66" s="38" t="s">
        <v>22</v>
      </c>
      <c r="C66" s="39">
        <f>'Data entry Oberstaufen'!C66</f>
        <v>239038.2219</v>
      </c>
      <c r="D66" s="39">
        <f>'Data entry Oberstaufen'!F66</f>
        <v>14734.38</v>
      </c>
      <c r="E66" s="39">
        <f>'Data entry Oberstaufen'!I66</f>
        <v>26785.55</v>
      </c>
      <c r="F66" s="39">
        <f>'Data entry Oberstaufen'!L66</f>
        <v>21631.81</v>
      </c>
      <c r="G66" s="39">
        <f>'Data entry Oberstaufen'!O66</f>
        <v>22545.27</v>
      </c>
      <c r="H66" s="39">
        <f>'Data entry Oberstaufen'!R66</f>
        <v>19287.548999999999</v>
      </c>
      <c r="I66" s="39">
        <f>'Data entry Oberstaufen'!U66</f>
        <v>20366.103200000001</v>
      </c>
      <c r="J66" s="39">
        <f>'Data entry Oberstaufen'!X66</f>
        <v>14307.9827</v>
      </c>
      <c r="K66" s="39">
        <f>'Data entry Oberstaufen'!AA66</f>
        <v>19558.464599999999</v>
      </c>
      <c r="L66" s="39">
        <f>'Data entry Oberstaufen'!AD66</f>
        <v>18370.368200000001</v>
      </c>
      <c r="M66" s="39">
        <f>'Data entry Oberstaufen'!AG66</f>
        <v>21677.2598</v>
      </c>
      <c r="N66" s="39">
        <f>'Data entry Oberstaufen'!AJ66</f>
        <v>21677.2598</v>
      </c>
      <c r="O66" s="39">
        <f>'Data entry Oberstaufen'!AM66</f>
        <v>18096.224600000001</v>
      </c>
    </row>
    <row r="67" spans="2:15" ht="14" x14ac:dyDescent="0.15">
      <c r="B67" s="38" t="s">
        <v>40</v>
      </c>
      <c r="C67" s="39">
        <f>'Data entry Oberstaufen'!C67</f>
        <v>134012.95009999999</v>
      </c>
      <c r="D67" s="39">
        <f>'Data entry Oberstaufen'!F67</f>
        <v>3645.61</v>
      </c>
      <c r="E67" s="39">
        <f>'Data entry Oberstaufen'!I67</f>
        <v>10574.38</v>
      </c>
      <c r="F67" s="39">
        <f>'Data entry Oberstaufen'!L67</f>
        <v>8158.65</v>
      </c>
      <c r="G67" s="39">
        <f>'Data entry Oberstaufen'!O67</f>
        <v>8316.32</v>
      </c>
      <c r="H67" s="39">
        <f>'Data entry Oberstaufen'!R67</f>
        <v>12523.2516</v>
      </c>
      <c r="I67" s="39">
        <f>'Data entry Oberstaufen'!U67</f>
        <v>12062.743</v>
      </c>
      <c r="J67" s="39">
        <f>'Data entry Oberstaufen'!X67</f>
        <v>14320.912700000001</v>
      </c>
      <c r="K67" s="39">
        <f>'Data entry Oberstaufen'!AA67</f>
        <v>16530.201499999999</v>
      </c>
      <c r="L67" s="39">
        <f>'Data entry Oberstaufen'!AD67</f>
        <v>13733.727199999999</v>
      </c>
      <c r="M67" s="39">
        <f>'Data entry Oberstaufen'!AG67</f>
        <v>13403.072899999999</v>
      </c>
      <c r="N67" s="39">
        <f>'Data entry Oberstaufen'!AJ67</f>
        <v>13707.523300000001</v>
      </c>
      <c r="O67" s="39">
        <f>'Data entry Oberstaufen'!AM67</f>
        <v>7036.5578999999998</v>
      </c>
    </row>
    <row r="68" spans="2:15" ht="14" x14ac:dyDescent="0.15">
      <c r="B68" s="42" t="s">
        <v>41</v>
      </c>
      <c r="C68" s="39">
        <f>'Data entry Oberstaufen'!C68</f>
        <v>-373051.17180000001</v>
      </c>
      <c r="D68" s="39">
        <f>'Data entry Oberstaufen'!F68</f>
        <v>-18379.990000000002</v>
      </c>
      <c r="E68" s="39">
        <f>'Data entry Oberstaufen'!I68</f>
        <v>-37359.93</v>
      </c>
      <c r="F68" s="39">
        <f>'Data entry Oberstaufen'!L68</f>
        <v>-29790.46</v>
      </c>
      <c r="G68" s="39">
        <f>'Data entry Oberstaufen'!O68</f>
        <v>-30861.59</v>
      </c>
      <c r="H68" s="39">
        <f>'Data entry Oberstaufen'!R68</f>
        <v>-31810.800500000001</v>
      </c>
      <c r="I68" s="39">
        <f>'Data entry Oberstaufen'!U68</f>
        <v>-32428.846099999999</v>
      </c>
      <c r="J68" s="39">
        <f>'Data entry Oberstaufen'!X68</f>
        <v>-28628.895400000001</v>
      </c>
      <c r="K68" s="39">
        <f>'Data entry Oberstaufen'!AA68</f>
        <v>-36088.666100000002</v>
      </c>
      <c r="L68" s="39">
        <f>'Data entry Oberstaufen'!AD68</f>
        <v>-32104.095399999998</v>
      </c>
      <c r="M68" s="39">
        <f>'Data entry Oberstaufen'!AG68</f>
        <v>-35080.332699999999</v>
      </c>
      <c r="N68" s="39">
        <f>'Data entry Oberstaufen'!AJ68</f>
        <v>-35384.783100000001</v>
      </c>
      <c r="O68" s="39">
        <f>'Data entry Oberstaufen'!AM68</f>
        <v>-25132.782500000001</v>
      </c>
    </row>
    <row r="69" spans="2:15" x14ac:dyDescent="0.15">
      <c r="B69" s="40"/>
      <c r="C69" s="39">
        <f>'Data entry Oberstaufen'!C69</f>
        <v>0</v>
      </c>
      <c r="D69" s="39">
        <f>'Data entry Oberstaufen'!F69</f>
        <v>0</v>
      </c>
      <c r="E69" s="39">
        <f>'Data entry Oberstaufen'!I69</f>
        <v>0</v>
      </c>
      <c r="F69" s="39">
        <f>'Data entry Oberstaufen'!L69</f>
        <v>0</v>
      </c>
      <c r="G69" s="39">
        <f>'Data entry Oberstaufen'!O69</f>
        <v>0</v>
      </c>
      <c r="H69" s="39">
        <f>'Data entry Oberstaufen'!R69</f>
        <v>0</v>
      </c>
      <c r="I69" s="39">
        <f>'Data entry Oberstaufen'!U69</f>
        <v>0</v>
      </c>
      <c r="J69" s="39">
        <f>'Data entry Oberstaufen'!X69</f>
        <v>0</v>
      </c>
      <c r="K69" s="39">
        <f>'Data entry Oberstaufen'!AA69</f>
        <v>0</v>
      </c>
      <c r="L69" s="39">
        <f>'Data entry Oberstaufen'!AD69</f>
        <v>0</v>
      </c>
      <c r="M69" s="39">
        <f>'Data entry Oberstaufen'!AG69</f>
        <v>0</v>
      </c>
      <c r="N69" s="39">
        <f>'Data entry Oberstaufen'!AJ69</f>
        <v>0</v>
      </c>
      <c r="O69" s="39">
        <f>'Data entry Oberstaufen'!AM69</f>
        <v>0</v>
      </c>
    </row>
    <row r="70" spans="2:15" ht="14" x14ac:dyDescent="0.15">
      <c r="B70" s="44" t="s">
        <v>54</v>
      </c>
      <c r="C70" s="39">
        <f>'Data entry Oberstaufen'!C70</f>
        <v>0</v>
      </c>
      <c r="D70" s="39">
        <f>'Data entry Oberstaufen'!F70</f>
        <v>0</v>
      </c>
      <c r="E70" s="39">
        <f>'Data entry Oberstaufen'!I70</f>
        <v>0</v>
      </c>
      <c r="F70" s="39">
        <f>'Data entry Oberstaufen'!L70</f>
        <v>0</v>
      </c>
      <c r="G70" s="39">
        <f>'Data entry Oberstaufen'!O70</f>
        <v>0</v>
      </c>
      <c r="H70" s="39">
        <f>'Data entry Oberstaufen'!R70</f>
        <v>0</v>
      </c>
      <c r="I70" s="39">
        <f>'Data entry Oberstaufen'!U70</f>
        <v>0</v>
      </c>
      <c r="J70" s="39">
        <f>'Data entry Oberstaufen'!X70</f>
        <v>0</v>
      </c>
      <c r="K70" s="39">
        <f>'Data entry Oberstaufen'!AA70</f>
        <v>0</v>
      </c>
      <c r="L70" s="39">
        <f>'Data entry Oberstaufen'!AD70</f>
        <v>0</v>
      </c>
      <c r="M70" s="39">
        <f>'Data entry Oberstaufen'!AG70</f>
        <v>0</v>
      </c>
      <c r="N70" s="39">
        <f>'Data entry Oberstaufen'!AJ70</f>
        <v>0</v>
      </c>
      <c r="O70" s="39">
        <f>'Data entry Oberstaufen'!AM70</f>
        <v>0</v>
      </c>
    </row>
    <row r="71" spans="2:15" ht="14" x14ac:dyDescent="0.15">
      <c r="B71" s="38" t="s">
        <v>55</v>
      </c>
      <c r="C71" s="39">
        <f>'Data entry Oberstaufen'!C71</f>
        <v>15451.82</v>
      </c>
      <c r="D71" s="39">
        <f>'Data entry Oberstaufen'!F71</f>
        <v>999</v>
      </c>
      <c r="E71" s="39">
        <f>'Data entry Oberstaufen'!I71</f>
        <v>1952.89</v>
      </c>
      <c r="F71" s="39">
        <f>'Data entry Oberstaufen'!L71</f>
        <v>1073</v>
      </c>
      <c r="G71" s="39">
        <f>'Data entry Oberstaufen'!O71</f>
        <v>2794.93</v>
      </c>
      <c r="H71" s="39">
        <f>'Data entry Oberstaufen'!R71</f>
        <v>1079</v>
      </c>
      <c r="I71" s="39">
        <f>'Data entry Oberstaufen'!U71</f>
        <v>1079</v>
      </c>
      <c r="J71" s="39">
        <f>'Data entry Oberstaufen'!X71</f>
        <v>1079</v>
      </c>
      <c r="K71" s="39">
        <f>'Data entry Oberstaufen'!AA71</f>
        <v>1079</v>
      </c>
      <c r="L71" s="39">
        <f>'Data entry Oberstaufen'!AD71</f>
        <v>1079</v>
      </c>
      <c r="M71" s="39">
        <f>'Data entry Oberstaufen'!AG71</f>
        <v>1079</v>
      </c>
      <c r="N71" s="39">
        <f>'Data entry Oberstaufen'!AJ71</f>
        <v>1079</v>
      </c>
      <c r="O71" s="39">
        <f>'Data entry Oberstaufen'!AM71</f>
        <v>1079</v>
      </c>
    </row>
    <row r="72" spans="2:15" ht="14" x14ac:dyDescent="0.15">
      <c r="B72" s="38" t="s">
        <v>56</v>
      </c>
      <c r="C72" s="39">
        <f>'Data entry Oberstaufen'!C72</f>
        <v>109126.88</v>
      </c>
      <c r="D72" s="39">
        <f>'Data entry Oberstaufen'!F72</f>
        <v>19133.29</v>
      </c>
      <c r="E72" s="39">
        <f>'Data entry Oberstaufen'!I72</f>
        <v>-6629.3</v>
      </c>
      <c r="F72" s="39">
        <f>'Data entry Oberstaufen'!L72</f>
        <v>6815.82</v>
      </c>
      <c r="G72" s="39">
        <f>'Data entry Oberstaufen'!O72</f>
        <v>9507.08</v>
      </c>
      <c r="H72" s="39">
        <f>'Data entry Oberstaufen'!R72</f>
        <v>9573.6299999999992</v>
      </c>
      <c r="I72" s="39">
        <f>'Data entry Oberstaufen'!U72</f>
        <v>9573.64</v>
      </c>
      <c r="J72" s="39">
        <f>'Data entry Oberstaufen'!X72</f>
        <v>13284.52</v>
      </c>
      <c r="K72" s="39">
        <f>'Data entry Oberstaufen'!AA72</f>
        <v>9573.6299999999992</v>
      </c>
      <c r="L72" s="39">
        <f>'Data entry Oberstaufen'!AD72</f>
        <v>9573.64</v>
      </c>
      <c r="M72" s="39">
        <f>'Data entry Oberstaufen'!AG72</f>
        <v>9573.65</v>
      </c>
      <c r="N72" s="39">
        <f>'Data entry Oberstaufen'!AJ72</f>
        <v>9573.65</v>
      </c>
      <c r="O72" s="39">
        <f>'Data entry Oberstaufen'!AM72</f>
        <v>9573.6299999999992</v>
      </c>
    </row>
    <row r="73" spans="2:15" ht="14" x14ac:dyDescent="0.15">
      <c r="B73" s="38" t="s">
        <v>40</v>
      </c>
      <c r="C73" s="39">
        <f>'Data entry Oberstaufen'!C73</f>
        <v>1290</v>
      </c>
      <c r="D73" s="39">
        <f>'Data entry Oberstaufen'!F73</f>
        <v>0</v>
      </c>
      <c r="E73" s="39">
        <f>'Data entry Oberstaufen'!I73</f>
        <v>0</v>
      </c>
      <c r="F73" s="39">
        <f>'Data entry Oberstaufen'!L73</f>
        <v>0</v>
      </c>
      <c r="G73" s="39">
        <f>'Data entry Oberstaufen'!O73</f>
        <v>0</v>
      </c>
      <c r="H73" s="39">
        <f>'Data entry Oberstaufen'!R73</f>
        <v>161.25</v>
      </c>
      <c r="I73" s="39">
        <f>'Data entry Oberstaufen'!U73</f>
        <v>161.25</v>
      </c>
      <c r="J73" s="39">
        <f>'Data entry Oberstaufen'!X73</f>
        <v>161.25</v>
      </c>
      <c r="K73" s="39">
        <f>'Data entry Oberstaufen'!AA73</f>
        <v>161.25</v>
      </c>
      <c r="L73" s="39">
        <f>'Data entry Oberstaufen'!AD73</f>
        <v>161.25</v>
      </c>
      <c r="M73" s="39">
        <f>'Data entry Oberstaufen'!AG73</f>
        <v>161.25</v>
      </c>
      <c r="N73" s="39">
        <f>'Data entry Oberstaufen'!AJ73</f>
        <v>161.25</v>
      </c>
      <c r="O73" s="39">
        <f>'Data entry Oberstaufen'!AM73</f>
        <v>161.25</v>
      </c>
    </row>
    <row r="74" spans="2:15" ht="14" x14ac:dyDescent="0.15">
      <c r="B74" s="42" t="s">
        <v>41</v>
      </c>
      <c r="C74" s="39">
        <f>'Data entry Oberstaufen'!C74</f>
        <v>-125868.7</v>
      </c>
      <c r="D74" s="39">
        <f>'Data entry Oberstaufen'!F74</f>
        <v>-20132.29</v>
      </c>
      <c r="E74" s="39">
        <f>'Data entry Oberstaufen'!I74</f>
        <v>4676.41</v>
      </c>
      <c r="F74" s="39">
        <f>'Data entry Oberstaufen'!L74</f>
        <v>-7888.82</v>
      </c>
      <c r="G74" s="39">
        <f>'Data entry Oberstaufen'!O74</f>
        <v>-12302.01</v>
      </c>
      <c r="H74" s="39">
        <f>'Data entry Oberstaufen'!R74</f>
        <v>-10813.88</v>
      </c>
      <c r="I74" s="39">
        <f>'Data entry Oberstaufen'!U74</f>
        <v>-10813.89</v>
      </c>
      <c r="J74" s="39">
        <f>'Data entry Oberstaufen'!X74</f>
        <v>-14524.77</v>
      </c>
      <c r="K74" s="39">
        <f>'Data entry Oberstaufen'!AA74</f>
        <v>-10813.88</v>
      </c>
      <c r="L74" s="39">
        <f>'Data entry Oberstaufen'!AD74</f>
        <v>-10813.89</v>
      </c>
      <c r="M74" s="39">
        <f>'Data entry Oberstaufen'!AG74</f>
        <v>-10813.9</v>
      </c>
      <c r="N74" s="39">
        <f>'Data entry Oberstaufen'!AJ74</f>
        <v>-10813.9</v>
      </c>
      <c r="O74" s="39">
        <f>'Data entry Oberstaufen'!AM74</f>
        <v>-10813.88</v>
      </c>
    </row>
    <row r="75" spans="2:15" x14ac:dyDescent="0.15">
      <c r="B75" s="40"/>
      <c r="C75" s="39">
        <f>'Data entry Oberstaufen'!C75</f>
        <v>0</v>
      </c>
      <c r="D75" s="39">
        <f>'Data entry Oberstaufen'!F75</f>
        <v>0</v>
      </c>
      <c r="E75" s="39">
        <f>'Data entry Oberstaufen'!I75</f>
        <v>0</v>
      </c>
      <c r="F75" s="39">
        <f>'Data entry Oberstaufen'!L75</f>
        <v>0</v>
      </c>
      <c r="G75" s="39">
        <f>'Data entry Oberstaufen'!O75</f>
        <v>0</v>
      </c>
      <c r="H75" s="39">
        <f>'Data entry Oberstaufen'!R75</f>
        <v>0</v>
      </c>
      <c r="I75" s="39">
        <f>'Data entry Oberstaufen'!U75</f>
        <v>0</v>
      </c>
      <c r="J75" s="39">
        <f>'Data entry Oberstaufen'!X75</f>
        <v>0</v>
      </c>
      <c r="K75" s="39">
        <f>'Data entry Oberstaufen'!AA75</f>
        <v>0</v>
      </c>
      <c r="L75" s="39">
        <f>'Data entry Oberstaufen'!AD75</f>
        <v>0</v>
      </c>
      <c r="M75" s="39">
        <f>'Data entry Oberstaufen'!AG75</f>
        <v>0</v>
      </c>
      <c r="N75" s="39">
        <f>'Data entry Oberstaufen'!AJ75</f>
        <v>0</v>
      </c>
      <c r="O75" s="39">
        <f>'Data entry Oberstaufen'!AM75</f>
        <v>0</v>
      </c>
    </row>
    <row r="76" spans="2:15" ht="14" x14ac:dyDescent="0.15">
      <c r="B76" s="44" t="s">
        <v>57</v>
      </c>
      <c r="C76" s="39">
        <f>'Data entry Oberstaufen'!C76</f>
        <v>0</v>
      </c>
      <c r="D76" s="39">
        <f>'Data entry Oberstaufen'!F76</f>
        <v>0</v>
      </c>
      <c r="E76" s="39">
        <f>'Data entry Oberstaufen'!I76</f>
        <v>0</v>
      </c>
      <c r="F76" s="39">
        <f>'Data entry Oberstaufen'!L76</f>
        <v>0</v>
      </c>
      <c r="G76" s="39">
        <f>'Data entry Oberstaufen'!O76</f>
        <v>0</v>
      </c>
      <c r="H76" s="39">
        <f>'Data entry Oberstaufen'!R76</f>
        <v>0</v>
      </c>
      <c r="I76" s="39">
        <f>'Data entry Oberstaufen'!U76</f>
        <v>0</v>
      </c>
      <c r="J76" s="39">
        <f>'Data entry Oberstaufen'!X76</f>
        <v>0</v>
      </c>
      <c r="K76" s="39">
        <f>'Data entry Oberstaufen'!AA76</f>
        <v>0</v>
      </c>
      <c r="L76" s="39">
        <f>'Data entry Oberstaufen'!AD76</f>
        <v>0</v>
      </c>
      <c r="M76" s="39">
        <f>'Data entry Oberstaufen'!AG76</f>
        <v>0</v>
      </c>
      <c r="N76" s="39">
        <f>'Data entry Oberstaufen'!AJ76</f>
        <v>0</v>
      </c>
      <c r="O76" s="39">
        <f>'Data entry Oberstaufen'!AM76</f>
        <v>0</v>
      </c>
    </row>
    <row r="77" spans="2:15" ht="14" x14ac:dyDescent="0.15">
      <c r="B77" s="38" t="s">
        <v>22</v>
      </c>
      <c r="C77" s="39">
        <f>'Data entry Oberstaufen'!C77</f>
        <v>45103.772100000002</v>
      </c>
      <c r="D77" s="39">
        <f>'Data entry Oberstaufen'!F77</f>
        <v>0</v>
      </c>
      <c r="E77" s="39">
        <f>'Data entry Oberstaufen'!I77</f>
        <v>8819.3799999999992</v>
      </c>
      <c r="F77" s="39">
        <f>'Data entry Oberstaufen'!L77</f>
        <v>3537.03</v>
      </c>
      <c r="G77" s="39">
        <f>'Data entry Oberstaufen'!O77</f>
        <v>4334.37</v>
      </c>
      <c r="H77" s="39">
        <f>'Data entry Oberstaufen'!R77</f>
        <v>3369.5880000000002</v>
      </c>
      <c r="I77" s="39">
        <f>'Data entry Oberstaufen'!U77</f>
        <v>3339.4919</v>
      </c>
      <c r="J77" s="39">
        <f>'Data entry Oberstaufen'!X77</f>
        <v>4405.2775000000001</v>
      </c>
      <c r="K77" s="39">
        <f>'Data entry Oberstaufen'!AA77</f>
        <v>5443.3674000000001</v>
      </c>
      <c r="L77" s="39">
        <f>'Data entry Oberstaufen'!AD77</f>
        <v>4148.8176999999996</v>
      </c>
      <c r="M77" s="39">
        <f>'Data entry Oberstaufen'!AG77</f>
        <v>3991.3633</v>
      </c>
      <c r="N77" s="39">
        <f>'Data entry Oberstaufen'!AJ77</f>
        <v>2755.3872999999999</v>
      </c>
      <c r="O77" s="39">
        <f>'Data entry Oberstaufen'!AM77</f>
        <v>959.69899999999996</v>
      </c>
    </row>
    <row r="78" spans="2:15" ht="14" x14ac:dyDescent="0.15">
      <c r="B78" s="38" t="s">
        <v>40</v>
      </c>
      <c r="C78" s="39">
        <f>'Data entry Oberstaufen'!C78</f>
        <v>168270.859</v>
      </c>
      <c r="D78" s="39">
        <f>'Data entry Oberstaufen'!F78</f>
        <v>10724.6</v>
      </c>
      <c r="E78" s="39">
        <f>'Data entry Oberstaufen'!I78</f>
        <v>9654.8700000000008</v>
      </c>
      <c r="F78" s="39">
        <f>'Data entry Oberstaufen'!L78</f>
        <v>8839.5</v>
      </c>
      <c r="G78" s="39">
        <f>'Data entry Oberstaufen'!O78</f>
        <v>13787.3</v>
      </c>
      <c r="H78" s="39">
        <f>'Data entry Oberstaufen'!R78</f>
        <v>14884.735000000001</v>
      </c>
      <c r="I78" s="39">
        <f>'Data entry Oberstaufen'!U78</f>
        <v>14899.5283</v>
      </c>
      <c r="J78" s="39">
        <f>'Data entry Oberstaufen'!X78</f>
        <v>18386.877400000001</v>
      </c>
      <c r="K78" s="39">
        <f>'Data entry Oberstaufen'!AA78</f>
        <v>21980.809600000001</v>
      </c>
      <c r="L78" s="39">
        <f>'Data entry Oberstaufen'!AD78</f>
        <v>17895.8531</v>
      </c>
      <c r="M78" s="39">
        <f>'Data entry Oberstaufen'!AG78</f>
        <v>17719.6224</v>
      </c>
      <c r="N78" s="39">
        <f>'Data entry Oberstaufen'!AJ78</f>
        <v>12488.057199999999</v>
      </c>
      <c r="O78" s="39">
        <f>'Data entry Oberstaufen'!AM78</f>
        <v>7009.1059999999998</v>
      </c>
    </row>
    <row r="79" spans="2:15" ht="14" x14ac:dyDescent="0.15">
      <c r="B79" s="42" t="s">
        <v>41</v>
      </c>
      <c r="C79" s="39">
        <f>'Data entry Oberstaufen'!C79</f>
        <v>-213374.63089999999</v>
      </c>
      <c r="D79" s="39">
        <f>'Data entry Oberstaufen'!F79</f>
        <v>-10724.6</v>
      </c>
      <c r="E79" s="39">
        <f>'Data entry Oberstaufen'!I79</f>
        <v>-18474.25</v>
      </c>
      <c r="F79" s="39">
        <f>'Data entry Oberstaufen'!L79</f>
        <v>-12376.53</v>
      </c>
      <c r="G79" s="39">
        <f>'Data entry Oberstaufen'!O79</f>
        <v>-18121.669999999998</v>
      </c>
      <c r="H79" s="39">
        <f>'Data entry Oberstaufen'!R79</f>
        <v>-18254.323</v>
      </c>
      <c r="I79" s="39">
        <f>'Data entry Oberstaufen'!U79</f>
        <v>-18239.020199999999</v>
      </c>
      <c r="J79" s="39">
        <f>'Data entry Oberstaufen'!X79</f>
        <v>-22792.154900000001</v>
      </c>
      <c r="K79" s="39">
        <f>'Data entry Oberstaufen'!AA79</f>
        <v>-27424.176899999999</v>
      </c>
      <c r="L79" s="39">
        <f>'Data entry Oberstaufen'!AD79</f>
        <v>-22044.6708</v>
      </c>
      <c r="M79" s="39">
        <f>'Data entry Oberstaufen'!AG79</f>
        <v>-21710.985700000001</v>
      </c>
      <c r="N79" s="39">
        <f>'Data entry Oberstaufen'!AJ79</f>
        <v>-15243.4444</v>
      </c>
      <c r="O79" s="39">
        <f>'Data entry Oberstaufen'!AM79</f>
        <v>-7968.8050000000003</v>
      </c>
    </row>
    <row r="80" spans="2:15" x14ac:dyDescent="0.15">
      <c r="B80" s="40"/>
      <c r="C80" s="39">
        <f>'Data entry Oberstaufen'!C80</f>
        <v>0</v>
      </c>
      <c r="D80" s="39">
        <f>'Data entry Oberstaufen'!F80</f>
        <v>0</v>
      </c>
      <c r="E80" s="39">
        <f>'Data entry Oberstaufen'!I80</f>
        <v>0</v>
      </c>
      <c r="F80" s="39">
        <f>'Data entry Oberstaufen'!L80</f>
        <v>0</v>
      </c>
      <c r="G80" s="39">
        <f>'Data entry Oberstaufen'!O80</f>
        <v>0</v>
      </c>
      <c r="H80" s="39">
        <f>'Data entry Oberstaufen'!R80</f>
        <v>0</v>
      </c>
      <c r="I80" s="39">
        <f>'Data entry Oberstaufen'!U80</f>
        <v>0</v>
      </c>
      <c r="J80" s="39">
        <f>'Data entry Oberstaufen'!X80</f>
        <v>0</v>
      </c>
      <c r="K80" s="39">
        <f>'Data entry Oberstaufen'!AA80</f>
        <v>0</v>
      </c>
      <c r="L80" s="39">
        <f>'Data entry Oberstaufen'!AD80</f>
        <v>0</v>
      </c>
      <c r="M80" s="39">
        <f>'Data entry Oberstaufen'!AG80</f>
        <v>0</v>
      </c>
      <c r="N80" s="39">
        <f>'Data entry Oberstaufen'!AJ80</f>
        <v>0</v>
      </c>
      <c r="O80" s="39">
        <f>'Data entry Oberstaufen'!AM80</f>
        <v>0</v>
      </c>
    </row>
    <row r="81" spans="2:15" ht="14" x14ac:dyDescent="0.15">
      <c r="B81" s="44" t="s">
        <v>58</v>
      </c>
      <c r="C81" s="39">
        <f>'Data entry Oberstaufen'!C81</f>
        <v>0</v>
      </c>
      <c r="D81" s="39">
        <f>'Data entry Oberstaufen'!F81</f>
        <v>0</v>
      </c>
      <c r="E81" s="39">
        <f>'Data entry Oberstaufen'!I81</f>
        <v>0</v>
      </c>
      <c r="F81" s="39">
        <f>'Data entry Oberstaufen'!L81</f>
        <v>0</v>
      </c>
      <c r="G81" s="39">
        <f>'Data entry Oberstaufen'!O81</f>
        <v>0</v>
      </c>
      <c r="H81" s="39">
        <f>'Data entry Oberstaufen'!R81</f>
        <v>0</v>
      </c>
      <c r="I81" s="39">
        <f>'Data entry Oberstaufen'!U81</f>
        <v>0</v>
      </c>
      <c r="J81" s="39">
        <f>'Data entry Oberstaufen'!X81</f>
        <v>0</v>
      </c>
      <c r="K81" s="39">
        <f>'Data entry Oberstaufen'!AA81</f>
        <v>0</v>
      </c>
      <c r="L81" s="39">
        <f>'Data entry Oberstaufen'!AD81</f>
        <v>0</v>
      </c>
      <c r="M81" s="39">
        <f>'Data entry Oberstaufen'!AG81</f>
        <v>0</v>
      </c>
      <c r="N81" s="39">
        <f>'Data entry Oberstaufen'!AJ81</f>
        <v>0</v>
      </c>
      <c r="O81" s="39">
        <f>'Data entry Oberstaufen'!AM81</f>
        <v>0</v>
      </c>
    </row>
    <row r="82" spans="2:15" ht="14" x14ac:dyDescent="0.15">
      <c r="B82" s="38" t="s">
        <v>22</v>
      </c>
      <c r="C82" s="39">
        <f>'Data entry Oberstaufen'!C82</f>
        <v>113957.6768</v>
      </c>
      <c r="D82" s="39">
        <f>'Data entry Oberstaufen'!F82</f>
        <v>7704.25</v>
      </c>
      <c r="E82" s="39">
        <f>'Data entry Oberstaufen'!I82</f>
        <v>9818.8700000000008</v>
      </c>
      <c r="F82" s="39">
        <f>'Data entry Oberstaufen'!L82</f>
        <v>9919.8700000000008</v>
      </c>
      <c r="G82" s="39">
        <f>'Data entry Oberstaufen'!O82</f>
        <v>9355.4699999999993</v>
      </c>
      <c r="H82" s="39">
        <f>'Data entry Oberstaufen'!R82</f>
        <v>9553.2991999999995</v>
      </c>
      <c r="I82" s="39">
        <f>'Data entry Oberstaufen'!U82</f>
        <v>8672.3083000000006</v>
      </c>
      <c r="J82" s="39">
        <f>'Data entry Oberstaufen'!X82</f>
        <v>9344.1695</v>
      </c>
      <c r="K82" s="39">
        <f>'Data entry Oberstaufen'!AA82</f>
        <v>10252.603300000001</v>
      </c>
      <c r="L82" s="39">
        <f>'Data entry Oberstaufen'!AD82</f>
        <v>10434.290000000001</v>
      </c>
      <c r="M82" s="39">
        <f>'Data entry Oberstaufen'!AG82</f>
        <v>8826.5522000000001</v>
      </c>
      <c r="N82" s="39">
        <f>'Data entry Oberstaufen'!AJ82</f>
        <v>10434.290000000001</v>
      </c>
      <c r="O82" s="39">
        <f>'Data entry Oberstaufen'!AM82</f>
        <v>9641.7042999999994</v>
      </c>
    </row>
    <row r="83" spans="2:15" ht="14" x14ac:dyDescent="0.15">
      <c r="B83" s="38" t="s">
        <v>40</v>
      </c>
      <c r="C83" s="39">
        <f>'Data entry Oberstaufen'!C83</f>
        <v>155475.19</v>
      </c>
      <c r="D83" s="39">
        <f>'Data entry Oberstaufen'!F83</f>
        <v>8714.2800000000007</v>
      </c>
      <c r="E83" s="39">
        <f>'Data entry Oberstaufen'!I83</f>
        <v>14266.96</v>
      </c>
      <c r="F83" s="39">
        <f>'Data entry Oberstaufen'!L83</f>
        <v>13791.86</v>
      </c>
      <c r="G83" s="39">
        <f>'Data entry Oberstaufen'!O83</f>
        <v>16783.21</v>
      </c>
      <c r="H83" s="39">
        <f>'Data entry Oberstaufen'!R83</f>
        <v>13304.12</v>
      </c>
      <c r="I83" s="39">
        <f>'Data entry Oberstaufen'!U83</f>
        <v>15190.48</v>
      </c>
      <c r="J83" s="39">
        <f>'Data entry Oberstaufen'!X83</f>
        <v>13629.24</v>
      </c>
      <c r="K83" s="39">
        <f>'Data entry Oberstaufen'!AA83</f>
        <v>12560.72</v>
      </c>
      <c r="L83" s="39">
        <f>'Data entry Oberstaufen'!AD83</f>
        <v>10373.879999999999</v>
      </c>
      <c r="M83" s="39">
        <f>'Data entry Oberstaufen'!AG83</f>
        <v>13729.24</v>
      </c>
      <c r="N83" s="39">
        <f>'Data entry Oberstaufen'!AJ83</f>
        <v>12860.72</v>
      </c>
      <c r="O83" s="39">
        <f>'Data entry Oberstaufen'!AM83</f>
        <v>10270.48</v>
      </c>
    </row>
    <row r="84" spans="2:15" ht="14" x14ac:dyDescent="0.15">
      <c r="B84" s="42" t="s">
        <v>41</v>
      </c>
      <c r="C84" s="39">
        <f>'Data entry Oberstaufen'!C84</f>
        <v>-269432.86680000002</v>
      </c>
      <c r="D84" s="39">
        <f>'Data entry Oberstaufen'!F84</f>
        <v>-16418.53</v>
      </c>
      <c r="E84" s="39">
        <f>'Data entry Oberstaufen'!I84</f>
        <v>-24085.83</v>
      </c>
      <c r="F84" s="39">
        <f>'Data entry Oberstaufen'!L84</f>
        <v>-23711.73</v>
      </c>
      <c r="G84" s="39">
        <f>'Data entry Oberstaufen'!O84</f>
        <v>-26138.68</v>
      </c>
      <c r="H84" s="39">
        <f>'Data entry Oberstaufen'!R84</f>
        <v>-22857.4192</v>
      </c>
      <c r="I84" s="39">
        <f>'Data entry Oberstaufen'!U84</f>
        <v>-23862.7883</v>
      </c>
      <c r="J84" s="39">
        <f>'Data entry Oberstaufen'!X84</f>
        <v>-22973.409500000002</v>
      </c>
      <c r="K84" s="39">
        <f>'Data entry Oberstaufen'!AA84</f>
        <v>-22813.3233</v>
      </c>
      <c r="L84" s="39">
        <f>'Data entry Oberstaufen'!AD84</f>
        <v>-20808.169999999998</v>
      </c>
      <c r="M84" s="39">
        <f>'Data entry Oberstaufen'!AG84</f>
        <v>-22555.7922</v>
      </c>
      <c r="N84" s="39">
        <f>'Data entry Oberstaufen'!AJ84</f>
        <v>-23295.01</v>
      </c>
      <c r="O84" s="39">
        <f>'Data entry Oberstaufen'!AM84</f>
        <v>-19912.184300000001</v>
      </c>
    </row>
    <row r="85" spans="2:15" x14ac:dyDescent="0.15">
      <c r="B85" s="40"/>
      <c r="C85" s="39">
        <f>'Data entry Oberstaufen'!C85</f>
        <v>0</v>
      </c>
      <c r="D85" s="39">
        <f>'Data entry Oberstaufen'!F85</f>
        <v>0</v>
      </c>
      <c r="E85" s="39">
        <f>'Data entry Oberstaufen'!I85</f>
        <v>0</v>
      </c>
      <c r="F85" s="39">
        <f>'Data entry Oberstaufen'!L85</f>
        <v>0</v>
      </c>
      <c r="G85" s="39">
        <f>'Data entry Oberstaufen'!O85</f>
        <v>0</v>
      </c>
      <c r="H85" s="39">
        <f>'Data entry Oberstaufen'!R85</f>
        <v>0</v>
      </c>
      <c r="I85" s="39">
        <f>'Data entry Oberstaufen'!U85</f>
        <v>0</v>
      </c>
      <c r="J85" s="39">
        <f>'Data entry Oberstaufen'!X85</f>
        <v>0</v>
      </c>
      <c r="K85" s="39">
        <f>'Data entry Oberstaufen'!AA85</f>
        <v>0</v>
      </c>
      <c r="L85" s="39">
        <f>'Data entry Oberstaufen'!AD85</f>
        <v>0</v>
      </c>
      <c r="M85" s="39">
        <f>'Data entry Oberstaufen'!AG85</f>
        <v>0</v>
      </c>
      <c r="N85" s="39">
        <f>'Data entry Oberstaufen'!AJ85</f>
        <v>0</v>
      </c>
      <c r="O85" s="39">
        <f>'Data entry Oberstaufen'!AM85</f>
        <v>0</v>
      </c>
    </row>
    <row r="86" spans="2:15" ht="14" x14ac:dyDescent="0.15">
      <c r="B86" s="44" t="s">
        <v>59</v>
      </c>
      <c r="C86" s="39">
        <f>'Data entry Oberstaufen'!C86</f>
        <v>0</v>
      </c>
      <c r="D86" s="39">
        <f>'Data entry Oberstaufen'!F86</f>
        <v>0</v>
      </c>
      <c r="E86" s="39">
        <f>'Data entry Oberstaufen'!I86</f>
        <v>0</v>
      </c>
      <c r="F86" s="39">
        <f>'Data entry Oberstaufen'!L86</f>
        <v>0</v>
      </c>
      <c r="G86" s="39">
        <f>'Data entry Oberstaufen'!O86</f>
        <v>0</v>
      </c>
      <c r="H86" s="39">
        <f>'Data entry Oberstaufen'!R86</f>
        <v>0</v>
      </c>
      <c r="I86" s="39">
        <f>'Data entry Oberstaufen'!U86</f>
        <v>0</v>
      </c>
      <c r="J86" s="39">
        <f>'Data entry Oberstaufen'!X86</f>
        <v>0</v>
      </c>
      <c r="K86" s="39">
        <f>'Data entry Oberstaufen'!AA86</f>
        <v>0</v>
      </c>
      <c r="L86" s="39">
        <f>'Data entry Oberstaufen'!AD86</f>
        <v>0</v>
      </c>
      <c r="M86" s="39">
        <f>'Data entry Oberstaufen'!AG86</f>
        <v>0</v>
      </c>
      <c r="N86" s="39">
        <f>'Data entry Oberstaufen'!AJ86</f>
        <v>0</v>
      </c>
      <c r="O86" s="39">
        <f>'Data entry Oberstaufen'!AM86</f>
        <v>0</v>
      </c>
    </row>
    <row r="87" spans="2:15" ht="14" x14ac:dyDescent="0.15">
      <c r="B87" s="42" t="s">
        <v>41</v>
      </c>
      <c r="C87" s="39">
        <f>'Data entry Oberstaufen'!C87</f>
        <v>-229284.71599999999</v>
      </c>
      <c r="D87" s="39">
        <f>'Data entry Oberstaufen'!F87</f>
        <v>-9344</v>
      </c>
      <c r="E87" s="39">
        <f>'Data entry Oberstaufen'!I87</f>
        <v>-4428</v>
      </c>
      <c r="F87" s="39">
        <f>'Data entry Oberstaufen'!L87</f>
        <v>-10817</v>
      </c>
      <c r="G87" s="39">
        <f>'Data entry Oberstaufen'!O87</f>
        <v>-22156</v>
      </c>
      <c r="H87" s="39">
        <f>'Data entry Oberstaufen'!R87</f>
        <v>-23139.791300000001</v>
      </c>
      <c r="I87" s="39">
        <f>'Data entry Oberstaufen'!U87</f>
        <v>-21783.655900000002</v>
      </c>
      <c r="J87" s="39">
        <f>'Data entry Oberstaufen'!X87</f>
        <v>-22531.2958</v>
      </c>
      <c r="K87" s="39">
        <f>'Data entry Oberstaufen'!AA87</f>
        <v>-23208.5118</v>
      </c>
      <c r="L87" s="39">
        <f>'Data entry Oberstaufen'!AD87</f>
        <v>-20308.513900000002</v>
      </c>
      <c r="M87" s="39">
        <f>'Data entry Oberstaufen'!AG87</f>
        <v>-31643.904600000002</v>
      </c>
      <c r="N87" s="39">
        <f>'Data entry Oberstaufen'!AJ87</f>
        <v>-27413.4427</v>
      </c>
      <c r="O87" s="39">
        <f>'Data entry Oberstaufen'!AM87</f>
        <v>-12510.6</v>
      </c>
    </row>
    <row r="88" spans="2:15" x14ac:dyDescent="0.15">
      <c r="B88" s="40"/>
      <c r="C88" s="39">
        <f>'Data entry Oberstaufen'!C88</f>
        <v>0</v>
      </c>
      <c r="D88" s="39">
        <f>'Data entry Oberstaufen'!F88</f>
        <v>0</v>
      </c>
      <c r="E88" s="39">
        <f>'Data entry Oberstaufen'!I88</f>
        <v>0</v>
      </c>
      <c r="F88" s="39">
        <f>'Data entry Oberstaufen'!L88</f>
        <v>0</v>
      </c>
      <c r="G88" s="39">
        <f>'Data entry Oberstaufen'!O88</f>
        <v>0</v>
      </c>
      <c r="H88" s="39">
        <f>'Data entry Oberstaufen'!R88</f>
        <v>0</v>
      </c>
      <c r="I88" s="39">
        <f>'Data entry Oberstaufen'!U88</f>
        <v>0</v>
      </c>
      <c r="J88" s="39">
        <f>'Data entry Oberstaufen'!X88</f>
        <v>0</v>
      </c>
      <c r="K88" s="39">
        <f>'Data entry Oberstaufen'!AA88</f>
        <v>0</v>
      </c>
      <c r="L88" s="39">
        <f>'Data entry Oberstaufen'!AD88</f>
        <v>0</v>
      </c>
      <c r="M88" s="39">
        <f>'Data entry Oberstaufen'!AG88</f>
        <v>0</v>
      </c>
      <c r="N88" s="39">
        <f>'Data entry Oberstaufen'!AJ88</f>
        <v>0</v>
      </c>
      <c r="O88" s="39">
        <f>'Data entry Oberstaufen'!AM88</f>
        <v>0</v>
      </c>
    </row>
    <row r="89" spans="2:15" ht="14" x14ac:dyDescent="0.15">
      <c r="B89" s="42" t="s">
        <v>23</v>
      </c>
      <c r="C89" s="39">
        <f>'Data entry Oberstaufen'!C89</f>
        <v>-323480.6691</v>
      </c>
      <c r="D89" s="39">
        <f>'Data entry Oberstaufen'!F89</f>
        <v>-117890.1</v>
      </c>
      <c r="E89" s="39">
        <f>'Data entry Oberstaufen'!I89</f>
        <v>-100391.1</v>
      </c>
      <c r="F89" s="39">
        <f>'Data entry Oberstaufen'!L89</f>
        <v>-51409.32</v>
      </c>
      <c r="G89" s="39">
        <f>'Data entry Oberstaufen'!O89</f>
        <v>-61657.58</v>
      </c>
      <c r="H89" s="39">
        <f>'Data entry Oberstaufen'!R89</f>
        <v>-15241.6325</v>
      </c>
      <c r="I89" s="39">
        <f>'Data entry Oberstaufen'!U89</f>
        <v>-34323.999799999998</v>
      </c>
      <c r="J89" s="39">
        <f>'Data entry Oberstaufen'!X89</f>
        <v>78327.031799999997</v>
      </c>
      <c r="K89" s="39">
        <f>'Data entry Oberstaufen'!AA89</f>
        <v>147892.4835</v>
      </c>
      <c r="L89" s="39">
        <f>'Data entry Oberstaufen'!AD89</f>
        <v>54790.364999999998</v>
      </c>
      <c r="M89" s="39">
        <f>'Data entry Oberstaufen'!AG89</f>
        <v>17273.391</v>
      </c>
      <c r="N89" s="39">
        <f>'Data entry Oberstaufen'!AJ89</f>
        <v>-75038.768299999996</v>
      </c>
      <c r="O89" s="39">
        <f>'Data entry Oberstaufen'!AM89</f>
        <v>-165811.43979999999</v>
      </c>
    </row>
    <row r="90" spans="2:15" x14ac:dyDescent="0.15">
      <c r="B90" s="40"/>
      <c r="C90" s="39">
        <f>'Data entry Oberstaufen'!C90</f>
        <v>0</v>
      </c>
      <c r="D90" s="39">
        <f>'Data entry Oberstaufen'!F90</f>
        <v>0</v>
      </c>
      <c r="E90" s="39">
        <f>'Data entry Oberstaufen'!I90</f>
        <v>0</v>
      </c>
      <c r="F90" s="39">
        <f>'Data entry Oberstaufen'!L90</f>
        <v>0</v>
      </c>
      <c r="G90" s="39">
        <f>'Data entry Oberstaufen'!O90</f>
        <v>0</v>
      </c>
      <c r="H90" s="39">
        <f>'Data entry Oberstaufen'!R90</f>
        <v>0</v>
      </c>
      <c r="I90" s="39">
        <f>'Data entry Oberstaufen'!U90</f>
        <v>0</v>
      </c>
      <c r="J90" s="39">
        <f>'Data entry Oberstaufen'!X90</f>
        <v>0</v>
      </c>
      <c r="K90" s="39">
        <f>'Data entry Oberstaufen'!AA90</f>
        <v>0</v>
      </c>
      <c r="L90" s="39">
        <f>'Data entry Oberstaufen'!AD90</f>
        <v>0</v>
      </c>
      <c r="M90" s="39">
        <f>'Data entry Oberstaufen'!AG90</f>
        <v>0</v>
      </c>
      <c r="N90" s="39">
        <f>'Data entry Oberstaufen'!AJ90</f>
        <v>0</v>
      </c>
      <c r="O90" s="39">
        <f>'Data entry Oberstaufen'!AM90</f>
        <v>0</v>
      </c>
    </row>
    <row r="91" spans="2:15" ht="14" x14ac:dyDescent="0.15">
      <c r="B91" s="42" t="s">
        <v>60</v>
      </c>
      <c r="C91" s="39">
        <f>'Data entry Oberstaufen'!C91</f>
        <v>0</v>
      </c>
      <c r="D91" s="39">
        <f>'Data entry Oberstaufen'!F91</f>
        <v>0</v>
      </c>
      <c r="E91" s="39">
        <f>'Data entry Oberstaufen'!I91</f>
        <v>0</v>
      </c>
      <c r="F91" s="39">
        <f>'Data entry Oberstaufen'!L91</f>
        <v>0</v>
      </c>
      <c r="G91" s="39">
        <f>'Data entry Oberstaufen'!O91</f>
        <v>0</v>
      </c>
      <c r="H91" s="39">
        <f>'Data entry Oberstaufen'!R91</f>
        <v>0</v>
      </c>
      <c r="I91" s="39">
        <f>'Data entry Oberstaufen'!U91</f>
        <v>0</v>
      </c>
      <c r="J91" s="39">
        <f>'Data entry Oberstaufen'!X91</f>
        <v>0</v>
      </c>
      <c r="K91" s="39">
        <f>'Data entry Oberstaufen'!AA91</f>
        <v>0</v>
      </c>
      <c r="L91" s="39">
        <f>'Data entry Oberstaufen'!AD91</f>
        <v>0</v>
      </c>
      <c r="M91" s="39">
        <f>'Data entry Oberstaufen'!AG91</f>
        <v>0</v>
      </c>
      <c r="N91" s="39">
        <f>'Data entry Oberstaufen'!AJ91</f>
        <v>0</v>
      </c>
      <c r="O91" s="39">
        <f>'Data entry Oberstaufen'!AM91</f>
        <v>0</v>
      </c>
    </row>
    <row r="92" spans="2:15" ht="14" x14ac:dyDescent="0.15">
      <c r="B92" s="38" t="s">
        <v>61</v>
      </c>
      <c r="C92" s="39">
        <f>'Data entry Oberstaufen'!C92</f>
        <v>0</v>
      </c>
      <c r="D92" s="39">
        <f>'Data entry Oberstaufen'!F92</f>
        <v>0</v>
      </c>
      <c r="E92" s="39">
        <f>'Data entry Oberstaufen'!I92</f>
        <v>0</v>
      </c>
      <c r="F92" s="39">
        <f>'Data entry Oberstaufen'!L92</f>
        <v>0</v>
      </c>
      <c r="G92" s="39">
        <f>'Data entry Oberstaufen'!O92</f>
        <v>0</v>
      </c>
      <c r="H92" s="39">
        <f>'Data entry Oberstaufen'!R92</f>
        <v>0</v>
      </c>
      <c r="I92" s="39">
        <f>'Data entry Oberstaufen'!U92</f>
        <v>0</v>
      </c>
      <c r="J92" s="39">
        <f>'Data entry Oberstaufen'!X92</f>
        <v>0</v>
      </c>
      <c r="K92" s="39">
        <f>'Data entry Oberstaufen'!AA92</f>
        <v>0</v>
      </c>
      <c r="L92" s="39">
        <f>'Data entry Oberstaufen'!AD92</f>
        <v>0</v>
      </c>
      <c r="M92" s="39">
        <f>'Data entry Oberstaufen'!AG92</f>
        <v>0</v>
      </c>
      <c r="N92" s="39">
        <f>'Data entry Oberstaufen'!AJ92</f>
        <v>0</v>
      </c>
      <c r="O92" s="39">
        <f>'Data entry Oberstaufen'!AM92</f>
        <v>0</v>
      </c>
    </row>
    <row r="93" spans="2:15" ht="14" x14ac:dyDescent="0.15">
      <c r="B93" s="38" t="s">
        <v>62</v>
      </c>
      <c r="C93" s="39">
        <f>'Data entry Oberstaufen'!C93</f>
        <v>0</v>
      </c>
      <c r="D93" s="39">
        <f>'Data entry Oberstaufen'!F93</f>
        <v>0</v>
      </c>
      <c r="E93" s="39">
        <f>'Data entry Oberstaufen'!I93</f>
        <v>0</v>
      </c>
      <c r="F93" s="39">
        <f>'Data entry Oberstaufen'!L93</f>
        <v>0</v>
      </c>
      <c r="G93" s="39">
        <f>'Data entry Oberstaufen'!O93</f>
        <v>0</v>
      </c>
      <c r="H93" s="39">
        <f>'Data entry Oberstaufen'!R93</f>
        <v>0</v>
      </c>
      <c r="I93" s="39">
        <f>'Data entry Oberstaufen'!U93</f>
        <v>0</v>
      </c>
      <c r="J93" s="39">
        <f>'Data entry Oberstaufen'!X93</f>
        <v>0</v>
      </c>
      <c r="K93" s="39">
        <f>'Data entry Oberstaufen'!AA93</f>
        <v>0</v>
      </c>
      <c r="L93" s="39">
        <f>'Data entry Oberstaufen'!AD93</f>
        <v>0</v>
      </c>
      <c r="M93" s="39">
        <f>'Data entry Oberstaufen'!AG93</f>
        <v>0</v>
      </c>
      <c r="N93" s="39">
        <f>'Data entry Oberstaufen'!AJ93</f>
        <v>0</v>
      </c>
      <c r="O93" s="39">
        <f>'Data entry Oberstaufen'!AM93</f>
        <v>0</v>
      </c>
    </row>
    <row r="94" spans="2:15" ht="14" x14ac:dyDescent="0.15">
      <c r="B94" s="38" t="s">
        <v>63</v>
      </c>
      <c r="C94" s="39">
        <f>'Data entry Oberstaufen'!C94</f>
        <v>0</v>
      </c>
      <c r="D94" s="39">
        <f>'Data entry Oberstaufen'!F94</f>
        <v>0</v>
      </c>
      <c r="E94" s="39">
        <f>'Data entry Oberstaufen'!I94</f>
        <v>0</v>
      </c>
      <c r="F94" s="39">
        <f>'Data entry Oberstaufen'!L94</f>
        <v>0</v>
      </c>
      <c r="G94" s="39">
        <f>'Data entry Oberstaufen'!O94</f>
        <v>0</v>
      </c>
      <c r="H94" s="39">
        <f>'Data entry Oberstaufen'!R94</f>
        <v>0</v>
      </c>
      <c r="I94" s="39">
        <f>'Data entry Oberstaufen'!U94</f>
        <v>0</v>
      </c>
      <c r="J94" s="39">
        <f>'Data entry Oberstaufen'!X94</f>
        <v>0</v>
      </c>
      <c r="K94" s="39">
        <f>'Data entry Oberstaufen'!AA94</f>
        <v>0</v>
      </c>
      <c r="L94" s="39">
        <f>'Data entry Oberstaufen'!AD94</f>
        <v>0</v>
      </c>
      <c r="M94" s="39">
        <f>'Data entry Oberstaufen'!AG94</f>
        <v>0</v>
      </c>
      <c r="N94" s="39">
        <f>'Data entry Oberstaufen'!AJ94</f>
        <v>0</v>
      </c>
      <c r="O94" s="39">
        <f>'Data entry Oberstaufen'!AM94</f>
        <v>0</v>
      </c>
    </row>
    <row r="95" spans="2:15" ht="14" x14ac:dyDescent="0.15">
      <c r="B95" s="38" t="s">
        <v>64</v>
      </c>
      <c r="C95" s="39">
        <f>'Data entry Oberstaufen'!C95</f>
        <v>0</v>
      </c>
      <c r="D95" s="39">
        <f>'Data entry Oberstaufen'!F95</f>
        <v>0</v>
      </c>
      <c r="E95" s="39">
        <f>'Data entry Oberstaufen'!I95</f>
        <v>0</v>
      </c>
      <c r="F95" s="39">
        <f>'Data entry Oberstaufen'!L95</f>
        <v>0</v>
      </c>
      <c r="G95" s="39">
        <f>'Data entry Oberstaufen'!O95</f>
        <v>0</v>
      </c>
      <c r="H95" s="39">
        <f>'Data entry Oberstaufen'!R95</f>
        <v>0</v>
      </c>
      <c r="I95" s="39">
        <f>'Data entry Oberstaufen'!U95</f>
        <v>0</v>
      </c>
      <c r="J95" s="39">
        <f>'Data entry Oberstaufen'!X95</f>
        <v>0</v>
      </c>
      <c r="K95" s="39">
        <f>'Data entry Oberstaufen'!AA95</f>
        <v>0</v>
      </c>
      <c r="L95" s="39">
        <f>'Data entry Oberstaufen'!AD95</f>
        <v>0</v>
      </c>
      <c r="M95" s="39">
        <f>'Data entry Oberstaufen'!AG95</f>
        <v>0</v>
      </c>
      <c r="N95" s="39">
        <f>'Data entry Oberstaufen'!AJ95</f>
        <v>0</v>
      </c>
      <c r="O95" s="39">
        <f>'Data entry Oberstaufen'!AM95</f>
        <v>0</v>
      </c>
    </row>
    <row r="96" spans="2:15" x14ac:dyDescent="0.15">
      <c r="B96" s="40"/>
      <c r="C96" s="39">
        <f>'Data entry Oberstaufen'!C96</f>
        <v>0</v>
      </c>
      <c r="D96" s="39">
        <f>'Data entry Oberstaufen'!F96</f>
        <v>0</v>
      </c>
      <c r="E96" s="39">
        <f>'Data entry Oberstaufen'!I96</f>
        <v>0</v>
      </c>
      <c r="F96" s="39">
        <f>'Data entry Oberstaufen'!L96</f>
        <v>0</v>
      </c>
      <c r="G96" s="39">
        <f>'Data entry Oberstaufen'!O96</f>
        <v>0</v>
      </c>
      <c r="H96" s="39">
        <f>'Data entry Oberstaufen'!R96</f>
        <v>0</v>
      </c>
      <c r="I96" s="39">
        <f>'Data entry Oberstaufen'!U96</f>
        <v>0</v>
      </c>
      <c r="J96" s="39">
        <f>'Data entry Oberstaufen'!X96</f>
        <v>0</v>
      </c>
      <c r="K96" s="39">
        <f>'Data entry Oberstaufen'!AA96</f>
        <v>0</v>
      </c>
      <c r="L96" s="39">
        <f>'Data entry Oberstaufen'!AD96</f>
        <v>0</v>
      </c>
      <c r="M96" s="39">
        <f>'Data entry Oberstaufen'!AG96</f>
        <v>0</v>
      </c>
      <c r="N96" s="39">
        <f>'Data entry Oberstaufen'!AJ96</f>
        <v>0</v>
      </c>
      <c r="O96" s="39">
        <f>'Data entry Oberstaufen'!AM96</f>
        <v>0</v>
      </c>
    </row>
    <row r="97" spans="2:15" ht="14" x14ac:dyDescent="0.15">
      <c r="B97" s="42" t="s">
        <v>65</v>
      </c>
      <c r="C97" s="39">
        <f>'Data entry Oberstaufen'!C97</f>
        <v>1760</v>
      </c>
      <c r="D97" s="39">
        <f>'Data entry Oberstaufen'!F97</f>
        <v>0</v>
      </c>
      <c r="E97" s="39">
        <f>'Data entry Oberstaufen'!I97</f>
        <v>0</v>
      </c>
      <c r="F97" s="39">
        <f>'Data entry Oberstaufen'!L97</f>
        <v>0</v>
      </c>
      <c r="G97" s="39">
        <f>'Data entry Oberstaufen'!O97</f>
        <v>0</v>
      </c>
      <c r="H97" s="39">
        <f>'Data entry Oberstaufen'!R97</f>
        <v>220</v>
      </c>
      <c r="I97" s="39">
        <f>'Data entry Oberstaufen'!U97</f>
        <v>220</v>
      </c>
      <c r="J97" s="39">
        <f>'Data entry Oberstaufen'!X97</f>
        <v>220</v>
      </c>
      <c r="K97" s="39">
        <f>'Data entry Oberstaufen'!AA97</f>
        <v>220</v>
      </c>
      <c r="L97" s="39">
        <f>'Data entry Oberstaufen'!AD97</f>
        <v>220</v>
      </c>
      <c r="M97" s="39">
        <f>'Data entry Oberstaufen'!AG97</f>
        <v>220</v>
      </c>
      <c r="N97" s="39">
        <f>'Data entry Oberstaufen'!AJ97</f>
        <v>220</v>
      </c>
      <c r="O97" s="39">
        <f>'Data entry Oberstaufen'!AM97</f>
        <v>220</v>
      </c>
    </row>
    <row r="98" spans="2:15" ht="14" x14ac:dyDescent="0.15">
      <c r="B98" s="38" t="s">
        <v>66</v>
      </c>
      <c r="C98" s="39">
        <f>'Data entry Oberstaufen'!C98</f>
        <v>0</v>
      </c>
      <c r="D98" s="39">
        <f>'Data entry Oberstaufen'!F98</f>
        <v>0</v>
      </c>
      <c r="E98" s="39">
        <f>'Data entry Oberstaufen'!I98</f>
        <v>0</v>
      </c>
      <c r="F98" s="39">
        <f>'Data entry Oberstaufen'!L98</f>
        <v>0</v>
      </c>
      <c r="G98" s="39">
        <f>'Data entry Oberstaufen'!O98</f>
        <v>0</v>
      </c>
      <c r="H98" s="39">
        <f>'Data entry Oberstaufen'!R98</f>
        <v>0</v>
      </c>
      <c r="I98" s="39">
        <f>'Data entry Oberstaufen'!U98</f>
        <v>0</v>
      </c>
      <c r="J98" s="39">
        <f>'Data entry Oberstaufen'!X98</f>
        <v>0</v>
      </c>
      <c r="K98" s="39">
        <f>'Data entry Oberstaufen'!AA98</f>
        <v>0</v>
      </c>
      <c r="L98" s="39">
        <f>'Data entry Oberstaufen'!AD98</f>
        <v>0</v>
      </c>
      <c r="M98" s="39">
        <f>'Data entry Oberstaufen'!AG98</f>
        <v>0</v>
      </c>
      <c r="N98" s="39">
        <f>'Data entry Oberstaufen'!AJ98</f>
        <v>0</v>
      </c>
      <c r="O98" s="39">
        <f>'Data entry Oberstaufen'!AM98</f>
        <v>0</v>
      </c>
    </row>
    <row r="99" spans="2:15" ht="14" x14ac:dyDescent="0.15">
      <c r="B99" s="38" t="s">
        <v>67</v>
      </c>
      <c r="C99" s="39">
        <f>'Data entry Oberstaufen'!C99</f>
        <v>1760</v>
      </c>
      <c r="D99" s="39">
        <f>'Data entry Oberstaufen'!F99</f>
        <v>0</v>
      </c>
      <c r="E99" s="39">
        <f>'Data entry Oberstaufen'!I99</f>
        <v>0</v>
      </c>
      <c r="F99" s="39">
        <f>'Data entry Oberstaufen'!L99</f>
        <v>0</v>
      </c>
      <c r="G99" s="39">
        <f>'Data entry Oberstaufen'!O99</f>
        <v>0</v>
      </c>
      <c r="H99" s="39">
        <f>'Data entry Oberstaufen'!R99</f>
        <v>220</v>
      </c>
      <c r="I99" s="39">
        <f>'Data entry Oberstaufen'!U99</f>
        <v>220</v>
      </c>
      <c r="J99" s="39">
        <f>'Data entry Oberstaufen'!X99</f>
        <v>220</v>
      </c>
      <c r="K99" s="39">
        <f>'Data entry Oberstaufen'!AA99</f>
        <v>220</v>
      </c>
      <c r="L99" s="39">
        <f>'Data entry Oberstaufen'!AD99</f>
        <v>220</v>
      </c>
      <c r="M99" s="39">
        <f>'Data entry Oberstaufen'!AG99</f>
        <v>220</v>
      </c>
      <c r="N99" s="39">
        <f>'Data entry Oberstaufen'!AJ99</f>
        <v>220</v>
      </c>
      <c r="O99" s="39">
        <f>'Data entry Oberstaufen'!AM99</f>
        <v>220</v>
      </c>
    </row>
    <row r="100" spans="2:15" x14ac:dyDescent="0.15">
      <c r="B100" s="40"/>
      <c r="C100" s="39">
        <f>'Data entry Oberstaufen'!C100</f>
        <v>0</v>
      </c>
      <c r="D100" s="39">
        <f>'Data entry Oberstaufen'!F100</f>
        <v>0</v>
      </c>
      <c r="E100" s="39">
        <f>'Data entry Oberstaufen'!I100</f>
        <v>0</v>
      </c>
      <c r="F100" s="39">
        <f>'Data entry Oberstaufen'!L100</f>
        <v>0</v>
      </c>
      <c r="G100" s="39">
        <f>'Data entry Oberstaufen'!O100</f>
        <v>0</v>
      </c>
      <c r="H100" s="39">
        <f>'Data entry Oberstaufen'!R100</f>
        <v>0</v>
      </c>
      <c r="I100" s="39">
        <f>'Data entry Oberstaufen'!U100</f>
        <v>0</v>
      </c>
      <c r="J100" s="39">
        <f>'Data entry Oberstaufen'!X100</f>
        <v>0</v>
      </c>
      <c r="K100" s="39">
        <f>'Data entry Oberstaufen'!AA100</f>
        <v>0</v>
      </c>
      <c r="L100" s="39">
        <f>'Data entry Oberstaufen'!AD100</f>
        <v>0</v>
      </c>
      <c r="M100" s="39">
        <f>'Data entry Oberstaufen'!AG100</f>
        <v>0</v>
      </c>
      <c r="N100" s="39">
        <f>'Data entry Oberstaufen'!AJ100</f>
        <v>0</v>
      </c>
      <c r="O100" s="39">
        <f>'Data entry Oberstaufen'!AM100</f>
        <v>0</v>
      </c>
    </row>
    <row r="101" spans="2:15" ht="28" x14ac:dyDescent="0.15">
      <c r="B101" s="42" t="s">
        <v>68</v>
      </c>
      <c r="C101" s="39">
        <f>'Data entry Oberstaufen'!C101</f>
        <v>-1760</v>
      </c>
      <c r="D101" s="39">
        <f>'Data entry Oberstaufen'!F101</f>
        <v>0</v>
      </c>
      <c r="E101" s="39">
        <f>'Data entry Oberstaufen'!I101</f>
        <v>0</v>
      </c>
      <c r="F101" s="39">
        <f>'Data entry Oberstaufen'!L101</f>
        <v>0</v>
      </c>
      <c r="G101" s="39">
        <f>'Data entry Oberstaufen'!O101</f>
        <v>0</v>
      </c>
      <c r="H101" s="39">
        <f>'Data entry Oberstaufen'!R101</f>
        <v>-220</v>
      </c>
      <c r="I101" s="39">
        <f>'Data entry Oberstaufen'!U101</f>
        <v>-220</v>
      </c>
      <c r="J101" s="39">
        <f>'Data entry Oberstaufen'!X101</f>
        <v>-220</v>
      </c>
      <c r="K101" s="39">
        <f>'Data entry Oberstaufen'!AA101</f>
        <v>-220</v>
      </c>
      <c r="L101" s="39">
        <f>'Data entry Oberstaufen'!AD101</f>
        <v>-220</v>
      </c>
      <c r="M101" s="39">
        <f>'Data entry Oberstaufen'!AG101</f>
        <v>-220</v>
      </c>
      <c r="N101" s="39">
        <f>'Data entry Oberstaufen'!AJ101</f>
        <v>-220</v>
      </c>
      <c r="O101" s="39">
        <f>'Data entry Oberstaufen'!AM101</f>
        <v>-220</v>
      </c>
    </row>
    <row r="102" spans="2:15" x14ac:dyDescent="0.15">
      <c r="B102" s="40"/>
      <c r="C102" s="39">
        <f>'Data entry Oberstaufen'!C102</f>
        <v>0</v>
      </c>
      <c r="D102" s="39">
        <f>'Data entry Oberstaufen'!F102</f>
        <v>0</v>
      </c>
      <c r="E102" s="39">
        <f>'Data entry Oberstaufen'!I102</f>
        <v>0</v>
      </c>
      <c r="F102" s="39">
        <f>'Data entry Oberstaufen'!L102</f>
        <v>0</v>
      </c>
      <c r="G102" s="39">
        <f>'Data entry Oberstaufen'!O102</f>
        <v>0</v>
      </c>
      <c r="H102" s="39">
        <f>'Data entry Oberstaufen'!R102</f>
        <v>0</v>
      </c>
      <c r="I102" s="39">
        <f>'Data entry Oberstaufen'!U102</f>
        <v>0</v>
      </c>
      <c r="J102" s="39">
        <f>'Data entry Oberstaufen'!X102</f>
        <v>0</v>
      </c>
      <c r="K102" s="39">
        <f>'Data entry Oberstaufen'!AA102</f>
        <v>0</v>
      </c>
      <c r="L102" s="39">
        <f>'Data entry Oberstaufen'!AD102</f>
        <v>0</v>
      </c>
      <c r="M102" s="39">
        <f>'Data entry Oberstaufen'!AG102</f>
        <v>0</v>
      </c>
      <c r="N102" s="39">
        <f>'Data entry Oberstaufen'!AJ102</f>
        <v>0</v>
      </c>
      <c r="O102" s="39">
        <f>'Data entry Oberstaufen'!AM102</f>
        <v>0</v>
      </c>
    </row>
    <row r="103" spans="2:15" ht="14" x14ac:dyDescent="0.15">
      <c r="B103" s="42" t="s">
        <v>69</v>
      </c>
      <c r="C103" s="39">
        <f>'Data entry Oberstaufen'!C103</f>
        <v>-325240.6691</v>
      </c>
      <c r="D103" s="39">
        <f>'Data entry Oberstaufen'!F103</f>
        <v>-117890.1</v>
      </c>
      <c r="E103" s="39">
        <f>'Data entry Oberstaufen'!I103</f>
        <v>-100391.1</v>
      </c>
      <c r="F103" s="39">
        <f>'Data entry Oberstaufen'!L103</f>
        <v>-51409.32</v>
      </c>
      <c r="G103" s="39">
        <f>'Data entry Oberstaufen'!O103</f>
        <v>-61657.58</v>
      </c>
      <c r="H103" s="39">
        <f>'Data entry Oberstaufen'!R103</f>
        <v>-15461.6325</v>
      </c>
      <c r="I103" s="39">
        <f>'Data entry Oberstaufen'!U103</f>
        <v>-34543.999799999998</v>
      </c>
      <c r="J103" s="39">
        <f>'Data entry Oberstaufen'!X103</f>
        <v>78107.031799999997</v>
      </c>
      <c r="K103" s="39">
        <f>'Data entry Oberstaufen'!AA103</f>
        <v>147672.4835</v>
      </c>
      <c r="L103" s="39">
        <f>'Data entry Oberstaufen'!AD103</f>
        <v>54570.364999999998</v>
      </c>
      <c r="M103" s="39">
        <f>'Data entry Oberstaufen'!AG103</f>
        <v>17053.391</v>
      </c>
      <c r="N103" s="39">
        <f>'Data entry Oberstaufen'!AJ103</f>
        <v>-75258.768299999996</v>
      </c>
      <c r="O103" s="39">
        <f>'Data entry Oberstaufen'!AM103</f>
        <v>-166031.43979999999</v>
      </c>
    </row>
    <row r="104" spans="2:15" x14ac:dyDescent="0.15">
      <c r="B104" s="40"/>
      <c r="C104" s="39">
        <f>'Data entry Oberstaufen'!C104</f>
        <v>0</v>
      </c>
      <c r="D104" s="39">
        <f>'Data entry Oberstaufen'!F104</f>
        <v>0</v>
      </c>
      <c r="E104" s="39">
        <f>'Data entry Oberstaufen'!I104</f>
        <v>0</v>
      </c>
      <c r="F104" s="39">
        <f>'Data entry Oberstaufen'!L104</f>
        <v>0</v>
      </c>
      <c r="G104" s="39">
        <f>'Data entry Oberstaufen'!O104</f>
        <v>0</v>
      </c>
      <c r="H104" s="39">
        <f>'Data entry Oberstaufen'!R104</f>
        <v>0</v>
      </c>
      <c r="I104" s="39">
        <f>'Data entry Oberstaufen'!U104</f>
        <v>0</v>
      </c>
      <c r="J104" s="39">
        <f>'Data entry Oberstaufen'!X104</f>
        <v>0</v>
      </c>
      <c r="K104" s="39">
        <f>'Data entry Oberstaufen'!AA104</f>
        <v>0</v>
      </c>
      <c r="L104" s="39">
        <f>'Data entry Oberstaufen'!AD104</f>
        <v>0</v>
      </c>
      <c r="M104" s="39">
        <f>'Data entry Oberstaufen'!AG104</f>
        <v>0</v>
      </c>
      <c r="N104" s="39">
        <f>'Data entry Oberstaufen'!AJ104</f>
        <v>0</v>
      </c>
      <c r="O104" s="39">
        <f>'Data entry Oberstaufen'!AM104</f>
        <v>0</v>
      </c>
    </row>
    <row r="105" spans="2:15" ht="14" x14ac:dyDescent="0.15">
      <c r="B105" s="42" t="s">
        <v>70</v>
      </c>
      <c r="C105" s="39">
        <f>'Data entry Oberstaufen'!C105</f>
        <v>176096.18</v>
      </c>
      <c r="D105" s="39">
        <f>'Data entry Oberstaufen'!F105</f>
        <v>4647.26</v>
      </c>
      <c r="E105" s="39">
        <f>'Data entry Oberstaufen'!I105</f>
        <v>15507.23</v>
      </c>
      <c r="F105" s="39">
        <f>'Data entry Oberstaufen'!L105</f>
        <v>10998.6</v>
      </c>
      <c r="G105" s="39">
        <f>'Data entry Oberstaufen'!O105</f>
        <v>30618.5</v>
      </c>
      <c r="H105" s="39">
        <f>'Data entry Oberstaufen'!R105</f>
        <v>17936.18</v>
      </c>
      <c r="I105" s="39">
        <f>'Data entry Oberstaufen'!U105</f>
        <v>12103.21</v>
      </c>
      <c r="J105" s="39">
        <f>'Data entry Oberstaufen'!X105</f>
        <v>12103.21</v>
      </c>
      <c r="K105" s="39">
        <f>'Data entry Oberstaufen'!AA105</f>
        <v>17936.18</v>
      </c>
      <c r="L105" s="39">
        <f>'Data entry Oberstaufen'!AD105</f>
        <v>12103.21</v>
      </c>
      <c r="M105" s="39">
        <f>'Data entry Oberstaufen'!AG105</f>
        <v>12103.21</v>
      </c>
      <c r="N105" s="39">
        <f>'Data entry Oberstaufen'!AJ105</f>
        <v>17936.18</v>
      </c>
      <c r="O105" s="39">
        <f>'Data entry Oberstaufen'!AM105</f>
        <v>12103.21</v>
      </c>
    </row>
    <row r="106" spans="2:15" ht="14" x14ac:dyDescent="0.15">
      <c r="B106" s="38" t="s">
        <v>71</v>
      </c>
      <c r="C106" s="39">
        <f>'Data entry Oberstaufen'!C106</f>
        <v>47257.34</v>
      </c>
      <c r="D106" s="39">
        <f>'Data entry Oberstaufen'!F106</f>
        <v>2702.94</v>
      </c>
      <c r="E106" s="39">
        <f>'Data entry Oberstaufen'!I106</f>
        <v>2702.94</v>
      </c>
      <c r="F106" s="39">
        <f>'Data entry Oberstaufen'!L106</f>
        <v>2702.94</v>
      </c>
      <c r="G106" s="39">
        <f>'Data entry Oberstaufen'!O106</f>
        <v>22322.84</v>
      </c>
      <c r="H106" s="39">
        <f>'Data entry Oberstaufen'!R106</f>
        <v>2103.21</v>
      </c>
      <c r="I106" s="39">
        <f>'Data entry Oberstaufen'!U106</f>
        <v>2103.21</v>
      </c>
      <c r="J106" s="39">
        <f>'Data entry Oberstaufen'!X106</f>
        <v>2103.21</v>
      </c>
      <c r="K106" s="39">
        <f>'Data entry Oberstaufen'!AA106</f>
        <v>2103.21</v>
      </c>
      <c r="L106" s="39">
        <f>'Data entry Oberstaufen'!AD106</f>
        <v>2103.21</v>
      </c>
      <c r="M106" s="39">
        <f>'Data entry Oberstaufen'!AG106</f>
        <v>2103.21</v>
      </c>
      <c r="N106" s="39">
        <f>'Data entry Oberstaufen'!AJ106</f>
        <v>2103.21</v>
      </c>
      <c r="O106" s="39">
        <f>'Data entry Oberstaufen'!AM106</f>
        <v>2103.21</v>
      </c>
    </row>
    <row r="107" spans="2:15" ht="14" x14ac:dyDescent="0.15">
      <c r="B107" s="38" t="s">
        <v>72</v>
      </c>
      <c r="C107" s="39">
        <f>'Data entry Oberstaufen'!C107</f>
        <v>0</v>
      </c>
      <c r="D107" s="39">
        <f>'Data entry Oberstaufen'!F107</f>
        <v>0</v>
      </c>
      <c r="E107" s="39">
        <f>'Data entry Oberstaufen'!I107</f>
        <v>0</v>
      </c>
      <c r="F107" s="39">
        <f>'Data entry Oberstaufen'!L107</f>
        <v>0</v>
      </c>
      <c r="G107" s="39">
        <f>'Data entry Oberstaufen'!O107</f>
        <v>0</v>
      </c>
      <c r="H107" s="39">
        <f>'Data entry Oberstaufen'!R107</f>
        <v>0</v>
      </c>
      <c r="I107" s="39">
        <f>'Data entry Oberstaufen'!U107</f>
        <v>0</v>
      </c>
      <c r="J107" s="39">
        <f>'Data entry Oberstaufen'!X107</f>
        <v>0</v>
      </c>
      <c r="K107" s="39">
        <f>'Data entry Oberstaufen'!AA107</f>
        <v>0</v>
      </c>
      <c r="L107" s="39">
        <f>'Data entry Oberstaufen'!AD107</f>
        <v>0</v>
      </c>
      <c r="M107" s="39">
        <f>'Data entry Oberstaufen'!AG107</f>
        <v>0</v>
      </c>
      <c r="N107" s="39">
        <f>'Data entry Oberstaufen'!AJ107</f>
        <v>0</v>
      </c>
      <c r="O107" s="39">
        <f>'Data entry Oberstaufen'!AM107</f>
        <v>0</v>
      </c>
    </row>
    <row r="108" spans="2:15" ht="14" x14ac:dyDescent="0.15">
      <c r="B108" s="38" t="s">
        <v>73</v>
      </c>
      <c r="C108" s="39">
        <f>'Data entry Oberstaufen'!C108</f>
        <v>99054.02</v>
      </c>
      <c r="D108" s="39">
        <f>'Data entry Oberstaufen'!F108</f>
        <v>0</v>
      </c>
      <c r="E108" s="39">
        <f>'Data entry Oberstaufen'!I108</f>
        <v>6351.34</v>
      </c>
      <c r="F108" s="39">
        <f>'Data entry Oberstaufen'!L108</f>
        <v>6351.34</v>
      </c>
      <c r="G108" s="39">
        <f>'Data entry Oberstaufen'!O108</f>
        <v>6351.34</v>
      </c>
      <c r="H108" s="39">
        <f>'Data entry Oberstaufen'!R108</f>
        <v>10000</v>
      </c>
      <c r="I108" s="39">
        <f>'Data entry Oberstaufen'!U108</f>
        <v>10000</v>
      </c>
      <c r="J108" s="39">
        <f>'Data entry Oberstaufen'!X108</f>
        <v>10000</v>
      </c>
      <c r="K108" s="39">
        <f>'Data entry Oberstaufen'!AA108</f>
        <v>10000</v>
      </c>
      <c r="L108" s="39">
        <f>'Data entry Oberstaufen'!AD108</f>
        <v>10000</v>
      </c>
      <c r="M108" s="39">
        <f>'Data entry Oberstaufen'!AG108</f>
        <v>10000</v>
      </c>
      <c r="N108" s="39">
        <f>'Data entry Oberstaufen'!AJ108</f>
        <v>10000</v>
      </c>
      <c r="O108" s="39">
        <f>'Data entry Oberstaufen'!AM108</f>
        <v>10000</v>
      </c>
    </row>
    <row r="109" spans="2:15" ht="14" x14ac:dyDescent="0.15">
      <c r="B109" s="38" t="s">
        <v>74</v>
      </c>
      <c r="C109" s="39">
        <f>'Data entry Oberstaufen'!C109</f>
        <v>0</v>
      </c>
      <c r="D109" s="39">
        <f>'Data entry Oberstaufen'!F109</f>
        <v>0</v>
      </c>
      <c r="E109" s="39">
        <f>'Data entry Oberstaufen'!I109</f>
        <v>0</v>
      </c>
      <c r="F109" s="39">
        <f>'Data entry Oberstaufen'!L109</f>
        <v>0</v>
      </c>
      <c r="G109" s="39">
        <f>'Data entry Oberstaufen'!O109</f>
        <v>0</v>
      </c>
      <c r="H109" s="39">
        <f>'Data entry Oberstaufen'!R109</f>
        <v>0</v>
      </c>
      <c r="I109" s="39">
        <f>'Data entry Oberstaufen'!U109</f>
        <v>0</v>
      </c>
      <c r="J109" s="39">
        <f>'Data entry Oberstaufen'!X109</f>
        <v>0</v>
      </c>
      <c r="K109" s="39">
        <f>'Data entry Oberstaufen'!AA109</f>
        <v>0</v>
      </c>
      <c r="L109" s="39">
        <f>'Data entry Oberstaufen'!AD109</f>
        <v>0</v>
      </c>
      <c r="M109" s="39">
        <f>'Data entry Oberstaufen'!AG109</f>
        <v>0</v>
      </c>
      <c r="N109" s="39">
        <f>'Data entry Oberstaufen'!AJ109</f>
        <v>0</v>
      </c>
      <c r="O109" s="39">
        <f>'Data entry Oberstaufen'!AM109</f>
        <v>0</v>
      </c>
    </row>
    <row r="110" spans="2:15" ht="14" x14ac:dyDescent="0.15">
      <c r="B110" s="38" t="s">
        <v>75</v>
      </c>
      <c r="C110" s="39">
        <f>'Data entry Oberstaufen'!C110</f>
        <v>29784.82</v>
      </c>
      <c r="D110" s="39">
        <f>'Data entry Oberstaufen'!F110</f>
        <v>1944.32</v>
      </c>
      <c r="E110" s="39">
        <f>'Data entry Oberstaufen'!I110</f>
        <v>6452.95</v>
      </c>
      <c r="F110" s="39">
        <f>'Data entry Oberstaufen'!L110</f>
        <v>1944.32</v>
      </c>
      <c r="G110" s="39">
        <f>'Data entry Oberstaufen'!O110</f>
        <v>1944.32</v>
      </c>
      <c r="H110" s="39">
        <f>'Data entry Oberstaufen'!R110</f>
        <v>5832.97</v>
      </c>
      <c r="I110" s="39">
        <f>'Data entry Oberstaufen'!U110</f>
        <v>0</v>
      </c>
      <c r="J110" s="39">
        <f>'Data entry Oberstaufen'!X110</f>
        <v>0</v>
      </c>
      <c r="K110" s="39">
        <f>'Data entry Oberstaufen'!AA110</f>
        <v>5832.97</v>
      </c>
      <c r="L110" s="39">
        <f>'Data entry Oberstaufen'!AD110</f>
        <v>0</v>
      </c>
      <c r="M110" s="39">
        <f>'Data entry Oberstaufen'!AG110</f>
        <v>0</v>
      </c>
      <c r="N110" s="39">
        <f>'Data entry Oberstaufen'!AJ110</f>
        <v>5832.97</v>
      </c>
      <c r="O110" s="39">
        <f>'Data entry Oberstaufen'!AM110</f>
        <v>0</v>
      </c>
    </row>
    <row r="111" spans="2:15" ht="14" x14ac:dyDescent="0.15">
      <c r="B111" s="38" t="s">
        <v>76</v>
      </c>
      <c r="C111" s="39">
        <f>'Data entry Oberstaufen'!C111</f>
        <v>0</v>
      </c>
      <c r="D111" s="39">
        <f>'Data entry Oberstaufen'!F111</f>
        <v>0</v>
      </c>
      <c r="E111" s="39">
        <f>'Data entry Oberstaufen'!I111</f>
        <v>0</v>
      </c>
      <c r="F111" s="39">
        <f>'Data entry Oberstaufen'!L111</f>
        <v>0</v>
      </c>
      <c r="G111" s="39">
        <f>'Data entry Oberstaufen'!O111</f>
        <v>0</v>
      </c>
      <c r="H111" s="39">
        <f>'Data entry Oberstaufen'!R111</f>
        <v>0</v>
      </c>
      <c r="I111" s="39">
        <f>'Data entry Oberstaufen'!U111</f>
        <v>0</v>
      </c>
      <c r="J111" s="39">
        <f>'Data entry Oberstaufen'!X111</f>
        <v>0</v>
      </c>
      <c r="K111" s="39">
        <f>'Data entry Oberstaufen'!AA111</f>
        <v>0</v>
      </c>
      <c r="L111" s="39">
        <f>'Data entry Oberstaufen'!AD111</f>
        <v>0</v>
      </c>
      <c r="M111" s="39">
        <f>'Data entry Oberstaufen'!AG111</f>
        <v>0</v>
      </c>
      <c r="N111" s="39">
        <f>'Data entry Oberstaufen'!AJ111</f>
        <v>0</v>
      </c>
      <c r="O111" s="39">
        <f>'Data entry Oberstaufen'!AM111</f>
        <v>0</v>
      </c>
    </row>
    <row r="112" spans="2:15" ht="14" x14ac:dyDescent="0.15">
      <c r="B112" s="38" t="s">
        <v>77</v>
      </c>
      <c r="C112" s="39">
        <f>'Data entry Oberstaufen'!C112</f>
        <v>0</v>
      </c>
      <c r="D112" s="39">
        <f>'Data entry Oberstaufen'!F112</f>
        <v>0</v>
      </c>
      <c r="E112" s="39">
        <f>'Data entry Oberstaufen'!I112</f>
        <v>0</v>
      </c>
      <c r="F112" s="39">
        <f>'Data entry Oberstaufen'!L112</f>
        <v>0</v>
      </c>
      <c r="G112" s="39">
        <f>'Data entry Oberstaufen'!O112</f>
        <v>0</v>
      </c>
      <c r="H112" s="39">
        <f>'Data entry Oberstaufen'!R112</f>
        <v>0</v>
      </c>
      <c r="I112" s="39">
        <f>'Data entry Oberstaufen'!U112</f>
        <v>0</v>
      </c>
      <c r="J112" s="39">
        <f>'Data entry Oberstaufen'!X112</f>
        <v>0</v>
      </c>
      <c r="K112" s="39">
        <f>'Data entry Oberstaufen'!AA112</f>
        <v>0</v>
      </c>
      <c r="L112" s="39">
        <f>'Data entry Oberstaufen'!AD112</f>
        <v>0</v>
      </c>
      <c r="M112" s="39">
        <f>'Data entry Oberstaufen'!AG112</f>
        <v>0</v>
      </c>
      <c r="N112" s="39">
        <f>'Data entry Oberstaufen'!AJ112</f>
        <v>0</v>
      </c>
      <c r="O112" s="39">
        <f>'Data entry Oberstaufen'!AM112</f>
        <v>0</v>
      </c>
    </row>
    <row r="113" spans="2:15" ht="14" x14ac:dyDescent="0.15">
      <c r="B113" s="38" t="s">
        <v>78</v>
      </c>
      <c r="C113" s="39">
        <f>'Data entry Oberstaufen'!C113</f>
        <v>0</v>
      </c>
      <c r="D113" s="39">
        <f>'Data entry Oberstaufen'!F113</f>
        <v>0</v>
      </c>
      <c r="E113" s="39">
        <f>'Data entry Oberstaufen'!I113</f>
        <v>0</v>
      </c>
      <c r="F113" s="39">
        <f>'Data entry Oberstaufen'!L113</f>
        <v>0</v>
      </c>
      <c r="G113" s="39">
        <f>'Data entry Oberstaufen'!O113</f>
        <v>0</v>
      </c>
      <c r="H113" s="39">
        <f>'Data entry Oberstaufen'!R113</f>
        <v>0</v>
      </c>
      <c r="I113" s="39">
        <f>'Data entry Oberstaufen'!U113</f>
        <v>0</v>
      </c>
      <c r="J113" s="39">
        <f>'Data entry Oberstaufen'!X113</f>
        <v>0</v>
      </c>
      <c r="K113" s="39">
        <f>'Data entry Oberstaufen'!AA113</f>
        <v>0</v>
      </c>
      <c r="L113" s="39">
        <f>'Data entry Oberstaufen'!AD113</f>
        <v>0</v>
      </c>
      <c r="M113" s="39">
        <f>'Data entry Oberstaufen'!AG113</f>
        <v>0</v>
      </c>
      <c r="N113" s="39">
        <f>'Data entry Oberstaufen'!AJ113</f>
        <v>0</v>
      </c>
      <c r="O113" s="39">
        <f>'Data entry Oberstaufen'!AM113</f>
        <v>0</v>
      </c>
    </row>
    <row r="114" spans="2:15" ht="14" x14ac:dyDescent="0.15">
      <c r="B114" s="38" t="s">
        <v>79</v>
      </c>
      <c r="C114" s="39">
        <f>'Data entry Oberstaufen'!C114</f>
        <v>0</v>
      </c>
      <c r="D114" s="39">
        <f>'Data entry Oberstaufen'!F114</f>
        <v>0</v>
      </c>
      <c r="E114" s="39">
        <f>'Data entry Oberstaufen'!I114</f>
        <v>0</v>
      </c>
      <c r="F114" s="39">
        <f>'Data entry Oberstaufen'!L114</f>
        <v>0</v>
      </c>
      <c r="G114" s="39">
        <f>'Data entry Oberstaufen'!O114</f>
        <v>0</v>
      </c>
      <c r="H114" s="39">
        <f>'Data entry Oberstaufen'!R114</f>
        <v>0</v>
      </c>
      <c r="I114" s="39">
        <f>'Data entry Oberstaufen'!U114</f>
        <v>0</v>
      </c>
      <c r="J114" s="39">
        <f>'Data entry Oberstaufen'!X114</f>
        <v>0</v>
      </c>
      <c r="K114" s="39">
        <f>'Data entry Oberstaufen'!AA114</f>
        <v>0</v>
      </c>
      <c r="L114" s="39">
        <f>'Data entry Oberstaufen'!AD114</f>
        <v>0</v>
      </c>
      <c r="M114" s="39">
        <f>'Data entry Oberstaufen'!AG114</f>
        <v>0</v>
      </c>
      <c r="N114" s="39">
        <f>'Data entry Oberstaufen'!AJ114</f>
        <v>0</v>
      </c>
      <c r="O114" s="39">
        <f>'Data entry Oberstaufen'!AM114</f>
        <v>0</v>
      </c>
    </row>
    <row r="115" spans="2:15" ht="14" x14ac:dyDescent="0.15">
      <c r="B115" s="38" t="s">
        <v>80</v>
      </c>
      <c r="C115" s="39">
        <f>'Data entry Oberstaufen'!C115</f>
        <v>0</v>
      </c>
      <c r="D115" s="39">
        <f>'Data entry Oberstaufen'!F115</f>
        <v>0</v>
      </c>
      <c r="E115" s="39">
        <f>'Data entry Oberstaufen'!I115</f>
        <v>0</v>
      </c>
      <c r="F115" s="39">
        <f>'Data entry Oberstaufen'!L115</f>
        <v>0</v>
      </c>
      <c r="G115" s="39">
        <f>'Data entry Oberstaufen'!O115</f>
        <v>0</v>
      </c>
      <c r="H115" s="39">
        <f>'Data entry Oberstaufen'!R115</f>
        <v>0</v>
      </c>
      <c r="I115" s="39">
        <f>'Data entry Oberstaufen'!U115</f>
        <v>0</v>
      </c>
      <c r="J115" s="39">
        <f>'Data entry Oberstaufen'!X115</f>
        <v>0</v>
      </c>
      <c r="K115" s="39">
        <f>'Data entry Oberstaufen'!AA115</f>
        <v>0</v>
      </c>
      <c r="L115" s="39">
        <f>'Data entry Oberstaufen'!AD115</f>
        <v>0</v>
      </c>
      <c r="M115" s="39">
        <f>'Data entry Oberstaufen'!AG115</f>
        <v>0</v>
      </c>
      <c r="N115" s="39">
        <f>'Data entry Oberstaufen'!AJ115</f>
        <v>0</v>
      </c>
      <c r="O115" s="39">
        <f>'Data entry Oberstaufen'!AM115</f>
        <v>0</v>
      </c>
    </row>
    <row r="116" spans="2:15" x14ac:dyDescent="0.15">
      <c r="B116" s="40"/>
      <c r="C116" s="39">
        <f>'Data entry Oberstaufen'!C116</f>
        <v>0</v>
      </c>
      <c r="D116" s="39">
        <f>'Data entry Oberstaufen'!F116</f>
        <v>0</v>
      </c>
      <c r="E116" s="39">
        <f>'Data entry Oberstaufen'!I116</f>
        <v>0</v>
      </c>
      <c r="F116" s="39">
        <f>'Data entry Oberstaufen'!L116</f>
        <v>0</v>
      </c>
      <c r="G116" s="39">
        <f>'Data entry Oberstaufen'!O116</f>
        <v>0</v>
      </c>
      <c r="H116" s="39">
        <f>'Data entry Oberstaufen'!R116</f>
        <v>0</v>
      </c>
      <c r="I116" s="39">
        <f>'Data entry Oberstaufen'!U116</f>
        <v>0</v>
      </c>
      <c r="J116" s="39">
        <f>'Data entry Oberstaufen'!X116</f>
        <v>0</v>
      </c>
      <c r="K116" s="39">
        <f>'Data entry Oberstaufen'!AA116</f>
        <v>0</v>
      </c>
      <c r="L116" s="39">
        <f>'Data entry Oberstaufen'!AD116</f>
        <v>0</v>
      </c>
      <c r="M116" s="39">
        <f>'Data entry Oberstaufen'!AG116</f>
        <v>0</v>
      </c>
      <c r="N116" s="39">
        <f>'Data entry Oberstaufen'!AJ116</f>
        <v>0</v>
      </c>
      <c r="O116" s="39">
        <f>'Data entry Oberstaufen'!AM116</f>
        <v>0</v>
      </c>
    </row>
    <row r="117" spans="2:15" ht="14" x14ac:dyDescent="0.15">
      <c r="B117" s="42" t="s">
        <v>81</v>
      </c>
      <c r="C117" s="39">
        <f>'Data entry Oberstaufen'!C117</f>
        <v>0</v>
      </c>
      <c r="D117" s="39">
        <f>'Data entry Oberstaufen'!F117</f>
        <v>0</v>
      </c>
      <c r="E117" s="39">
        <f>'Data entry Oberstaufen'!I117</f>
        <v>0</v>
      </c>
      <c r="F117" s="39">
        <f>'Data entry Oberstaufen'!L117</f>
        <v>0</v>
      </c>
      <c r="G117" s="39">
        <f>'Data entry Oberstaufen'!O117</f>
        <v>0</v>
      </c>
      <c r="H117" s="39">
        <f>'Data entry Oberstaufen'!R117</f>
        <v>0</v>
      </c>
      <c r="I117" s="39">
        <f>'Data entry Oberstaufen'!U117</f>
        <v>0</v>
      </c>
      <c r="J117" s="39">
        <f>'Data entry Oberstaufen'!X117</f>
        <v>0</v>
      </c>
      <c r="K117" s="39">
        <f>'Data entry Oberstaufen'!AA117</f>
        <v>0</v>
      </c>
      <c r="L117" s="39">
        <f>'Data entry Oberstaufen'!AD117</f>
        <v>0</v>
      </c>
      <c r="M117" s="39">
        <f>'Data entry Oberstaufen'!AG117</f>
        <v>0</v>
      </c>
      <c r="N117" s="39">
        <f>'Data entry Oberstaufen'!AJ117</f>
        <v>0</v>
      </c>
      <c r="O117" s="39">
        <f>'Data entry Oberstaufen'!AM117</f>
        <v>0</v>
      </c>
    </row>
    <row r="118" spans="2:15" ht="14" x14ac:dyDescent="0.15">
      <c r="B118" s="38" t="s">
        <v>82</v>
      </c>
      <c r="C118" s="39">
        <f>'Data entry Oberstaufen'!C118</f>
        <v>0</v>
      </c>
      <c r="D118" s="39">
        <f>'Data entry Oberstaufen'!F118</f>
        <v>0</v>
      </c>
      <c r="E118" s="39">
        <f>'Data entry Oberstaufen'!I118</f>
        <v>0</v>
      </c>
      <c r="F118" s="39">
        <f>'Data entry Oberstaufen'!L118</f>
        <v>0</v>
      </c>
      <c r="G118" s="39">
        <f>'Data entry Oberstaufen'!O118</f>
        <v>0</v>
      </c>
      <c r="H118" s="39">
        <f>'Data entry Oberstaufen'!R118</f>
        <v>0</v>
      </c>
      <c r="I118" s="39">
        <f>'Data entry Oberstaufen'!U118</f>
        <v>0</v>
      </c>
      <c r="J118" s="39">
        <f>'Data entry Oberstaufen'!X118</f>
        <v>0</v>
      </c>
      <c r="K118" s="39">
        <f>'Data entry Oberstaufen'!AA118</f>
        <v>0</v>
      </c>
      <c r="L118" s="39">
        <f>'Data entry Oberstaufen'!AD118</f>
        <v>0</v>
      </c>
      <c r="M118" s="39">
        <f>'Data entry Oberstaufen'!AG118</f>
        <v>0</v>
      </c>
      <c r="N118" s="39">
        <f>'Data entry Oberstaufen'!AJ118</f>
        <v>0</v>
      </c>
      <c r="O118" s="39">
        <f>'Data entry Oberstaufen'!AM118</f>
        <v>0</v>
      </c>
    </row>
    <row r="119" spans="2:15" ht="14" x14ac:dyDescent="0.15">
      <c r="B119" s="38" t="s">
        <v>83</v>
      </c>
      <c r="C119" s="39">
        <f>'Data entry Oberstaufen'!C119</f>
        <v>0</v>
      </c>
      <c r="D119" s="39">
        <f>'Data entry Oberstaufen'!F119</f>
        <v>0</v>
      </c>
      <c r="E119" s="39">
        <f>'Data entry Oberstaufen'!I119</f>
        <v>0</v>
      </c>
      <c r="F119" s="39">
        <f>'Data entry Oberstaufen'!L119</f>
        <v>0</v>
      </c>
      <c r="G119" s="39">
        <f>'Data entry Oberstaufen'!O119</f>
        <v>0</v>
      </c>
      <c r="H119" s="39">
        <f>'Data entry Oberstaufen'!R119</f>
        <v>0</v>
      </c>
      <c r="I119" s="39">
        <f>'Data entry Oberstaufen'!U119</f>
        <v>0</v>
      </c>
      <c r="J119" s="39">
        <f>'Data entry Oberstaufen'!X119</f>
        <v>0</v>
      </c>
      <c r="K119" s="39">
        <f>'Data entry Oberstaufen'!AA119</f>
        <v>0</v>
      </c>
      <c r="L119" s="39">
        <f>'Data entry Oberstaufen'!AD119</f>
        <v>0</v>
      </c>
      <c r="M119" s="39">
        <f>'Data entry Oberstaufen'!AG119</f>
        <v>0</v>
      </c>
      <c r="N119" s="39">
        <f>'Data entry Oberstaufen'!AJ119</f>
        <v>0</v>
      </c>
      <c r="O119" s="39">
        <f>'Data entry Oberstaufen'!AM119</f>
        <v>0</v>
      </c>
    </row>
    <row r="120" spans="2:15" x14ac:dyDescent="0.15">
      <c r="B120" s="40"/>
      <c r="C120" s="39">
        <f>'Data entry Oberstaufen'!C120</f>
        <v>0</v>
      </c>
      <c r="D120" s="39">
        <f>'Data entry Oberstaufen'!F120</f>
        <v>0</v>
      </c>
      <c r="E120" s="39">
        <f>'Data entry Oberstaufen'!I120</f>
        <v>0</v>
      </c>
      <c r="F120" s="39">
        <f>'Data entry Oberstaufen'!L120</f>
        <v>0</v>
      </c>
      <c r="G120" s="39">
        <f>'Data entry Oberstaufen'!O120</f>
        <v>0</v>
      </c>
      <c r="H120" s="39">
        <f>'Data entry Oberstaufen'!R120</f>
        <v>0</v>
      </c>
      <c r="I120" s="39">
        <f>'Data entry Oberstaufen'!U120</f>
        <v>0</v>
      </c>
      <c r="J120" s="39">
        <f>'Data entry Oberstaufen'!X120</f>
        <v>0</v>
      </c>
      <c r="K120" s="39">
        <f>'Data entry Oberstaufen'!AA120</f>
        <v>0</v>
      </c>
      <c r="L120" s="39">
        <f>'Data entry Oberstaufen'!AD120</f>
        <v>0</v>
      </c>
      <c r="M120" s="39">
        <f>'Data entry Oberstaufen'!AG120</f>
        <v>0</v>
      </c>
      <c r="N120" s="39">
        <f>'Data entry Oberstaufen'!AJ120</f>
        <v>0</v>
      </c>
      <c r="O120" s="39">
        <f>'Data entry Oberstaufen'!AM120</f>
        <v>0</v>
      </c>
    </row>
    <row r="121" spans="2:15" ht="14" x14ac:dyDescent="0.15">
      <c r="B121" s="42" t="s">
        <v>84</v>
      </c>
      <c r="C121" s="39">
        <f>'Data entry Oberstaufen'!C121</f>
        <v>-501336.84909999999</v>
      </c>
      <c r="D121" s="39">
        <f>'Data entry Oberstaufen'!F121</f>
        <v>-122537.36</v>
      </c>
      <c r="E121" s="39">
        <f>'Data entry Oberstaufen'!I121</f>
        <v>-115898.33</v>
      </c>
      <c r="F121" s="39">
        <f>'Data entry Oberstaufen'!L121</f>
        <v>-62407.92</v>
      </c>
      <c r="G121" s="39">
        <f>'Data entry Oberstaufen'!O121</f>
        <v>-92276.08</v>
      </c>
      <c r="H121" s="39">
        <f>'Data entry Oberstaufen'!R121</f>
        <v>-33397.8125</v>
      </c>
      <c r="I121" s="39">
        <f>'Data entry Oberstaufen'!U121</f>
        <v>-46647.209799999997</v>
      </c>
      <c r="J121" s="39">
        <f>'Data entry Oberstaufen'!X121</f>
        <v>66003.821800000005</v>
      </c>
      <c r="K121" s="39">
        <f>'Data entry Oberstaufen'!AA121</f>
        <v>129736.30349999999</v>
      </c>
      <c r="L121" s="39">
        <f>'Data entry Oberstaufen'!AD121</f>
        <v>42467.154999999999</v>
      </c>
      <c r="M121" s="39">
        <f>'Data entry Oberstaufen'!AG121</f>
        <v>4950.1809999999996</v>
      </c>
      <c r="N121" s="39">
        <f>'Data entry Oberstaufen'!AJ121</f>
        <v>-93194.948300000004</v>
      </c>
      <c r="O121" s="39">
        <f>'Data entry Oberstaufen'!AM121</f>
        <v>-178134.64980000001</v>
      </c>
    </row>
    <row r="122" spans="2:15" ht="14" x14ac:dyDescent="0.15">
      <c r="B122" s="38" t="s">
        <v>85</v>
      </c>
      <c r="C122" s="39">
        <f>'Data entry Oberstaufen'!C122</f>
        <v>0</v>
      </c>
      <c r="D122" s="39">
        <f>'Data entry Oberstaufen'!F122</f>
        <v>0</v>
      </c>
      <c r="E122" s="39">
        <f>'Data entry Oberstaufen'!I122</f>
        <v>0</v>
      </c>
      <c r="F122" s="39">
        <f>'Data entry Oberstaufen'!L122</f>
        <v>0</v>
      </c>
      <c r="G122" s="39">
        <f>'Data entry Oberstaufen'!O122</f>
        <v>0</v>
      </c>
      <c r="H122" s="39">
        <f>'Data entry Oberstaufen'!R122</f>
        <v>0</v>
      </c>
      <c r="I122" s="39">
        <f>'Data entry Oberstaufen'!U122</f>
        <v>0</v>
      </c>
      <c r="J122" s="39">
        <f>'Data entry Oberstaufen'!X122</f>
        <v>0</v>
      </c>
      <c r="K122" s="39">
        <f>'Data entry Oberstaufen'!AA122</f>
        <v>0</v>
      </c>
      <c r="L122" s="39">
        <f>'Data entry Oberstaufen'!AD122</f>
        <v>0</v>
      </c>
      <c r="M122" s="39">
        <f>'Data entry Oberstaufen'!AG122</f>
        <v>0</v>
      </c>
      <c r="N122" s="39">
        <f>'Data entry Oberstaufen'!AJ122</f>
        <v>0</v>
      </c>
      <c r="O122" s="39">
        <f>'Data entry Oberstaufen'!AM122</f>
        <v>0</v>
      </c>
    </row>
    <row r="123" spans="2:15" x14ac:dyDescent="0.15">
      <c r="B123" s="40"/>
      <c r="C123" s="39">
        <f>'Data entry Oberstaufen'!C123</f>
        <v>0</v>
      </c>
      <c r="D123" s="39">
        <f>'Data entry Oberstaufen'!F123</f>
        <v>0</v>
      </c>
      <c r="E123" s="39">
        <f>'Data entry Oberstaufen'!I123</f>
        <v>0</v>
      </c>
      <c r="F123" s="39">
        <f>'Data entry Oberstaufen'!L123</f>
        <v>0</v>
      </c>
      <c r="G123" s="39">
        <f>'Data entry Oberstaufen'!O123</f>
        <v>0</v>
      </c>
      <c r="H123" s="39">
        <f>'Data entry Oberstaufen'!R123</f>
        <v>0</v>
      </c>
      <c r="I123" s="39">
        <f>'Data entry Oberstaufen'!U123</f>
        <v>0</v>
      </c>
      <c r="J123" s="39">
        <f>'Data entry Oberstaufen'!X123</f>
        <v>0</v>
      </c>
      <c r="K123" s="39">
        <f>'Data entry Oberstaufen'!AA123</f>
        <v>0</v>
      </c>
      <c r="L123" s="39">
        <f>'Data entry Oberstaufen'!AD123</f>
        <v>0</v>
      </c>
      <c r="M123" s="39">
        <f>'Data entry Oberstaufen'!AG123</f>
        <v>0</v>
      </c>
      <c r="N123" s="39">
        <f>'Data entry Oberstaufen'!AJ123</f>
        <v>0</v>
      </c>
      <c r="O123" s="39">
        <f>'Data entry Oberstaufen'!AM123</f>
        <v>0</v>
      </c>
    </row>
    <row r="124" spans="2:15" ht="14" x14ac:dyDescent="0.15">
      <c r="B124" s="42" t="s">
        <v>86</v>
      </c>
      <c r="C124" s="39">
        <f>'Data entry Oberstaufen'!C124</f>
        <v>-501336.84909999999</v>
      </c>
      <c r="D124" s="39">
        <f>'Data entry Oberstaufen'!F124</f>
        <v>-122537.36</v>
      </c>
      <c r="E124" s="39">
        <f>'Data entry Oberstaufen'!I124</f>
        <v>-115898.33</v>
      </c>
      <c r="F124" s="39">
        <f>'Data entry Oberstaufen'!L124</f>
        <v>-62407.92</v>
      </c>
      <c r="G124" s="39">
        <f>'Data entry Oberstaufen'!O124</f>
        <v>-92276.08</v>
      </c>
      <c r="H124" s="39">
        <f>'Data entry Oberstaufen'!R124</f>
        <v>-33397.8125</v>
      </c>
      <c r="I124" s="39">
        <f>'Data entry Oberstaufen'!U124</f>
        <v>-46647.209799999997</v>
      </c>
      <c r="J124" s="39">
        <f>'Data entry Oberstaufen'!X124</f>
        <v>66003.821800000005</v>
      </c>
      <c r="K124" s="39">
        <f>'Data entry Oberstaufen'!AA124</f>
        <v>129736.30349999999</v>
      </c>
      <c r="L124" s="39">
        <f>'Data entry Oberstaufen'!AD124</f>
        <v>42467.154999999999</v>
      </c>
      <c r="M124" s="39">
        <f>'Data entry Oberstaufen'!AG124</f>
        <v>4950.1809999999996</v>
      </c>
      <c r="N124" s="39">
        <f>'Data entry Oberstaufen'!AJ124</f>
        <v>-93194.948300000004</v>
      </c>
      <c r="O124" s="39">
        <f>'Data entry Oberstaufen'!AM124</f>
        <v>-178134.64980000001</v>
      </c>
    </row>
    <row r="125" spans="2:15" ht="14" x14ac:dyDescent="0.15">
      <c r="B125" s="38" t="s">
        <v>87</v>
      </c>
      <c r="C125" s="39">
        <f>'Data entry Oberstaufen'!C125</f>
        <v>0</v>
      </c>
      <c r="D125" s="39">
        <f>'Data entry Oberstaufen'!F125</f>
        <v>0</v>
      </c>
      <c r="E125" s="39">
        <f>'Data entry Oberstaufen'!I125</f>
        <v>0</v>
      </c>
      <c r="F125" s="39">
        <f>'Data entry Oberstaufen'!L125</f>
        <v>0</v>
      </c>
      <c r="G125" s="39">
        <f>'Data entry Oberstaufen'!O125</f>
        <v>0</v>
      </c>
      <c r="H125" s="39">
        <f>'Data entry Oberstaufen'!R125</f>
        <v>0</v>
      </c>
      <c r="I125" s="39">
        <f>'Data entry Oberstaufen'!U125</f>
        <v>0</v>
      </c>
      <c r="J125" s="39">
        <f>'Data entry Oberstaufen'!X125</f>
        <v>0</v>
      </c>
      <c r="K125" s="39">
        <f>'Data entry Oberstaufen'!AA125</f>
        <v>0</v>
      </c>
      <c r="L125" s="39">
        <f>'Data entry Oberstaufen'!AD125</f>
        <v>0</v>
      </c>
      <c r="M125" s="39">
        <f>'Data entry Oberstaufen'!AG125</f>
        <v>0</v>
      </c>
      <c r="N125" s="39">
        <f>'Data entry Oberstaufen'!AJ125</f>
        <v>0</v>
      </c>
      <c r="O125" s="39">
        <f>'Data entry Oberstaufen'!AM125</f>
        <v>0</v>
      </c>
    </row>
    <row r="126" spans="2:15" x14ac:dyDescent="0.15">
      <c r="B126" s="40"/>
      <c r="C126" s="39">
        <f>'Data entry Oberstaufen'!C126</f>
        <v>0</v>
      </c>
      <c r="D126" s="39">
        <f>'Data entry Oberstaufen'!F126</f>
        <v>0</v>
      </c>
      <c r="E126" s="39">
        <f>'Data entry Oberstaufen'!I126</f>
        <v>0</v>
      </c>
      <c r="F126" s="39">
        <f>'Data entry Oberstaufen'!L126</f>
        <v>0</v>
      </c>
      <c r="G126" s="39">
        <f>'Data entry Oberstaufen'!O126</f>
        <v>0</v>
      </c>
      <c r="H126" s="39">
        <f>'Data entry Oberstaufen'!R126</f>
        <v>0</v>
      </c>
      <c r="I126" s="39">
        <f>'Data entry Oberstaufen'!U126</f>
        <v>0</v>
      </c>
      <c r="J126" s="39">
        <f>'Data entry Oberstaufen'!X126</f>
        <v>0</v>
      </c>
      <c r="K126" s="39">
        <f>'Data entry Oberstaufen'!AA126</f>
        <v>0</v>
      </c>
      <c r="L126" s="39">
        <f>'Data entry Oberstaufen'!AD126</f>
        <v>0</v>
      </c>
      <c r="M126" s="39">
        <f>'Data entry Oberstaufen'!AG126</f>
        <v>0</v>
      </c>
      <c r="N126" s="39">
        <f>'Data entry Oberstaufen'!AJ126</f>
        <v>0</v>
      </c>
      <c r="O126" s="39">
        <f>'Data entry Oberstaufen'!AM126</f>
        <v>0</v>
      </c>
    </row>
    <row r="127" spans="2:15" ht="14" x14ac:dyDescent="0.15">
      <c r="B127" s="42" t="s">
        <v>88</v>
      </c>
      <c r="C127" s="39">
        <f>'Data entry Oberstaufen'!C127</f>
        <v>-501336.84909999999</v>
      </c>
      <c r="D127" s="39">
        <f>'Data entry Oberstaufen'!F127</f>
        <v>-122537.36</v>
      </c>
      <c r="E127" s="39">
        <f>'Data entry Oberstaufen'!I127</f>
        <v>-115898.33</v>
      </c>
      <c r="F127" s="39">
        <f>'Data entry Oberstaufen'!L127</f>
        <v>-62407.92</v>
      </c>
      <c r="G127" s="39">
        <f>'Data entry Oberstaufen'!O127</f>
        <v>-92276.08</v>
      </c>
      <c r="H127" s="39">
        <f>'Data entry Oberstaufen'!R127</f>
        <v>-33397.8125</v>
      </c>
      <c r="I127" s="39">
        <f>'Data entry Oberstaufen'!U127</f>
        <v>-46647.209799999997</v>
      </c>
      <c r="J127" s="39">
        <f>'Data entry Oberstaufen'!X127</f>
        <v>66003.821800000005</v>
      </c>
      <c r="K127" s="39">
        <f>'Data entry Oberstaufen'!AA127</f>
        <v>129736.30349999999</v>
      </c>
      <c r="L127" s="39">
        <f>'Data entry Oberstaufen'!AD127</f>
        <v>42467.154999999999</v>
      </c>
      <c r="M127" s="39">
        <f>'Data entry Oberstaufen'!AG127</f>
        <v>4950.1809999999996</v>
      </c>
      <c r="N127" s="39">
        <f>'Data entry Oberstaufen'!AJ127</f>
        <v>-93194.948300000004</v>
      </c>
      <c r="O127" s="39">
        <f>'Data entry Oberstaufen'!AM127</f>
        <v>-178134.64980000001</v>
      </c>
    </row>
    <row r="128" spans="2:15" x14ac:dyDescent="0.15">
      <c r="B128" s="40"/>
      <c r="C128" s="39">
        <f>'Data entry Oberstaufen'!C128</f>
        <v>0</v>
      </c>
      <c r="D128" s="39">
        <f>'Data entry Oberstaufen'!F128</f>
        <v>0</v>
      </c>
      <c r="E128" s="39">
        <f>'Data entry Oberstaufen'!I128</f>
        <v>0</v>
      </c>
      <c r="F128" s="39">
        <f>'Data entry Oberstaufen'!L128</f>
        <v>0</v>
      </c>
      <c r="G128" s="39">
        <f>'Data entry Oberstaufen'!O128</f>
        <v>0</v>
      </c>
      <c r="H128" s="39">
        <f>'Data entry Oberstaufen'!R128</f>
        <v>0</v>
      </c>
      <c r="I128" s="39">
        <f>'Data entry Oberstaufen'!U128</f>
        <v>0</v>
      </c>
      <c r="J128" s="39">
        <f>'Data entry Oberstaufen'!X128</f>
        <v>0</v>
      </c>
      <c r="K128" s="39">
        <f>'Data entry Oberstaufen'!AA128</f>
        <v>0</v>
      </c>
      <c r="L128" s="39">
        <f>'Data entry Oberstaufen'!AD128</f>
        <v>0</v>
      </c>
      <c r="M128" s="39">
        <f>'Data entry Oberstaufen'!AG128</f>
        <v>0</v>
      </c>
      <c r="N128" s="39">
        <f>'Data entry Oberstaufen'!AJ128</f>
        <v>0</v>
      </c>
      <c r="O128" s="39">
        <f>'Data entry Oberstaufen'!AM128</f>
        <v>0</v>
      </c>
    </row>
    <row r="129" spans="2:15" ht="14" x14ac:dyDescent="0.15">
      <c r="B129" s="42" t="s">
        <v>89</v>
      </c>
      <c r="C129" s="39">
        <f>'Data entry Oberstaufen'!C129</f>
        <v>76006.380600000004</v>
      </c>
      <c r="D129" s="39">
        <f>'Data entry Oberstaufen'!F129</f>
        <v>1569.45</v>
      </c>
      <c r="E129" s="39">
        <f>'Data entry Oberstaufen'!I129</f>
        <v>7122.64</v>
      </c>
      <c r="F129" s="39">
        <f>'Data entry Oberstaufen'!L129</f>
        <v>4716.04</v>
      </c>
      <c r="G129" s="39">
        <f>'Data entry Oberstaufen'!O129</f>
        <v>5779.15</v>
      </c>
      <c r="H129" s="39">
        <f>'Data entry Oberstaufen'!R129</f>
        <v>6739.1760999999997</v>
      </c>
      <c r="I129" s="39">
        <f>'Data entry Oberstaufen'!U129</f>
        <v>6672.1001999999999</v>
      </c>
      <c r="J129" s="39">
        <f>'Data entry Oberstaufen'!X129</f>
        <v>8810.5548999999992</v>
      </c>
      <c r="K129" s="39">
        <f>'Data entry Oberstaufen'!AA129</f>
        <v>10886.7348</v>
      </c>
      <c r="L129" s="39">
        <f>'Data entry Oberstaufen'!AD129</f>
        <v>8297.6353999999992</v>
      </c>
      <c r="M129" s="39">
        <f>'Data entry Oberstaufen'!AG129</f>
        <v>7982.7266</v>
      </c>
      <c r="N129" s="39">
        <f>'Data entry Oberstaufen'!AJ129</f>
        <v>5510.7745999999997</v>
      </c>
      <c r="O129" s="39">
        <f>'Data entry Oberstaufen'!AM129</f>
        <v>1919.3979999999999</v>
      </c>
    </row>
    <row r="130" spans="2:15" ht="14" x14ac:dyDescent="0.15">
      <c r="B130" s="38" t="s">
        <v>90</v>
      </c>
      <c r="C130" s="39">
        <f>'Data entry Oberstaufen'!C130</f>
        <v>76006.380600000004</v>
      </c>
      <c r="D130" s="39">
        <f>'Data entry Oberstaufen'!F130</f>
        <v>1569.45</v>
      </c>
      <c r="E130" s="39">
        <f>'Data entry Oberstaufen'!I130</f>
        <v>7122.64</v>
      </c>
      <c r="F130" s="39">
        <f>'Data entry Oberstaufen'!L130</f>
        <v>4716.04</v>
      </c>
      <c r="G130" s="39">
        <f>'Data entry Oberstaufen'!O130</f>
        <v>5779.15</v>
      </c>
      <c r="H130" s="39">
        <f>'Data entry Oberstaufen'!R130</f>
        <v>6739.1760999999997</v>
      </c>
      <c r="I130" s="39">
        <f>'Data entry Oberstaufen'!U130</f>
        <v>6672.1001999999999</v>
      </c>
      <c r="J130" s="39">
        <f>'Data entry Oberstaufen'!X130</f>
        <v>8810.5548999999992</v>
      </c>
      <c r="K130" s="39">
        <f>'Data entry Oberstaufen'!AA130</f>
        <v>10886.7348</v>
      </c>
      <c r="L130" s="39">
        <f>'Data entry Oberstaufen'!AD130</f>
        <v>8297.6353999999992</v>
      </c>
      <c r="M130" s="39">
        <f>'Data entry Oberstaufen'!AG130</f>
        <v>7982.7266</v>
      </c>
      <c r="N130" s="39">
        <f>'Data entry Oberstaufen'!AJ130</f>
        <v>5510.7745999999997</v>
      </c>
      <c r="O130" s="39">
        <f>'Data entry Oberstaufen'!AM130</f>
        <v>1919.3979999999999</v>
      </c>
    </row>
    <row r="131" spans="2:15" ht="14" x14ac:dyDescent="0.15">
      <c r="B131" s="38" t="s">
        <v>91</v>
      </c>
      <c r="C131" s="39">
        <f>'Data entry Oberstaufen'!C131</f>
        <v>0</v>
      </c>
      <c r="D131" s="39">
        <f>'Data entry Oberstaufen'!F131</f>
        <v>0</v>
      </c>
      <c r="E131" s="39">
        <f>'Data entry Oberstaufen'!I131</f>
        <v>0</v>
      </c>
      <c r="F131" s="39">
        <f>'Data entry Oberstaufen'!L131</f>
        <v>0</v>
      </c>
      <c r="G131" s="39">
        <f>'Data entry Oberstaufen'!O131</f>
        <v>0</v>
      </c>
      <c r="H131" s="39">
        <f>'Data entry Oberstaufen'!R131</f>
        <v>0</v>
      </c>
      <c r="I131" s="39">
        <f>'Data entry Oberstaufen'!U131</f>
        <v>0</v>
      </c>
      <c r="J131" s="39">
        <f>'Data entry Oberstaufen'!X131</f>
        <v>0</v>
      </c>
      <c r="K131" s="39">
        <f>'Data entry Oberstaufen'!AA131</f>
        <v>0</v>
      </c>
      <c r="L131" s="39">
        <f>'Data entry Oberstaufen'!AD131</f>
        <v>0</v>
      </c>
      <c r="M131" s="39">
        <f>'Data entry Oberstaufen'!AG131</f>
        <v>0</v>
      </c>
      <c r="N131" s="39">
        <f>'Data entry Oberstaufen'!AJ131</f>
        <v>0</v>
      </c>
      <c r="O131" s="39">
        <f>'Data entry Oberstaufen'!AM131</f>
        <v>0</v>
      </c>
    </row>
    <row r="132" spans="2:15" ht="14" x14ac:dyDescent="0.15">
      <c r="B132" s="38" t="s">
        <v>92</v>
      </c>
      <c r="C132" s="39">
        <f>'Data entry Oberstaufen'!C132</f>
        <v>0</v>
      </c>
      <c r="D132" s="39">
        <f>'Data entry Oberstaufen'!F132</f>
        <v>0</v>
      </c>
      <c r="E132" s="39">
        <f>'Data entry Oberstaufen'!I132</f>
        <v>0</v>
      </c>
      <c r="F132" s="39">
        <f>'Data entry Oberstaufen'!L132</f>
        <v>0</v>
      </c>
      <c r="G132" s="39">
        <f>'Data entry Oberstaufen'!O132</f>
        <v>0</v>
      </c>
      <c r="H132" s="39">
        <f>'Data entry Oberstaufen'!R132</f>
        <v>0</v>
      </c>
      <c r="I132" s="39">
        <f>'Data entry Oberstaufen'!U132</f>
        <v>0</v>
      </c>
      <c r="J132" s="39">
        <f>'Data entry Oberstaufen'!X132</f>
        <v>0</v>
      </c>
      <c r="K132" s="39">
        <f>'Data entry Oberstaufen'!AA132</f>
        <v>0</v>
      </c>
      <c r="L132" s="39">
        <f>'Data entry Oberstaufen'!AD132</f>
        <v>0</v>
      </c>
      <c r="M132" s="39">
        <f>'Data entry Oberstaufen'!AG132</f>
        <v>0</v>
      </c>
      <c r="N132" s="39">
        <f>'Data entry Oberstaufen'!AJ132</f>
        <v>0</v>
      </c>
      <c r="O132" s="39">
        <f>'Data entry Oberstaufen'!AM132</f>
        <v>0</v>
      </c>
    </row>
    <row r="133" spans="2:15" x14ac:dyDescent="0.15">
      <c r="B133" s="40"/>
      <c r="C133" s="39">
        <f>'Data entry Oberstaufen'!C133</f>
        <v>0</v>
      </c>
      <c r="D133" s="39">
        <f>'Data entry Oberstaufen'!F133</f>
        <v>0</v>
      </c>
      <c r="E133" s="39">
        <f>'Data entry Oberstaufen'!I133</f>
        <v>0</v>
      </c>
      <c r="F133" s="39">
        <f>'Data entry Oberstaufen'!L133</f>
        <v>0</v>
      </c>
      <c r="G133" s="39">
        <f>'Data entry Oberstaufen'!O133</f>
        <v>0</v>
      </c>
      <c r="H133" s="39">
        <f>'Data entry Oberstaufen'!R133</f>
        <v>0</v>
      </c>
      <c r="I133" s="39">
        <f>'Data entry Oberstaufen'!U133</f>
        <v>0</v>
      </c>
      <c r="J133" s="39">
        <f>'Data entry Oberstaufen'!X133</f>
        <v>0</v>
      </c>
      <c r="K133" s="39">
        <f>'Data entry Oberstaufen'!AA133</f>
        <v>0</v>
      </c>
      <c r="L133" s="39">
        <f>'Data entry Oberstaufen'!AD133</f>
        <v>0</v>
      </c>
      <c r="M133" s="39">
        <f>'Data entry Oberstaufen'!AG133</f>
        <v>0</v>
      </c>
      <c r="N133" s="39">
        <f>'Data entry Oberstaufen'!AJ133</f>
        <v>0</v>
      </c>
      <c r="O133" s="39">
        <f>'Data entry Oberstaufen'!AM133</f>
        <v>0</v>
      </c>
    </row>
    <row r="134" spans="2:15" ht="14" x14ac:dyDescent="0.15">
      <c r="B134" s="42" t="s">
        <v>93</v>
      </c>
      <c r="C134" s="39">
        <f>'Data entry Oberstaufen'!C134</f>
        <v>-577343.22970000003</v>
      </c>
      <c r="D134" s="39">
        <f>'Data entry Oberstaufen'!F134</f>
        <v>-124106.81</v>
      </c>
      <c r="E134" s="39">
        <f>'Data entry Oberstaufen'!I134</f>
        <v>-123020.97</v>
      </c>
      <c r="F134" s="39">
        <f>'Data entry Oberstaufen'!L134</f>
        <v>-67123.960000000006</v>
      </c>
      <c r="G134" s="39">
        <f>'Data entry Oberstaufen'!O134</f>
        <v>-98055.23</v>
      </c>
      <c r="H134" s="39">
        <f>'Data entry Oberstaufen'!R134</f>
        <v>-40136.988599999997</v>
      </c>
      <c r="I134" s="39">
        <f>'Data entry Oberstaufen'!U134</f>
        <v>-53319.31</v>
      </c>
      <c r="J134" s="39">
        <f>'Data entry Oberstaufen'!X134</f>
        <v>57193.266900000002</v>
      </c>
      <c r="K134" s="39">
        <f>'Data entry Oberstaufen'!AA134</f>
        <v>118849.56879999999</v>
      </c>
      <c r="L134" s="39">
        <f>'Data entry Oberstaufen'!AD134</f>
        <v>34169.5196</v>
      </c>
      <c r="M134" s="39">
        <f>'Data entry Oberstaufen'!AG134</f>
        <v>-3032.5455999999999</v>
      </c>
      <c r="N134" s="39">
        <f>'Data entry Oberstaufen'!AJ134</f>
        <v>-98705.722899999993</v>
      </c>
      <c r="O134" s="39">
        <f>'Data entry Oberstaufen'!AM134</f>
        <v>-180054.04790000001</v>
      </c>
    </row>
    <row r="135" spans="2:15" x14ac:dyDescent="0.15">
      <c r="B135" s="40"/>
      <c r="C135" s="39">
        <f>'Data entry Oberstaufen'!C135</f>
        <v>0</v>
      </c>
      <c r="D135" s="39">
        <f>'Data entry Oberstaufen'!F135</f>
        <v>0</v>
      </c>
      <c r="E135" s="39">
        <f>'Data entry Oberstaufen'!I135</f>
        <v>0</v>
      </c>
      <c r="F135" s="39">
        <f>'Data entry Oberstaufen'!L135</f>
        <v>0</v>
      </c>
      <c r="G135" s="39">
        <f>'Data entry Oberstaufen'!O135</f>
        <v>0</v>
      </c>
      <c r="H135" s="39">
        <f>'Data entry Oberstaufen'!R135</f>
        <v>0</v>
      </c>
      <c r="I135" s="39">
        <f>'Data entry Oberstaufen'!U135</f>
        <v>0</v>
      </c>
      <c r="J135" s="39">
        <f>'Data entry Oberstaufen'!X135</f>
        <v>0</v>
      </c>
      <c r="K135" s="39">
        <f>'Data entry Oberstaufen'!AA135</f>
        <v>0</v>
      </c>
      <c r="L135" s="39">
        <f>'Data entry Oberstaufen'!AD135</f>
        <v>0</v>
      </c>
      <c r="M135" s="39">
        <f>'Data entry Oberstaufen'!AG135</f>
        <v>0</v>
      </c>
      <c r="N135" s="39">
        <f>'Data entry Oberstaufen'!AJ135</f>
        <v>0</v>
      </c>
      <c r="O135" s="39">
        <f>'Data entry Oberstaufen'!AM135</f>
        <v>0</v>
      </c>
    </row>
    <row r="136" spans="2:15" ht="14" x14ac:dyDescent="0.15">
      <c r="B136" s="42" t="s">
        <v>94</v>
      </c>
      <c r="C136" s="39">
        <f>'Data entry Oberstaufen'!C136</f>
        <v>1006700.7465</v>
      </c>
      <c r="D136" s="39">
        <f>'Data entry Oberstaufen'!F136</f>
        <v>57264.69</v>
      </c>
      <c r="E136" s="39">
        <f>'Data entry Oberstaufen'!I136</f>
        <v>59064.69</v>
      </c>
      <c r="F136" s="39">
        <f>'Data entry Oberstaufen'!L136</f>
        <v>114529.38</v>
      </c>
      <c r="G136" s="39">
        <f>'Data entry Oberstaufen'!O136</f>
        <v>114529.38</v>
      </c>
      <c r="H136" s="39">
        <f>'Data entry Oberstaufen'!R136</f>
        <v>74251.872099999993</v>
      </c>
      <c r="I136" s="39">
        <f>'Data entry Oberstaufen'!U136</f>
        <v>73184.837899999999</v>
      </c>
      <c r="J136" s="39">
        <f>'Data entry Oberstaufen'!X136</f>
        <v>94500.549199999994</v>
      </c>
      <c r="K136" s="39">
        <f>'Data entry Oberstaufen'!AA136</f>
        <v>115262.3475</v>
      </c>
      <c r="L136" s="39">
        <f>'Data entry Oberstaufen'!AD136</f>
        <v>89371.354099999997</v>
      </c>
      <c r="M136" s="39">
        <f>'Data entry Oberstaufen'!AG136</f>
        <v>86222.265700000004</v>
      </c>
      <c r="N136" s="39">
        <f>'Data entry Oberstaufen'!AJ136</f>
        <v>64259.69</v>
      </c>
      <c r="O136" s="39">
        <f>'Data entry Oberstaufen'!AM136</f>
        <v>64259.69</v>
      </c>
    </row>
    <row r="137" spans="2:15" ht="14" x14ac:dyDescent="0.15">
      <c r="B137" s="38" t="s">
        <v>95</v>
      </c>
      <c r="C137" s="39">
        <f>'Data entry Oberstaufen'!C137</f>
        <v>512277.52</v>
      </c>
      <c r="D137" s="39">
        <f>'Data entry Oberstaufen'!F137</f>
        <v>57264.69</v>
      </c>
      <c r="E137" s="39">
        <f>'Data entry Oberstaufen'!I137</f>
        <v>59064.69</v>
      </c>
      <c r="F137" s="39">
        <f>'Data entry Oberstaufen'!L137</f>
        <v>114529.38</v>
      </c>
      <c r="G137" s="39">
        <f>'Data entry Oberstaufen'!O137</f>
        <v>114529.38</v>
      </c>
      <c r="H137" s="39">
        <f>'Data entry Oberstaufen'!R137</f>
        <v>6395</v>
      </c>
      <c r="I137" s="39">
        <f>'Data entry Oberstaufen'!U137</f>
        <v>6395</v>
      </c>
      <c r="J137" s="39">
        <f>'Data entry Oberstaufen'!X137</f>
        <v>6395</v>
      </c>
      <c r="K137" s="39">
        <f>'Data entry Oberstaufen'!AA137</f>
        <v>6395</v>
      </c>
      <c r="L137" s="39">
        <f>'Data entry Oberstaufen'!AD137</f>
        <v>6395</v>
      </c>
      <c r="M137" s="39">
        <f>'Data entry Oberstaufen'!AG137</f>
        <v>6395</v>
      </c>
      <c r="N137" s="39">
        <f>'Data entry Oberstaufen'!AJ137</f>
        <v>64259.69</v>
      </c>
      <c r="O137" s="39">
        <f>'Data entry Oberstaufen'!AM137</f>
        <v>64259.69</v>
      </c>
    </row>
    <row r="138" spans="2:15" ht="14" x14ac:dyDescent="0.15">
      <c r="B138" s="38" t="s">
        <v>96</v>
      </c>
      <c r="C138" s="39">
        <f>'Data entry Oberstaufen'!C138</f>
        <v>494423.22649999999</v>
      </c>
      <c r="D138" s="39">
        <f>'Data entry Oberstaufen'!F138</f>
        <v>0</v>
      </c>
      <c r="E138" s="39">
        <f>'Data entry Oberstaufen'!I138</f>
        <v>0</v>
      </c>
      <c r="F138" s="39">
        <f>'Data entry Oberstaufen'!L138</f>
        <v>0</v>
      </c>
      <c r="G138" s="39">
        <f>'Data entry Oberstaufen'!O138</f>
        <v>0</v>
      </c>
      <c r="H138" s="39">
        <f>'Data entry Oberstaufen'!R138</f>
        <v>67856.872099999993</v>
      </c>
      <c r="I138" s="39">
        <f>'Data entry Oberstaufen'!U138</f>
        <v>66789.837899999999</v>
      </c>
      <c r="J138" s="39">
        <f>'Data entry Oberstaufen'!X138</f>
        <v>88105.549199999994</v>
      </c>
      <c r="K138" s="39">
        <f>'Data entry Oberstaufen'!AA138</f>
        <v>108867.3475</v>
      </c>
      <c r="L138" s="39">
        <f>'Data entry Oberstaufen'!AD138</f>
        <v>82976.354099999997</v>
      </c>
      <c r="M138" s="39">
        <f>'Data entry Oberstaufen'!AG138</f>
        <v>79827.265700000004</v>
      </c>
      <c r="N138" s="39">
        <f>'Data entry Oberstaufen'!AJ138</f>
        <v>0</v>
      </c>
      <c r="O138" s="39">
        <f>'Data entry Oberstaufen'!AM138</f>
        <v>0</v>
      </c>
    </row>
    <row r="139" spans="2:15" ht="14" x14ac:dyDescent="0.15">
      <c r="B139" s="38" t="s">
        <v>97</v>
      </c>
      <c r="C139" s="39">
        <f>'Data entry Oberstaufen'!C139</f>
        <v>0</v>
      </c>
      <c r="D139" s="39">
        <f>'Data entry Oberstaufen'!F139</f>
        <v>0</v>
      </c>
      <c r="E139" s="39">
        <f>'Data entry Oberstaufen'!I139</f>
        <v>0</v>
      </c>
      <c r="F139" s="39">
        <f>'Data entry Oberstaufen'!L139</f>
        <v>0</v>
      </c>
      <c r="G139" s="39">
        <f>'Data entry Oberstaufen'!O139</f>
        <v>0</v>
      </c>
      <c r="H139" s="39">
        <f>'Data entry Oberstaufen'!R139</f>
        <v>0</v>
      </c>
      <c r="I139" s="39">
        <f>'Data entry Oberstaufen'!U139</f>
        <v>0</v>
      </c>
      <c r="J139" s="39">
        <f>'Data entry Oberstaufen'!X139</f>
        <v>0</v>
      </c>
      <c r="K139" s="39">
        <f>'Data entry Oberstaufen'!AA139</f>
        <v>0</v>
      </c>
      <c r="L139" s="39">
        <f>'Data entry Oberstaufen'!AD139</f>
        <v>0</v>
      </c>
      <c r="M139" s="39">
        <f>'Data entry Oberstaufen'!AG139</f>
        <v>0</v>
      </c>
      <c r="N139" s="39">
        <f>'Data entry Oberstaufen'!AJ139</f>
        <v>0</v>
      </c>
      <c r="O139" s="39">
        <f>'Data entry Oberstaufen'!AM139</f>
        <v>0</v>
      </c>
    </row>
    <row r="140" spans="2:15" x14ac:dyDescent="0.15">
      <c r="B140" s="40"/>
      <c r="C140" s="39">
        <f>'Data entry Oberstaufen'!C140</f>
        <v>0</v>
      </c>
      <c r="D140" s="39">
        <f>'Data entry Oberstaufen'!F140</f>
        <v>0</v>
      </c>
      <c r="E140" s="39">
        <f>'Data entry Oberstaufen'!I140</f>
        <v>0</v>
      </c>
      <c r="F140" s="39">
        <f>'Data entry Oberstaufen'!L140</f>
        <v>0</v>
      </c>
      <c r="G140" s="39">
        <f>'Data entry Oberstaufen'!O140</f>
        <v>0</v>
      </c>
      <c r="H140" s="39">
        <f>'Data entry Oberstaufen'!R140</f>
        <v>0</v>
      </c>
      <c r="I140" s="39">
        <f>'Data entry Oberstaufen'!U140</f>
        <v>0</v>
      </c>
      <c r="J140" s="39">
        <f>'Data entry Oberstaufen'!X140</f>
        <v>0</v>
      </c>
      <c r="K140" s="39">
        <f>'Data entry Oberstaufen'!AA140</f>
        <v>0</v>
      </c>
      <c r="L140" s="39">
        <f>'Data entry Oberstaufen'!AD140</f>
        <v>0</v>
      </c>
      <c r="M140" s="39">
        <f>'Data entry Oberstaufen'!AG140</f>
        <v>0</v>
      </c>
      <c r="N140" s="39">
        <f>'Data entry Oberstaufen'!AJ140</f>
        <v>0</v>
      </c>
      <c r="O140" s="39">
        <f>'Data entry Oberstaufen'!AM140</f>
        <v>0</v>
      </c>
    </row>
    <row r="141" spans="2:15" ht="28" x14ac:dyDescent="0.15">
      <c r="B141" s="42" t="s">
        <v>98</v>
      </c>
      <c r="C141" s="39">
        <f>'Data entry Oberstaufen'!C141</f>
        <v>-1584043.9761999999</v>
      </c>
      <c r="D141" s="39">
        <f>'Data entry Oberstaufen'!F141</f>
        <v>-181371.5</v>
      </c>
      <c r="E141" s="39">
        <f>'Data entry Oberstaufen'!I141</f>
        <v>-182085.66</v>
      </c>
      <c r="F141" s="39">
        <f>'Data entry Oberstaufen'!L141</f>
        <v>-181653.34</v>
      </c>
      <c r="G141" s="39">
        <f>'Data entry Oberstaufen'!O141</f>
        <v>-212584.61</v>
      </c>
      <c r="H141" s="39">
        <f>'Data entry Oberstaufen'!R141</f>
        <v>-114388.8606</v>
      </c>
      <c r="I141" s="39">
        <f>'Data entry Oberstaufen'!U141</f>
        <v>-126504.1479</v>
      </c>
      <c r="J141" s="39">
        <f>'Data entry Oberstaufen'!X141</f>
        <v>-37307.282299999999</v>
      </c>
      <c r="K141" s="39">
        <f>'Data entry Oberstaufen'!AA141</f>
        <v>3587.2212</v>
      </c>
      <c r="L141" s="39">
        <f>'Data entry Oberstaufen'!AD141</f>
        <v>-55201.834499999997</v>
      </c>
      <c r="M141" s="39">
        <f>'Data entry Oberstaufen'!AG141</f>
        <v>-89254.811300000001</v>
      </c>
      <c r="N141" s="39">
        <f>'Data entry Oberstaufen'!AJ141</f>
        <v>-162965.4129</v>
      </c>
      <c r="O141" s="39">
        <f>'Data entry Oberstaufen'!AM141</f>
        <v>-244313.73790000001</v>
      </c>
    </row>
    <row r="142" spans="2:15" ht="14" x14ac:dyDescent="0.15">
      <c r="B142" s="38" t="s">
        <v>99</v>
      </c>
      <c r="C142" s="39">
        <f>'Data entry Oberstaufen'!C142</f>
        <v>0</v>
      </c>
      <c r="D142" s="39">
        <f>'Data entry Oberstaufen'!F142</f>
        <v>0</v>
      </c>
      <c r="E142" s="39">
        <f>'Data entry Oberstaufen'!I142</f>
        <v>0</v>
      </c>
      <c r="F142" s="39">
        <f>'Data entry Oberstaufen'!L142</f>
        <v>0</v>
      </c>
      <c r="G142" s="39">
        <f>'Data entry Oberstaufen'!O142</f>
        <v>0</v>
      </c>
      <c r="H142" s="39">
        <f>'Data entry Oberstaufen'!R142</f>
        <v>0</v>
      </c>
      <c r="I142" s="39">
        <f>'Data entry Oberstaufen'!U142</f>
        <v>0</v>
      </c>
      <c r="J142" s="39">
        <f>'Data entry Oberstaufen'!X142</f>
        <v>0</v>
      </c>
      <c r="K142" s="39">
        <f>'Data entry Oberstaufen'!AA142</f>
        <v>0</v>
      </c>
      <c r="L142" s="39">
        <f>'Data entry Oberstaufen'!AD142</f>
        <v>0</v>
      </c>
      <c r="M142" s="39">
        <f>'Data entry Oberstaufen'!AG142</f>
        <v>0</v>
      </c>
      <c r="N142" s="39">
        <f>'Data entry Oberstaufen'!AJ142</f>
        <v>0</v>
      </c>
      <c r="O142" s="39">
        <f>'Data entry Oberstaufen'!AM142</f>
        <v>0</v>
      </c>
    </row>
    <row r="143" spans="2:15" x14ac:dyDescent="0.15">
      <c r="B143" s="40"/>
      <c r="C143" s="39">
        <f>'Data entry Oberstaufen'!C143</f>
        <v>0</v>
      </c>
      <c r="D143" s="39">
        <f>'Data entry Oberstaufen'!F143</f>
        <v>0</v>
      </c>
      <c r="E143" s="39">
        <f>'Data entry Oberstaufen'!I143</f>
        <v>0</v>
      </c>
      <c r="F143" s="39">
        <f>'Data entry Oberstaufen'!L143</f>
        <v>0</v>
      </c>
      <c r="G143" s="39">
        <f>'Data entry Oberstaufen'!O143</f>
        <v>0</v>
      </c>
      <c r="H143" s="39">
        <f>'Data entry Oberstaufen'!R143</f>
        <v>0</v>
      </c>
      <c r="I143" s="39">
        <f>'Data entry Oberstaufen'!U143</f>
        <v>0</v>
      </c>
      <c r="J143" s="39">
        <f>'Data entry Oberstaufen'!X143</f>
        <v>0</v>
      </c>
      <c r="K143" s="39">
        <f>'Data entry Oberstaufen'!AA143</f>
        <v>0</v>
      </c>
      <c r="L143" s="39">
        <f>'Data entry Oberstaufen'!AD143</f>
        <v>0</v>
      </c>
      <c r="M143" s="39">
        <f>'Data entry Oberstaufen'!AG143</f>
        <v>0</v>
      </c>
      <c r="N143" s="39">
        <f>'Data entry Oberstaufen'!AJ143</f>
        <v>0</v>
      </c>
      <c r="O143" s="39">
        <f>'Data entry Oberstaufen'!AM143</f>
        <v>0</v>
      </c>
    </row>
    <row r="144" spans="2:15" ht="14" x14ac:dyDescent="0.15">
      <c r="B144" s="42" t="s">
        <v>100</v>
      </c>
      <c r="C144" s="39">
        <f>'Data entry Oberstaufen'!C144</f>
        <v>-1584043.9761999999</v>
      </c>
      <c r="D144" s="39">
        <f>'Data entry Oberstaufen'!F144</f>
        <v>-181371.5</v>
      </c>
      <c r="E144" s="39">
        <f>'Data entry Oberstaufen'!I144</f>
        <v>-182085.66</v>
      </c>
      <c r="F144" s="39">
        <f>'Data entry Oberstaufen'!L144</f>
        <v>-181653.34</v>
      </c>
      <c r="G144" s="39">
        <f>'Data entry Oberstaufen'!O144</f>
        <v>-212584.61</v>
      </c>
      <c r="H144" s="39">
        <f>'Data entry Oberstaufen'!R144</f>
        <v>-114388.8606</v>
      </c>
      <c r="I144" s="39">
        <f>'Data entry Oberstaufen'!U144</f>
        <v>-126504.1479</v>
      </c>
      <c r="J144" s="39">
        <f>'Data entry Oberstaufen'!X144</f>
        <v>-37307.282299999999</v>
      </c>
      <c r="K144" s="39">
        <f>'Data entry Oberstaufen'!AA144</f>
        <v>3587.2212</v>
      </c>
      <c r="L144" s="39">
        <f>'Data entry Oberstaufen'!AD144</f>
        <v>-55201.834499999997</v>
      </c>
      <c r="M144" s="39">
        <f>'Data entry Oberstaufen'!AG144</f>
        <v>-89254.811300000001</v>
      </c>
      <c r="N144" s="39">
        <f>'Data entry Oberstaufen'!AJ144</f>
        <v>-162965.4129</v>
      </c>
      <c r="O144" s="39">
        <f>'Data entry Oberstaufen'!AM144</f>
        <v>-244313.73790000001</v>
      </c>
    </row>
    <row r="145" spans="2:15" ht="14" x14ac:dyDescent="0.15">
      <c r="B145" s="38" t="s">
        <v>101</v>
      </c>
      <c r="C145" s="39">
        <f>'Data entry Oberstaufen'!C145</f>
        <v>0</v>
      </c>
      <c r="D145" s="39">
        <f>'Data entry Oberstaufen'!F145</f>
        <v>0</v>
      </c>
      <c r="E145" s="39">
        <f>'Data entry Oberstaufen'!I145</f>
        <v>0</v>
      </c>
      <c r="F145" s="39">
        <f>'Data entry Oberstaufen'!L145</f>
        <v>0</v>
      </c>
      <c r="G145" s="39">
        <f>'Data entry Oberstaufen'!O145</f>
        <v>0</v>
      </c>
      <c r="H145" s="39">
        <f>'Data entry Oberstaufen'!R145</f>
        <v>0</v>
      </c>
      <c r="I145" s="39">
        <f>'Data entry Oberstaufen'!U145</f>
        <v>0</v>
      </c>
      <c r="J145" s="39">
        <f>'Data entry Oberstaufen'!X145</f>
        <v>0</v>
      </c>
      <c r="K145" s="39">
        <f>'Data entry Oberstaufen'!AA145</f>
        <v>0</v>
      </c>
      <c r="L145" s="39">
        <f>'Data entry Oberstaufen'!AD145</f>
        <v>0</v>
      </c>
      <c r="M145" s="39">
        <f>'Data entry Oberstaufen'!AG145</f>
        <v>0</v>
      </c>
      <c r="N145" s="39">
        <f>'Data entry Oberstaufen'!AJ145</f>
        <v>0</v>
      </c>
      <c r="O145" s="39">
        <f>'Data entry Oberstaufen'!AM145</f>
        <v>0</v>
      </c>
    </row>
    <row r="146" spans="2:15" x14ac:dyDescent="0.15">
      <c r="B146" s="40"/>
      <c r="C146" s="39">
        <f>'Data entry Oberstaufen'!C146</f>
        <v>0</v>
      </c>
      <c r="D146" s="39">
        <f>'Data entry Oberstaufen'!F146</f>
        <v>0</v>
      </c>
      <c r="E146" s="39">
        <f>'Data entry Oberstaufen'!I146</f>
        <v>0</v>
      </c>
      <c r="F146" s="39">
        <f>'Data entry Oberstaufen'!L146</f>
        <v>0</v>
      </c>
      <c r="G146" s="39">
        <f>'Data entry Oberstaufen'!O146</f>
        <v>0</v>
      </c>
      <c r="H146" s="39">
        <f>'Data entry Oberstaufen'!R146</f>
        <v>0</v>
      </c>
      <c r="I146" s="39">
        <f>'Data entry Oberstaufen'!U146</f>
        <v>0</v>
      </c>
      <c r="J146" s="39">
        <f>'Data entry Oberstaufen'!X146</f>
        <v>0</v>
      </c>
      <c r="K146" s="39">
        <f>'Data entry Oberstaufen'!AA146</f>
        <v>0</v>
      </c>
      <c r="L146" s="39">
        <f>'Data entry Oberstaufen'!AD146</f>
        <v>0</v>
      </c>
      <c r="M146" s="39">
        <f>'Data entry Oberstaufen'!AG146</f>
        <v>0</v>
      </c>
      <c r="N146" s="39">
        <f>'Data entry Oberstaufen'!AJ146</f>
        <v>0</v>
      </c>
      <c r="O146" s="39">
        <f>'Data entry Oberstaufen'!AM146</f>
        <v>0</v>
      </c>
    </row>
    <row r="147" spans="2:15" ht="28" x14ac:dyDescent="0.15">
      <c r="B147" s="42" t="s">
        <v>102</v>
      </c>
      <c r="C147" s="39">
        <f>'Data entry Oberstaufen'!C147</f>
        <v>-1584043.9761999999</v>
      </c>
      <c r="D147" s="39">
        <f>'Data entry Oberstaufen'!F147</f>
        <v>-181371.5</v>
      </c>
      <c r="E147" s="39">
        <f>'Data entry Oberstaufen'!I147</f>
        <v>-182085.66</v>
      </c>
      <c r="F147" s="39">
        <f>'Data entry Oberstaufen'!L147</f>
        <v>-181653.34</v>
      </c>
      <c r="G147" s="39">
        <f>'Data entry Oberstaufen'!O147</f>
        <v>-212584.61</v>
      </c>
      <c r="H147" s="39">
        <f>'Data entry Oberstaufen'!R147</f>
        <v>-114388.8606</v>
      </c>
      <c r="I147" s="39">
        <f>'Data entry Oberstaufen'!U147</f>
        <v>-126504.1479</v>
      </c>
      <c r="J147" s="39">
        <f>'Data entry Oberstaufen'!X147</f>
        <v>-37307.282299999999</v>
      </c>
      <c r="K147" s="39">
        <f>'Data entry Oberstaufen'!AA147</f>
        <v>3587.2212</v>
      </c>
      <c r="L147" s="39">
        <f>'Data entry Oberstaufen'!AD147</f>
        <v>-55201.834499999997</v>
      </c>
      <c r="M147" s="39">
        <f>'Data entry Oberstaufen'!AG147</f>
        <v>-89254.811300000001</v>
      </c>
      <c r="N147" s="39">
        <f>'Data entry Oberstaufen'!AJ147</f>
        <v>-162965.4129</v>
      </c>
      <c r="O147" s="39">
        <f>'Data entry Oberstaufen'!AM147</f>
        <v>-244313.73790000001</v>
      </c>
    </row>
    <row r="148" spans="2:15" ht="14" x14ac:dyDescent="0.15">
      <c r="B148" s="38" t="s">
        <v>103</v>
      </c>
      <c r="C148" s="39">
        <f>'Data entry Oberstaufen'!C148</f>
        <v>0</v>
      </c>
      <c r="D148" s="39">
        <f>'Data entry Oberstaufen'!F148</f>
        <v>0</v>
      </c>
      <c r="E148" s="39">
        <f>'Data entry Oberstaufen'!I148</f>
        <v>0</v>
      </c>
      <c r="F148" s="39">
        <f>'Data entry Oberstaufen'!L148</f>
        <v>0</v>
      </c>
      <c r="G148" s="39">
        <f>'Data entry Oberstaufen'!O148</f>
        <v>0</v>
      </c>
      <c r="H148" s="39">
        <f>'Data entry Oberstaufen'!R148</f>
        <v>0</v>
      </c>
      <c r="I148" s="39">
        <f>'Data entry Oberstaufen'!U148</f>
        <v>0</v>
      </c>
      <c r="J148" s="39">
        <f>'Data entry Oberstaufen'!X148</f>
        <v>0</v>
      </c>
      <c r="K148" s="39">
        <f>'Data entry Oberstaufen'!AA148</f>
        <v>0</v>
      </c>
      <c r="L148" s="39">
        <f>'Data entry Oberstaufen'!AD148</f>
        <v>0</v>
      </c>
      <c r="M148" s="39">
        <f>'Data entry Oberstaufen'!AG148</f>
        <v>0</v>
      </c>
      <c r="N148" s="39">
        <f>'Data entry Oberstaufen'!AJ148</f>
        <v>0</v>
      </c>
      <c r="O148" s="39">
        <f>'Data entry Oberstaufen'!AM148</f>
        <v>0</v>
      </c>
    </row>
    <row r="149" spans="2:15" x14ac:dyDescent="0.15">
      <c r="B149" s="40"/>
      <c r="C149" s="39">
        <f>'Data entry Oberstaufen'!C149</f>
        <v>0</v>
      </c>
      <c r="D149" s="39">
        <f>'Data entry Oberstaufen'!F149</f>
        <v>0</v>
      </c>
      <c r="E149" s="39">
        <f>'Data entry Oberstaufen'!I149</f>
        <v>0</v>
      </c>
      <c r="F149" s="39">
        <f>'Data entry Oberstaufen'!L149</f>
        <v>0</v>
      </c>
      <c r="G149" s="39">
        <f>'Data entry Oberstaufen'!O149</f>
        <v>0</v>
      </c>
      <c r="H149" s="39">
        <f>'Data entry Oberstaufen'!R149</f>
        <v>0</v>
      </c>
      <c r="I149" s="39">
        <f>'Data entry Oberstaufen'!U149</f>
        <v>0</v>
      </c>
      <c r="J149" s="39">
        <f>'Data entry Oberstaufen'!X149</f>
        <v>0</v>
      </c>
      <c r="K149" s="39">
        <f>'Data entry Oberstaufen'!AA149</f>
        <v>0</v>
      </c>
      <c r="L149" s="39">
        <f>'Data entry Oberstaufen'!AD149</f>
        <v>0</v>
      </c>
      <c r="M149" s="39">
        <f>'Data entry Oberstaufen'!AG149</f>
        <v>0</v>
      </c>
      <c r="N149" s="39">
        <f>'Data entry Oberstaufen'!AJ149</f>
        <v>0</v>
      </c>
      <c r="O149" s="39">
        <f>'Data entry Oberstaufen'!AM149</f>
        <v>0</v>
      </c>
    </row>
    <row r="150" spans="2:15" ht="14" x14ac:dyDescent="0.15">
      <c r="B150" s="42" t="s">
        <v>104</v>
      </c>
      <c r="C150" s="39">
        <f>'Data entry Oberstaufen'!C150</f>
        <v>-1584043.9761999999</v>
      </c>
      <c r="D150" s="39">
        <f>'Data entry Oberstaufen'!F150</f>
        <v>-181371.5</v>
      </c>
      <c r="E150" s="39">
        <f>'Data entry Oberstaufen'!I150</f>
        <v>-182085.66</v>
      </c>
      <c r="F150" s="39">
        <f>'Data entry Oberstaufen'!L150</f>
        <v>-181653.34</v>
      </c>
      <c r="G150" s="39">
        <f>'Data entry Oberstaufen'!O150</f>
        <v>-212584.61</v>
      </c>
      <c r="H150" s="39">
        <f>'Data entry Oberstaufen'!R150</f>
        <v>-114388.8606</v>
      </c>
      <c r="I150" s="39">
        <f>'Data entry Oberstaufen'!U150</f>
        <v>-126504.1479</v>
      </c>
      <c r="J150" s="39">
        <f>'Data entry Oberstaufen'!X150</f>
        <v>-37307.282299999999</v>
      </c>
      <c r="K150" s="39">
        <f>'Data entry Oberstaufen'!AA150</f>
        <v>3587.2212</v>
      </c>
      <c r="L150" s="39">
        <f>'Data entry Oberstaufen'!AD150</f>
        <v>-55201.834499999997</v>
      </c>
      <c r="M150" s="39">
        <f>'Data entry Oberstaufen'!AG150</f>
        <v>-89254.811300000001</v>
      </c>
      <c r="N150" s="39">
        <f>'Data entry Oberstaufen'!AJ150</f>
        <v>-162965.4129</v>
      </c>
      <c r="O150" s="39">
        <f>'Data entry Oberstaufen'!AM150</f>
        <v>-244313.73790000001</v>
      </c>
    </row>
    <row r="151" spans="2:15" x14ac:dyDescent="0.15">
      <c r="B151" s="40"/>
      <c r="C151" s="39">
        <f>'Data entry Oberstaufen'!C151</f>
        <v>0</v>
      </c>
      <c r="D151" s="39">
        <f>'Data entry Oberstaufen'!F151</f>
        <v>0</v>
      </c>
      <c r="E151" s="39">
        <f>'Data entry Oberstaufen'!I151</f>
        <v>0</v>
      </c>
      <c r="F151" s="39">
        <f>'Data entry Oberstaufen'!L151</f>
        <v>0</v>
      </c>
      <c r="G151" s="39">
        <f>'Data entry Oberstaufen'!O151</f>
        <v>0</v>
      </c>
      <c r="H151" s="39">
        <f>'Data entry Oberstaufen'!R151</f>
        <v>0</v>
      </c>
      <c r="I151" s="39">
        <f>'Data entry Oberstaufen'!U151</f>
        <v>0</v>
      </c>
      <c r="J151" s="39">
        <f>'Data entry Oberstaufen'!X151</f>
        <v>0</v>
      </c>
      <c r="K151" s="39">
        <f>'Data entry Oberstaufen'!AA151</f>
        <v>0</v>
      </c>
      <c r="L151" s="39">
        <f>'Data entry Oberstaufen'!AD151</f>
        <v>0</v>
      </c>
      <c r="M151" s="39">
        <f>'Data entry Oberstaufen'!AG151</f>
        <v>0</v>
      </c>
      <c r="N151" s="39">
        <f>'Data entry Oberstaufen'!AJ151</f>
        <v>0</v>
      </c>
      <c r="O151" s="39">
        <f>'Data entry Oberstaufen'!AM151</f>
        <v>0</v>
      </c>
    </row>
    <row r="152" spans="2:15" ht="14" x14ac:dyDescent="0.15">
      <c r="B152" s="44" t="s">
        <v>105</v>
      </c>
      <c r="C152" s="39">
        <f>'Data entry Oberstaufen'!C152</f>
        <v>0</v>
      </c>
      <c r="D152" s="39">
        <f>'Data entry Oberstaufen'!F152</f>
        <v>0</v>
      </c>
      <c r="E152" s="39">
        <f>'Data entry Oberstaufen'!I152</f>
        <v>0</v>
      </c>
      <c r="F152" s="39">
        <f>'Data entry Oberstaufen'!L152</f>
        <v>0</v>
      </c>
      <c r="G152" s="39">
        <f>'Data entry Oberstaufen'!O152</f>
        <v>0</v>
      </c>
      <c r="H152" s="39">
        <f>'Data entry Oberstaufen'!R152</f>
        <v>0</v>
      </c>
      <c r="I152" s="39">
        <f>'Data entry Oberstaufen'!U152</f>
        <v>0</v>
      </c>
      <c r="J152" s="39">
        <f>'Data entry Oberstaufen'!X152</f>
        <v>0</v>
      </c>
      <c r="K152" s="39">
        <f>'Data entry Oberstaufen'!AA152</f>
        <v>0</v>
      </c>
      <c r="L152" s="39">
        <f>'Data entry Oberstaufen'!AD152</f>
        <v>0</v>
      </c>
      <c r="M152" s="39">
        <f>'Data entry Oberstaufen'!AG152</f>
        <v>0</v>
      </c>
      <c r="N152" s="39">
        <f>'Data entry Oberstaufen'!AJ152</f>
        <v>0</v>
      </c>
      <c r="O152" s="39">
        <f>'Data entry Oberstaufen'!AM152</f>
        <v>0</v>
      </c>
    </row>
    <row r="153" spans="2:15" ht="14" x14ac:dyDescent="0.15">
      <c r="B153" s="38" t="s">
        <v>106</v>
      </c>
      <c r="C153" s="39">
        <f>'Data entry Oberstaufen'!C153</f>
        <v>-1484989.9561999999</v>
      </c>
      <c r="D153" s="39">
        <f>'Data entry Oberstaufen'!F153</f>
        <v>-181371.5</v>
      </c>
      <c r="E153" s="39">
        <f>'Data entry Oberstaufen'!I153</f>
        <v>-175734.32</v>
      </c>
      <c r="F153" s="39">
        <f>'Data entry Oberstaufen'!L153</f>
        <v>-175302</v>
      </c>
      <c r="G153" s="39">
        <f>'Data entry Oberstaufen'!O153</f>
        <v>-206233.27</v>
      </c>
      <c r="H153" s="39">
        <f>'Data entry Oberstaufen'!R153</f>
        <v>-104388.8606</v>
      </c>
      <c r="I153" s="39">
        <f>'Data entry Oberstaufen'!U153</f>
        <v>-116504.1479</v>
      </c>
      <c r="J153" s="39">
        <f>'Data entry Oberstaufen'!X153</f>
        <v>-27307.282299999999</v>
      </c>
      <c r="K153" s="39">
        <f>'Data entry Oberstaufen'!AA153</f>
        <v>13587.2212</v>
      </c>
      <c r="L153" s="39">
        <f>'Data entry Oberstaufen'!AD153</f>
        <v>-45201.834499999997</v>
      </c>
      <c r="M153" s="39">
        <f>'Data entry Oberstaufen'!AG153</f>
        <v>-79254.811300000001</v>
      </c>
      <c r="N153" s="39">
        <f>'Data entry Oberstaufen'!AJ153</f>
        <v>-152965.4129</v>
      </c>
      <c r="O153" s="39">
        <f>'Data entry Oberstaufen'!AM153</f>
        <v>-234313.73790000001</v>
      </c>
    </row>
    <row r="154" spans="2:15" ht="14" x14ac:dyDescent="0.15">
      <c r="B154" s="38" t="s">
        <v>107</v>
      </c>
      <c r="C154" s="39">
        <f>'Data entry Oberstaufen'!C154</f>
        <v>-1584043.9761999999</v>
      </c>
      <c r="D154" s="39">
        <f>'Data entry Oberstaufen'!F154</f>
        <v>-181371.5</v>
      </c>
      <c r="E154" s="39">
        <f>'Data entry Oberstaufen'!I154</f>
        <v>-182085.66</v>
      </c>
      <c r="F154" s="39">
        <f>'Data entry Oberstaufen'!L154</f>
        <v>-181653.34</v>
      </c>
      <c r="G154" s="39">
        <f>'Data entry Oberstaufen'!O154</f>
        <v>-212584.61</v>
      </c>
      <c r="H154" s="39">
        <f>'Data entry Oberstaufen'!R154</f>
        <v>-114388.8606</v>
      </c>
      <c r="I154" s="39">
        <f>'Data entry Oberstaufen'!U154</f>
        <v>-126504.1479</v>
      </c>
      <c r="J154" s="39">
        <f>'Data entry Oberstaufen'!X154</f>
        <v>-37307.282299999999</v>
      </c>
      <c r="K154" s="39">
        <f>'Data entry Oberstaufen'!AA154</f>
        <v>3587.2212</v>
      </c>
      <c r="L154" s="39">
        <f>'Data entry Oberstaufen'!AD154</f>
        <v>-55201.834499999997</v>
      </c>
      <c r="M154" s="39">
        <f>'Data entry Oberstaufen'!AG154</f>
        <v>-89254.811300000001</v>
      </c>
      <c r="N154" s="39">
        <f>'Data entry Oberstaufen'!AJ154</f>
        <v>-162965.4129</v>
      </c>
      <c r="O154" s="39">
        <f>'Data entry Oberstaufen'!AM154</f>
        <v>-244313.73790000001</v>
      </c>
    </row>
    <row r="155" spans="2:15" ht="14" x14ac:dyDescent="0.15">
      <c r="B155" s="42" t="s">
        <v>108</v>
      </c>
      <c r="C155" s="39">
        <f>'Data entry Oberstaufen'!C155</f>
        <v>120732.5481</v>
      </c>
      <c r="D155" s="39">
        <f>'Data entry Oberstaufen'!F155</f>
        <v>2615.75</v>
      </c>
      <c r="E155" s="39">
        <f>'Data entry Oberstaufen'!I155</f>
        <v>11871.06</v>
      </c>
      <c r="F155" s="39">
        <f>'Data entry Oberstaufen'!L155</f>
        <v>9432.08</v>
      </c>
      <c r="G155" s="39">
        <f>'Data entry Oberstaufen'!O155</f>
        <v>11558.31</v>
      </c>
      <c r="H155" s="39">
        <f>'Data entry Oberstaufen'!R155</f>
        <v>10132.019700000001</v>
      </c>
      <c r="I155" s="39">
        <f>'Data entry Oberstaufen'!U155</f>
        <v>10011.5921</v>
      </c>
      <c r="J155" s="39">
        <f>'Data entry Oberstaufen'!X155</f>
        <v>13215.832399999999</v>
      </c>
      <c r="K155" s="39">
        <f>'Data entry Oberstaufen'!AA155</f>
        <v>16330.1021</v>
      </c>
      <c r="L155" s="39">
        <f>'Data entry Oberstaufen'!AD155</f>
        <v>12446.453100000001</v>
      </c>
      <c r="M155" s="39">
        <f>'Data entry Oberstaufen'!AG155</f>
        <v>11974.089900000001</v>
      </c>
      <c r="N155" s="39">
        <f>'Data entry Oberstaufen'!AJ155</f>
        <v>8266.1617999999999</v>
      </c>
      <c r="O155" s="39">
        <f>'Data entry Oberstaufen'!AM155</f>
        <v>2879.0970000000002</v>
      </c>
    </row>
    <row r="156" spans="2:15" ht="14" x14ac:dyDescent="0.15">
      <c r="B156" s="38" t="s">
        <v>109</v>
      </c>
      <c r="C156" s="39">
        <f>'Data entry Oberstaufen'!C156</f>
        <v>0</v>
      </c>
      <c r="D156" s="39">
        <f>'Data entry Oberstaufen'!F156</f>
        <v>0</v>
      </c>
      <c r="E156" s="39">
        <f>'Data entry Oberstaufen'!I156</f>
        <v>0</v>
      </c>
      <c r="F156" s="39">
        <f>'Data entry Oberstaufen'!L156</f>
        <v>0</v>
      </c>
      <c r="G156" s="39">
        <f>'Data entry Oberstaufen'!O156</f>
        <v>0</v>
      </c>
      <c r="H156" s="39">
        <f>'Data entry Oberstaufen'!R156</f>
        <v>0</v>
      </c>
      <c r="I156" s="39">
        <f>'Data entry Oberstaufen'!U156</f>
        <v>0</v>
      </c>
      <c r="J156" s="39">
        <f>'Data entry Oberstaufen'!X156</f>
        <v>0</v>
      </c>
      <c r="K156" s="39">
        <f>'Data entry Oberstaufen'!AA156</f>
        <v>0</v>
      </c>
      <c r="L156" s="39">
        <f>'Data entry Oberstaufen'!AD156</f>
        <v>0</v>
      </c>
      <c r="M156" s="39">
        <f>'Data entry Oberstaufen'!AG156</f>
        <v>0</v>
      </c>
      <c r="N156" s="39">
        <f>'Data entry Oberstaufen'!AJ156</f>
        <v>0</v>
      </c>
      <c r="O156" s="39">
        <f>'Data entry Oberstaufen'!AM156</f>
        <v>0</v>
      </c>
    </row>
    <row r="157" spans="2:15" ht="14" x14ac:dyDescent="0.15">
      <c r="B157" s="38" t="s">
        <v>110</v>
      </c>
      <c r="C157" s="39">
        <f>'Data entry Oberstaufen'!C157</f>
        <v>0</v>
      </c>
      <c r="D157" s="39">
        <f>'Data entry Oberstaufen'!F157</f>
        <v>0</v>
      </c>
      <c r="E157" s="39">
        <f>'Data entry Oberstaufen'!I157</f>
        <v>0</v>
      </c>
      <c r="F157" s="39">
        <f>'Data entry Oberstaufen'!L157</f>
        <v>0</v>
      </c>
      <c r="G157" s="39">
        <f>'Data entry Oberstaufen'!O157</f>
        <v>0</v>
      </c>
      <c r="H157" s="39">
        <f>'Data entry Oberstaufen'!R157</f>
        <v>0</v>
      </c>
      <c r="I157" s="39">
        <f>'Data entry Oberstaufen'!U157</f>
        <v>0</v>
      </c>
      <c r="J157" s="39">
        <f>'Data entry Oberstaufen'!X157</f>
        <v>0</v>
      </c>
      <c r="K157" s="39">
        <f>'Data entry Oberstaufen'!AA157</f>
        <v>0</v>
      </c>
      <c r="L157" s="39">
        <f>'Data entry Oberstaufen'!AD157</f>
        <v>0</v>
      </c>
      <c r="M157" s="39">
        <f>'Data entry Oberstaufen'!AG157</f>
        <v>0</v>
      </c>
      <c r="N157" s="39">
        <f>'Data entry Oberstaufen'!AJ157</f>
        <v>0</v>
      </c>
      <c r="O157" s="39">
        <f>'Data entry Oberstaufen'!AM157</f>
        <v>0</v>
      </c>
    </row>
    <row r="158" spans="2:15" ht="14" x14ac:dyDescent="0.15">
      <c r="B158" s="38" t="s">
        <v>111</v>
      </c>
      <c r="C158" s="39">
        <f>'Data entry Oberstaufen'!C158</f>
        <v>36581.207699999999</v>
      </c>
      <c r="D158" s="39">
        <f>'Data entry Oberstaufen'!F158</f>
        <v>523.15</v>
      </c>
      <c r="E158" s="39">
        <f>'Data entry Oberstaufen'!I158</f>
        <v>2374.21</v>
      </c>
      <c r="F158" s="39">
        <f>'Data entry Oberstaufen'!L158</f>
        <v>2358.02</v>
      </c>
      <c r="G158" s="39">
        <f>'Data entry Oberstaufen'!O158</f>
        <v>2889.58</v>
      </c>
      <c r="H158" s="39">
        <f>'Data entry Oberstaufen'!R158</f>
        <v>3392.8436000000002</v>
      </c>
      <c r="I158" s="39">
        <f>'Data entry Oberstaufen'!U158</f>
        <v>3339.4919</v>
      </c>
      <c r="J158" s="39">
        <f>'Data entry Oberstaufen'!X158</f>
        <v>4405.2775000000001</v>
      </c>
      <c r="K158" s="39">
        <f>'Data entry Oberstaufen'!AA158</f>
        <v>5443.3674000000001</v>
      </c>
      <c r="L158" s="39">
        <f>'Data entry Oberstaufen'!AD158</f>
        <v>4148.8176999999996</v>
      </c>
      <c r="M158" s="39">
        <f>'Data entry Oberstaufen'!AG158</f>
        <v>3991.3633</v>
      </c>
      <c r="N158" s="39">
        <f>'Data entry Oberstaufen'!AJ158</f>
        <v>2755.3872999999999</v>
      </c>
      <c r="O158" s="39">
        <f>'Data entry Oberstaufen'!AM158</f>
        <v>959.69899999999996</v>
      </c>
    </row>
    <row r="159" spans="2:15" ht="14" x14ac:dyDescent="0.15">
      <c r="B159" s="38" t="s">
        <v>112</v>
      </c>
      <c r="C159" s="39">
        <f>'Data entry Oberstaufen'!C159</f>
        <v>68281.959700000007</v>
      </c>
      <c r="D159" s="39">
        <f>'Data entry Oberstaufen'!F159</f>
        <v>0</v>
      </c>
      <c r="E159" s="39">
        <f>'Data entry Oberstaufen'!I159</f>
        <v>3561.32</v>
      </c>
      <c r="F159" s="39">
        <f>'Data entry Oberstaufen'!L159</f>
        <v>3537.03</v>
      </c>
      <c r="G159" s="39">
        <f>'Data entry Oberstaufen'!O159</f>
        <v>4334.37</v>
      </c>
      <c r="H159" s="39">
        <f>'Data entry Oberstaufen'!R159</f>
        <v>6762.4315999999999</v>
      </c>
      <c r="I159" s="39">
        <f>'Data entry Oberstaufen'!U159</f>
        <v>6678.9838</v>
      </c>
      <c r="J159" s="39">
        <f>'Data entry Oberstaufen'!X159</f>
        <v>8810.5548999999992</v>
      </c>
      <c r="K159" s="39">
        <f>'Data entry Oberstaufen'!AA159</f>
        <v>10886.7348</v>
      </c>
      <c r="L159" s="39">
        <f>'Data entry Oberstaufen'!AD159</f>
        <v>8297.6353999999992</v>
      </c>
      <c r="M159" s="39">
        <f>'Data entry Oberstaufen'!AG159</f>
        <v>7982.7266</v>
      </c>
      <c r="N159" s="39">
        <f>'Data entry Oberstaufen'!AJ159</f>
        <v>5510.7745999999997</v>
      </c>
      <c r="O159" s="39">
        <f>'Data entry Oberstaufen'!AM159</f>
        <v>1919.3979999999999</v>
      </c>
    </row>
    <row r="160" spans="2:15" ht="14" x14ac:dyDescent="0.15">
      <c r="B160" s="38" t="s">
        <v>113</v>
      </c>
      <c r="C160" s="39">
        <f>'Data entry Oberstaufen'!C160</f>
        <v>76006.380600000004</v>
      </c>
      <c r="D160" s="39">
        <f>'Data entry Oberstaufen'!F160</f>
        <v>1569.45</v>
      </c>
      <c r="E160" s="39">
        <f>'Data entry Oberstaufen'!I160</f>
        <v>7122.64</v>
      </c>
      <c r="F160" s="39">
        <f>'Data entry Oberstaufen'!L160</f>
        <v>4716.04</v>
      </c>
      <c r="G160" s="39">
        <f>'Data entry Oberstaufen'!O160</f>
        <v>5779.15</v>
      </c>
      <c r="H160" s="39">
        <f>'Data entry Oberstaufen'!R160</f>
        <v>6739.1760999999997</v>
      </c>
      <c r="I160" s="39">
        <f>'Data entry Oberstaufen'!U160</f>
        <v>6672.1001999999999</v>
      </c>
      <c r="J160" s="39">
        <f>'Data entry Oberstaufen'!X160</f>
        <v>8810.5548999999992</v>
      </c>
      <c r="K160" s="39">
        <f>'Data entry Oberstaufen'!AA160</f>
        <v>10886.7348</v>
      </c>
      <c r="L160" s="39">
        <f>'Data entry Oberstaufen'!AD160</f>
        <v>8297.6353999999992</v>
      </c>
      <c r="M160" s="39">
        <f>'Data entry Oberstaufen'!AG160</f>
        <v>7982.7266</v>
      </c>
      <c r="N160" s="39">
        <f>'Data entry Oberstaufen'!AJ160</f>
        <v>5510.7745999999997</v>
      </c>
      <c r="O160" s="39">
        <f>'Data entry Oberstaufen'!AM160</f>
        <v>1919.3979999999999</v>
      </c>
    </row>
    <row r="161" spans="2:15" ht="14" x14ac:dyDescent="0.15">
      <c r="B161" s="38" t="s">
        <v>114</v>
      </c>
      <c r="C161" s="39">
        <f>'Data entry Oberstaufen'!C161</f>
        <v>8144.96</v>
      </c>
      <c r="D161" s="39">
        <f>'Data entry Oberstaufen'!F161</f>
        <v>523.15</v>
      </c>
      <c r="E161" s="39">
        <f>'Data entry Oberstaufen'!I161</f>
        <v>2374.21</v>
      </c>
      <c r="F161" s="39">
        <f>'Data entry Oberstaufen'!L161</f>
        <v>2358.02</v>
      </c>
      <c r="G161" s="39">
        <f>'Data entry Oberstaufen'!O161</f>
        <v>2889.58</v>
      </c>
      <c r="H161" s="39">
        <f>'Data entry Oberstaufen'!R161</f>
        <v>0</v>
      </c>
      <c r="I161" s="39">
        <f>'Data entry Oberstaufen'!U161</f>
        <v>0</v>
      </c>
      <c r="J161" s="39">
        <f>'Data entry Oberstaufen'!X161</f>
        <v>0</v>
      </c>
      <c r="K161" s="39">
        <f>'Data entry Oberstaufen'!AA161</f>
        <v>0</v>
      </c>
      <c r="L161" s="39">
        <f>'Data entry Oberstaufen'!AD161</f>
        <v>0</v>
      </c>
      <c r="M161" s="39">
        <f>'Data entry Oberstaufen'!AG161</f>
        <v>0</v>
      </c>
      <c r="N161" s="39">
        <f>'Data entry Oberstaufen'!AJ161</f>
        <v>0</v>
      </c>
      <c r="O161" s="39">
        <f>'Data entry Oberstaufen'!AM161</f>
        <v>0</v>
      </c>
    </row>
    <row r="162" spans="2:15" ht="14" x14ac:dyDescent="0.15">
      <c r="B162" s="42" t="s">
        <v>115</v>
      </c>
      <c r="C162" s="39">
        <f>'Data entry Oberstaufen'!C162</f>
        <v>196591.8223</v>
      </c>
      <c r="D162" s="39">
        <f>'Data entry Oberstaufen'!F162</f>
        <v>13088.8</v>
      </c>
      <c r="E162" s="39">
        <f>'Data entry Oberstaufen'!I162</f>
        <v>18703.32</v>
      </c>
      <c r="F162" s="39">
        <f>'Data entry Oberstaufen'!L162</f>
        <v>9300</v>
      </c>
      <c r="G162" s="39">
        <f>'Data entry Oberstaufen'!O162</f>
        <v>13440.01</v>
      </c>
      <c r="H162" s="39">
        <f>'Data entry Oberstaufen'!R162</f>
        <v>16659.980899999999</v>
      </c>
      <c r="I162" s="39">
        <f>'Data entry Oberstaufen'!U162</f>
        <v>16867.8194</v>
      </c>
      <c r="J162" s="39">
        <f>'Data entry Oberstaufen'!X162</f>
        <v>21933.509699999999</v>
      </c>
      <c r="K162" s="39">
        <f>'Data entry Oberstaufen'!AA162</f>
        <v>27028.7441</v>
      </c>
      <c r="L162" s="39">
        <f>'Data entry Oberstaufen'!AD162</f>
        <v>21592.052500000002</v>
      </c>
      <c r="M162" s="39">
        <f>'Data entry Oberstaufen'!AG162</f>
        <v>19857.231599999999</v>
      </c>
      <c r="N162" s="39">
        <f>'Data entry Oberstaufen'!AJ162</f>
        <v>12829.7266</v>
      </c>
      <c r="O162" s="39">
        <f>'Data entry Oberstaufen'!AM162</f>
        <v>5290.6274999999996</v>
      </c>
    </row>
    <row r="163" spans="2:15" ht="14" x14ac:dyDescent="0.15">
      <c r="B163" s="38" t="s">
        <v>116</v>
      </c>
      <c r="C163" s="39">
        <f>'Data entry Oberstaufen'!C163</f>
        <v>98764.130999999994</v>
      </c>
      <c r="D163" s="39">
        <f>'Data entry Oberstaufen'!F163</f>
        <v>6851.71</v>
      </c>
      <c r="E163" s="39">
        <f>'Data entry Oberstaufen'!I163</f>
        <v>12671.45</v>
      </c>
      <c r="F163" s="39">
        <f>'Data entry Oberstaufen'!L163</f>
        <v>5033.3900000000003</v>
      </c>
      <c r="G163" s="39">
        <f>'Data entry Oberstaufen'!O163</f>
        <v>6436.13</v>
      </c>
      <c r="H163" s="39">
        <f>'Data entry Oberstaufen'!R163</f>
        <v>7873.2295000000004</v>
      </c>
      <c r="I163" s="39">
        <f>'Data entry Oberstaufen'!U163</f>
        <v>8012.9229999999998</v>
      </c>
      <c r="J163" s="39">
        <f>'Data entry Oberstaufen'!X163</f>
        <v>10657.0398</v>
      </c>
      <c r="K163" s="39">
        <f>'Data entry Oberstaufen'!AA163</f>
        <v>13345.4419</v>
      </c>
      <c r="L163" s="39">
        <f>'Data entry Oberstaufen'!AD163</f>
        <v>10550.1571</v>
      </c>
      <c r="M163" s="39">
        <f>'Data entry Oberstaufen'!AG163</f>
        <v>9584.1025000000009</v>
      </c>
      <c r="N163" s="39">
        <f>'Data entry Oberstaufen'!AJ163</f>
        <v>5802.1967000000004</v>
      </c>
      <c r="O163" s="39">
        <f>'Data entry Oberstaufen'!AM163</f>
        <v>1946.3605</v>
      </c>
    </row>
    <row r="164" spans="2:15" ht="14" x14ac:dyDescent="0.15">
      <c r="B164" s="38" t="s">
        <v>117</v>
      </c>
      <c r="C164" s="39">
        <f>'Data entry Oberstaufen'!C164</f>
        <v>60886.577499999999</v>
      </c>
      <c r="D164" s="39">
        <f>'Data entry Oberstaufen'!F164</f>
        <v>4272.54</v>
      </c>
      <c r="E164" s="39">
        <f>'Data entry Oberstaufen'!I164</f>
        <v>2654.18</v>
      </c>
      <c r="F164" s="39">
        <f>'Data entry Oberstaufen'!L164</f>
        <v>2876.22</v>
      </c>
      <c r="G164" s="39">
        <f>'Data entry Oberstaufen'!O164</f>
        <v>3406.8</v>
      </c>
      <c r="H164" s="39">
        <f>'Data entry Oberstaufen'!R164</f>
        <v>5541.1696000000002</v>
      </c>
      <c r="I164" s="39">
        <f>'Data entry Oberstaufen'!U164</f>
        <v>5635.9903999999997</v>
      </c>
      <c r="J164" s="39">
        <f>'Data entry Oberstaufen'!X164</f>
        <v>7524.6713</v>
      </c>
      <c r="K164" s="39">
        <f>'Data entry Oberstaufen'!AA164</f>
        <v>9412.4585000000006</v>
      </c>
      <c r="L164" s="39">
        <f>'Data entry Oberstaufen'!AD164</f>
        <v>7418.3265000000001</v>
      </c>
      <c r="M164" s="39">
        <f>'Data entry Oberstaufen'!AG164</f>
        <v>6728.2875000000004</v>
      </c>
      <c r="N164" s="39">
        <f>'Data entry Oberstaufen'!AJ164</f>
        <v>4100.6761999999999</v>
      </c>
      <c r="O164" s="39">
        <f>'Data entry Oberstaufen'!AM164</f>
        <v>1315.2574999999999</v>
      </c>
    </row>
    <row r="165" spans="2:15" ht="14" x14ac:dyDescent="0.15">
      <c r="B165" s="38" t="s">
        <v>118</v>
      </c>
      <c r="C165" s="39">
        <f>'Data entry Oberstaufen'!C165</f>
        <v>16725.919999999998</v>
      </c>
      <c r="D165" s="39">
        <f>'Data entry Oberstaufen'!F165</f>
        <v>1702.98</v>
      </c>
      <c r="E165" s="39">
        <f>'Data entry Oberstaufen'!I165</f>
        <v>235.63</v>
      </c>
      <c r="F165" s="39">
        <f>'Data entry Oberstaufen'!L165</f>
        <v>202.69</v>
      </c>
      <c r="G165" s="39">
        <f>'Data entry Oberstaufen'!O165</f>
        <v>2191.34</v>
      </c>
      <c r="H165" s="39">
        <f>'Data entry Oberstaufen'!R165</f>
        <v>1549.16</v>
      </c>
      <c r="I165" s="39">
        <f>'Data entry Oberstaufen'!U165</f>
        <v>1549.16</v>
      </c>
      <c r="J165" s="39">
        <f>'Data entry Oberstaufen'!X165</f>
        <v>1549.16</v>
      </c>
      <c r="K165" s="39">
        <f>'Data entry Oberstaufen'!AA165</f>
        <v>1549.16</v>
      </c>
      <c r="L165" s="39">
        <f>'Data entry Oberstaufen'!AD165</f>
        <v>1549.16</v>
      </c>
      <c r="M165" s="39">
        <f>'Data entry Oberstaufen'!AG165</f>
        <v>1549.16</v>
      </c>
      <c r="N165" s="39">
        <f>'Data entry Oberstaufen'!AJ165</f>
        <v>1549.16</v>
      </c>
      <c r="O165" s="39">
        <f>'Data entry Oberstaufen'!AM165</f>
        <v>1549.16</v>
      </c>
    </row>
    <row r="166" spans="2:15" ht="14" x14ac:dyDescent="0.15">
      <c r="B166" s="38" t="s">
        <v>119</v>
      </c>
      <c r="C166" s="39">
        <f>'Data entry Oberstaufen'!C166</f>
        <v>20215.1937</v>
      </c>
      <c r="D166" s="39">
        <f>'Data entry Oberstaufen'!F166</f>
        <v>261.57</v>
      </c>
      <c r="E166" s="39">
        <f>'Data entry Oberstaufen'!I166</f>
        <v>3142.06</v>
      </c>
      <c r="F166" s="39">
        <f>'Data entry Oberstaufen'!L166</f>
        <v>1187.7</v>
      </c>
      <c r="G166" s="39">
        <f>'Data entry Oberstaufen'!O166</f>
        <v>1405.74</v>
      </c>
      <c r="H166" s="39">
        <f>'Data entry Oberstaufen'!R166</f>
        <v>1696.4218000000001</v>
      </c>
      <c r="I166" s="39">
        <f>'Data entry Oberstaufen'!U166</f>
        <v>1669.7458999999999</v>
      </c>
      <c r="J166" s="39">
        <f>'Data entry Oberstaufen'!X166</f>
        <v>2202.6387</v>
      </c>
      <c r="K166" s="39">
        <f>'Data entry Oberstaufen'!AA166</f>
        <v>2721.6837</v>
      </c>
      <c r="L166" s="39">
        <f>'Data entry Oberstaufen'!AD166</f>
        <v>2074.4088999999999</v>
      </c>
      <c r="M166" s="39">
        <f>'Data entry Oberstaufen'!AG166</f>
        <v>1995.6815999999999</v>
      </c>
      <c r="N166" s="39">
        <f>'Data entry Oberstaufen'!AJ166</f>
        <v>1377.6936000000001</v>
      </c>
      <c r="O166" s="39">
        <f>'Data entry Oberstaufen'!AM166</f>
        <v>479.84949999999998</v>
      </c>
    </row>
    <row r="168" spans="2:15" ht="14" x14ac:dyDescent="0.15">
      <c r="B168" s="33" t="s">
        <v>154</v>
      </c>
    </row>
    <row r="171" spans="2:15" customFormat="1" ht="14" x14ac:dyDescent="0.15">
      <c r="B171" s="180" t="s">
        <v>331</v>
      </c>
      <c r="C171" s="21">
        <f t="shared" ref="C171:I171" si="0">+C11</f>
        <v>3655658.0660999999</v>
      </c>
      <c r="D171" s="21">
        <f t="shared" si="0"/>
        <v>52326.52</v>
      </c>
      <c r="E171" s="21">
        <f t="shared" si="0"/>
        <v>237539.18</v>
      </c>
      <c r="F171" s="21">
        <f t="shared" si="0"/>
        <v>235872.65</v>
      </c>
      <c r="G171" s="21">
        <f t="shared" si="0"/>
        <v>288964.69</v>
      </c>
      <c r="H171" s="21">
        <f t="shared" si="0"/>
        <v>336958.804</v>
      </c>
      <c r="I171" s="21">
        <f t="shared" si="0"/>
        <v>333605.01120000001</v>
      </c>
    </row>
    <row r="172" spans="2:15" customFormat="1" ht="14" x14ac:dyDescent="0.15">
      <c r="B172" s="180" t="s">
        <v>106</v>
      </c>
      <c r="C172" s="21">
        <f t="shared" ref="C172:I172" si="1">+C153</f>
        <v>-1484989.9561999999</v>
      </c>
      <c r="D172" s="21">
        <f t="shared" si="1"/>
        <v>-181371.5</v>
      </c>
      <c r="E172" s="21">
        <f t="shared" si="1"/>
        <v>-175734.32</v>
      </c>
      <c r="F172" s="21">
        <f t="shared" si="1"/>
        <v>-175302</v>
      </c>
      <c r="G172" s="21">
        <f t="shared" si="1"/>
        <v>-206233.27</v>
      </c>
      <c r="H172" s="21">
        <f t="shared" si="1"/>
        <v>-104388.8606</v>
      </c>
      <c r="I172" s="21">
        <f t="shared" si="1"/>
        <v>-116504.1479</v>
      </c>
    </row>
    <row r="173" spans="2:15" customFormat="1" ht="14" x14ac:dyDescent="0.15">
      <c r="B173" s="180" t="s">
        <v>317</v>
      </c>
      <c r="C173" s="22">
        <f t="shared" ref="C173:I173" si="2">+C171-C172</f>
        <v>5140648.0222999994</v>
      </c>
      <c r="D173" s="22">
        <f t="shared" si="2"/>
        <v>233698.02</v>
      </c>
      <c r="E173" s="22">
        <f t="shared" si="2"/>
        <v>413273.5</v>
      </c>
      <c r="F173" s="22">
        <f t="shared" si="2"/>
        <v>411174.65</v>
      </c>
      <c r="G173" s="22">
        <f t="shared" si="2"/>
        <v>495197.95999999996</v>
      </c>
      <c r="H173" s="22">
        <f t="shared" si="2"/>
        <v>441347.66460000002</v>
      </c>
      <c r="I173" s="22">
        <f t="shared" si="2"/>
        <v>450109.15909999999</v>
      </c>
    </row>
    <row r="174" spans="2:15" customFormat="1" ht="14" x14ac:dyDescent="0.15">
      <c r="B174" s="180" t="s">
        <v>178</v>
      </c>
      <c r="C174" s="22">
        <f t="shared" ref="C174:I174" si="3">-C12*(1-$D$7)</f>
        <v>-2192585.7245999998</v>
      </c>
      <c r="D174" s="22">
        <f t="shared" si="3"/>
        <v>-80191.25</v>
      </c>
      <c r="E174" s="22">
        <f t="shared" si="3"/>
        <v>-212841.81</v>
      </c>
      <c r="F174" s="22">
        <f t="shared" si="3"/>
        <v>-167124.44</v>
      </c>
      <c r="G174" s="22">
        <f t="shared" si="3"/>
        <v>-193309.08</v>
      </c>
      <c r="H174" s="22">
        <f t="shared" si="3"/>
        <v>-190934.7107</v>
      </c>
      <c r="I174" s="22">
        <f t="shared" si="3"/>
        <v>-209285.8505</v>
      </c>
    </row>
    <row r="175" spans="2:15" customFormat="1" ht="14" x14ac:dyDescent="0.15">
      <c r="B175" s="180" t="s">
        <v>94</v>
      </c>
      <c r="C175" s="22">
        <f t="shared" ref="C175:I175" si="4">-C136</f>
        <v>-1006700.7465</v>
      </c>
      <c r="D175" s="22">
        <f t="shared" si="4"/>
        <v>-57264.69</v>
      </c>
      <c r="E175" s="22">
        <f t="shared" si="4"/>
        <v>-59064.69</v>
      </c>
      <c r="F175" s="22">
        <f t="shared" si="4"/>
        <v>-114529.38</v>
      </c>
      <c r="G175" s="22">
        <f t="shared" si="4"/>
        <v>-114529.38</v>
      </c>
      <c r="H175" s="22">
        <f t="shared" si="4"/>
        <v>-74251.872099999993</v>
      </c>
      <c r="I175" s="22">
        <f t="shared" si="4"/>
        <v>-73184.837899999999</v>
      </c>
    </row>
    <row r="176" spans="2:15" customFormat="1" ht="14" x14ac:dyDescent="0.15">
      <c r="B176" s="180" t="s">
        <v>318</v>
      </c>
      <c r="C176" s="22">
        <f t="shared" ref="C176:I176" si="5">SUM(C173:C175)</f>
        <v>1941361.5511999996</v>
      </c>
      <c r="D176" s="22">
        <f t="shared" si="5"/>
        <v>96242.079999999987</v>
      </c>
      <c r="E176" s="22">
        <f t="shared" si="5"/>
        <v>141367</v>
      </c>
      <c r="F176" s="22">
        <f t="shared" si="5"/>
        <v>129520.83000000002</v>
      </c>
      <c r="G176" s="22">
        <f t="shared" si="5"/>
        <v>187359.5</v>
      </c>
      <c r="H176" s="22">
        <f t="shared" si="5"/>
        <v>176161.08180000004</v>
      </c>
      <c r="I176" s="22">
        <f t="shared" si="5"/>
        <v>167638.47070000001</v>
      </c>
    </row>
    <row r="177" customFormat="1" x14ac:dyDescent="0.15"/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7420-5E35-46A8-A932-DFC8EBF7DD11}">
  <sheetPr>
    <pageSetUpPr fitToPage="1"/>
  </sheetPr>
  <dimension ref="B2:AN168"/>
  <sheetViews>
    <sheetView workbookViewId="0">
      <pane xSplit="2" ySplit="10" topLeftCell="C137" activePane="bottomRight" state="frozen"/>
      <selection activeCell="A11" sqref="A11:XFD168"/>
      <selection pane="topRight" activeCell="A11" sqref="A11:XFD168"/>
      <selection pane="bottomLeft" activeCell="A11" sqref="A11:XFD16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28" x14ac:dyDescent="0.15">
      <c r="B3" s="288" t="s">
        <v>153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3655658.0660999999</v>
      </c>
      <c r="D11" s="7">
        <v>1</v>
      </c>
      <c r="E11"/>
      <c r="F11" s="6">
        <v>52326.52</v>
      </c>
      <c r="G11" s="7">
        <v>1</v>
      </c>
      <c r="H11"/>
      <c r="I11" s="6">
        <v>237539.18</v>
      </c>
      <c r="J11" s="7">
        <v>1</v>
      </c>
      <c r="K11"/>
      <c r="L11" s="6">
        <v>235872.65</v>
      </c>
      <c r="M11" s="7">
        <v>1</v>
      </c>
      <c r="N11"/>
      <c r="O11" s="6">
        <v>288964.69</v>
      </c>
      <c r="P11" s="7">
        <v>1</v>
      </c>
      <c r="Q11"/>
      <c r="R11" s="6">
        <v>336958.804</v>
      </c>
      <c r="S11" s="7">
        <v>1</v>
      </c>
      <c r="T11"/>
      <c r="U11" s="6">
        <v>333605.01120000001</v>
      </c>
      <c r="V11" s="7">
        <v>1</v>
      </c>
      <c r="W11"/>
      <c r="X11" s="6">
        <v>440527.74599999998</v>
      </c>
      <c r="Y11" s="7">
        <v>1</v>
      </c>
      <c r="Z11"/>
      <c r="AA11" s="6">
        <v>544336.73770000006</v>
      </c>
      <c r="AB11" s="7">
        <v>1</v>
      </c>
      <c r="AC11"/>
      <c r="AD11" s="6">
        <v>414881.77039999998</v>
      </c>
      <c r="AE11" s="7">
        <v>1</v>
      </c>
      <c r="AF11"/>
      <c r="AG11" s="6">
        <v>399136.3285</v>
      </c>
      <c r="AH11" s="7">
        <v>1</v>
      </c>
      <c r="AI11"/>
      <c r="AJ11" s="6">
        <v>275538.72779999999</v>
      </c>
      <c r="AK11" s="7">
        <v>1</v>
      </c>
      <c r="AL11"/>
      <c r="AM11" s="6">
        <v>95969.900500000003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2192585.7245999998</v>
      </c>
      <c r="D12" s="7">
        <v>0.59977867000000007</v>
      </c>
      <c r="E12"/>
      <c r="F12" s="6">
        <v>80191.25</v>
      </c>
      <c r="G12" s="7">
        <v>1.5325164</v>
      </c>
      <c r="H12"/>
      <c r="I12" s="6">
        <v>212841.81</v>
      </c>
      <c r="J12" s="7">
        <v>0.89602822999999998</v>
      </c>
      <c r="K12"/>
      <c r="L12" s="6">
        <v>167124.44</v>
      </c>
      <c r="M12" s="7">
        <v>0.70853674999999994</v>
      </c>
      <c r="N12"/>
      <c r="O12" s="6">
        <v>193309.08</v>
      </c>
      <c r="P12" s="7">
        <v>0.66897129000000011</v>
      </c>
      <c r="Q12"/>
      <c r="R12" s="6">
        <v>190934.7107</v>
      </c>
      <c r="S12" s="7">
        <v>0.56664110999999995</v>
      </c>
      <c r="T12"/>
      <c r="U12" s="6">
        <v>209285.8505</v>
      </c>
      <c r="V12" s="7">
        <v>0.62734623999999994</v>
      </c>
      <c r="W12"/>
      <c r="X12" s="6">
        <v>174481.0068</v>
      </c>
      <c r="Y12" s="7">
        <v>0.39607268000000001</v>
      </c>
      <c r="Z12"/>
      <c r="AA12" s="6">
        <v>188750.74309999999</v>
      </c>
      <c r="AB12" s="7">
        <v>0.34675363999999997</v>
      </c>
      <c r="AC12"/>
      <c r="AD12" s="6">
        <v>189660.87409999999</v>
      </c>
      <c r="AE12" s="7">
        <v>0.45714439000000001</v>
      </c>
      <c r="AF12"/>
      <c r="AG12" s="6">
        <v>194370.86569999999</v>
      </c>
      <c r="AH12" s="7">
        <v>0.48697864000000002</v>
      </c>
      <c r="AI12"/>
      <c r="AJ12" s="6">
        <v>202192.8939</v>
      </c>
      <c r="AK12" s="7">
        <v>0.73380934999999992</v>
      </c>
      <c r="AL12"/>
      <c r="AM12" s="6">
        <v>189442.1998</v>
      </c>
      <c r="AN12" s="7">
        <v>1.97397516</v>
      </c>
    </row>
    <row r="13" spans="2:40" s="314" customFormat="1" ht="12.75" customHeight="1" x14ac:dyDescent="0.15">
      <c r="B13" s="5" t="s">
        <v>23</v>
      </c>
      <c r="C13" s="6">
        <v>-323480.6691</v>
      </c>
      <c r="D13" s="7">
        <v>0</v>
      </c>
      <c r="E13"/>
      <c r="F13" s="6">
        <v>-117890.1</v>
      </c>
      <c r="G13" s="7">
        <v>0</v>
      </c>
      <c r="H13"/>
      <c r="I13" s="6">
        <v>-100391.1</v>
      </c>
      <c r="J13" s="7">
        <v>0</v>
      </c>
      <c r="K13"/>
      <c r="L13" s="6">
        <v>-51409.32</v>
      </c>
      <c r="M13" s="7">
        <v>0</v>
      </c>
      <c r="N13"/>
      <c r="O13" s="6">
        <v>-61657.58</v>
      </c>
      <c r="P13" s="7">
        <v>0</v>
      </c>
      <c r="Q13"/>
      <c r="R13" s="6">
        <v>-15241.6325</v>
      </c>
      <c r="S13" s="7">
        <v>0</v>
      </c>
      <c r="T13"/>
      <c r="U13" s="6">
        <v>-34323.999799999998</v>
      </c>
      <c r="V13" s="7">
        <v>0</v>
      </c>
      <c r="W13"/>
      <c r="X13" s="6">
        <v>78327.031799999997</v>
      </c>
      <c r="Y13" s="7">
        <v>0</v>
      </c>
      <c r="Z13"/>
      <c r="AA13" s="6">
        <v>147892.4835</v>
      </c>
      <c r="AB13" s="7">
        <v>0</v>
      </c>
      <c r="AC13"/>
      <c r="AD13" s="6">
        <v>54790.364999999998</v>
      </c>
      <c r="AE13" s="7">
        <v>0</v>
      </c>
      <c r="AF13"/>
      <c r="AG13" s="6">
        <v>17273.391</v>
      </c>
      <c r="AH13" s="7">
        <v>0</v>
      </c>
      <c r="AI13"/>
      <c r="AJ13" s="6">
        <v>-75038.768299999996</v>
      </c>
      <c r="AK13" s="7">
        <v>0</v>
      </c>
      <c r="AL13"/>
      <c r="AM13" s="6">
        <v>-165811.43979999999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31581</v>
      </c>
      <c r="D14" s="7">
        <v>0</v>
      </c>
      <c r="E14"/>
      <c r="F14" s="8">
        <v>2523</v>
      </c>
      <c r="G14" s="7">
        <v>0</v>
      </c>
      <c r="H14"/>
      <c r="I14" s="8">
        <v>2436</v>
      </c>
      <c r="J14" s="7">
        <v>0</v>
      </c>
      <c r="K14"/>
      <c r="L14" s="8">
        <v>2697</v>
      </c>
      <c r="M14" s="7">
        <v>0</v>
      </c>
      <c r="N14"/>
      <c r="O14" s="8">
        <v>2610</v>
      </c>
      <c r="P14" s="7">
        <v>0</v>
      </c>
      <c r="Q14"/>
      <c r="R14" s="8">
        <v>2697</v>
      </c>
      <c r="S14" s="7">
        <v>0</v>
      </c>
      <c r="T14"/>
      <c r="U14" s="8">
        <v>2610</v>
      </c>
      <c r="V14" s="7">
        <v>0</v>
      </c>
      <c r="W14"/>
      <c r="X14" s="8">
        <v>2697</v>
      </c>
      <c r="Y14" s="7">
        <v>0</v>
      </c>
      <c r="Z14"/>
      <c r="AA14" s="8">
        <v>2697</v>
      </c>
      <c r="AB14" s="7">
        <v>0</v>
      </c>
      <c r="AC14"/>
      <c r="AD14" s="8">
        <v>2610</v>
      </c>
      <c r="AE14" s="7">
        <v>0</v>
      </c>
      <c r="AF14"/>
      <c r="AG14" s="8">
        <v>2697</v>
      </c>
      <c r="AH14" s="7">
        <v>0</v>
      </c>
      <c r="AI14"/>
      <c r="AJ14" s="8">
        <v>2610</v>
      </c>
      <c r="AK14" s="7">
        <v>0</v>
      </c>
      <c r="AL14"/>
      <c r="AM14" s="8">
        <v>2697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15333</v>
      </c>
      <c r="D15" s="7">
        <v>0</v>
      </c>
      <c r="E15"/>
      <c r="F15" s="9">
        <v>219</v>
      </c>
      <c r="G15" s="7">
        <v>0</v>
      </c>
      <c r="H15"/>
      <c r="I15" s="9">
        <v>1113</v>
      </c>
      <c r="J15" s="7">
        <v>0</v>
      </c>
      <c r="K15"/>
      <c r="L15" s="9">
        <v>1079</v>
      </c>
      <c r="M15" s="7">
        <v>0</v>
      </c>
      <c r="N15"/>
      <c r="O15" s="9">
        <v>1261</v>
      </c>
      <c r="P15" s="7">
        <v>0</v>
      </c>
      <c r="Q15"/>
      <c r="R15" s="9">
        <v>1394</v>
      </c>
      <c r="S15" s="7">
        <v>0</v>
      </c>
      <c r="T15"/>
      <c r="U15" s="9">
        <v>1423</v>
      </c>
      <c r="V15" s="7">
        <v>0</v>
      </c>
      <c r="W15"/>
      <c r="X15" s="9">
        <v>1791</v>
      </c>
      <c r="Y15" s="7">
        <v>0</v>
      </c>
      <c r="Z15"/>
      <c r="AA15" s="9">
        <v>2257</v>
      </c>
      <c r="AB15" s="7">
        <v>0</v>
      </c>
      <c r="AC15"/>
      <c r="AD15" s="9">
        <v>1607</v>
      </c>
      <c r="AE15" s="7">
        <v>0</v>
      </c>
      <c r="AF15"/>
      <c r="AG15" s="9">
        <v>1646</v>
      </c>
      <c r="AH15" s="7">
        <v>0</v>
      </c>
      <c r="AI15"/>
      <c r="AJ15" s="9">
        <v>1193</v>
      </c>
      <c r="AK15" s="7">
        <v>0</v>
      </c>
      <c r="AL15"/>
      <c r="AM15" s="9">
        <v>350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50.052246603971</v>
      </c>
      <c r="D16" s="7">
        <v>0</v>
      </c>
      <c r="E16"/>
      <c r="F16" s="8">
        <v>9.0764962346413007</v>
      </c>
      <c r="G16" s="7">
        <v>0</v>
      </c>
      <c r="H16"/>
      <c r="I16" s="8">
        <v>47.536945812808</v>
      </c>
      <c r="J16" s="7">
        <v>0</v>
      </c>
      <c r="K16"/>
      <c r="L16" s="8">
        <v>42.973674453096002</v>
      </c>
      <c r="M16" s="7">
        <v>0</v>
      </c>
      <c r="N16"/>
      <c r="O16" s="8">
        <v>51.647509578544003</v>
      </c>
      <c r="P16" s="7">
        <v>0</v>
      </c>
      <c r="Q16"/>
      <c r="R16" s="8">
        <v>53.170189098999003</v>
      </c>
      <c r="S16" s="7">
        <v>0</v>
      </c>
      <c r="T16"/>
      <c r="U16" s="8">
        <v>55.823754789272002</v>
      </c>
      <c r="V16" s="7">
        <v>0</v>
      </c>
      <c r="W16"/>
      <c r="X16" s="8">
        <v>67.741935483871003</v>
      </c>
      <c r="Y16" s="7">
        <v>0</v>
      </c>
      <c r="Z16"/>
      <c r="AA16" s="8">
        <v>84.909158324063995</v>
      </c>
      <c r="AB16" s="7">
        <v>0</v>
      </c>
      <c r="AC16"/>
      <c r="AD16" s="8">
        <v>62.873563218390998</v>
      </c>
      <c r="AE16" s="7">
        <v>0</v>
      </c>
      <c r="AF16"/>
      <c r="AG16" s="8">
        <v>62.180200222468997</v>
      </c>
      <c r="AH16" s="7">
        <v>0</v>
      </c>
      <c r="AI16"/>
      <c r="AJ16" s="8">
        <v>46.934865900383002</v>
      </c>
      <c r="AK16" s="7">
        <v>0</v>
      </c>
      <c r="AL16"/>
      <c r="AM16" s="8">
        <v>13.422321097516001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159.70150525010999</v>
      </c>
      <c r="D17" s="7">
        <v>0</v>
      </c>
      <c r="E17"/>
      <c r="F17" s="9">
        <v>147.37799086758</v>
      </c>
      <c r="G17" s="7">
        <v>0</v>
      </c>
      <c r="H17"/>
      <c r="I17" s="9">
        <v>129.21045822101999</v>
      </c>
      <c r="J17" s="7">
        <v>0</v>
      </c>
      <c r="K17"/>
      <c r="L17" s="9">
        <v>138.74804448563</v>
      </c>
      <c r="M17" s="7">
        <v>0</v>
      </c>
      <c r="N17"/>
      <c r="O17" s="9">
        <v>150.10242664552001</v>
      </c>
      <c r="P17" s="7">
        <v>0</v>
      </c>
      <c r="Q17"/>
      <c r="R17" s="9">
        <v>159.68146341463</v>
      </c>
      <c r="S17" s="7">
        <v>0</v>
      </c>
      <c r="T17"/>
      <c r="U17" s="9">
        <v>160.64286718201001</v>
      </c>
      <c r="V17" s="7">
        <v>0</v>
      </c>
      <c r="W17"/>
      <c r="X17" s="9">
        <v>170.00940815186999</v>
      </c>
      <c r="Y17" s="7">
        <v>0</v>
      </c>
      <c r="Z17"/>
      <c r="AA17" s="9">
        <v>168.94033673017</v>
      </c>
      <c r="AB17" s="7">
        <v>0</v>
      </c>
      <c r="AC17"/>
      <c r="AD17" s="9">
        <v>187.57502177971</v>
      </c>
      <c r="AE17" s="7">
        <v>0</v>
      </c>
      <c r="AF17"/>
      <c r="AG17" s="9">
        <v>166.36178614823999</v>
      </c>
      <c r="AH17" s="7">
        <v>0</v>
      </c>
      <c r="AI17"/>
      <c r="AJ17" s="9">
        <v>138.95813076278</v>
      </c>
      <c r="AK17" s="7">
        <v>0</v>
      </c>
      <c r="AL17"/>
      <c r="AM17" s="9">
        <v>158.88657142856999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76.400833412495004</v>
      </c>
      <c r="D18" s="7">
        <v>0</v>
      </c>
      <c r="E18"/>
      <c r="F18" s="6">
        <v>12.725941339675</v>
      </c>
      <c r="G18" s="7">
        <v>0</v>
      </c>
      <c r="H18"/>
      <c r="I18" s="6">
        <v>58.316473727422</v>
      </c>
      <c r="J18" s="7">
        <v>0</v>
      </c>
      <c r="K18"/>
      <c r="L18" s="6">
        <v>54.989699666295998</v>
      </c>
      <c r="M18" s="7">
        <v>0</v>
      </c>
      <c r="N18"/>
      <c r="O18" s="6">
        <v>71.250252873562999</v>
      </c>
      <c r="P18" s="7">
        <v>0</v>
      </c>
      <c r="Q18"/>
      <c r="R18" s="6">
        <v>81.311071560993994</v>
      </c>
      <c r="S18" s="7">
        <v>0</v>
      </c>
      <c r="T18"/>
      <c r="U18" s="6">
        <v>86.243218390804998</v>
      </c>
      <c r="V18" s="7">
        <v>0</v>
      </c>
      <c r="W18"/>
      <c r="X18" s="6">
        <v>111.60061179088</v>
      </c>
      <c r="Y18" s="7">
        <v>0</v>
      </c>
      <c r="Z18"/>
      <c r="AA18" s="6">
        <v>139.59893956248001</v>
      </c>
      <c r="AB18" s="7">
        <v>0</v>
      </c>
      <c r="AC18"/>
      <c r="AD18" s="6">
        <v>113.69082758621001</v>
      </c>
      <c r="AE18" s="7">
        <v>0</v>
      </c>
      <c r="AF18"/>
      <c r="AG18" s="6">
        <v>99.789210233592996</v>
      </c>
      <c r="AH18" s="7">
        <v>0</v>
      </c>
      <c r="AI18"/>
      <c r="AJ18" s="6">
        <v>62.845613026819997</v>
      </c>
      <c r="AK18" s="7">
        <v>0</v>
      </c>
      <c r="AL18"/>
      <c r="AM18" s="6">
        <v>19.506970708194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115.75498135271</v>
      </c>
      <c r="D19" s="7">
        <v>0</v>
      </c>
      <c r="E19"/>
      <c r="F19" s="9">
        <v>20.739801823225999</v>
      </c>
      <c r="G19" s="7">
        <v>0</v>
      </c>
      <c r="H19"/>
      <c r="I19" s="9">
        <v>97.511978653529994</v>
      </c>
      <c r="J19" s="7">
        <v>0</v>
      </c>
      <c r="K19"/>
      <c r="L19" s="9">
        <v>87.457415647014997</v>
      </c>
      <c r="M19" s="7">
        <v>0</v>
      </c>
      <c r="N19"/>
      <c r="O19" s="9">
        <v>110.71444061303001</v>
      </c>
      <c r="P19" s="7">
        <v>0</v>
      </c>
      <c r="Q19"/>
      <c r="R19" s="9">
        <v>124.93837745643</v>
      </c>
      <c r="S19" s="7">
        <v>0</v>
      </c>
      <c r="T19"/>
      <c r="U19" s="9">
        <v>127.81801195401999</v>
      </c>
      <c r="V19" s="7">
        <v>0</v>
      </c>
      <c r="W19"/>
      <c r="X19" s="9">
        <v>163.33991323692999</v>
      </c>
      <c r="Y19" s="7">
        <v>0</v>
      </c>
      <c r="Z19"/>
      <c r="AA19" s="9">
        <v>201.83045520949</v>
      </c>
      <c r="AB19" s="7">
        <v>0</v>
      </c>
      <c r="AC19"/>
      <c r="AD19" s="9">
        <v>158.95853272030999</v>
      </c>
      <c r="AE19" s="7">
        <v>0</v>
      </c>
      <c r="AF19"/>
      <c r="AG19" s="9">
        <v>147.99270615499</v>
      </c>
      <c r="AH19" s="7">
        <v>0</v>
      </c>
      <c r="AI19"/>
      <c r="AJ19" s="9">
        <v>105.5703937931</v>
      </c>
      <c r="AK19" s="7">
        <v>0</v>
      </c>
      <c r="AL19"/>
      <c r="AM19" s="9">
        <v>35.583945309603003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28969.25</v>
      </c>
      <c r="D20" s="7">
        <v>0</v>
      </c>
      <c r="E20"/>
      <c r="F20" s="8">
        <v>419</v>
      </c>
      <c r="G20" s="7">
        <v>0</v>
      </c>
      <c r="H20"/>
      <c r="I20" s="8">
        <v>2204</v>
      </c>
      <c r="J20" s="7">
        <v>0</v>
      </c>
      <c r="K20"/>
      <c r="L20" s="8">
        <v>2172</v>
      </c>
      <c r="M20" s="7">
        <v>0</v>
      </c>
      <c r="N20"/>
      <c r="O20" s="8">
        <v>2500</v>
      </c>
      <c r="P20" s="7">
        <v>0</v>
      </c>
      <c r="Q20"/>
      <c r="R20" s="8">
        <v>2557.8000000000002</v>
      </c>
      <c r="S20" s="7">
        <v>0</v>
      </c>
      <c r="T20"/>
      <c r="U20" s="8">
        <v>2591.63</v>
      </c>
      <c r="V20" s="7">
        <v>0</v>
      </c>
      <c r="W20"/>
      <c r="X20" s="8">
        <v>3523.34</v>
      </c>
      <c r="Y20" s="7">
        <v>0</v>
      </c>
      <c r="Z20"/>
      <c r="AA20" s="8">
        <v>4603.7700000000004</v>
      </c>
      <c r="AB20" s="7">
        <v>0</v>
      </c>
      <c r="AC20"/>
      <c r="AD20" s="8">
        <v>2638.75</v>
      </c>
      <c r="AE20" s="7">
        <v>0</v>
      </c>
      <c r="AF20"/>
      <c r="AG20" s="8">
        <v>2979.1</v>
      </c>
      <c r="AH20" s="7">
        <v>0</v>
      </c>
      <c r="AI20"/>
      <c r="AJ20" s="8">
        <v>2183.86</v>
      </c>
      <c r="AK20" s="7">
        <v>0</v>
      </c>
      <c r="AL20"/>
      <c r="AM20" s="8">
        <v>596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1.8326848864426999</v>
      </c>
      <c r="D21" s="7">
        <v>0</v>
      </c>
      <c r="E21"/>
      <c r="F21" s="9">
        <v>1.8296943231441001</v>
      </c>
      <c r="G21" s="7">
        <v>0</v>
      </c>
      <c r="H21"/>
      <c r="I21" s="9">
        <v>1.9032815198618001</v>
      </c>
      <c r="J21" s="7">
        <v>0</v>
      </c>
      <c r="K21"/>
      <c r="L21" s="9">
        <v>1.8740293356341999</v>
      </c>
      <c r="M21" s="7">
        <v>0</v>
      </c>
      <c r="N21"/>
      <c r="O21" s="9">
        <v>1.8545994065282001</v>
      </c>
      <c r="P21" s="7">
        <v>0</v>
      </c>
      <c r="Q21"/>
      <c r="R21" s="9">
        <v>1.7836820083681999</v>
      </c>
      <c r="S21" s="7">
        <v>0</v>
      </c>
      <c r="T21"/>
      <c r="U21" s="9">
        <v>1.7787439945093</v>
      </c>
      <c r="V21" s="7">
        <v>0</v>
      </c>
      <c r="W21"/>
      <c r="X21" s="9">
        <v>1.9284838533113999</v>
      </c>
      <c r="Y21" s="7">
        <v>0</v>
      </c>
      <c r="Z21"/>
      <c r="AA21" s="9">
        <v>2.0103799126638</v>
      </c>
      <c r="AB21" s="7">
        <v>0</v>
      </c>
      <c r="AC21"/>
      <c r="AD21" s="9">
        <v>1.6080134064595</v>
      </c>
      <c r="AE21" s="7">
        <v>0</v>
      </c>
      <c r="AF21"/>
      <c r="AG21" s="9">
        <v>1.7764460345855999</v>
      </c>
      <c r="AH21" s="7">
        <v>0</v>
      </c>
      <c r="AI21"/>
      <c r="AJ21" s="9">
        <v>1.7827428571429</v>
      </c>
      <c r="AK21" s="7">
        <v>0</v>
      </c>
      <c r="AL21"/>
      <c r="AM21" s="9">
        <v>1.646408839779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27504.623100000001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3323.3901000000001</v>
      </c>
      <c r="S22" s="7">
        <v>0</v>
      </c>
      <c r="T22"/>
      <c r="U22" s="8">
        <v>3213.2473</v>
      </c>
      <c r="V22" s="7">
        <v>0</v>
      </c>
      <c r="W22"/>
      <c r="X22" s="8">
        <v>4356.2876999999999</v>
      </c>
      <c r="Y22" s="7">
        <v>0</v>
      </c>
      <c r="Z22"/>
      <c r="AA22" s="8">
        <v>5418.6859999999997</v>
      </c>
      <c r="AB22" s="7">
        <v>0</v>
      </c>
      <c r="AC22"/>
      <c r="AD22" s="8">
        <v>3341.09</v>
      </c>
      <c r="AE22" s="7">
        <v>0</v>
      </c>
      <c r="AF22"/>
      <c r="AG22" s="8">
        <v>3838.7319000000002</v>
      </c>
      <c r="AH22" s="7">
        <v>0</v>
      </c>
      <c r="AI22"/>
      <c r="AJ22" s="8">
        <v>3217.8845999999999</v>
      </c>
      <c r="AK22" s="7">
        <v>0</v>
      </c>
      <c r="AL22"/>
      <c r="AM22" s="8">
        <v>795.30550000000005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45.2575</v>
      </c>
      <c r="D23" s="7">
        <v>0</v>
      </c>
      <c r="E23"/>
      <c r="F23" s="8">
        <v>49.87</v>
      </c>
      <c r="G23" s="7">
        <v>0</v>
      </c>
      <c r="H23"/>
      <c r="I23" s="8">
        <v>49.87</v>
      </c>
      <c r="J23" s="7">
        <v>0</v>
      </c>
      <c r="K23"/>
      <c r="L23" s="8">
        <v>48.35</v>
      </c>
      <c r="M23" s="7">
        <v>0</v>
      </c>
      <c r="N23"/>
      <c r="O23" s="8">
        <v>47.72</v>
      </c>
      <c r="P23" s="7">
        <v>0</v>
      </c>
      <c r="Q23"/>
      <c r="R23" s="8">
        <v>44.16</v>
      </c>
      <c r="S23" s="7">
        <v>0</v>
      </c>
      <c r="T23"/>
      <c r="U23" s="8">
        <v>44.16</v>
      </c>
      <c r="V23" s="7">
        <v>0</v>
      </c>
      <c r="W23"/>
      <c r="X23" s="8">
        <v>44.16</v>
      </c>
      <c r="Y23" s="7">
        <v>0</v>
      </c>
      <c r="Z23"/>
      <c r="AA23" s="8">
        <v>42.16</v>
      </c>
      <c r="AB23" s="7">
        <v>0</v>
      </c>
      <c r="AC23"/>
      <c r="AD23" s="8">
        <v>43.16</v>
      </c>
      <c r="AE23" s="7">
        <v>0</v>
      </c>
      <c r="AF23"/>
      <c r="AG23" s="8">
        <v>43.16</v>
      </c>
      <c r="AH23" s="7">
        <v>0</v>
      </c>
      <c r="AI23"/>
      <c r="AJ23" s="8">
        <v>43.16</v>
      </c>
      <c r="AK23" s="7">
        <v>0</v>
      </c>
      <c r="AL23"/>
      <c r="AM23" s="8">
        <v>43.16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3655658.0660999999</v>
      </c>
      <c r="D27" s="327">
        <v>1</v>
      </c>
      <c r="E27"/>
      <c r="F27" s="326">
        <v>52326.52</v>
      </c>
      <c r="G27" s="327">
        <v>1</v>
      </c>
      <c r="H27"/>
      <c r="I27" s="326">
        <v>237539.18</v>
      </c>
      <c r="J27" s="327">
        <v>1</v>
      </c>
      <c r="K27"/>
      <c r="L27" s="326">
        <v>235872.65</v>
      </c>
      <c r="M27" s="327">
        <v>1</v>
      </c>
      <c r="N27"/>
      <c r="O27" s="326">
        <v>288964.69</v>
      </c>
      <c r="P27" s="327">
        <v>1</v>
      </c>
      <c r="Q27"/>
      <c r="R27" s="326">
        <v>336958.804</v>
      </c>
      <c r="S27" s="327">
        <v>1</v>
      </c>
      <c r="T27"/>
      <c r="U27" s="326">
        <v>333605.01120000001</v>
      </c>
      <c r="V27" s="327">
        <v>1</v>
      </c>
      <c r="W27"/>
      <c r="X27" s="326">
        <v>440527.74599999998</v>
      </c>
      <c r="Y27" s="327">
        <v>1</v>
      </c>
      <c r="Z27"/>
      <c r="AA27" s="326">
        <v>544336.73770000006</v>
      </c>
      <c r="AB27" s="327">
        <v>1</v>
      </c>
      <c r="AC27"/>
      <c r="AD27" s="326">
        <v>414881.77039999998</v>
      </c>
      <c r="AE27" s="327">
        <v>1</v>
      </c>
      <c r="AF27"/>
      <c r="AG27" s="326">
        <v>399136.3285</v>
      </c>
      <c r="AH27" s="327">
        <v>1</v>
      </c>
      <c r="AI27"/>
      <c r="AJ27" s="326">
        <v>275538.72779999999</v>
      </c>
      <c r="AK27" s="327">
        <v>1</v>
      </c>
      <c r="AL27"/>
      <c r="AM27" s="326">
        <v>95969.900500000003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2448703.1800000002</v>
      </c>
      <c r="D28" s="7">
        <v>0.66983923000000001</v>
      </c>
      <c r="E28"/>
      <c r="F28" s="8">
        <v>32275.78</v>
      </c>
      <c r="G28" s="7">
        <v>0.61681494999999997</v>
      </c>
      <c r="H28"/>
      <c r="I28" s="8">
        <v>143811.24</v>
      </c>
      <c r="J28" s="7">
        <v>0.60542114000000002</v>
      </c>
      <c r="K28"/>
      <c r="L28" s="8">
        <v>149709.14000000001</v>
      </c>
      <c r="M28" s="7">
        <v>0.63470325999999999</v>
      </c>
      <c r="N28"/>
      <c r="O28" s="8">
        <v>189279.16</v>
      </c>
      <c r="P28" s="7">
        <v>0.65502521999999996</v>
      </c>
      <c r="Q28"/>
      <c r="R28" s="8">
        <v>222595.96</v>
      </c>
      <c r="S28" s="7">
        <v>0.66060288999999994</v>
      </c>
      <c r="T28"/>
      <c r="U28" s="8">
        <v>228594.8</v>
      </c>
      <c r="V28" s="7">
        <v>0.68522592000000004</v>
      </c>
      <c r="W28"/>
      <c r="X28" s="8">
        <v>304486.84999999998</v>
      </c>
      <c r="Y28" s="7">
        <v>0.69118654000000002</v>
      </c>
      <c r="Z28"/>
      <c r="AA28" s="8">
        <v>381298.34</v>
      </c>
      <c r="AB28" s="7">
        <v>0.70048247000000008</v>
      </c>
      <c r="AC28"/>
      <c r="AD28" s="8">
        <v>301433.06</v>
      </c>
      <c r="AE28" s="7">
        <v>0.72655170999999996</v>
      </c>
      <c r="AF28"/>
      <c r="AG28" s="8">
        <v>273831.5</v>
      </c>
      <c r="AH28" s="7">
        <v>0.68606008000000007</v>
      </c>
      <c r="AI28"/>
      <c r="AJ28" s="8">
        <v>165777.04999999999</v>
      </c>
      <c r="AK28" s="7">
        <v>0.60164700000000004</v>
      </c>
      <c r="AL28"/>
      <c r="AM28" s="8">
        <v>55610.3</v>
      </c>
      <c r="AN28" s="7">
        <v>0.57945563999999994</v>
      </c>
    </row>
    <row r="29" spans="2:40" s="314" customFormat="1" ht="12.75" customHeight="1" x14ac:dyDescent="0.15">
      <c r="B29" s="5" t="s">
        <v>36</v>
      </c>
      <c r="C29" s="8">
        <v>940034.34310000006</v>
      </c>
      <c r="D29" s="7">
        <v>0.25714503999999999</v>
      </c>
      <c r="E29"/>
      <c r="F29" s="8">
        <v>15036.66</v>
      </c>
      <c r="G29" s="7">
        <v>0.28736212999999999</v>
      </c>
      <c r="H29"/>
      <c r="I29" s="8">
        <v>67564.570000000007</v>
      </c>
      <c r="J29" s="7">
        <v>0.28443548000000002</v>
      </c>
      <c r="K29"/>
      <c r="L29" s="8">
        <v>69447.25</v>
      </c>
      <c r="M29" s="7">
        <v>0.29442689</v>
      </c>
      <c r="N29"/>
      <c r="O29" s="8">
        <v>79398.91</v>
      </c>
      <c r="P29" s="7">
        <v>0.27477027999999998</v>
      </c>
      <c r="Q29"/>
      <c r="R29" s="8">
        <v>90205.660600000003</v>
      </c>
      <c r="S29" s="7">
        <v>0.26770530999999997</v>
      </c>
      <c r="T29"/>
      <c r="U29" s="8">
        <v>82781.790599999993</v>
      </c>
      <c r="V29" s="7">
        <v>0.24814312999999999</v>
      </c>
      <c r="W29"/>
      <c r="X29" s="8">
        <v>112436.7424</v>
      </c>
      <c r="Y29" s="7">
        <v>0.25523192</v>
      </c>
      <c r="Z29"/>
      <c r="AA29" s="8">
        <v>134883.3977</v>
      </c>
      <c r="AB29" s="7">
        <v>0.24779403999999999</v>
      </c>
      <c r="AC29"/>
      <c r="AD29" s="8">
        <v>85023.723599999998</v>
      </c>
      <c r="AE29" s="7">
        <v>0.20493483000000001</v>
      </c>
      <c r="AF29"/>
      <c r="AG29" s="8">
        <v>95946.045800000007</v>
      </c>
      <c r="AH29" s="7">
        <v>0.24038414999999999</v>
      </c>
      <c r="AI29"/>
      <c r="AJ29" s="8">
        <v>88104.191900000005</v>
      </c>
      <c r="AK29" s="7">
        <v>0.31975248000000001</v>
      </c>
      <c r="AL29"/>
      <c r="AM29" s="8">
        <v>19205.4005</v>
      </c>
      <c r="AN29" s="7">
        <v>0.20011899999999999</v>
      </c>
    </row>
    <row r="30" spans="2:40" s="314" customFormat="1" ht="12.75" customHeight="1" x14ac:dyDescent="0.15">
      <c r="B30" s="5" t="s">
        <v>37</v>
      </c>
      <c r="C30" s="8">
        <v>263529.43300000002</v>
      </c>
      <c r="D30" s="7">
        <v>7.2088100000000002E-2</v>
      </c>
      <c r="E30"/>
      <c r="F30" s="8">
        <v>4620.24</v>
      </c>
      <c r="G30" s="7">
        <v>8.8296340000000001E-2</v>
      </c>
      <c r="H30"/>
      <c r="I30" s="8">
        <v>25247.48</v>
      </c>
      <c r="J30" s="7">
        <v>0.10628764</v>
      </c>
      <c r="K30"/>
      <c r="L30" s="8">
        <v>16241.84</v>
      </c>
      <c r="M30" s="7">
        <v>6.8858509999999998E-2</v>
      </c>
      <c r="N30"/>
      <c r="O30" s="8">
        <v>20279.66</v>
      </c>
      <c r="P30" s="7">
        <v>7.0180409999999999E-2</v>
      </c>
      <c r="Q30"/>
      <c r="R30" s="8">
        <v>23957.183400000002</v>
      </c>
      <c r="S30" s="7">
        <v>7.1098259999999996E-2</v>
      </c>
      <c r="T30"/>
      <c r="U30" s="8">
        <v>22028.420600000001</v>
      </c>
      <c r="V30" s="7">
        <v>6.6031439999999997E-2</v>
      </c>
      <c r="W30"/>
      <c r="X30" s="8">
        <v>23404.153699999999</v>
      </c>
      <c r="Y30" s="7">
        <v>5.3127540000000001E-2</v>
      </c>
      <c r="Z30"/>
      <c r="AA30" s="8">
        <v>27955</v>
      </c>
      <c r="AB30" s="7">
        <v>5.1356080000000012E-2</v>
      </c>
      <c r="AC30"/>
      <c r="AD30" s="8">
        <v>28224.986799999999</v>
      </c>
      <c r="AE30" s="7">
        <v>6.8031400000000006E-2</v>
      </c>
      <c r="AF30"/>
      <c r="AG30" s="8">
        <v>29158.7827</v>
      </c>
      <c r="AH30" s="7">
        <v>7.3054690000000005E-2</v>
      </c>
      <c r="AI30"/>
      <c r="AJ30" s="8">
        <v>21457.485799999999</v>
      </c>
      <c r="AK30" s="7">
        <v>7.7874659999999998E-2</v>
      </c>
      <c r="AL30"/>
      <c r="AM30" s="8">
        <v>20954.2</v>
      </c>
      <c r="AN30" s="7">
        <v>0.21834137000000001</v>
      </c>
    </row>
    <row r="31" spans="2:40" s="314" customFormat="1" ht="12.75" customHeight="1" x14ac:dyDescent="0.15">
      <c r="B31" s="5" t="s">
        <v>38</v>
      </c>
      <c r="C31" s="8">
        <v>3391.11</v>
      </c>
      <c r="D31" s="7">
        <v>9.2763000000000003E-4</v>
      </c>
      <c r="E31"/>
      <c r="F31" s="8">
        <v>393.84</v>
      </c>
      <c r="G31" s="7">
        <v>7.5265800000000006E-3</v>
      </c>
      <c r="H31"/>
      <c r="I31" s="8">
        <v>915.89</v>
      </c>
      <c r="J31" s="7">
        <v>3.8557399999999999E-3</v>
      </c>
      <c r="K31"/>
      <c r="L31" s="8">
        <v>474.42</v>
      </c>
      <c r="M31" s="7">
        <v>2.0113399999999999E-3</v>
      </c>
      <c r="N31"/>
      <c r="O31" s="8">
        <v>6.96</v>
      </c>
      <c r="P31" s="7">
        <v>2.4090000000000001E-5</v>
      </c>
      <c r="Q31"/>
      <c r="R31" s="8">
        <v>200</v>
      </c>
      <c r="S31" s="7">
        <v>5.9353999999999993E-4</v>
      </c>
      <c r="T31"/>
      <c r="U31" s="8">
        <v>200</v>
      </c>
      <c r="V31" s="7">
        <v>5.9950999999999993E-4</v>
      </c>
      <c r="W31"/>
      <c r="X31" s="8">
        <v>200</v>
      </c>
      <c r="Y31" s="7">
        <v>4.5399999999999998E-4</v>
      </c>
      <c r="Z31"/>
      <c r="AA31" s="8">
        <v>200</v>
      </c>
      <c r="AB31" s="7">
        <v>3.6741999999999998E-4</v>
      </c>
      <c r="AC31"/>
      <c r="AD31" s="8">
        <v>200</v>
      </c>
      <c r="AE31" s="7">
        <v>4.8207000000000002E-4</v>
      </c>
      <c r="AF31"/>
      <c r="AG31" s="8">
        <v>200</v>
      </c>
      <c r="AH31" s="7">
        <v>5.0107999999999999E-4</v>
      </c>
      <c r="AI31"/>
      <c r="AJ31" s="8">
        <v>200</v>
      </c>
      <c r="AK31" s="7">
        <v>7.2585E-4</v>
      </c>
      <c r="AL31"/>
      <c r="AM31" s="8">
        <v>200</v>
      </c>
      <c r="AN31" s="7">
        <v>2.08399E-3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2448703.1800000002</v>
      </c>
      <c r="D34" s="327">
        <v>1</v>
      </c>
      <c r="E34"/>
      <c r="F34" s="326">
        <v>32275.78</v>
      </c>
      <c r="G34" s="327">
        <v>1</v>
      </c>
      <c r="H34"/>
      <c r="I34" s="326">
        <v>143811.24</v>
      </c>
      <c r="J34" s="327">
        <v>1</v>
      </c>
      <c r="K34"/>
      <c r="L34" s="326">
        <v>149709.14000000001</v>
      </c>
      <c r="M34" s="327">
        <v>1</v>
      </c>
      <c r="N34"/>
      <c r="O34" s="326">
        <v>189279.16</v>
      </c>
      <c r="P34" s="327">
        <v>1</v>
      </c>
      <c r="Q34"/>
      <c r="R34" s="326">
        <v>222595.96</v>
      </c>
      <c r="S34" s="327">
        <v>1</v>
      </c>
      <c r="T34"/>
      <c r="U34" s="326">
        <v>228594.8</v>
      </c>
      <c r="V34" s="327">
        <v>1</v>
      </c>
      <c r="W34"/>
      <c r="X34" s="326">
        <v>304486.84999999998</v>
      </c>
      <c r="Y34" s="327">
        <v>1</v>
      </c>
      <c r="Z34"/>
      <c r="AA34" s="326">
        <v>381298.34</v>
      </c>
      <c r="AB34" s="327">
        <v>1</v>
      </c>
      <c r="AC34"/>
      <c r="AD34" s="326">
        <v>301433.06</v>
      </c>
      <c r="AE34" s="327">
        <v>1</v>
      </c>
      <c r="AF34"/>
      <c r="AG34" s="326">
        <v>273831.5</v>
      </c>
      <c r="AH34" s="327">
        <v>1</v>
      </c>
      <c r="AI34"/>
      <c r="AJ34" s="326">
        <v>165777.04999999999</v>
      </c>
      <c r="AK34" s="327">
        <v>1</v>
      </c>
      <c r="AL34"/>
      <c r="AM34" s="326">
        <v>55610.3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718703.56279999996</v>
      </c>
      <c r="D35" s="7">
        <v>0.29350375000000001</v>
      </c>
      <c r="E35"/>
      <c r="F35" s="8">
        <v>19085.900000000001</v>
      </c>
      <c r="G35" s="7">
        <v>0.59133815000000001</v>
      </c>
      <c r="H35"/>
      <c r="I35" s="8">
        <v>68932.61</v>
      </c>
      <c r="J35" s="7">
        <v>0.47932699999999989</v>
      </c>
      <c r="K35"/>
      <c r="L35" s="8">
        <v>56649.04</v>
      </c>
      <c r="M35" s="7">
        <v>0.37839400000000001</v>
      </c>
      <c r="N35"/>
      <c r="O35" s="8">
        <v>62206.82</v>
      </c>
      <c r="P35" s="7">
        <v>0.32865117999999999</v>
      </c>
      <c r="Q35"/>
      <c r="R35" s="8">
        <v>53663.223700000002</v>
      </c>
      <c r="S35" s="7">
        <v>0.24107906000000001</v>
      </c>
      <c r="T35"/>
      <c r="U35" s="8">
        <v>64910.056299999997</v>
      </c>
      <c r="V35" s="7">
        <v>0.28395246000000002</v>
      </c>
      <c r="W35"/>
      <c r="X35" s="8">
        <v>62900.454299999998</v>
      </c>
      <c r="Y35" s="7">
        <v>0.20657855999999999</v>
      </c>
      <c r="Z35"/>
      <c r="AA35" s="8">
        <v>64810.684099999999</v>
      </c>
      <c r="AB35" s="7">
        <v>0.16997369000000001</v>
      </c>
      <c r="AC35"/>
      <c r="AD35" s="8">
        <v>63466.735399999998</v>
      </c>
      <c r="AE35" s="7">
        <v>0.21055002</v>
      </c>
      <c r="AF35"/>
      <c r="AG35" s="8">
        <v>65438.237500000003</v>
      </c>
      <c r="AH35" s="7">
        <v>0.23897263999999999</v>
      </c>
      <c r="AI35"/>
      <c r="AJ35" s="8">
        <v>69611.602899999998</v>
      </c>
      <c r="AK35" s="7">
        <v>0.41991097999999999</v>
      </c>
      <c r="AL35"/>
      <c r="AM35" s="8">
        <v>67028.198600000003</v>
      </c>
      <c r="AN35" s="7">
        <v>1.20531985</v>
      </c>
    </row>
    <row r="36" spans="2:40" s="314" customFormat="1" ht="12.75" customHeight="1" x14ac:dyDescent="0.15">
      <c r="B36" s="5" t="s">
        <v>40</v>
      </c>
      <c r="C36" s="8">
        <v>561946.27989999996</v>
      </c>
      <c r="D36" s="7">
        <v>0.22948730000000001</v>
      </c>
      <c r="E36"/>
      <c r="F36" s="8">
        <v>16814.849999999999</v>
      </c>
      <c r="G36" s="7">
        <v>0.52097423999999992</v>
      </c>
      <c r="H36"/>
      <c r="I36" s="8">
        <v>54088.87</v>
      </c>
      <c r="J36" s="7">
        <v>0.37611017000000002</v>
      </c>
      <c r="K36"/>
      <c r="L36" s="8">
        <v>37602.410000000003</v>
      </c>
      <c r="M36" s="7">
        <v>0.25116977000000001</v>
      </c>
      <c r="N36"/>
      <c r="O36" s="8">
        <v>42716.89</v>
      </c>
      <c r="P36" s="7">
        <v>0.22568194999999999</v>
      </c>
      <c r="Q36"/>
      <c r="R36" s="8">
        <v>49740.456400000003</v>
      </c>
      <c r="S36" s="7">
        <v>0.22345624</v>
      </c>
      <c r="T36"/>
      <c r="U36" s="8">
        <v>50028.656900000002</v>
      </c>
      <c r="V36" s="7">
        <v>0.21885299999999999</v>
      </c>
      <c r="W36"/>
      <c r="X36" s="8">
        <v>62584.431799999998</v>
      </c>
      <c r="Y36" s="7">
        <v>0.20554067000000001</v>
      </c>
      <c r="Z36"/>
      <c r="AA36" s="8">
        <v>74157.639299999995</v>
      </c>
      <c r="AB36" s="7">
        <v>0.19448718000000001</v>
      </c>
      <c r="AC36"/>
      <c r="AD36" s="8">
        <v>62717.0743</v>
      </c>
      <c r="AE36" s="7">
        <v>0.20806303000000001</v>
      </c>
      <c r="AF36"/>
      <c r="AG36" s="8">
        <v>62090.982499999998</v>
      </c>
      <c r="AH36" s="7">
        <v>0.22674886999999999</v>
      </c>
      <c r="AI36"/>
      <c r="AJ36" s="8">
        <v>35593.002200000003</v>
      </c>
      <c r="AK36" s="7">
        <v>0.21470404000000001</v>
      </c>
      <c r="AL36"/>
      <c r="AM36" s="8">
        <v>13811.0165</v>
      </c>
      <c r="AN36" s="7">
        <v>0.24835357</v>
      </c>
    </row>
    <row r="37" spans="2:40" s="314" customFormat="1" ht="12.75" customHeight="1" x14ac:dyDescent="0.15">
      <c r="B37" s="325" t="s">
        <v>41</v>
      </c>
      <c r="C37" s="326">
        <v>1168053.3374000001</v>
      </c>
      <c r="D37" s="327">
        <v>0.47700894999999999</v>
      </c>
      <c r="E37"/>
      <c r="F37" s="326">
        <v>-3624.97</v>
      </c>
      <c r="G37" s="327">
        <v>-0.11231239</v>
      </c>
      <c r="H37"/>
      <c r="I37" s="326">
        <v>20789.759999999998</v>
      </c>
      <c r="J37" s="327">
        <v>0.14456283</v>
      </c>
      <c r="K37"/>
      <c r="L37" s="326">
        <v>55457.69</v>
      </c>
      <c r="M37" s="327">
        <v>0.37043622999999998</v>
      </c>
      <c r="N37"/>
      <c r="O37" s="326">
        <v>84355.45</v>
      </c>
      <c r="P37" s="327">
        <v>0.44566686999999999</v>
      </c>
      <c r="Q37"/>
      <c r="R37" s="326">
        <v>119192.27989999999</v>
      </c>
      <c r="S37" s="327">
        <v>0.53546470000000002</v>
      </c>
      <c r="T37"/>
      <c r="U37" s="326">
        <v>113656.08689999999</v>
      </c>
      <c r="V37" s="327">
        <v>0.49719454000000002</v>
      </c>
      <c r="W37"/>
      <c r="X37" s="326">
        <v>179001.9639</v>
      </c>
      <c r="Y37" s="327">
        <v>0.58788077000000005</v>
      </c>
      <c r="Z37"/>
      <c r="AA37" s="326">
        <v>242330.0166</v>
      </c>
      <c r="AB37" s="327">
        <v>0.63553913000000006</v>
      </c>
      <c r="AC37"/>
      <c r="AD37" s="326">
        <v>175249.25030000001</v>
      </c>
      <c r="AE37" s="327">
        <v>0.58138696000000001</v>
      </c>
      <c r="AF37"/>
      <c r="AG37" s="326">
        <v>146302.28</v>
      </c>
      <c r="AH37" s="327">
        <v>0.53427849000000005</v>
      </c>
      <c r="AI37"/>
      <c r="AJ37" s="326">
        <v>60572.444900000002</v>
      </c>
      <c r="AK37" s="327">
        <v>0.36538498000000003</v>
      </c>
      <c r="AL37"/>
      <c r="AM37" s="326">
        <v>-25228.915099999998</v>
      </c>
      <c r="AN37" s="327">
        <v>-0.45367341999999999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678510.13910000003</v>
      </c>
      <c r="D40" s="7">
        <v>0.72179293</v>
      </c>
      <c r="E40"/>
      <c r="F40" s="8">
        <v>11343.37</v>
      </c>
      <c r="G40" s="7">
        <v>0.75438095999999999</v>
      </c>
      <c r="H40"/>
      <c r="I40" s="8">
        <v>51302.12</v>
      </c>
      <c r="J40" s="7">
        <v>0.75930505999999998</v>
      </c>
      <c r="K40"/>
      <c r="L40" s="8">
        <v>52708.35</v>
      </c>
      <c r="M40" s="7">
        <v>0.75896958000000003</v>
      </c>
      <c r="N40"/>
      <c r="O40" s="8">
        <v>58664.99</v>
      </c>
      <c r="P40" s="7">
        <v>0.73886392000000001</v>
      </c>
      <c r="Q40"/>
      <c r="R40" s="8">
        <v>62949.059600000001</v>
      </c>
      <c r="S40" s="7">
        <v>0.69783934999999997</v>
      </c>
      <c r="T40"/>
      <c r="U40" s="8">
        <v>56999.014999999999</v>
      </c>
      <c r="V40" s="7">
        <v>0.68854533000000007</v>
      </c>
      <c r="W40"/>
      <c r="X40" s="8">
        <v>76956.708599999998</v>
      </c>
      <c r="Y40" s="7">
        <v>0.68444449000000007</v>
      </c>
      <c r="Z40"/>
      <c r="AA40" s="8">
        <v>88523.433799999999</v>
      </c>
      <c r="AB40" s="7">
        <v>0.65629599999999999</v>
      </c>
      <c r="AC40"/>
      <c r="AD40" s="8">
        <v>61090.261100000003</v>
      </c>
      <c r="AE40" s="7">
        <v>0.71850842000000004</v>
      </c>
      <c r="AF40"/>
      <c r="AG40" s="8">
        <v>71904.708799999993</v>
      </c>
      <c r="AH40" s="7">
        <v>0.74942858000000001</v>
      </c>
      <c r="AI40"/>
      <c r="AJ40" s="8">
        <v>70480.441699999996</v>
      </c>
      <c r="AK40" s="7">
        <v>0.79996695000000007</v>
      </c>
      <c r="AL40"/>
      <c r="AM40" s="8">
        <v>15587.6805</v>
      </c>
      <c r="AN40" s="7">
        <v>0.81163006999999998</v>
      </c>
    </row>
    <row r="41" spans="2:40" s="314" customFormat="1" ht="12.75" customHeight="1" x14ac:dyDescent="0.15">
      <c r="B41" s="5" t="s">
        <v>44</v>
      </c>
      <c r="C41" s="8">
        <v>261524.204</v>
      </c>
      <c r="D41" s="7">
        <v>0.27820707</v>
      </c>
      <c r="E41"/>
      <c r="F41" s="8">
        <v>3693.29</v>
      </c>
      <c r="G41" s="7">
        <v>0.24561904000000001</v>
      </c>
      <c r="H41"/>
      <c r="I41" s="8">
        <v>16262.45</v>
      </c>
      <c r="J41" s="7">
        <v>0.24069494</v>
      </c>
      <c r="K41"/>
      <c r="L41" s="8">
        <v>16738.900000000001</v>
      </c>
      <c r="M41" s="7">
        <v>0.24103042</v>
      </c>
      <c r="N41"/>
      <c r="O41" s="8">
        <v>20733.919999999998</v>
      </c>
      <c r="P41" s="7">
        <v>0.26113607999999999</v>
      </c>
      <c r="Q41"/>
      <c r="R41" s="8">
        <v>27256.600999999999</v>
      </c>
      <c r="S41" s="7">
        <v>0.30216064999999998</v>
      </c>
      <c r="T41"/>
      <c r="U41" s="8">
        <v>25782.775600000001</v>
      </c>
      <c r="V41" s="7">
        <v>0.31145466999999999</v>
      </c>
      <c r="W41"/>
      <c r="X41" s="8">
        <v>35480.033799999997</v>
      </c>
      <c r="Y41" s="7">
        <v>0.31555550999999998</v>
      </c>
      <c r="Z41"/>
      <c r="AA41" s="8">
        <v>46359.963900000002</v>
      </c>
      <c r="AB41" s="7">
        <v>0.34370400000000001</v>
      </c>
      <c r="AC41"/>
      <c r="AD41" s="8">
        <v>23933.462500000001</v>
      </c>
      <c r="AE41" s="7">
        <v>0.28149158000000002</v>
      </c>
      <c r="AF41"/>
      <c r="AG41" s="8">
        <v>24041.337</v>
      </c>
      <c r="AH41" s="7">
        <v>0.25057141999999999</v>
      </c>
      <c r="AI41"/>
      <c r="AJ41" s="8">
        <v>17623.750199999999</v>
      </c>
      <c r="AK41" s="7">
        <v>0.20003304999999999</v>
      </c>
      <c r="AL41"/>
      <c r="AM41" s="8">
        <v>3617.72</v>
      </c>
      <c r="AN41" s="7">
        <v>0.18836992999999999</v>
      </c>
    </row>
    <row r="42" spans="2:40" s="314" customFormat="1" ht="12.75" customHeight="1" x14ac:dyDescent="0.15">
      <c r="B42" s="5" t="s">
        <v>45</v>
      </c>
      <c r="C42" s="8">
        <v>0</v>
      </c>
      <c r="D42" s="7">
        <v>0</v>
      </c>
      <c r="E42"/>
      <c r="F42" s="8">
        <v>0</v>
      </c>
      <c r="G42" s="7">
        <v>0</v>
      </c>
      <c r="H42"/>
      <c r="I42" s="8">
        <v>0</v>
      </c>
      <c r="J42" s="7">
        <v>0</v>
      </c>
      <c r="K42"/>
      <c r="L42" s="8">
        <v>0</v>
      </c>
      <c r="M42" s="7">
        <v>0</v>
      </c>
      <c r="N42"/>
      <c r="O42" s="8">
        <v>0</v>
      </c>
      <c r="P42" s="7">
        <v>0</v>
      </c>
      <c r="Q42"/>
      <c r="R42" s="8">
        <v>0</v>
      </c>
      <c r="S42" s="7">
        <v>0</v>
      </c>
      <c r="T42"/>
      <c r="U42" s="8">
        <v>0</v>
      </c>
      <c r="V42" s="7">
        <v>0</v>
      </c>
      <c r="W42"/>
      <c r="X42" s="8">
        <v>0</v>
      </c>
      <c r="Y42" s="7">
        <v>0</v>
      </c>
      <c r="Z42"/>
      <c r="AA42" s="8">
        <v>0</v>
      </c>
      <c r="AB42" s="7">
        <v>0</v>
      </c>
      <c r="AC42"/>
      <c r="AD42" s="8">
        <v>0</v>
      </c>
      <c r="AE42" s="7">
        <v>0</v>
      </c>
      <c r="AF42"/>
      <c r="AG42" s="8">
        <v>0</v>
      </c>
      <c r="AH42" s="7">
        <v>0</v>
      </c>
      <c r="AI42"/>
      <c r="AJ42" s="8">
        <v>0</v>
      </c>
      <c r="AK42" s="7">
        <v>0</v>
      </c>
      <c r="AL42"/>
      <c r="AM42" s="8">
        <v>0</v>
      </c>
      <c r="AN42" s="7">
        <v>0</v>
      </c>
    </row>
    <row r="43" spans="2:40" s="314" customFormat="1" ht="12.75" customHeight="1" x14ac:dyDescent="0.15">
      <c r="B43" s="325" t="s">
        <v>36</v>
      </c>
      <c r="C43" s="326">
        <v>940034.34310000006</v>
      </c>
      <c r="D43" s="327">
        <v>1</v>
      </c>
      <c r="E43"/>
      <c r="F43" s="326">
        <v>15036.66</v>
      </c>
      <c r="G43" s="327">
        <v>1</v>
      </c>
      <c r="H43"/>
      <c r="I43" s="326">
        <v>67564.570000000007</v>
      </c>
      <c r="J43" s="327">
        <v>1</v>
      </c>
      <c r="K43"/>
      <c r="L43" s="326">
        <v>69447.25</v>
      </c>
      <c r="M43" s="327">
        <v>1</v>
      </c>
      <c r="N43"/>
      <c r="O43" s="326">
        <v>79398.91</v>
      </c>
      <c r="P43" s="327">
        <v>1</v>
      </c>
      <c r="Q43"/>
      <c r="R43" s="326">
        <v>90205.660600000003</v>
      </c>
      <c r="S43" s="327">
        <v>1</v>
      </c>
      <c r="T43"/>
      <c r="U43" s="326">
        <v>82781.790599999993</v>
      </c>
      <c r="V43" s="327">
        <v>1</v>
      </c>
      <c r="W43"/>
      <c r="X43" s="326">
        <v>112436.7424</v>
      </c>
      <c r="Y43" s="327">
        <v>1</v>
      </c>
      <c r="Z43"/>
      <c r="AA43" s="326">
        <v>134883.3977</v>
      </c>
      <c r="AB43" s="327">
        <v>1</v>
      </c>
      <c r="AC43"/>
      <c r="AD43" s="326">
        <v>85023.723599999998</v>
      </c>
      <c r="AE43" s="327">
        <v>1</v>
      </c>
      <c r="AF43"/>
      <c r="AG43" s="326">
        <v>95946.045800000007</v>
      </c>
      <c r="AH43" s="327">
        <v>1</v>
      </c>
      <c r="AI43"/>
      <c r="AJ43" s="326">
        <v>88104.191900000005</v>
      </c>
      <c r="AK43" s="327">
        <v>1</v>
      </c>
      <c r="AL43"/>
      <c r="AM43" s="326">
        <v>19205.4005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252223.4553</v>
      </c>
      <c r="D44" s="7">
        <v>0.37173129999999999</v>
      </c>
      <c r="E44"/>
      <c r="F44" s="8">
        <v>8406.66</v>
      </c>
      <c r="G44" s="7">
        <v>0.74110780000000009</v>
      </c>
      <c r="H44"/>
      <c r="I44" s="8">
        <v>21405.64</v>
      </c>
      <c r="J44" s="7">
        <v>0.41724668999999998</v>
      </c>
      <c r="K44"/>
      <c r="L44" s="8">
        <v>21617.17</v>
      </c>
      <c r="M44" s="7">
        <v>0.41012799999999999</v>
      </c>
      <c r="N44"/>
      <c r="O44" s="8">
        <v>25523.7</v>
      </c>
      <c r="P44" s="7">
        <v>0.4350755</v>
      </c>
      <c r="Q44"/>
      <c r="R44" s="8">
        <v>22085.4882</v>
      </c>
      <c r="S44" s="7">
        <v>0.35084699000000003</v>
      </c>
      <c r="T44"/>
      <c r="U44" s="8">
        <v>19997.695</v>
      </c>
      <c r="V44" s="7">
        <v>0.35084282</v>
      </c>
      <c r="W44"/>
      <c r="X44" s="8">
        <v>26999.4378</v>
      </c>
      <c r="Y44" s="7">
        <v>0.35083930000000002</v>
      </c>
      <c r="Z44"/>
      <c r="AA44" s="8">
        <v>31055.565999999999</v>
      </c>
      <c r="AB44" s="7">
        <v>0.35081746000000003</v>
      </c>
      <c r="AC44"/>
      <c r="AD44" s="8">
        <v>21433.419600000001</v>
      </c>
      <c r="AE44" s="7">
        <v>0.35084839000000001</v>
      </c>
      <c r="AF44"/>
      <c r="AG44" s="8">
        <v>25228.096099999999</v>
      </c>
      <c r="AH44" s="7">
        <v>0.35085458000000003</v>
      </c>
      <c r="AI44"/>
      <c r="AJ44" s="8">
        <v>24730.969700000001</v>
      </c>
      <c r="AK44" s="7">
        <v>0.35089123999999999</v>
      </c>
      <c r="AL44"/>
      <c r="AM44" s="8">
        <v>3739.6129000000001</v>
      </c>
      <c r="AN44" s="7">
        <v>0.23990823</v>
      </c>
    </row>
    <row r="45" spans="2:40" s="314" customFormat="1" ht="12.75" customHeight="1" x14ac:dyDescent="0.15">
      <c r="B45" s="5" t="s">
        <v>47</v>
      </c>
      <c r="C45" s="8">
        <v>59862.375200000002</v>
      </c>
      <c r="D45" s="7">
        <v>0.22889803</v>
      </c>
      <c r="E45"/>
      <c r="F45" s="8">
        <v>3150.3</v>
      </c>
      <c r="G45" s="7">
        <v>0.85297931999999999</v>
      </c>
      <c r="H45"/>
      <c r="I45" s="8">
        <v>2175</v>
      </c>
      <c r="J45" s="7">
        <v>0.13374369</v>
      </c>
      <c r="K45"/>
      <c r="L45" s="8">
        <v>5016.01</v>
      </c>
      <c r="M45" s="7">
        <v>0.29966187</v>
      </c>
      <c r="N45"/>
      <c r="O45" s="8">
        <v>7105.38</v>
      </c>
      <c r="P45" s="7">
        <v>0.34269351999999997</v>
      </c>
      <c r="Q45"/>
      <c r="R45" s="8">
        <v>5695.0734000000002</v>
      </c>
      <c r="S45" s="7">
        <v>0.20894291000000001</v>
      </c>
      <c r="T45"/>
      <c r="U45" s="8">
        <v>5387.5815000000002</v>
      </c>
      <c r="V45" s="7">
        <v>0.20896049</v>
      </c>
      <c r="W45"/>
      <c r="X45" s="8">
        <v>7413.8119999999999</v>
      </c>
      <c r="Y45" s="7">
        <v>0.20895730000000001</v>
      </c>
      <c r="Z45"/>
      <c r="AA45" s="8">
        <v>9687.2528000000002</v>
      </c>
      <c r="AB45" s="7">
        <v>0.20895730000000001</v>
      </c>
      <c r="AC45"/>
      <c r="AD45" s="8">
        <v>4998.3203000000003</v>
      </c>
      <c r="AE45" s="7">
        <v>0.20884233999999999</v>
      </c>
      <c r="AF45"/>
      <c r="AG45" s="8">
        <v>5017.4002</v>
      </c>
      <c r="AH45" s="7">
        <v>0.20869888</v>
      </c>
      <c r="AI45"/>
      <c r="AJ45" s="8">
        <v>3678.0569999999998</v>
      </c>
      <c r="AK45" s="7">
        <v>0.20869888</v>
      </c>
      <c r="AL45"/>
      <c r="AM45" s="8">
        <v>538.18799999999999</v>
      </c>
      <c r="AN45" s="7">
        <v>0.14876442000000001</v>
      </c>
    </row>
    <row r="46" spans="2:40" s="314" customFormat="1" ht="12.75" customHeight="1" x14ac:dyDescent="0.15">
      <c r="B46" s="5" t="s">
        <v>48</v>
      </c>
      <c r="C46" s="8">
        <v>2306.67</v>
      </c>
      <c r="D46" s="7">
        <v>0</v>
      </c>
      <c r="E46"/>
      <c r="F46" s="8">
        <v>534.14</v>
      </c>
      <c r="G46" s="7">
        <v>0</v>
      </c>
      <c r="H46"/>
      <c r="I46" s="8">
        <v>467.21</v>
      </c>
      <c r="J46" s="7">
        <v>0</v>
      </c>
      <c r="K46"/>
      <c r="L46" s="8">
        <v>52.21</v>
      </c>
      <c r="M46" s="7">
        <v>0</v>
      </c>
      <c r="N46"/>
      <c r="O46" s="8">
        <v>1253.1099999999999</v>
      </c>
      <c r="P46" s="7">
        <v>0</v>
      </c>
      <c r="Q46"/>
      <c r="R46" s="8">
        <v>0</v>
      </c>
      <c r="S46" s="7">
        <v>0</v>
      </c>
      <c r="T46"/>
      <c r="U46" s="8">
        <v>0</v>
      </c>
      <c r="V46" s="7">
        <v>0</v>
      </c>
      <c r="W46"/>
      <c r="X46" s="8">
        <v>0</v>
      </c>
      <c r="Y46" s="7">
        <v>0</v>
      </c>
      <c r="Z46"/>
      <c r="AA46" s="8">
        <v>0</v>
      </c>
      <c r="AB46" s="7">
        <v>0</v>
      </c>
      <c r="AC46"/>
      <c r="AD46" s="8">
        <v>0</v>
      </c>
      <c r="AE46" s="7">
        <v>0</v>
      </c>
      <c r="AF46"/>
      <c r="AG46" s="8">
        <v>0</v>
      </c>
      <c r="AH46" s="7">
        <v>0</v>
      </c>
      <c r="AI46"/>
      <c r="AJ46" s="8">
        <v>0</v>
      </c>
      <c r="AK46" s="7">
        <v>0</v>
      </c>
      <c r="AL46"/>
      <c r="AM46" s="8">
        <v>0</v>
      </c>
      <c r="AN46" s="7">
        <v>0</v>
      </c>
    </row>
    <row r="47" spans="2:40" s="314" customFormat="1" ht="12.75" customHeight="1" x14ac:dyDescent="0.15">
      <c r="B47" s="325" t="s">
        <v>49</v>
      </c>
      <c r="C47" s="326">
        <v>314392.50069999998</v>
      </c>
      <c r="D47" s="327">
        <v>0.33444789000000003</v>
      </c>
      <c r="E47"/>
      <c r="F47" s="326">
        <v>12091.1</v>
      </c>
      <c r="G47" s="327">
        <v>0.80410809000000005</v>
      </c>
      <c r="H47"/>
      <c r="I47" s="326">
        <v>24047.85</v>
      </c>
      <c r="J47" s="327">
        <v>0.35592396999999998</v>
      </c>
      <c r="K47"/>
      <c r="L47" s="326">
        <v>26685.39</v>
      </c>
      <c r="M47" s="327">
        <v>0.38425408999999999</v>
      </c>
      <c r="N47"/>
      <c r="O47" s="326">
        <v>33882.19</v>
      </c>
      <c r="P47" s="327">
        <v>0.42673369</v>
      </c>
      <c r="Q47"/>
      <c r="R47" s="326">
        <v>27780.561600000001</v>
      </c>
      <c r="S47" s="327">
        <v>0.30796916000000002</v>
      </c>
      <c r="T47"/>
      <c r="U47" s="326">
        <v>25385.2765</v>
      </c>
      <c r="V47" s="327">
        <v>0.30665290000000001</v>
      </c>
      <c r="W47"/>
      <c r="X47" s="326">
        <v>34413.249799999998</v>
      </c>
      <c r="Y47" s="327">
        <v>0.30606765000000002</v>
      </c>
      <c r="Z47"/>
      <c r="AA47" s="326">
        <v>40742.818899999998</v>
      </c>
      <c r="AB47" s="327">
        <v>0.30205955000000001</v>
      </c>
      <c r="AC47"/>
      <c r="AD47" s="326">
        <v>26431.7399</v>
      </c>
      <c r="AE47" s="327">
        <v>0.31087488000000002</v>
      </c>
      <c r="AF47"/>
      <c r="AG47" s="326">
        <v>30245.4964</v>
      </c>
      <c r="AH47" s="327">
        <v>0.31523442000000002</v>
      </c>
      <c r="AI47"/>
      <c r="AJ47" s="326">
        <v>28409.026699999999</v>
      </c>
      <c r="AK47" s="327">
        <v>0.32244806999999998</v>
      </c>
      <c r="AL47"/>
      <c r="AM47" s="326">
        <v>4277.8009000000002</v>
      </c>
      <c r="AN47" s="327">
        <v>0.22273947999999999</v>
      </c>
    </row>
    <row r="48" spans="2:40" s="314" customFormat="1" ht="12.75" customHeight="1" x14ac:dyDescent="0.15">
      <c r="B48" s="5" t="s">
        <v>22</v>
      </c>
      <c r="C48" s="8">
        <v>884385.06019999995</v>
      </c>
      <c r="D48" s="7">
        <v>0.94080079999999999</v>
      </c>
      <c r="E48"/>
      <c r="F48" s="8">
        <v>34662.019999999997</v>
      </c>
      <c r="G48" s="7">
        <v>2.3051675</v>
      </c>
      <c r="H48"/>
      <c r="I48" s="8">
        <v>77821.69</v>
      </c>
      <c r="J48" s="7">
        <v>1.1518121100000001</v>
      </c>
      <c r="K48"/>
      <c r="L48" s="8">
        <v>60841.59</v>
      </c>
      <c r="M48" s="7">
        <v>0.87608350000000002</v>
      </c>
      <c r="N48"/>
      <c r="O48" s="8">
        <v>79675.98</v>
      </c>
      <c r="P48" s="7">
        <v>1.00348959</v>
      </c>
      <c r="Q48"/>
      <c r="R48" s="8">
        <v>88126.995800000004</v>
      </c>
      <c r="S48" s="7">
        <v>0.97695638000000007</v>
      </c>
      <c r="T48"/>
      <c r="U48" s="8">
        <v>95099.594800000006</v>
      </c>
      <c r="V48" s="7">
        <v>1.14879848</v>
      </c>
      <c r="W48"/>
      <c r="X48" s="8">
        <v>67193.597800000003</v>
      </c>
      <c r="Y48" s="7">
        <v>0.59761246000000001</v>
      </c>
      <c r="Z48"/>
      <c r="AA48" s="8">
        <v>72118.990399999995</v>
      </c>
      <c r="AB48" s="7">
        <v>0.53467655000000003</v>
      </c>
      <c r="AC48"/>
      <c r="AD48" s="8">
        <v>74783.186000000002</v>
      </c>
      <c r="AE48" s="7">
        <v>0.87955669999999997</v>
      </c>
      <c r="AF48"/>
      <c r="AG48" s="8">
        <v>77433.229200000002</v>
      </c>
      <c r="AH48" s="7">
        <v>0.80704971999999997</v>
      </c>
      <c r="AI48"/>
      <c r="AJ48" s="8">
        <v>80312.973599999998</v>
      </c>
      <c r="AK48" s="7">
        <v>0.91156813000000003</v>
      </c>
      <c r="AL48"/>
      <c r="AM48" s="8">
        <v>76315.212599999999</v>
      </c>
      <c r="AN48" s="7">
        <v>3.9736329700000002</v>
      </c>
    </row>
    <row r="49" spans="2:40" s="314" customFormat="1" ht="12.75" customHeight="1" x14ac:dyDescent="0.15">
      <c r="B49" s="5" t="s">
        <v>40</v>
      </c>
      <c r="C49" s="8">
        <v>51653.47</v>
      </c>
      <c r="D49" s="7">
        <v>5.4948490000000003E-2</v>
      </c>
      <c r="E49"/>
      <c r="F49" s="8">
        <v>1751.75</v>
      </c>
      <c r="G49" s="7">
        <v>0.11649861</v>
      </c>
      <c r="H49"/>
      <c r="I49" s="8">
        <v>2343.5</v>
      </c>
      <c r="J49" s="7">
        <v>3.4685340000000002E-2</v>
      </c>
      <c r="K49"/>
      <c r="L49" s="8">
        <v>3426.6</v>
      </c>
      <c r="M49" s="7">
        <v>4.9341049999999997E-2</v>
      </c>
      <c r="N49"/>
      <c r="O49" s="8">
        <v>4246.42</v>
      </c>
      <c r="P49" s="7">
        <v>5.3482090000000003E-2</v>
      </c>
      <c r="Q49"/>
      <c r="R49" s="8">
        <v>6025.65</v>
      </c>
      <c r="S49" s="7">
        <v>6.6799020000000001E-2</v>
      </c>
      <c r="T49"/>
      <c r="U49" s="8">
        <v>5625.65</v>
      </c>
      <c r="V49" s="7">
        <v>6.7957580000000004E-2</v>
      </c>
      <c r="W49"/>
      <c r="X49" s="8">
        <v>4375.6499999999996</v>
      </c>
      <c r="Y49" s="7">
        <v>3.8916550000000001E-2</v>
      </c>
      <c r="Z49"/>
      <c r="AA49" s="8">
        <v>5145.6499999999996</v>
      </c>
      <c r="AB49" s="7">
        <v>3.8148880000000003E-2</v>
      </c>
      <c r="AC49"/>
      <c r="AD49" s="8">
        <v>5025.6499999999996</v>
      </c>
      <c r="AE49" s="7">
        <v>5.9108800000000003E-2</v>
      </c>
      <c r="AF49"/>
      <c r="AG49" s="8">
        <v>5315.65</v>
      </c>
      <c r="AH49" s="7">
        <v>5.5402489999999999E-2</v>
      </c>
      <c r="AI49"/>
      <c r="AJ49" s="8">
        <v>4045.65</v>
      </c>
      <c r="AK49" s="7">
        <v>4.5918929999999997E-2</v>
      </c>
      <c r="AL49"/>
      <c r="AM49" s="8">
        <v>4325.6499999999996</v>
      </c>
      <c r="AN49" s="7">
        <v>0.22523092</v>
      </c>
    </row>
    <row r="50" spans="2:40" s="314" customFormat="1" ht="12.75" customHeight="1" x14ac:dyDescent="0.15">
      <c r="B50" s="325" t="s">
        <v>41</v>
      </c>
      <c r="C50" s="326">
        <v>-310396.68780000001</v>
      </c>
      <c r="D50" s="327">
        <v>-0.33019717999999998</v>
      </c>
      <c r="E50"/>
      <c r="F50" s="326">
        <v>-33468.21</v>
      </c>
      <c r="G50" s="327">
        <v>-2.22577421</v>
      </c>
      <c r="H50"/>
      <c r="I50" s="326">
        <v>-36648.47</v>
      </c>
      <c r="J50" s="327">
        <v>-0.54242142000000004</v>
      </c>
      <c r="K50"/>
      <c r="L50" s="326">
        <v>-21506.33</v>
      </c>
      <c r="M50" s="327">
        <v>-0.30967864000000001</v>
      </c>
      <c r="N50"/>
      <c r="O50" s="326">
        <v>-38405.68</v>
      </c>
      <c r="P50" s="327">
        <v>-0.48370538000000002</v>
      </c>
      <c r="Q50"/>
      <c r="R50" s="326">
        <v>-31727.5468</v>
      </c>
      <c r="S50" s="327">
        <v>-0.35172457000000001</v>
      </c>
      <c r="T50"/>
      <c r="U50" s="326">
        <v>-43328.7307</v>
      </c>
      <c r="V50" s="327">
        <v>-0.52340896000000003</v>
      </c>
      <c r="W50"/>
      <c r="X50" s="326">
        <v>6454.2447000000002</v>
      </c>
      <c r="Y50" s="327">
        <v>5.7403339999999997E-2</v>
      </c>
      <c r="Z50"/>
      <c r="AA50" s="326">
        <v>16875.938399999999</v>
      </c>
      <c r="AB50" s="327">
        <v>0.12511501999999999</v>
      </c>
      <c r="AC50"/>
      <c r="AD50" s="326">
        <v>-21216.852299999999</v>
      </c>
      <c r="AE50" s="327">
        <v>-0.24954038000000001</v>
      </c>
      <c r="AF50"/>
      <c r="AG50" s="326">
        <v>-17048.329699999998</v>
      </c>
      <c r="AH50" s="327">
        <v>-0.17768663000000001</v>
      </c>
      <c r="AI50"/>
      <c r="AJ50" s="326">
        <v>-24663.4584</v>
      </c>
      <c r="AK50" s="327">
        <v>-0.27993512999999998</v>
      </c>
      <c r="AL50"/>
      <c r="AM50" s="326">
        <v>-65713.263000000006</v>
      </c>
      <c r="AN50" s="327">
        <v>-3.4216033700000001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263529.43300000002</v>
      </c>
      <c r="D53" s="7">
        <v>1</v>
      </c>
      <c r="E53"/>
      <c r="F53" s="8">
        <v>4620.24</v>
      </c>
      <c r="G53" s="7">
        <v>1</v>
      </c>
      <c r="H53"/>
      <c r="I53" s="8">
        <v>25247.48</v>
      </c>
      <c r="J53" s="7">
        <v>1</v>
      </c>
      <c r="K53"/>
      <c r="L53" s="8">
        <v>16241.84</v>
      </c>
      <c r="M53" s="7">
        <v>1</v>
      </c>
      <c r="N53"/>
      <c r="O53" s="8">
        <v>20279.66</v>
      </c>
      <c r="P53" s="7">
        <v>1</v>
      </c>
      <c r="Q53"/>
      <c r="R53" s="8">
        <v>23957.183400000002</v>
      </c>
      <c r="S53" s="7">
        <v>1</v>
      </c>
      <c r="T53"/>
      <c r="U53" s="8">
        <v>22028.420600000001</v>
      </c>
      <c r="V53" s="7">
        <v>1</v>
      </c>
      <c r="W53"/>
      <c r="X53" s="8">
        <v>23404.153699999999</v>
      </c>
      <c r="Y53" s="7">
        <v>1</v>
      </c>
      <c r="Z53"/>
      <c r="AA53" s="8">
        <v>27955</v>
      </c>
      <c r="AB53" s="7">
        <v>1</v>
      </c>
      <c r="AC53"/>
      <c r="AD53" s="8">
        <v>28224.986799999999</v>
      </c>
      <c r="AE53" s="7">
        <v>1</v>
      </c>
      <c r="AF53"/>
      <c r="AG53" s="8">
        <v>29158.7827</v>
      </c>
      <c r="AH53" s="7">
        <v>1</v>
      </c>
      <c r="AI53"/>
      <c r="AJ53" s="8">
        <v>21457.485799999999</v>
      </c>
      <c r="AK53" s="7">
        <v>1</v>
      </c>
      <c r="AL53"/>
      <c r="AM53" s="8">
        <v>20954.2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28816.185399999998</v>
      </c>
      <c r="D54" s="7">
        <v>0.10934712000000001</v>
      </c>
      <c r="E54"/>
      <c r="F54" s="8">
        <v>-66.16</v>
      </c>
      <c r="G54" s="7">
        <v>-1.43196E-2</v>
      </c>
      <c r="H54"/>
      <c r="I54" s="8">
        <v>10321.469999999999</v>
      </c>
      <c r="J54" s="7">
        <v>0.40881189000000001</v>
      </c>
      <c r="K54"/>
      <c r="L54" s="8">
        <v>2130.75</v>
      </c>
      <c r="M54" s="7">
        <v>0.13118895</v>
      </c>
      <c r="N54"/>
      <c r="O54" s="8">
        <v>345.51</v>
      </c>
      <c r="P54" s="7">
        <v>1.703727E-2</v>
      </c>
      <c r="Q54"/>
      <c r="R54" s="8">
        <v>2300</v>
      </c>
      <c r="S54" s="7">
        <v>9.600460999999999E-2</v>
      </c>
      <c r="T54"/>
      <c r="U54" s="8">
        <v>1800</v>
      </c>
      <c r="V54" s="7">
        <v>8.171262E-2</v>
      </c>
      <c r="W54"/>
      <c r="X54" s="8">
        <v>2200</v>
      </c>
      <c r="Y54" s="7">
        <v>9.4000409999999993E-2</v>
      </c>
      <c r="Z54"/>
      <c r="AA54" s="8">
        <v>1800</v>
      </c>
      <c r="AB54" s="7">
        <v>6.4389200000000008E-2</v>
      </c>
      <c r="AC54"/>
      <c r="AD54" s="8">
        <v>2376.9231</v>
      </c>
      <c r="AE54" s="7">
        <v>8.4213440000000001E-2</v>
      </c>
      <c r="AF54"/>
      <c r="AG54" s="8">
        <v>1776.9231</v>
      </c>
      <c r="AH54" s="7">
        <v>6.0939550000000002E-2</v>
      </c>
      <c r="AI54"/>
      <c r="AJ54" s="8">
        <v>2300</v>
      </c>
      <c r="AK54" s="7">
        <v>0.1071887</v>
      </c>
      <c r="AL54"/>
      <c r="AM54" s="8">
        <v>1530.7692</v>
      </c>
      <c r="AN54" s="7">
        <v>7.305310000000001E-2</v>
      </c>
    </row>
    <row r="55" spans="2:40" s="314" customFormat="1" ht="12.75" customHeight="1" x14ac:dyDescent="0.15">
      <c r="B55" s="5" t="s">
        <v>22</v>
      </c>
      <c r="C55" s="8">
        <v>191397.43090000001</v>
      </c>
      <c r="D55" s="7">
        <v>0.72628484000000004</v>
      </c>
      <c r="E55"/>
      <c r="F55" s="8">
        <v>4004.7</v>
      </c>
      <c r="G55" s="7">
        <v>0.86677314999999988</v>
      </c>
      <c r="H55"/>
      <c r="I55" s="8">
        <v>20663.71</v>
      </c>
      <c r="J55" s="7">
        <v>0.81844644</v>
      </c>
      <c r="K55"/>
      <c r="L55" s="8">
        <v>14545.1</v>
      </c>
      <c r="M55" s="7">
        <v>0.89553276999999998</v>
      </c>
      <c r="N55"/>
      <c r="O55" s="8">
        <v>15191.17</v>
      </c>
      <c r="P55" s="7">
        <v>0.74908405999999994</v>
      </c>
      <c r="Q55"/>
      <c r="R55" s="8">
        <v>16934.055100000001</v>
      </c>
      <c r="S55" s="7">
        <v>0.70684666000000007</v>
      </c>
      <c r="T55"/>
      <c r="U55" s="8">
        <v>16898.295999999998</v>
      </c>
      <c r="V55" s="7">
        <v>0.76711337000000002</v>
      </c>
      <c r="W55"/>
      <c r="X55" s="8">
        <v>16329.5249</v>
      </c>
      <c r="Y55" s="7">
        <v>0.69771908999999999</v>
      </c>
      <c r="Z55"/>
      <c r="AA55" s="8">
        <v>16566.633399999999</v>
      </c>
      <c r="AB55" s="7">
        <v>0.59261790000000003</v>
      </c>
      <c r="AC55"/>
      <c r="AD55" s="8">
        <v>18457.476699999999</v>
      </c>
      <c r="AE55" s="7">
        <v>0.65394101999999998</v>
      </c>
      <c r="AF55"/>
      <c r="AG55" s="8">
        <v>17004.223699999999</v>
      </c>
      <c r="AH55" s="7">
        <v>0.58315958999999995</v>
      </c>
      <c r="AI55"/>
      <c r="AJ55" s="8">
        <v>17401.380399999998</v>
      </c>
      <c r="AK55" s="7">
        <v>0.81097014999999995</v>
      </c>
      <c r="AL55"/>
      <c r="AM55" s="8">
        <v>17401.1607</v>
      </c>
      <c r="AN55" s="7">
        <v>0.83043785000000003</v>
      </c>
    </row>
    <row r="56" spans="2:40" s="314" customFormat="1" ht="12.75" customHeight="1" x14ac:dyDescent="0.15">
      <c r="B56" s="5" t="s">
        <v>40</v>
      </c>
      <c r="C56" s="8">
        <v>16832.16</v>
      </c>
      <c r="D56" s="7">
        <v>6.387203000000001E-2</v>
      </c>
      <c r="E56"/>
      <c r="F56" s="8">
        <v>6873.05</v>
      </c>
      <c r="G56" s="7">
        <v>1.48759588</v>
      </c>
      <c r="H56"/>
      <c r="I56" s="8">
        <v>38.979999999999997</v>
      </c>
      <c r="J56" s="7">
        <v>1.5439200000000001E-3</v>
      </c>
      <c r="K56"/>
      <c r="L56" s="8">
        <v>816.55</v>
      </c>
      <c r="M56" s="7">
        <v>5.0274480000000003E-2</v>
      </c>
      <c r="N56"/>
      <c r="O56" s="8">
        <v>2777.34</v>
      </c>
      <c r="P56" s="7">
        <v>0.13695199999999999</v>
      </c>
      <c r="Q56"/>
      <c r="R56" s="8">
        <v>753.28</v>
      </c>
      <c r="S56" s="7">
        <v>3.144276E-2</v>
      </c>
      <c r="T56"/>
      <c r="U56" s="8">
        <v>1053.28</v>
      </c>
      <c r="V56" s="7">
        <v>4.7814589999999997E-2</v>
      </c>
      <c r="W56"/>
      <c r="X56" s="8">
        <v>753.28</v>
      </c>
      <c r="Y56" s="7">
        <v>3.2185739999999997E-2</v>
      </c>
      <c r="Z56"/>
      <c r="AA56" s="8">
        <v>753.28</v>
      </c>
      <c r="AB56" s="7">
        <v>2.694616E-2</v>
      </c>
      <c r="AC56"/>
      <c r="AD56" s="8">
        <v>753.28</v>
      </c>
      <c r="AE56" s="7">
        <v>2.6688409999999999E-2</v>
      </c>
      <c r="AF56"/>
      <c r="AG56" s="8">
        <v>753.28</v>
      </c>
      <c r="AH56" s="7">
        <v>2.5833729999999999E-2</v>
      </c>
      <c r="AI56"/>
      <c r="AJ56" s="8">
        <v>753.28</v>
      </c>
      <c r="AK56" s="7">
        <v>3.5105699999999997E-2</v>
      </c>
      <c r="AL56"/>
      <c r="AM56" s="8">
        <v>753.28</v>
      </c>
      <c r="AN56" s="7">
        <v>3.5948880000000002E-2</v>
      </c>
    </row>
    <row r="57" spans="2:40" s="314" customFormat="1" ht="12.75" customHeight="1" x14ac:dyDescent="0.15">
      <c r="B57" s="325" t="s">
        <v>41</v>
      </c>
      <c r="C57" s="326">
        <v>26483.656800000001</v>
      </c>
      <c r="D57" s="327">
        <v>0.10049601</v>
      </c>
      <c r="E57"/>
      <c r="F57" s="326">
        <v>-6191.35</v>
      </c>
      <c r="G57" s="327">
        <v>-1.3400494300000001</v>
      </c>
      <c r="H57"/>
      <c r="I57" s="326">
        <v>-5776.68</v>
      </c>
      <c r="J57" s="327">
        <v>-0.22880223999999999</v>
      </c>
      <c r="K57"/>
      <c r="L57" s="326">
        <v>-1250.56</v>
      </c>
      <c r="M57" s="327">
        <v>-7.6996200000000001E-2</v>
      </c>
      <c r="N57"/>
      <c r="O57" s="326">
        <v>1965.64</v>
      </c>
      <c r="P57" s="327">
        <v>9.6926670000000006E-2</v>
      </c>
      <c r="Q57"/>
      <c r="R57" s="326">
        <v>3969.8483999999999</v>
      </c>
      <c r="S57" s="327">
        <v>0.16570597000000001</v>
      </c>
      <c r="T57"/>
      <c r="U57" s="326">
        <v>2276.8445999999999</v>
      </c>
      <c r="V57" s="327">
        <v>0.10335941</v>
      </c>
      <c r="W57"/>
      <c r="X57" s="326">
        <v>4121.3486999999996</v>
      </c>
      <c r="Y57" s="327">
        <v>0.17609474999999999</v>
      </c>
      <c r="Z57"/>
      <c r="AA57" s="326">
        <v>8835.0866000000005</v>
      </c>
      <c r="AB57" s="327">
        <v>0.31604673999999999</v>
      </c>
      <c r="AC57"/>
      <c r="AD57" s="326">
        <v>6637.3069999999998</v>
      </c>
      <c r="AE57" s="327">
        <v>0.23515712999999999</v>
      </c>
      <c r="AF57"/>
      <c r="AG57" s="326">
        <v>9624.3559000000005</v>
      </c>
      <c r="AH57" s="327">
        <v>0.33006713999999998</v>
      </c>
      <c r="AI57"/>
      <c r="AJ57" s="326">
        <v>1002.8255</v>
      </c>
      <c r="AK57" s="327">
        <v>4.673546E-2</v>
      </c>
      <c r="AL57"/>
      <c r="AM57" s="326">
        <v>1268.9901</v>
      </c>
      <c r="AN57" s="327">
        <v>6.0560179999999998E-2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3391.11</v>
      </c>
      <c r="D60" s="327">
        <v>1.2868050000000001E-2</v>
      </c>
      <c r="E60"/>
      <c r="F60" s="326">
        <v>393.84</v>
      </c>
      <c r="G60" s="327">
        <v>8.5242330000000005E-2</v>
      </c>
      <c r="H60"/>
      <c r="I60" s="326">
        <v>915.89</v>
      </c>
      <c r="J60" s="327">
        <v>3.6276490000000002E-2</v>
      </c>
      <c r="K60"/>
      <c r="L60" s="326">
        <v>474.42</v>
      </c>
      <c r="M60" s="327">
        <v>2.9209740000000001E-2</v>
      </c>
      <c r="N60"/>
      <c r="O60" s="326">
        <v>6.96</v>
      </c>
      <c r="P60" s="327">
        <v>3.4319999999999999E-4</v>
      </c>
      <c r="Q60"/>
      <c r="R60" s="326">
        <v>200</v>
      </c>
      <c r="S60" s="327">
        <v>8.3482299999999999E-3</v>
      </c>
      <c r="T60"/>
      <c r="U60" s="326">
        <v>200</v>
      </c>
      <c r="V60" s="327">
        <v>9.0791799999999992E-3</v>
      </c>
      <c r="W60"/>
      <c r="X60" s="326">
        <v>200</v>
      </c>
      <c r="Y60" s="327">
        <v>8.5454899999999993E-3</v>
      </c>
      <c r="Z60"/>
      <c r="AA60" s="326">
        <v>200</v>
      </c>
      <c r="AB60" s="327">
        <v>7.1543599999999994E-3</v>
      </c>
      <c r="AC60"/>
      <c r="AD60" s="326">
        <v>200</v>
      </c>
      <c r="AE60" s="327">
        <v>7.0859199999999999E-3</v>
      </c>
      <c r="AF60"/>
      <c r="AG60" s="326">
        <v>200</v>
      </c>
      <c r="AH60" s="327">
        <v>6.8589999999999996E-3</v>
      </c>
      <c r="AI60"/>
      <c r="AJ60" s="326">
        <v>200</v>
      </c>
      <c r="AK60" s="327">
        <v>9.3207600000000008E-3</v>
      </c>
      <c r="AL60"/>
      <c r="AM60" s="326">
        <v>200</v>
      </c>
      <c r="AN60" s="327">
        <v>9.5446300000000001E-3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887531.41639999999</v>
      </c>
      <c r="D63" s="327">
        <v>0.24278294</v>
      </c>
      <c r="E63"/>
      <c r="F63" s="326">
        <v>-42890.69</v>
      </c>
      <c r="G63" s="327">
        <v>-0.81967403999999999</v>
      </c>
      <c r="H63"/>
      <c r="I63" s="326">
        <v>-20719.5</v>
      </c>
      <c r="J63" s="327">
        <v>-8.7225610000000009E-2</v>
      </c>
      <c r="K63"/>
      <c r="L63" s="326">
        <v>33175.22</v>
      </c>
      <c r="M63" s="327">
        <v>0.14064885999999999</v>
      </c>
      <c r="N63"/>
      <c r="O63" s="326">
        <v>47922.37</v>
      </c>
      <c r="P63" s="327">
        <v>0.16584161</v>
      </c>
      <c r="Q63"/>
      <c r="R63" s="326">
        <v>91634.5815</v>
      </c>
      <c r="S63" s="327">
        <v>0.27194594999999999</v>
      </c>
      <c r="T63"/>
      <c r="U63" s="326">
        <v>72804.200800000006</v>
      </c>
      <c r="V63" s="327">
        <v>0.21823472999999999</v>
      </c>
      <c r="W63"/>
      <c r="X63" s="326">
        <v>189777.55739999999</v>
      </c>
      <c r="Y63" s="327">
        <v>0.43079592</v>
      </c>
      <c r="Z63"/>
      <c r="AA63" s="326">
        <v>268241.0417</v>
      </c>
      <c r="AB63" s="327">
        <v>0.49278511000000003</v>
      </c>
      <c r="AC63"/>
      <c r="AD63" s="326">
        <v>160869.70499999999</v>
      </c>
      <c r="AE63" s="327">
        <v>0.38774830999999998</v>
      </c>
      <c r="AF63"/>
      <c r="AG63" s="326">
        <v>139078.30619999999</v>
      </c>
      <c r="AH63" s="327">
        <v>0.34844813000000002</v>
      </c>
      <c r="AI63"/>
      <c r="AJ63" s="326">
        <v>37111.811900000001</v>
      </c>
      <c r="AK63" s="327">
        <v>0.13468819000000001</v>
      </c>
      <c r="AL63"/>
      <c r="AM63" s="326">
        <v>-89473.188099999999</v>
      </c>
      <c r="AN63" s="327">
        <v>-0.93230469000000005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239038.2219</v>
      </c>
      <c r="D66" s="7">
        <v>6.5388559999999998E-2</v>
      </c>
      <c r="E66"/>
      <c r="F66" s="8">
        <v>14734.38</v>
      </c>
      <c r="G66" s="7">
        <v>0.28158531999999997</v>
      </c>
      <c r="H66"/>
      <c r="I66" s="8">
        <v>26785.55</v>
      </c>
      <c r="J66" s="7">
        <v>0.11276266</v>
      </c>
      <c r="K66"/>
      <c r="L66" s="8">
        <v>21631.81</v>
      </c>
      <c r="M66" s="7">
        <v>9.1709700000000005E-2</v>
      </c>
      <c r="N66"/>
      <c r="O66" s="8">
        <v>22545.27</v>
      </c>
      <c r="P66" s="7">
        <v>7.8020850000000003E-2</v>
      </c>
      <c r="Q66"/>
      <c r="R66" s="8">
        <v>19287.548999999999</v>
      </c>
      <c r="S66" s="7">
        <v>5.7240080000000013E-2</v>
      </c>
      <c r="T66"/>
      <c r="U66" s="8">
        <v>20366.103200000001</v>
      </c>
      <c r="V66" s="7">
        <v>6.104855E-2</v>
      </c>
      <c r="W66"/>
      <c r="X66" s="8">
        <v>14307.9827</v>
      </c>
      <c r="Y66" s="7">
        <v>3.2479189999999998E-2</v>
      </c>
      <c r="Z66"/>
      <c r="AA66" s="8">
        <v>19558.464599999999</v>
      </c>
      <c r="AB66" s="7">
        <v>3.5930820000000002E-2</v>
      </c>
      <c r="AC66"/>
      <c r="AD66" s="8">
        <v>18370.368200000001</v>
      </c>
      <c r="AE66" s="7">
        <v>4.4278560000000002E-2</v>
      </c>
      <c r="AF66"/>
      <c r="AG66" s="8">
        <v>21677.2598</v>
      </c>
      <c r="AH66" s="7">
        <v>5.4310419999999998E-2</v>
      </c>
      <c r="AI66"/>
      <c r="AJ66" s="8">
        <v>21677.2598</v>
      </c>
      <c r="AK66" s="7">
        <v>7.8672279999999997E-2</v>
      </c>
      <c r="AL66"/>
      <c r="AM66" s="8">
        <v>18096.224600000001</v>
      </c>
      <c r="AN66" s="7">
        <v>0.18856145999999999</v>
      </c>
    </row>
    <row r="67" spans="2:40" s="314" customFormat="1" ht="12.75" customHeight="1" x14ac:dyDescent="0.15">
      <c r="B67" s="5" t="s">
        <v>40</v>
      </c>
      <c r="C67" s="8">
        <v>134012.95009999999</v>
      </c>
      <c r="D67" s="7">
        <v>3.6659049999999999E-2</v>
      </c>
      <c r="E67"/>
      <c r="F67" s="8">
        <v>3645.61</v>
      </c>
      <c r="G67" s="7">
        <v>6.9670410000000002E-2</v>
      </c>
      <c r="H67"/>
      <c r="I67" s="8">
        <v>10574.38</v>
      </c>
      <c r="J67" s="7">
        <v>4.4516359999999998E-2</v>
      </c>
      <c r="K67"/>
      <c r="L67" s="8">
        <v>8158.65</v>
      </c>
      <c r="M67" s="7">
        <v>3.4589219999999997E-2</v>
      </c>
      <c r="N67"/>
      <c r="O67" s="8">
        <v>8316.32</v>
      </c>
      <c r="P67" s="7">
        <v>2.877971E-2</v>
      </c>
      <c r="Q67"/>
      <c r="R67" s="8">
        <v>12523.2516</v>
      </c>
      <c r="S67" s="7">
        <v>3.7165530000000002E-2</v>
      </c>
      <c r="T67"/>
      <c r="U67" s="8">
        <v>12062.743</v>
      </c>
      <c r="V67" s="7">
        <v>3.6158759999999998E-2</v>
      </c>
      <c r="W67"/>
      <c r="X67" s="8">
        <v>14320.912700000001</v>
      </c>
      <c r="Y67" s="7">
        <v>3.2508540000000002E-2</v>
      </c>
      <c r="Z67"/>
      <c r="AA67" s="8">
        <v>16530.201499999999</v>
      </c>
      <c r="AB67" s="7">
        <v>3.0367600000000002E-2</v>
      </c>
      <c r="AC67"/>
      <c r="AD67" s="8">
        <v>13733.727199999999</v>
      </c>
      <c r="AE67" s="7">
        <v>3.310275E-2</v>
      </c>
      <c r="AF67"/>
      <c r="AG67" s="8">
        <v>13403.072899999999</v>
      </c>
      <c r="AH67" s="7">
        <v>3.3580190000000003E-2</v>
      </c>
      <c r="AI67"/>
      <c r="AJ67" s="8">
        <v>13707.523300000001</v>
      </c>
      <c r="AK67" s="7">
        <v>4.974808E-2</v>
      </c>
      <c r="AL67"/>
      <c r="AM67" s="8">
        <v>7036.5578999999998</v>
      </c>
      <c r="AN67" s="7">
        <v>7.3320469999999999E-2</v>
      </c>
    </row>
    <row r="68" spans="2:40" s="314" customFormat="1" ht="12.75" customHeight="1" x14ac:dyDescent="0.15">
      <c r="B68" s="325" t="s">
        <v>41</v>
      </c>
      <c r="C68" s="326">
        <v>-373051.17180000001</v>
      </c>
      <c r="D68" s="327">
        <v>-0.10204761</v>
      </c>
      <c r="E68"/>
      <c r="F68" s="326">
        <v>-18379.990000000002</v>
      </c>
      <c r="G68" s="327">
        <v>-0.35125572999999999</v>
      </c>
      <c r="H68"/>
      <c r="I68" s="326">
        <v>-37359.93</v>
      </c>
      <c r="J68" s="327">
        <v>-0.15727901999999999</v>
      </c>
      <c r="K68"/>
      <c r="L68" s="326">
        <v>-29790.46</v>
      </c>
      <c r="M68" s="327">
        <v>-0.12629892000000001</v>
      </c>
      <c r="N68"/>
      <c r="O68" s="326">
        <v>-30861.59</v>
      </c>
      <c r="P68" s="327">
        <v>-0.10680056</v>
      </c>
      <c r="Q68"/>
      <c r="R68" s="326">
        <v>-31810.800500000001</v>
      </c>
      <c r="S68" s="327">
        <v>-9.4405610000000001E-2</v>
      </c>
      <c r="T68"/>
      <c r="U68" s="326">
        <v>-32428.846099999999</v>
      </c>
      <c r="V68" s="327">
        <v>-9.7207310000000005E-2</v>
      </c>
      <c r="W68"/>
      <c r="X68" s="326">
        <v>-28628.895400000001</v>
      </c>
      <c r="Y68" s="327">
        <v>-6.4987719999999999E-2</v>
      </c>
      <c r="Z68"/>
      <c r="AA68" s="326">
        <v>-36088.666100000002</v>
      </c>
      <c r="AB68" s="327">
        <v>-6.6298419999999997E-2</v>
      </c>
      <c r="AC68"/>
      <c r="AD68" s="326">
        <v>-32104.095399999998</v>
      </c>
      <c r="AE68" s="327">
        <v>-7.7381309999999995E-2</v>
      </c>
      <c r="AF68"/>
      <c r="AG68" s="326">
        <v>-35080.332699999999</v>
      </c>
      <c r="AH68" s="327">
        <v>-8.7890599999999985E-2</v>
      </c>
      <c r="AI68"/>
      <c r="AJ68" s="326">
        <v>-35384.783100000001</v>
      </c>
      <c r="AK68" s="327">
        <v>-0.12842036000000001</v>
      </c>
      <c r="AL68"/>
      <c r="AM68" s="326">
        <v>-25132.782500000001</v>
      </c>
      <c r="AN68" s="327">
        <v>-0.26188192999999999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15451.82</v>
      </c>
      <c r="D71" s="7">
        <v>4.2268200000000001E-3</v>
      </c>
      <c r="E71"/>
      <c r="F71" s="8">
        <v>999</v>
      </c>
      <c r="G71" s="7">
        <v>1.909166E-2</v>
      </c>
      <c r="H71"/>
      <c r="I71" s="8">
        <v>1952.89</v>
      </c>
      <c r="J71" s="7">
        <v>8.2213400000000006E-3</v>
      </c>
      <c r="K71"/>
      <c r="L71" s="8">
        <v>1073</v>
      </c>
      <c r="M71" s="7">
        <v>4.5490599999999997E-3</v>
      </c>
      <c r="N71"/>
      <c r="O71" s="8">
        <v>2794.93</v>
      </c>
      <c r="P71" s="7">
        <v>9.6722200000000005E-3</v>
      </c>
      <c r="Q71"/>
      <c r="R71" s="8">
        <v>1079</v>
      </c>
      <c r="S71" s="7">
        <v>3.2021699999999998E-3</v>
      </c>
      <c r="T71"/>
      <c r="U71" s="8">
        <v>1079</v>
      </c>
      <c r="V71" s="7">
        <v>3.2343599999999999E-3</v>
      </c>
      <c r="W71"/>
      <c r="X71" s="8">
        <v>1079</v>
      </c>
      <c r="Y71" s="7">
        <v>2.44933E-3</v>
      </c>
      <c r="Z71"/>
      <c r="AA71" s="8">
        <v>1079</v>
      </c>
      <c r="AB71" s="7">
        <v>1.9822300000000002E-3</v>
      </c>
      <c r="AC71"/>
      <c r="AD71" s="8">
        <v>1079</v>
      </c>
      <c r="AE71" s="7">
        <v>2.6007399999999998E-3</v>
      </c>
      <c r="AF71"/>
      <c r="AG71" s="8">
        <v>1079</v>
      </c>
      <c r="AH71" s="7">
        <v>2.7033399999999998E-3</v>
      </c>
      <c r="AI71"/>
      <c r="AJ71" s="8">
        <v>1079</v>
      </c>
      <c r="AK71" s="7">
        <v>3.9159599999999996E-3</v>
      </c>
      <c r="AL71"/>
      <c r="AM71" s="8">
        <v>1079</v>
      </c>
      <c r="AN71" s="7">
        <v>1.1243110000000001E-2</v>
      </c>
    </row>
    <row r="72" spans="2:40" s="314" customFormat="1" ht="12.75" customHeight="1" x14ac:dyDescent="0.15">
      <c r="B72" s="5" t="s">
        <v>56</v>
      </c>
      <c r="C72" s="8">
        <v>109126.88</v>
      </c>
      <c r="D72" s="7">
        <v>2.98515E-2</v>
      </c>
      <c r="E72"/>
      <c r="F72" s="8">
        <v>19133.29</v>
      </c>
      <c r="G72" s="7">
        <v>0.36565186999999999</v>
      </c>
      <c r="H72"/>
      <c r="I72" s="8">
        <v>-6629.3</v>
      </c>
      <c r="J72" s="7">
        <v>-2.7908240000000001E-2</v>
      </c>
      <c r="K72"/>
      <c r="L72" s="8">
        <v>6815.82</v>
      </c>
      <c r="M72" s="7">
        <v>2.8896189999999999E-2</v>
      </c>
      <c r="N72"/>
      <c r="O72" s="8">
        <v>9507.08</v>
      </c>
      <c r="P72" s="7">
        <v>3.2900489999999998E-2</v>
      </c>
      <c r="Q72"/>
      <c r="R72" s="8">
        <v>9573.6299999999992</v>
      </c>
      <c r="S72" s="7">
        <v>2.8411869999999999E-2</v>
      </c>
      <c r="T72"/>
      <c r="U72" s="8">
        <v>9573.64</v>
      </c>
      <c r="V72" s="7">
        <v>2.8697529999999999E-2</v>
      </c>
      <c r="W72"/>
      <c r="X72" s="8">
        <v>13284.52</v>
      </c>
      <c r="Y72" s="7">
        <v>3.0155919999999999E-2</v>
      </c>
      <c r="Z72"/>
      <c r="AA72" s="8">
        <v>9573.6299999999992</v>
      </c>
      <c r="AB72" s="7">
        <v>1.7587700000000001E-2</v>
      </c>
      <c r="AC72"/>
      <c r="AD72" s="8">
        <v>9573.64</v>
      </c>
      <c r="AE72" s="7">
        <v>2.307559E-2</v>
      </c>
      <c r="AF72"/>
      <c r="AG72" s="8">
        <v>9573.65</v>
      </c>
      <c r="AH72" s="7">
        <v>2.3985909999999999E-2</v>
      </c>
      <c r="AI72"/>
      <c r="AJ72" s="8">
        <v>9573.65</v>
      </c>
      <c r="AK72" s="7">
        <v>3.4745209999999999E-2</v>
      </c>
      <c r="AL72"/>
      <c r="AM72" s="8">
        <v>9573.6299999999992</v>
      </c>
      <c r="AN72" s="7">
        <v>9.9756590000000006E-2</v>
      </c>
    </row>
    <row r="73" spans="2:40" s="314" customFormat="1" ht="12.75" customHeight="1" x14ac:dyDescent="0.15">
      <c r="B73" s="5" t="s">
        <v>40</v>
      </c>
      <c r="C73" s="8">
        <v>1290</v>
      </c>
      <c r="D73" s="7">
        <v>3.5288000000000002E-4</v>
      </c>
      <c r="E73"/>
      <c r="F73" s="8">
        <v>0</v>
      </c>
      <c r="G73" s="7">
        <v>0</v>
      </c>
      <c r="H73"/>
      <c r="I73" s="8">
        <v>0</v>
      </c>
      <c r="J73" s="7">
        <v>0</v>
      </c>
      <c r="K73"/>
      <c r="L73" s="8">
        <v>0</v>
      </c>
      <c r="M73" s="7">
        <v>0</v>
      </c>
      <c r="N73"/>
      <c r="O73" s="8">
        <v>0</v>
      </c>
      <c r="P73" s="7">
        <v>0</v>
      </c>
      <c r="Q73"/>
      <c r="R73" s="8">
        <v>161.25</v>
      </c>
      <c r="S73" s="7">
        <v>4.7855E-4</v>
      </c>
      <c r="T73"/>
      <c r="U73" s="8">
        <v>161.25</v>
      </c>
      <c r="V73" s="7">
        <v>4.8336000000000001E-4</v>
      </c>
      <c r="W73"/>
      <c r="X73" s="8">
        <v>161.25</v>
      </c>
      <c r="Y73" s="7">
        <v>3.6603999999999999E-4</v>
      </c>
      <c r="Z73"/>
      <c r="AA73" s="8">
        <v>161.25</v>
      </c>
      <c r="AB73" s="7">
        <v>2.9622999999999997E-4</v>
      </c>
      <c r="AC73"/>
      <c r="AD73" s="8">
        <v>161.25</v>
      </c>
      <c r="AE73" s="7">
        <v>3.8865999999999998E-4</v>
      </c>
      <c r="AF73"/>
      <c r="AG73" s="8">
        <v>161.25</v>
      </c>
      <c r="AH73" s="7">
        <v>4.0400000000000001E-4</v>
      </c>
      <c r="AI73"/>
      <c r="AJ73" s="8">
        <v>161.25</v>
      </c>
      <c r="AK73" s="7">
        <v>5.8522000000000001E-4</v>
      </c>
      <c r="AL73"/>
      <c r="AM73" s="8">
        <v>161.25</v>
      </c>
      <c r="AN73" s="7">
        <v>1.6802099999999999E-3</v>
      </c>
    </row>
    <row r="74" spans="2:40" s="314" customFormat="1" ht="12.75" customHeight="1" x14ac:dyDescent="0.15">
      <c r="B74" s="325" t="s">
        <v>41</v>
      </c>
      <c r="C74" s="326">
        <v>-125868.7</v>
      </c>
      <c r="D74" s="327">
        <v>-3.4431200000000002E-2</v>
      </c>
      <c r="E74"/>
      <c r="F74" s="326">
        <v>-20132.29</v>
      </c>
      <c r="G74" s="327">
        <v>-0.38474353</v>
      </c>
      <c r="H74"/>
      <c r="I74" s="326">
        <v>4676.41</v>
      </c>
      <c r="J74" s="327">
        <v>1.96869E-2</v>
      </c>
      <c r="K74"/>
      <c r="L74" s="326">
        <v>-7888.82</v>
      </c>
      <c r="M74" s="327">
        <v>-3.3445250000000003E-2</v>
      </c>
      <c r="N74"/>
      <c r="O74" s="326">
        <v>-12302.01</v>
      </c>
      <c r="P74" s="327">
        <v>-4.257271E-2</v>
      </c>
      <c r="Q74"/>
      <c r="R74" s="326">
        <v>-10813.88</v>
      </c>
      <c r="S74" s="327">
        <v>-3.2092589999999997E-2</v>
      </c>
      <c r="T74"/>
      <c r="U74" s="326">
        <v>-10813.89</v>
      </c>
      <c r="V74" s="327">
        <v>-3.241525E-2</v>
      </c>
      <c r="W74"/>
      <c r="X74" s="326">
        <v>-14524.77</v>
      </c>
      <c r="Y74" s="327">
        <v>-3.297129E-2</v>
      </c>
      <c r="Z74"/>
      <c r="AA74" s="326">
        <v>-10813.88</v>
      </c>
      <c r="AB74" s="327">
        <v>-1.9866160000000001E-2</v>
      </c>
      <c r="AC74"/>
      <c r="AD74" s="326">
        <v>-10813.89</v>
      </c>
      <c r="AE74" s="327">
        <v>-2.606499E-2</v>
      </c>
      <c r="AF74"/>
      <c r="AG74" s="326">
        <v>-10813.9</v>
      </c>
      <c r="AH74" s="327">
        <v>-2.7093249999999999E-2</v>
      </c>
      <c r="AI74"/>
      <c r="AJ74" s="326">
        <v>-10813.9</v>
      </c>
      <c r="AK74" s="327">
        <v>-3.9246389999999999E-2</v>
      </c>
      <c r="AL74"/>
      <c r="AM74" s="326">
        <v>-10813.88</v>
      </c>
      <c r="AN74" s="327">
        <v>-0.11267990999999999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45103.772100000002</v>
      </c>
      <c r="D77" s="7">
        <v>1.233807E-2</v>
      </c>
      <c r="E77"/>
      <c r="F77" s="8">
        <v>0</v>
      </c>
      <c r="G77" s="7">
        <v>0</v>
      </c>
      <c r="H77"/>
      <c r="I77" s="8">
        <v>8819.3799999999992</v>
      </c>
      <c r="J77" s="7">
        <v>3.7128109999999999E-2</v>
      </c>
      <c r="K77"/>
      <c r="L77" s="8">
        <v>3537.03</v>
      </c>
      <c r="M77" s="7">
        <v>1.499551E-2</v>
      </c>
      <c r="N77"/>
      <c r="O77" s="8">
        <v>4334.37</v>
      </c>
      <c r="P77" s="7">
        <v>1.499965E-2</v>
      </c>
      <c r="Q77"/>
      <c r="R77" s="8">
        <v>3369.5880000000002</v>
      </c>
      <c r="S77" s="7">
        <v>0.01</v>
      </c>
      <c r="T77"/>
      <c r="U77" s="8">
        <v>3339.4919</v>
      </c>
      <c r="V77" s="7">
        <v>1.001032E-2</v>
      </c>
      <c r="W77"/>
      <c r="X77" s="8">
        <v>4405.2775000000001</v>
      </c>
      <c r="Y77" s="7">
        <v>0.01</v>
      </c>
      <c r="Z77"/>
      <c r="AA77" s="8">
        <v>5443.3674000000001</v>
      </c>
      <c r="AB77" s="7">
        <v>0.01</v>
      </c>
      <c r="AC77"/>
      <c r="AD77" s="8">
        <v>4148.8176999999996</v>
      </c>
      <c r="AE77" s="7">
        <v>0.01</v>
      </c>
      <c r="AF77"/>
      <c r="AG77" s="8">
        <v>3991.3633</v>
      </c>
      <c r="AH77" s="7">
        <v>0.01</v>
      </c>
      <c r="AI77"/>
      <c r="AJ77" s="8">
        <v>2755.3872999999999</v>
      </c>
      <c r="AK77" s="7">
        <v>0.01</v>
      </c>
      <c r="AL77"/>
      <c r="AM77" s="8">
        <v>959.69899999999996</v>
      </c>
      <c r="AN77" s="7">
        <v>0.01</v>
      </c>
    </row>
    <row r="78" spans="2:40" s="314" customFormat="1" ht="12.75" customHeight="1" x14ac:dyDescent="0.15">
      <c r="B78" s="5" t="s">
        <v>40</v>
      </c>
      <c r="C78" s="8">
        <v>168270.859</v>
      </c>
      <c r="D78" s="7">
        <v>4.6030249999999988E-2</v>
      </c>
      <c r="E78"/>
      <c r="F78" s="8">
        <v>10724.6</v>
      </c>
      <c r="G78" s="7">
        <v>0.20495535000000001</v>
      </c>
      <c r="H78"/>
      <c r="I78" s="8">
        <v>9654.8700000000008</v>
      </c>
      <c r="J78" s="7">
        <v>4.0645379999999988E-2</v>
      </c>
      <c r="K78"/>
      <c r="L78" s="8">
        <v>8839.5</v>
      </c>
      <c r="M78" s="7">
        <v>3.7475729999999999E-2</v>
      </c>
      <c r="N78"/>
      <c r="O78" s="8">
        <v>13787.3</v>
      </c>
      <c r="P78" s="7">
        <v>4.7712749999999998E-2</v>
      </c>
      <c r="Q78"/>
      <c r="R78" s="8">
        <v>14884.735000000001</v>
      </c>
      <c r="S78" s="7">
        <v>4.4173749999999998E-2</v>
      </c>
      <c r="T78"/>
      <c r="U78" s="8">
        <v>14899.5283</v>
      </c>
      <c r="V78" s="7">
        <v>4.4662180000000003E-2</v>
      </c>
      <c r="W78"/>
      <c r="X78" s="8">
        <v>18386.877400000001</v>
      </c>
      <c r="Y78" s="7">
        <v>4.1738299999999999E-2</v>
      </c>
      <c r="Z78"/>
      <c r="AA78" s="8">
        <v>21980.809600000001</v>
      </c>
      <c r="AB78" s="7">
        <v>4.0380899999999997E-2</v>
      </c>
      <c r="AC78"/>
      <c r="AD78" s="8">
        <v>17895.8531</v>
      </c>
      <c r="AE78" s="7">
        <v>4.3134829999999999E-2</v>
      </c>
      <c r="AF78"/>
      <c r="AG78" s="8">
        <v>17719.6224</v>
      </c>
      <c r="AH78" s="7">
        <v>4.4394910000000003E-2</v>
      </c>
      <c r="AI78"/>
      <c r="AJ78" s="8">
        <v>12488.057199999999</v>
      </c>
      <c r="AK78" s="7">
        <v>4.5322329999999987E-2</v>
      </c>
      <c r="AL78"/>
      <c r="AM78" s="8">
        <v>7009.1059999999998</v>
      </c>
      <c r="AN78" s="7">
        <v>7.3034420000000003E-2</v>
      </c>
    </row>
    <row r="79" spans="2:40" s="314" customFormat="1" ht="12.75" customHeight="1" x14ac:dyDescent="0.15">
      <c r="B79" s="325" t="s">
        <v>41</v>
      </c>
      <c r="C79" s="326">
        <v>-213374.63089999999</v>
      </c>
      <c r="D79" s="327">
        <v>-5.8368320000000001E-2</v>
      </c>
      <c r="E79"/>
      <c r="F79" s="326">
        <v>-10724.6</v>
      </c>
      <c r="G79" s="327">
        <v>-0.20495535000000001</v>
      </c>
      <c r="H79"/>
      <c r="I79" s="326">
        <v>-18474.25</v>
      </c>
      <c r="J79" s="327">
        <v>-7.7773490000000001E-2</v>
      </c>
      <c r="K79"/>
      <c r="L79" s="326">
        <v>-12376.53</v>
      </c>
      <c r="M79" s="327">
        <v>-5.2471240000000002E-2</v>
      </c>
      <c r="N79"/>
      <c r="O79" s="326">
        <v>-18121.669999999998</v>
      </c>
      <c r="P79" s="327">
        <v>-6.2712400000000001E-2</v>
      </c>
      <c r="Q79"/>
      <c r="R79" s="326">
        <v>-18254.323</v>
      </c>
      <c r="S79" s="327">
        <v>-5.417375E-2</v>
      </c>
      <c r="T79"/>
      <c r="U79" s="326">
        <v>-18239.020199999999</v>
      </c>
      <c r="V79" s="327">
        <v>-5.4672499999999999E-2</v>
      </c>
      <c r="W79"/>
      <c r="X79" s="326">
        <v>-22792.154900000001</v>
      </c>
      <c r="Y79" s="327">
        <v>-5.1738299999999987E-2</v>
      </c>
      <c r="Z79"/>
      <c r="AA79" s="326">
        <v>-27424.176899999999</v>
      </c>
      <c r="AB79" s="327">
        <v>-5.0380900000000013E-2</v>
      </c>
      <c r="AC79"/>
      <c r="AD79" s="326">
        <v>-22044.6708</v>
      </c>
      <c r="AE79" s="327">
        <v>-5.3134829999999987E-2</v>
      </c>
      <c r="AF79"/>
      <c r="AG79" s="326">
        <v>-21710.985700000001</v>
      </c>
      <c r="AH79" s="327">
        <v>-5.4394909999999998E-2</v>
      </c>
      <c r="AI79"/>
      <c r="AJ79" s="326">
        <v>-15243.4444</v>
      </c>
      <c r="AK79" s="327">
        <v>-5.5322330000000003E-2</v>
      </c>
      <c r="AL79"/>
      <c r="AM79" s="326">
        <v>-7968.8050000000003</v>
      </c>
      <c r="AN79" s="327">
        <v>-8.3034419999999998E-2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113957.6768</v>
      </c>
      <c r="D82" s="7">
        <v>3.117296E-2</v>
      </c>
      <c r="E82"/>
      <c r="F82" s="8">
        <v>7704.25</v>
      </c>
      <c r="G82" s="7">
        <v>0.14723414000000001</v>
      </c>
      <c r="H82"/>
      <c r="I82" s="8">
        <v>9818.8700000000008</v>
      </c>
      <c r="J82" s="7">
        <v>4.1335789999999997E-2</v>
      </c>
      <c r="K82"/>
      <c r="L82" s="8">
        <v>9919.8700000000008</v>
      </c>
      <c r="M82" s="7">
        <v>4.2056040000000003E-2</v>
      </c>
      <c r="N82"/>
      <c r="O82" s="8">
        <v>9355.4699999999993</v>
      </c>
      <c r="P82" s="7">
        <v>3.237582E-2</v>
      </c>
      <c r="Q82"/>
      <c r="R82" s="8">
        <v>9553.2991999999995</v>
      </c>
      <c r="S82" s="7">
        <v>2.835153E-2</v>
      </c>
      <c r="T82"/>
      <c r="U82" s="8">
        <v>8672.3083000000006</v>
      </c>
      <c r="V82" s="7">
        <v>2.599574E-2</v>
      </c>
      <c r="W82"/>
      <c r="X82" s="8">
        <v>9344.1695</v>
      </c>
      <c r="Y82" s="7">
        <v>2.1211310000000001E-2</v>
      </c>
      <c r="Z82"/>
      <c r="AA82" s="8">
        <v>10252.603300000001</v>
      </c>
      <c r="AB82" s="7">
        <v>1.8835040000000001E-2</v>
      </c>
      <c r="AC82"/>
      <c r="AD82" s="8">
        <v>10434.290000000001</v>
      </c>
      <c r="AE82" s="7">
        <v>2.515003E-2</v>
      </c>
      <c r="AF82"/>
      <c r="AG82" s="8">
        <v>8826.5522000000001</v>
      </c>
      <c r="AH82" s="7">
        <v>2.2114129999999999E-2</v>
      </c>
      <c r="AI82"/>
      <c r="AJ82" s="8">
        <v>10434.290000000001</v>
      </c>
      <c r="AK82" s="7">
        <v>3.7868690000000003E-2</v>
      </c>
      <c r="AL82"/>
      <c r="AM82" s="8">
        <v>9641.7042999999994</v>
      </c>
      <c r="AN82" s="7">
        <v>0.10046592</v>
      </c>
    </row>
    <row r="83" spans="2:40" s="314" customFormat="1" ht="12.75" customHeight="1" x14ac:dyDescent="0.15">
      <c r="B83" s="5" t="s">
        <v>40</v>
      </c>
      <c r="C83" s="8">
        <v>155475.19</v>
      </c>
      <c r="D83" s="7">
        <v>4.253001E-2</v>
      </c>
      <c r="E83"/>
      <c r="F83" s="8">
        <v>8714.2800000000007</v>
      </c>
      <c r="G83" s="7">
        <v>0.16653659000000001</v>
      </c>
      <c r="H83"/>
      <c r="I83" s="8">
        <v>14266.96</v>
      </c>
      <c r="J83" s="7">
        <v>6.0061499999999997E-2</v>
      </c>
      <c r="K83"/>
      <c r="L83" s="8">
        <v>13791.86</v>
      </c>
      <c r="M83" s="7">
        <v>5.8471640000000012E-2</v>
      </c>
      <c r="N83"/>
      <c r="O83" s="8">
        <v>16783.21</v>
      </c>
      <c r="P83" s="7">
        <v>5.8080489999999999E-2</v>
      </c>
      <c r="Q83"/>
      <c r="R83" s="8">
        <v>13304.12</v>
      </c>
      <c r="S83" s="7">
        <v>3.9482929999999999E-2</v>
      </c>
      <c r="T83"/>
      <c r="U83" s="8">
        <v>15190.48</v>
      </c>
      <c r="V83" s="7">
        <v>4.5534329999999998E-2</v>
      </c>
      <c r="W83"/>
      <c r="X83" s="8">
        <v>13629.24</v>
      </c>
      <c r="Y83" s="7">
        <v>3.0938440000000001E-2</v>
      </c>
      <c r="Z83"/>
      <c r="AA83" s="8">
        <v>12560.72</v>
      </c>
      <c r="AB83" s="7">
        <v>2.307528E-2</v>
      </c>
      <c r="AC83"/>
      <c r="AD83" s="8">
        <v>10373.879999999999</v>
      </c>
      <c r="AE83" s="7">
        <v>2.5004419999999999E-2</v>
      </c>
      <c r="AF83"/>
      <c r="AG83" s="8">
        <v>13729.24</v>
      </c>
      <c r="AH83" s="7">
        <v>3.4397369999999997E-2</v>
      </c>
      <c r="AI83"/>
      <c r="AJ83" s="8">
        <v>12860.72</v>
      </c>
      <c r="AK83" s="7">
        <v>4.6674819999999999E-2</v>
      </c>
      <c r="AL83"/>
      <c r="AM83" s="8">
        <v>10270.48</v>
      </c>
      <c r="AN83" s="7">
        <v>0.10701772</v>
      </c>
    </row>
    <row r="84" spans="2:40" s="314" customFormat="1" ht="12.75" customHeight="1" x14ac:dyDescent="0.15">
      <c r="B84" s="325" t="s">
        <v>41</v>
      </c>
      <c r="C84" s="326">
        <v>-269432.86680000002</v>
      </c>
      <c r="D84" s="327">
        <v>-7.3702969999999993E-2</v>
      </c>
      <c r="E84"/>
      <c r="F84" s="326">
        <v>-16418.53</v>
      </c>
      <c r="G84" s="327">
        <v>-0.31377072</v>
      </c>
      <c r="H84"/>
      <c r="I84" s="326">
        <v>-24085.83</v>
      </c>
      <c r="J84" s="327">
        <v>-0.10139729</v>
      </c>
      <c r="K84"/>
      <c r="L84" s="326">
        <v>-23711.73</v>
      </c>
      <c r="M84" s="327">
        <v>-0.10052767999999999</v>
      </c>
      <c r="N84"/>
      <c r="O84" s="326">
        <v>-26138.68</v>
      </c>
      <c r="P84" s="327">
        <v>-9.0456309999999998E-2</v>
      </c>
      <c r="Q84"/>
      <c r="R84" s="326">
        <v>-22857.4192</v>
      </c>
      <c r="S84" s="327">
        <v>-6.7834459999999999E-2</v>
      </c>
      <c r="T84"/>
      <c r="U84" s="326">
        <v>-23862.7883</v>
      </c>
      <c r="V84" s="327">
        <v>-7.1530070000000001E-2</v>
      </c>
      <c r="W84"/>
      <c r="X84" s="326">
        <v>-22973.409500000002</v>
      </c>
      <c r="Y84" s="327">
        <v>-5.214974E-2</v>
      </c>
      <c r="Z84"/>
      <c r="AA84" s="326">
        <v>-22813.3233</v>
      </c>
      <c r="AB84" s="327">
        <v>-4.1910309999999999E-2</v>
      </c>
      <c r="AC84"/>
      <c r="AD84" s="326">
        <v>-20808.169999999998</v>
      </c>
      <c r="AE84" s="327">
        <v>-5.0154459999999998E-2</v>
      </c>
      <c r="AF84"/>
      <c r="AG84" s="326">
        <v>-22555.7922</v>
      </c>
      <c r="AH84" s="327">
        <v>-5.6511500000000013E-2</v>
      </c>
      <c r="AI84"/>
      <c r="AJ84" s="326">
        <v>-23295.01</v>
      </c>
      <c r="AK84" s="327">
        <v>-8.4543510000000002E-2</v>
      </c>
      <c r="AL84"/>
      <c r="AM84" s="326">
        <v>-19912.184300000001</v>
      </c>
      <c r="AN84" s="327">
        <v>-0.20748364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-229284.71599999999</v>
      </c>
      <c r="D87" s="327">
        <v>-6.2720499999999998E-2</v>
      </c>
      <c r="E87"/>
      <c r="F87" s="326">
        <v>-9344</v>
      </c>
      <c r="G87" s="327">
        <v>-0.17857102</v>
      </c>
      <c r="H87"/>
      <c r="I87" s="326">
        <v>-4428</v>
      </c>
      <c r="J87" s="327">
        <v>-1.864114E-2</v>
      </c>
      <c r="K87"/>
      <c r="L87" s="326">
        <v>-10817</v>
      </c>
      <c r="M87" s="327">
        <v>-4.5859490000000003E-2</v>
      </c>
      <c r="N87"/>
      <c r="O87" s="326">
        <v>-22156</v>
      </c>
      <c r="P87" s="327">
        <v>-7.6673730000000009E-2</v>
      </c>
      <c r="Q87"/>
      <c r="R87" s="326">
        <v>-23139.791300000001</v>
      </c>
      <c r="S87" s="327">
        <v>-6.8672459999999991E-2</v>
      </c>
      <c r="T87"/>
      <c r="U87" s="326">
        <v>-21783.655900000002</v>
      </c>
      <c r="V87" s="327">
        <v>-6.5297750000000002E-2</v>
      </c>
      <c r="W87"/>
      <c r="X87" s="326">
        <v>-22531.2958</v>
      </c>
      <c r="Y87" s="327">
        <v>-5.1146140000000007E-2</v>
      </c>
      <c r="Z87"/>
      <c r="AA87" s="326">
        <v>-23208.5118</v>
      </c>
      <c r="AB87" s="327">
        <v>-4.2636309999999997E-2</v>
      </c>
      <c r="AC87"/>
      <c r="AD87" s="326">
        <v>-20308.513900000002</v>
      </c>
      <c r="AE87" s="327">
        <v>-4.8950120000000007E-2</v>
      </c>
      <c r="AF87"/>
      <c r="AG87" s="326">
        <v>-31643.904600000002</v>
      </c>
      <c r="AH87" s="327">
        <v>-7.9280939999999994E-2</v>
      </c>
      <c r="AI87"/>
      <c r="AJ87" s="326">
        <v>-27413.4427</v>
      </c>
      <c r="AK87" s="327">
        <v>-9.9490339999999997E-2</v>
      </c>
      <c r="AL87"/>
      <c r="AM87" s="326">
        <v>-12510.6</v>
      </c>
      <c r="AN87" s="327">
        <v>-0.13035962000000001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-323480.6691</v>
      </c>
      <c r="D89" s="327">
        <v>-8.8487670000000004E-2</v>
      </c>
      <c r="E89"/>
      <c r="F89" s="326">
        <v>-117890.1</v>
      </c>
      <c r="G89" s="327">
        <v>-2.2529703900000002</v>
      </c>
      <c r="H89"/>
      <c r="I89" s="326">
        <v>-100391.1</v>
      </c>
      <c r="J89" s="327">
        <v>-0.42262965000000002</v>
      </c>
      <c r="K89"/>
      <c r="L89" s="326">
        <v>-51409.32</v>
      </c>
      <c r="M89" s="327">
        <v>-0.21795370999999999</v>
      </c>
      <c r="N89"/>
      <c r="O89" s="326">
        <v>-61657.58</v>
      </c>
      <c r="P89" s="327">
        <v>-0.21337410000000001</v>
      </c>
      <c r="Q89"/>
      <c r="R89" s="326">
        <v>-15241.6325</v>
      </c>
      <c r="S89" s="327">
        <v>-4.5232929999999998E-2</v>
      </c>
      <c r="T89"/>
      <c r="U89" s="326">
        <v>-34323.999799999998</v>
      </c>
      <c r="V89" s="327">
        <v>-0.10288814</v>
      </c>
      <c r="W89"/>
      <c r="X89" s="326">
        <v>78327.031799999997</v>
      </c>
      <c r="Y89" s="327">
        <v>0.17780272</v>
      </c>
      <c r="Z89"/>
      <c r="AA89" s="326">
        <v>147892.4835</v>
      </c>
      <c r="AB89" s="327">
        <v>0.27169300000000002</v>
      </c>
      <c r="AC89"/>
      <c r="AD89" s="326">
        <v>54790.364999999998</v>
      </c>
      <c r="AE89" s="327">
        <v>0.1320626</v>
      </c>
      <c r="AF89"/>
      <c r="AG89" s="326">
        <v>17273.391</v>
      </c>
      <c r="AH89" s="327">
        <v>4.3276920000000003E-2</v>
      </c>
      <c r="AI89"/>
      <c r="AJ89" s="326">
        <v>-75038.768299999996</v>
      </c>
      <c r="AK89" s="327">
        <v>-0.27233474000000002</v>
      </c>
      <c r="AL89"/>
      <c r="AM89" s="326">
        <v>-165811.43979999999</v>
      </c>
      <c r="AN89" s="327">
        <v>-1.72774421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1760</v>
      </c>
      <c r="D97" s="327">
        <v>4.8145000000000002E-4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220</v>
      </c>
      <c r="S97" s="327">
        <v>6.5289999999999999E-4</v>
      </c>
      <c r="T97"/>
      <c r="U97" s="326">
        <v>220</v>
      </c>
      <c r="V97" s="327">
        <v>6.5946000000000006E-4</v>
      </c>
      <c r="W97"/>
      <c r="X97" s="326">
        <v>220</v>
      </c>
      <c r="Y97" s="327">
        <v>4.994E-4</v>
      </c>
      <c r="Z97"/>
      <c r="AA97" s="326">
        <v>220</v>
      </c>
      <c r="AB97" s="327">
        <v>4.0415999999999998E-4</v>
      </c>
      <c r="AC97"/>
      <c r="AD97" s="326">
        <v>220</v>
      </c>
      <c r="AE97" s="327">
        <v>5.3027E-4</v>
      </c>
      <c r="AF97"/>
      <c r="AG97" s="326">
        <v>220</v>
      </c>
      <c r="AH97" s="327">
        <v>5.5119000000000001E-4</v>
      </c>
      <c r="AI97"/>
      <c r="AJ97" s="326">
        <v>220</v>
      </c>
      <c r="AK97" s="327">
        <v>7.9843999999999998E-4</v>
      </c>
      <c r="AL97"/>
      <c r="AM97" s="326">
        <v>220</v>
      </c>
      <c r="AN97" s="327">
        <v>2.2923900000000001E-3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1760</v>
      </c>
      <c r="D99" s="7">
        <v>4.8145000000000002E-4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220</v>
      </c>
      <c r="S99" s="7">
        <v>6.5289999999999999E-4</v>
      </c>
      <c r="T99"/>
      <c r="U99" s="8">
        <v>220</v>
      </c>
      <c r="V99" s="7">
        <v>6.5946000000000006E-4</v>
      </c>
      <c r="W99"/>
      <c r="X99" s="8">
        <v>220</v>
      </c>
      <c r="Y99" s="7">
        <v>4.994E-4</v>
      </c>
      <c r="Z99"/>
      <c r="AA99" s="8">
        <v>220</v>
      </c>
      <c r="AB99" s="7">
        <v>4.0415999999999998E-4</v>
      </c>
      <c r="AC99"/>
      <c r="AD99" s="8">
        <v>220</v>
      </c>
      <c r="AE99" s="7">
        <v>5.3027E-4</v>
      </c>
      <c r="AF99"/>
      <c r="AG99" s="8">
        <v>220</v>
      </c>
      <c r="AH99" s="7">
        <v>5.5119000000000001E-4</v>
      </c>
      <c r="AI99"/>
      <c r="AJ99" s="8">
        <v>220</v>
      </c>
      <c r="AK99" s="7">
        <v>7.9843999999999998E-4</v>
      </c>
      <c r="AL99"/>
      <c r="AM99" s="8">
        <v>220</v>
      </c>
      <c r="AN99" s="7">
        <v>2.2923900000000001E-3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-1760</v>
      </c>
      <c r="D101" s="327">
        <v>-4.8145000000000002E-4</v>
      </c>
      <c r="E101"/>
      <c r="F101" s="326">
        <v>0</v>
      </c>
      <c r="G101" s="327">
        <v>0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-220</v>
      </c>
      <c r="S101" s="327">
        <v>-6.5289999999999999E-4</v>
      </c>
      <c r="T101"/>
      <c r="U101" s="326">
        <v>-220</v>
      </c>
      <c r="V101" s="327">
        <v>-6.5946000000000006E-4</v>
      </c>
      <c r="W101"/>
      <c r="X101" s="326">
        <v>-220</v>
      </c>
      <c r="Y101" s="327">
        <v>-4.994E-4</v>
      </c>
      <c r="Z101"/>
      <c r="AA101" s="326">
        <v>-220</v>
      </c>
      <c r="AB101" s="327">
        <v>-4.0415999999999998E-4</v>
      </c>
      <c r="AC101"/>
      <c r="AD101" s="326">
        <v>-220</v>
      </c>
      <c r="AE101" s="327">
        <v>-5.3027E-4</v>
      </c>
      <c r="AF101"/>
      <c r="AG101" s="326">
        <v>-220</v>
      </c>
      <c r="AH101" s="327">
        <v>-5.5119000000000001E-4</v>
      </c>
      <c r="AI101"/>
      <c r="AJ101" s="326">
        <v>-220</v>
      </c>
      <c r="AK101" s="327">
        <v>-7.9843999999999998E-4</v>
      </c>
      <c r="AL101"/>
      <c r="AM101" s="326">
        <v>-220</v>
      </c>
      <c r="AN101" s="327">
        <v>-2.2923900000000001E-3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-325240.6691</v>
      </c>
      <c r="D103" s="327">
        <v>-8.8969119999999999E-2</v>
      </c>
      <c r="E103"/>
      <c r="F103" s="326">
        <v>-117890.1</v>
      </c>
      <c r="G103" s="327">
        <v>-2.2529703900000002</v>
      </c>
      <c r="H103"/>
      <c r="I103" s="326">
        <v>-100391.1</v>
      </c>
      <c r="J103" s="327">
        <v>-0.42262965000000002</v>
      </c>
      <c r="K103"/>
      <c r="L103" s="326">
        <v>-51409.32</v>
      </c>
      <c r="M103" s="327">
        <v>-0.21795370999999999</v>
      </c>
      <c r="N103"/>
      <c r="O103" s="326">
        <v>-61657.58</v>
      </c>
      <c r="P103" s="327">
        <v>-0.21337410000000001</v>
      </c>
      <c r="Q103"/>
      <c r="R103" s="326">
        <v>-15461.6325</v>
      </c>
      <c r="S103" s="327">
        <v>-4.5885819999999987E-2</v>
      </c>
      <c r="T103"/>
      <c r="U103" s="326">
        <v>-34543.999799999998</v>
      </c>
      <c r="V103" s="327">
        <v>-0.1035476</v>
      </c>
      <c r="W103"/>
      <c r="X103" s="326">
        <v>78107.031799999997</v>
      </c>
      <c r="Y103" s="327">
        <v>0.17730331999999999</v>
      </c>
      <c r="Z103"/>
      <c r="AA103" s="326">
        <v>147672.4835</v>
      </c>
      <c r="AB103" s="327">
        <v>0.27128883999999998</v>
      </c>
      <c r="AC103"/>
      <c r="AD103" s="326">
        <v>54570.364999999998</v>
      </c>
      <c r="AE103" s="327">
        <v>0.13153233</v>
      </c>
      <c r="AF103"/>
      <c r="AG103" s="326">
        <v>17053.391</v>
      </c>
      <c r="AH103" s="327">
        <v>4.2725730000000003E-2</v>
      </c>
      <c r="AI103"/>
      <c r="AJ103" s="326">
        <v>-75258.768299999996</v>
      </c>
      <c r="AK103" s="327">
        <v>-0.27313317999999998</v>
      </c>
      <c r="AL103"/>
      <c r="AM103" s="326">
        <v>-166031.43979999999</v>
      </c>
      <c r="AN103" s="327">
        <v>-1.7300365900000001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176096.18</v>
      </c>
      <c r="D105" s="327">
        <v>4.8170860000000003E-2</v>
      </c>
      <c r="E105"/>
      <c r="F105" s="326">
        <v>4647.26</v>
      </c>
      <c r="G105" s="327">
        <v>8.8812710000000003E-2</v>
      </c>
      <c r="H105"/>
      <c r="I105" s="326">
        <v>15507.23</v>
      </c>
      <c r="J105" s="327">
        <v>6.528283E-2</v>
      </c>
      <c r="K105"/>
      <c r="L105" s="326">
        <v>10998.6</v>
      </c>
      <c r="M105" s="327">
        <v>4.6629400000000001E-2</v>
      </c>
      <c r="N105"/>
      <c r="O105" s="326">
        <v>30618.5</v>
      </c>
      <c r="P105" s="327">
        <v>0.10595931</v>
      </c>
      <c r="Q105"/>
      <c r="R105" s="326">
        <v>17936.18</v>
      </c>
      <c r="S105" s="327">
        <v>5.322959E-2</v>
      </c>
      <c r="T105"/>
      <c r="U105" s="326">
        <v>12103.21</v>
      </c>
      <c r="V105" s="327">
        <v>3.6280060000000003E-2</v>
      </c>
      <c r="W105"/>
      <c r="X105" s="326">
        <v>12103.21</v>
      </c>
      <c r="Y105" s="327">
        <v>2.747434E-2</v>
      </c>
      <c r="Z105"/>
      <c r="AA105" s="326">
        <v>17936.18</v>
      </c>
      <c r="AB105" s="327">
        <v>3.2950519999999997E-2</v>
      </c>
      <c r="AC105"/>
      <c r="AD105" s="326">
        <v>12103.21</v>
      </c>
      <c r="AE105" s="327">
        <v>2.9172670000000001E-2</v>
      </c>
      <c r="AF105"/>
      <c r="AG105" s="326">
        <v>12103.21</v>
      </c>
      <c r="AH105" s="327">
        <v>3.03235E-2</v>
      </c>
      <c r="AI105"/>
      <c r="AJ105" s="326">
        <v>17936.18</v>
      </c>
      <c r="AK105" s="327">
        <v>6.5094949999999999E-2</v>
      </c>
      <c r="AL105"/>
      <c r="AM105" s="326">
        <v>12103.21</v>
      </c>
      <c r="AN105" s="327">
        <v>0.12611464999999999</v>
      </c>
    </row>
    <row r="106" spans="2:40" s="314" customFormat="1" ht="12.75" customHeight="1" x14ac:dyDescent="0.15">
      <c r="B106" s="5" t="s">
        <v>71</v>
      </c>
      <c r="C106" s="8">
        <v>47257.34</v>
      </c>
      <c r="D106" s="7">
        <v>1.292718E-2</v>
      </c>
      <c r="E106"/>
      <c r="F106" s="8">
        <v>2702.94</v>
      </c>
      <c r="G106" s="7">
        <v>5.1655260000000001E-2</v>
      </c>
      <c r="H106"/>
      <c r="I106" s="8">
        <v>2702.94</v>
      </c>
      <c r="J106" s="7">
        <v>1.1378920000000001E-2</v>
      </c>
      <c r="K106"/>
      <c r="L106" s="8">
        <v>2702.94</v>
      </c>
      <c r="M106" s="7">
        <v>1.145932E-2</v>
      </c>
      <c r="N106"/>
      <c r="O106" s="8">
        <v>22322.84</v>
      </c>
      <c r="P106" s="7">
        <v>7.7251100000000003E-2</v>
      </c>
      <c r="Q106"/>
      <c r="R106" s="8">
        <v>2103.21</v>
      </c>
      <c r="S106" s="7">
        <v>6.24174E-3</v>
      </c>
      <c r="T106"/>
      <c r="U106" s="8">
        <v>2103.21</v>
      </c>
      <c r="V106" s="7">
        <v>6.3044900000000003E-3</v>
      </c>
      <c r="W106"/>
      <c r="X106" s="8">
        <v>2103.21</v>
      </c>
      <c r="Y106" s="7">
        <v>4.7743000000000004E-3</v>
      </c>
      <c r="Z106"/>
      <c r="AA106" s="8">
        <v>2103.21</v>
      </c>
      <c r="AB106" s="7">
        <v>3.8638000000000001E-3</v>
      </c>
      <c r="AC106"/>
      <c r="AD106" s="8">
        <v>2103.21</v>
      </c>
      <c r="AE106" s="7">
        <v>5.0694199999999998E-3</v>
      </c>
      <c r="AF106"/>
      <c r="AG106" s="8">
        <v>2103.21</v>
      </c>
      <c r="AH106" s="7">
        <v>5.2693999999999996E-3</v>
      </c>
      <c r="AI106"/>
      <c r="AJ106" s="8">
        <v>2103.21</v>
      </c>
      <c r="AK106" s="7">
        <v>7.6330800000000004E-3</v>
      </c>
      <c r="AL106"/>
      <c r="AM106" s="8">
        <v>2103.21</v>
      </c>
      <c r="AN106" s="7">
        <v>2.191531E-2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99054.02</v>
      </c>
      <c r="D108" s="7">
        <v>2.7096080000000002E-2</v>
      </c>
      <c r="E108"/>
      <c r="F108" s="8">
        <v>0</v>
      </c>
      <c r="G108" s="7">
        <v>0</v>
      </c>
      <c r="H108"/>
      <c r="I108" s="8">
        <v>6351.34</v>
      </c>
      <c r="J108" s="7">
        <v>2.6738069999999999E-2</v>
      </c>
      <c r="K108"/>
      <c r="L108" s="8">
        <v>6351.34</v>
      </c>
      <c r="M108" s="7">
        <v>2.6926990000000001E-2</v>
      </c>
      <c r="N108"/>
      <c r="O108" s="8">
        <v>6351.34</v>
      </c>
      <c r="P108" s="7">
        <v>2.1979640000000002E-2</v>
      </c>
      <c r="Q108"/>
      <c r="R108" s="8">
        <v>10000</v>
      </c>
      <c r="S108" s="7">
        <v>2.9677220000000001E-2</v>
      </c>
      <c r="T108"/>
      <c r="U108" s="8">
        <v>10000</v>
      </c>
      <c r="V108" s="7">
        <v>2.997557E-2</v>
      </c>
      <c r="W108"/>
      <c r="X108" s="8">
        <v>10000</v>
      </c>
      <c r="Y108" s="7">
        <v>2.2700049999999999E-2</v>
      </c>
      <c r="Z108"/>
      <c r="AA108" s="8">
        <v>10000</v>
      </c>
      <c r="AB108" s="7">
        <v>1.8370979999999999E-2</v>
      </c>
      <c r="AC108"/>
      <c r="AD108" s="8">
        <v>10000</v>
      </c>
      <c r="AE108" s="7">
        <v>2.410325E-2</v>
      </c>
      <c r="AF108"/>
      <c r="AG108" s="8">
        <v>10000</v>
      </c>
      <c r="AH108" s="7">
        <v>2.5054099999999999E-2</v>
      </c>
      <c r="AI108"/>
      <c r="AJ108" s="8">
        <v>10000</v>
      </c>
      <c r="AK108" s="7">
        <v>3.6292539999999998E-2</v>
      </c>
      <c r="AL108"/>
      <c r="AM108" s="8">
        <v>10000</v>
      </c>
      <c r="AN108" s="7">
        <v>0.10419934</v>
      </c>
    </row>
    <row r="109" spans="2:40" s="314" customFormat="1" ht="12.75" customHeight="1" x14ac:dyDescent="0.15">
      <c r="B109" s="5" t="s">
        <v>74</v>
      </c>
      <c r="C109" s="8">
        <v>0</v>
      </c>
      <c r="D109" s="7">
        <v>0</v>
      </c>
      <c r="E109"/>
      <c r="F109" s="8">
        <v>0</v>
      </c>
      <c r="G109" s="7">
        <v>0</v>
      </c>
      <c r="H109"/>
      <c r="I109" s="8">
        <v>0</v>
      </c>
      <c r="J109" s="7">
        <v>0</v>
      </c>
      <c r="K109"/>
      <c r="L109" s="8">
        <v>0</v>
      </c>
      <c r="M109" s="7">
        <v>0</v>
      </c>
      <c r="N109"/>
      <c r="O109" s="8">
        <v>0</v>
      </c>
      <c r="P109" s="7">
        <v>0</v>
      </c>
      <c r="Q109"/>
      <c r="R109" s="8">
        <v>0</v>
      </c>
      <c r="S109" s="7">
        <v>0</v>
      </c>
      <c r="T109"/>
      <c r="U109" s="8">
        <v>0</v>
      </c>
      <c r="V109" s="7">
        <v>0</v>
      </c>
      <c r="W109"/>
      <c r="X109" s="8">
        <v>0</v>
      </c>
      <c r="Y109" s="7">
        <v>0</v>
      </c>
      <c r="Z109"/>
      <c r="AA109" s="8">
        <v>0</v>
      </c>
      <c r="AB109" s="7">
        <v>0</v>
      </c>
      <c r="AC109"/>
      <c r="AD109" s="8">
        <v>0</v>
      </c>
      <c r="AE109" s="7">
        <v>0</v>
      </c>
      <c r="AF109"/>
      <c r="AG109" s="8">
        <v>0</v>
      </c>
      <c r="AH109" s="7">
        <v>0</v>
      </c>
      <c r="AI109"/>
      <c r="AJ109" s="8">
        <v>0</v>
      </c>
      <c r="AK109" s="7">
        <v>0</v>
      </c>
      <c r="AL109"/>
      <c r="AM109" s="8">
        <v>0</v>
      </c>
      <c r="AN109" s="7">
        <v>0</v>
      </c>
    </row>
    <row r="110" spans="2:40" s="314" customFormat="1" ht="12.75" customHeight="1" x14ac:dyDescent="0.15">
      <c r="B110" s="5" t="s">
        <v>75</v>
      </c>
      <c r="C110" s="8">
        <v>29784.82</v>
      </c>
      <c r="D110" s="7">
        <v>8.1475899999999997E-3</v>
      </c>
      <c r="E110"/>
      <c r="F110" s="8">
        <v>1944.32</v>
      </c>
      <c r="G110" s="7">
        <v>3.7157450000000002E-2</v>
      </c>
      <c r="H110"/>
      <c r="I110" s="8">
        <v>6452.95</v>
      </c>
      <c r="J110" s="7">
        <v>2.7165829999999998E-2</v>
      </c>
      <c r="K110"/>
      <c r="L110" s="8">
        <v>1944.32</v>
      </c>
      <c r="M110" s="7">
        <v>8.2430899999999998E-3</v>
      </c>
      <c r="N110"/>
      <c r="O110" s="8">
        <v>1944.32</v>
      </c>
      <c r="P110" s="7">
        <v>6.7285700000000014E-3</v>
      </c>
      <c r="Q110"/>
      <c r="R110" s="8">
        <v>5832.97</v>
      </c>
      <c r="S110" s="7">
        <v>1.731063E-2</v>
      </c>
      <c r="T110"/>
      <c r="U110" s="8">
        <v>0</v>
      </c>
      <c r="V110" s="7">
        <v>0</v>
      </c>
      <c r="W110"/>
      <c r="X110" s="8">
        <v>0</v>
      </c>
      <c r="Y110" s="7">
        <v>0</v>
      </c>
      <c r="Z110"/>
      <c r="AA110" s="8">
        <v>5832.97</v>
      </c>
      <c r="AB110" s="7">
        <v>1.071574E-2</v>
      </c>
      <c r="AC110"/>
      <c r="AD110" s="8">
        <v>0</v>
      </c>
      <c r="AE110" s="7">
        <v>0</v>
      </c>
      <c r="AF110"/>
      <c r="AG110" s="8">
        <v>0</v>
      </c>
      <c r="AH110" s="7">
        <v>0</v>
      </c>
      <c r="AI110"/>
      <c r="AJ110" s="8">
        <v>5832.97</v>
      </c>
      <c r="AK110" s="7">
        <v>2.116933E-2</v>
      </c>
      <c r="AL110"/>
      <c r="AM110" s="8">
        <v>0</v>
      </c>
      <c r="AN110" s="7">
        <v>0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-501336.84909999999</v>
      </c>
      <c r="D121" s="327">
        <v>-0.13713997</v>
      </c>
      <c r="E121"/>
      <c r="F121" s="326">
        <v>-122537.36</v>
      </c>
      <c r="G121" s="327">
        <v>-2.3417830999999998</v>
      </c>
      <c r="H121"/>
      <c r="I121" s="326">
        <v>-115898.33</v>
      </c>
      <c r="J121" s="327">
        <v>-0.48791247999999998</v>
      </c>
      <c r="K121"/>
      <c r="L121" s="326">
        <v>-62407.92</v>
      </c>
      <c r="M121" s="327">
        <v>-0.26458311000000001</v>
      </c>
      <c r="N121"/>
      <c r="O121" s="326">
        <v>-92276.08</v>
      </c>
      <c r="P121" s="327">
        <v>-0.31933340999999998</v>
      </c>
      <c r="Q121"/>
      <c r="R121" s="326">
        <v>-33397.8125</v>
      </c>
      <c r="S121" s="327">
        <v>-9.911542000000001E-2</v>
      </c>
      <c r="T121"/>
      <c r="U121" s="326">
        <v>-46647.209799999997</v>
      </c>
      <c r="V121" s="327">
        <v>-0.13982766999999999</v>
      </c>
      <c r="W121"/>
      <c r="X121" s="326">
        <v>66003.821800000005</v>
      </c>
      <c r="Y121" s="327">
        <v>0.14982898</v>
      </c>
      <c r="Z121"/>
      <c r="AA121" s="326">
        <v>129736.30349999999</v>
      </c>
      <c r="AB121" s="327">
        <v>0.23833831999999999</v>
      </c>
      <c r="AC121"/>
      <c r="AD121" s="326">
        <v>42467.154999999999</v>
      </c>
      <c r="AE121" s="327">
        <v>0.10235966000000001</v>
      </c>
      <c r="AF121"/>
      <c r="AG121" s="326">
        <v>4950.1809999999996</v>
      </c>
      <c r="AH121" s="327">
        <v>1.240223E-2</v>
      </c>
      <c r="AI121"/>
      <c r="AJ121" s="326">
        <v>-93194.948300000004</v>
      </c>
      <c r="AK121" s="327">
        <v>-0.33822813000000002</v>
      </c>
      <c r="AL121"/>
      <c r="AM121" s="326">
        <v>-178134.64980000001</v>
      </c>
      <c r="AN121" s="327">
        <v>-1.85615124</v>
      </c>
    </row>
    <row r="122" spans="2:40" s="314" customFormat="1" ht="12.75" customHeight="1" x14ac:dyDescent="0.15">
      <c r="B122" s="5" t="s">
        <v>85</v>
      </c>
      <c r="C122" s="8">
        <v>0</v>
      </c>
      <c r="D122" s="7">
        <v>0</v>
      </c>
      <c r="E122"/>
      <c r="F122" s="8">
        <v>0</v>
      </c>
      <c r="G122" s="7">
        <v>0</v>
      </c>
      <c r="H122"/>
      <c r="I122" s="8">
        <v>0</v>
      </c>
      <c r="J122" s="7">
        <v>0</v>
      </c>
      <c r="K122"/>
      <c r="L122" s="8">
        <v>0</v>
      </c>
      <c r="M122" s="7">
        <v>0</v>
      </c>
      <c r="N122"/>
      <c r="O122" s="8">
        <v>0</v>
      </c>
      <c r="P122" s="7">
        <v>0</v>
      </c>
      <c r="Q122"/>
      <c r="R122" s="8">
        <v>0</v>
      </c>
      <c r="S122" s="7">
        <v>0</v>
      </c>
      <c r="T122"/>
      <c r="U122" s="8">
        <v>0</v>
      </c>
      <c r="V122" s="7">
        <v>0</v>
      </c>
      <c r="W122"/>
      <c r="X122" s="8">
        <v>0</v>
      </c>
      <c r="Y122" s="7">
        <v>0</v>
      </c>
      <c r="Z122"/>
      <c r="AA122" s="8">
        <v>0</v>
      </c>
      <c r="AB122" s="7">
        <v>0</v>
      </c>
      <c r="AC122"/>
      <c r="AD122" s="8">
        <v>0</v>
      </c>
      <c r="AE122" s="7">
        <v>0</v>
      </c>
      <c r="AF122"/>
      <c r="AG122" s="8">
        <v>0</v>
      </c>
      <c r="AH122" s="7">
        <v>0</v>
      </c>
      <c r="AI122"/>
      <c r="AJ122" s="8">
        <v>0</v>
      </c>
      <c r="AK122" s="7">
        <v>0</v>
      </c>
      <c r="AL122"/>
      <c r="AM122" s="8">
        <v>0</v>
      </c>
      <c r="AN122" s="7">
        <v>0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-501336.84909999999</v>
      </c>
      <c r="D124" s="327">
        <v>-0.13713997</v>
      </c>
      <c r="E124"/>
      <c r="F124" s="326">
        <v>-122537.36</v>
      </c>
      <c r="G124" s="327">
        <v>-2.3417830999999998</v>
      </c>
      <c r="H124"/>
      <c r="I124" s="326">
        <v>-115898.33</v>
      </c>
      <c r="J124" s="327">
        <v>-0.48791247999999998</v>
      </c>
      <c r="K124"/>
      <c r="L124" s="326">
        <v>-62407.92</v>
      </c>
      <c r="M124" s="327">
        <v>-0.26458311000000001</v>
      </c>
      <c r="N124"/>
      <c r="O124" s="326">
        <v>-92276.08</v>
      </c>
      <c r="P124" s="327">
        <v>-0.31933340999999998</v>
      </c>
      <c r="Q124"/>
      <c r="R124" s="326">
        <v>-33397.8125</v>
      </c>
      <c r="S124" s="327">
        <v>-9.911542000000001E-2</v>
      </c>
      <c r="T124"/>
      <c r="U124" s="326">
        <v>-46647.209799999997</v>
      </c>
      <c r="V124" s="327">
        <v>-0.13982766999999999</v>
      </c>
      <c r="W124"/>
      <c r="X124" s="326">
        <v>66003.821800000005</v>
      </c>
      <c r="Y124" s="327">
        <v>0.14982898</v>
      </c>
      <c r="Z124"/>
      <c r="AA124" s="326">
        <v>129736.30349999999</v>
      </c>
      <c r="AB124" s="327">
        <v>0.23833831999999999</v>
      </c>
      <c r="AC124"/>
      <c r="AD124" s="326">
        <v>42467.154999999999</v>
      </c>
      <c r="AE124" s="327">
        <v>0.10235966000000001</v>
      </c>
      <c r="AF124"/>
      <c r="AG124" s="326">
        <v>4950.1809999999996</v>
      </c>
      <c r="AH124" s="327">
        <v>1.240223E-2</v>
      </c>
      <c r="AI124"/>
      <c r="AJ124" s="326">
        <v>-93194.948300000004</v>
      </c>
      <c r="AK124" s="327">
        <v>-0.33822813000000002</v>
      </c>
      <c r="AL124"/>
      <c r="AM124" s="326">
        <v>-178134.64980000001</v>
      </c>
      <c r="AN124" s="327">
        <v>-1.85615124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-501336.84909999999</v>
      </c>
      <c r="D127" s="327">
        <v>-0.13713997</v>
      </c>
      <c r="E127"/>
      <c r="F127" s="326">
        <v>-122537.36</v>
      </c>
      <c r="G127" s="327">
        <v>-2.3417830999999998</v>
      </c>
      <c r="H127"/>
      <c r="I127" s="326">
        <v>-115898.33</v>
      </c>
      <c r="J127" s="327">
        <v>-0.48791247999999998</v>
      </c>
      <c r="K127"/>
      <c r="L127" s="326">
        <v>-62407.92</v>
      </c>
      <c r="M127" s="327">
        <v>-0.26458311000000001</v>
      </c>
      <c r="N127"/>
      <c r="O127" s="326">
        <v>-92276.08</v>
      </c>
      <c r="P127" s="327">
        <v>-0.31933340999999998</v>
      </c>
      <c r="Q127"/>
      <c r="R127" s="326">
        <v>-33397.8125</v>
      </c>
      <c r="S127" s="327">
        <v>-9.911542000000001E-2</v>
      </c>
      <c r="T127"/>
      <c r="U127" s="326">
        <v>-46647.209799999997</v>
      </c>
      <c r="V127" s="327">
        <v>-0.13982766999999999</v>
      </c>
      <c r="W127"/>
      <c r="X127" s="326">
        <v>66003.821800000005</v>
      </c>
      <c r="Y127" s="327">
        <v>0.14982898</v>
      </c>
      <c r="Z127"/>
      <c r="AA127" s="326">
        <v>129736.30349999999</v>
      </c>
      <c r="AB127" s="327">
        <v>0.23833831999999999</v>
      </c>
      <c r="AC127"/>
      <c r="AD127" s="326">
        <v>42467.154999999999</v>
      </c>
      <c r="AE127" s="327">
        <v>0.10235966000000001</v>
      </c>
      <c r="AF127"/>
      <c r="AG127" s="326">
        <v>4950.1809999999996</v>
      </c>
      <c r="AH127" s="327">
        <v>1.240223E-2</v>
      </c>
      <c r="AI127"/>
      <c r="AJ127" s="326">
        <v>-93194.948300000004</v>
      </c>
      <c r="AK127" s="327">
        <v>-0.33822813000000002</v>
      </c>
      <c r="AL127"/>
      <c r="AM127" s="326">
        <v>-178134.64980000001</v>
      </c>
      <c r="AN127" s="327">
        <v>-1.85615124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76006.380600000004</v>
      </c>
      <c r="D129" s="327">
        <v>2.0791440000000001E-2</v>
      </c>
      <c r="E129"/>
      <c r="F129" s="326">
        <v>1569.45</v>
      </c>
      <c r="G129" s="327">
        <v>2.99934E-2</v>
      </c>
      <c r="H129"/>
      <c r="I129" s="326">
        <v>7122.64</v>
      </c>
      <c r="J129" s="327">
        <v>2.9985120000000001E-2</v>
      </c>
      <c r="K129"/>
      <c r="L129" s="326">
        <v>4716.04</v>
      </c>
      <c r="M129" s="327">
        <v>1.999401E-2</v>
      </c>
      <c r="N129"/>
      <c r="O129" s="326">
        <v>5779.15</v>
      </c>
      <c r="P129" s="327">
        <v>1.99995E-2</v>
      </c>
      <c r="Q129"/>
      <c r="R129" s="326">
        <v>6739.1760999999997</v>
      </c>
      <c r="S129" s="327">
        <v>0.02</v>
      </c>
      <c r="T129"/>
      <c r="U129" s="326">
        <v>6672.1001999999999</v>
      </c>
      <c r="V129" s="327">
        <v>0.02</v>
      </c>
      <c r="W129"/>
      <c r="X129" s="326">
        <v>8810.5548999999992</v>
      </c>
      <c r="Y129" s="327">
        <v>0.02</v>
      </c>
      <c r="Z129"/>
      <c r="AA129" s="326">
        <v>10886.7348</v>
      </c>
      <c r="AB129" s="327">
        <v>0.02</v>
      </c>
      <c r="AC129"/>
      <c r="AD129" s="326">
        <v>8297.6353999999992</v>
      </c>
      <c r="AE129" s="327">
        <v>0.02</v>
      </c>
      <c r="AF129"/>
      <c r="AG129" s="326">
        <v>7982.7266</v>
      </c>
      <c r="AH129" s="327">
        <v>0.02</v>
      </c>
      <c r="AI129"/>
      <c r="AJ129" s="326">
        <v>5510.7745999999997</v>
      </c>
      <c r="AK129" s="327">
        <v>0.02</v>
      </c>
      <c r="AL129"/>
      <c r="AM129" s="326">
        <v>1919.3979999999999</v>
      </c>
      <c r="AN129" s="327">
        <v>0.02</v>
      </c>
    </row>
    <row r="130" spans="2:40" s="314" customFormat="1" ht="12.75" customHeight="1" x14ac:dyDescent="0.15">
      <c r="B130" s="5" t="s">
        <v>90</v>
      </c>
      <c r="C130" s="8">
        <v>76006.380600000004</v>
      </c>
      <c r="D130" s="7">
        <v>2.0791440000000001E-2</v>
      </c>
      <c r="E130"/>
      <c r="F130" s="8">
        <v>1569.45</v>
      </c>
      <c r="G130" s="7">
        <v>2.99934E-2</v>
      </c>
      <c r="H130"/>
      <c r="I130" s="8">
        <v>7122.64</v>
      </c>
      <c r="J130" s="7">
        <v>2.9985120000000001E-2</v>
      </c>
      <c r="K130"/>
      <c r="L130" s="8">
        <v>4716.04</v>
      </c>
      <c r="M130" s="7">
        <v>1.999401E-2</v>
      </c>
      <c r="N130"/>
      <c r="O130" s="8">
        <v>5779.15</v>
      </c>
      <c r="P130" s="7">
        <v>1.99995E-2</v>
      </c>
      <c r="Q130"/>
      <c r="R130" s="8">
        <v>6739.1760999999997</v>
      </c>
      <c r="S130" s="7">
        <v>0.02</v>
      </c>
      <c r="T130"/>
      <c r="U130" s="8">
        <v>6672.1001999999999</v>
      </c>
      <c r="V130" s="7">
        <v>0.02</v>
      </c>
      <c r="W130"/>
      <c r="X130" s="8">
        <v>8810.5548999999992</v>
      </c>
      <c r="Y130" s="7">
        <v>0.02</v>
      </c>
      <c r="Z130"/>
      <c r="AA130" s="8">
        <v>10886.7348</v>
      </c>
      <c r="AB130" s="7">
        <v>0.02</v>
      </c>
      <c r="AC130"/>
      <c r="AD130" s="8">
        <v>8297.6353999999992</v>
      </c>
      <c r="AE130" s="7">
        <v>0.02</v>
      </c>
      <c r="AF130"/>
      <c r="AG130" s="8">
        <v>7982.7266</v>
      </c>
      <c r="AH130" s="7">
        <v>0.02</v>
      </c>
      <c r="AI130"/>
      <c r="AJ130" s="8">
        <v>5510.7745999999997</v>
      </c>
      <c r="AK130" s="7">
        <v>0.02</v>
      </c>
      <c r="AL130"/>
      <c r="AM130" s="8">
        <v>1919.3979999999999</v>
      </c>
      <c r="AN130" s="7">
        <v>0.02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-577343.22970000003</v>
      </c>
      <c r="D134" s="327">
        <v>-0.15793140999999999</v>
      </c>
      <c r="E134"/>
      <c r="F134" s="326">
        <v>-124106.81</v>
      </c>
      <c r="G134" s="327">
        <v>-2.3717764899999998</v>
      </c>
      <c r="H134"/>
      <c r="I134" s="326">
        <v>-123020.97</v>
      </c>
      <c r="J134" s="327">
        <v>-0.51789759000000002</v>
      </c>
      <c r="K134"/>
      <c r="L134" s="326">
        <v>-67123.960000000006</v>
      </c>
      <c r="M134" s="327">
        <v>-0.28457712000000002</v>
      </c>
      <c r="N134"/>
      <c r="O134" s="326">
        <v>-98055.23</v>
      </c>
      <c r="P134" s="327">
        <v>-0.33933290999999999</v>
      </c>
      <c r="Q134"/>
      <c r="R134" s="326">
        <v>-40136.988599999997</v>
      </c>
      <c r="S134" s="327">
        <v>-0.11911542</v>
      </c>
      <c r="T134"/>
      <c r="U134" s="326">
        <v>-53319.31</v>
      </c>
      <c r="V134" s="327">
        <v>-0.15982767000000001</v>
      </c>
      <c r="W134"/>
      <c r="X134" s="326">
        <v>57193.266900000002</v>
      </c>
      <c r="Y134" s="327">
        <v>0.12982898000000001</v>
      </c>
      <c r="Z134"/>
      <c r="AA134" s="326">
        <v>118849.56879999999</v>
      </c>
      <c r="AB134" s="327">
        <v>0.21833832</v>
      </c>
      <c r="AC134"/>
      <c r="AD134" s="326">
        <v>34169.5196</v>
      </c>
      <c r="AE134" s="327">
        <v>8.2359660000000001E-2</v>
      </c>
      <c r="AF134"/>
      <c r="AG134" s="326">
        <v>-3032.5455999999999</v>
      </c>
      <c r="AH134" s="327">
        <v>-7.5977700000000002E-3</v>
      </c>
      <c r="AI134"/>
      <c r="AJ134" s="326">
        <v>-98705.722899999993</v>
      </c>
      <c r="AK134" s="327">
        <v>-0.35822812999999998</v>
      </c>
      <c r="AL134"/>
      <c r="AM134" s="326">
        <v>-180054.04790000001</v>
      </c>
      <c r="AN134" s="327">
        <v>-1.87615124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1006700.7465</v>
      </c>
      <c r="D136" s="327">
        <v>0.27538153999999998</v>
      </c>
      <c r="E136"/>
      <c r="F136" s="326">
        <v>57264.69</v>
      </c>
      <c r="G136" s="327">
        <v>1.0943722199999999</v>
      </c>
      <c r="H136"/>
      <c r="I136" s="326">
        <v>59064.69</v>
      </c>
      <c r="J136" s="327">
        <v>0.24865240999999999</v>
      </c>
      <c r="K136"/>
      <c r="L136" s="326">
        <v>114529.38</v>
      </c>
      <c r="M136" s="327">
        <v>0.48555599999999999</v>
      </c>
      <c r="N136"/>
      <c r="O136" s="326">
        <v>114529.38</v>
      </c>
      <c r="P136" s="327">
        <v>0.39634385999999999</v>
      </c>
      <c r="Q136"/>
      <c r="R136" s="326">
        <v>74251.872099999993</v>
      </c>
      <c r="S136" s="327">
        <v>0.2203589</v>
      </c>
      <c r="T136"/>
      <c r="U136" s="326">
        <v>73184.837899999999</v>
      </c>
      <c r="V136" s="327">
        <v>0.21937572</v>
      </c>
      <c r="W136"/>
      <c r="X136" s="326">
        <v>94500.549199999994</v>
      </c>
      <c r="Y136" s="327">
        <v>0.21451667999999999</v>
      </c>
      <c r="Z136"/>
      <c r="AA136" s="326">
        <v>115262.3475</v>
      </c>
      <c r="AB136" s="327">
        <v>0.21174824</v>
      </c>
      <c r="AC136"/>
      <c r="AD136" s="326">
        <v>89371.354099999997</v>
      </c>
      <c r="AE136" s="327">
        <v>0.21541403000000001</v>
      </c>
      <c r="AF136"/>
      <c r="AG136" s="326">
        <v>86222.265700000004</v>
      </c>
      <c r="AH136" s="327">
        <v>0.21602209</v>
      </c>
      <c r="AI136"/>
      <c r="AJ136" s="326">
        <v>64259.69</v>
      </c>
      <c r="AK136" s="327">
        <v>0.23321473000000001</v>
      </c>
      <c r="AL136"/>
      <c r="AM136" s="326">
        <v>64259.69</v>
      </c>
      <c r="AN136" s="327">
        <v>0.66958170999999989</v>
      </c>
    </row>
    <row r="137" spans="2:40" s="314" customFormat="1" ht="12.75" customHeight="1" x14ac:dyDescent="0.15">
      <c r="B137" s="5" t="s">
        <v>95</v>
      </c>
      <c r="C137" s="8">
        <v>512277.52</v>
      </c>
      <c r="D137" s="7">
        <v>0.14013278000000001</v>
      </c>
      <c r="E137"/>
      <c r="F137" s="8">
        <v>57264.69</v>
      </c>
      <c r="G137" s="7">
        <v>1.0943722199999999</v>
      </c>
      <c r="H137"/>
      <c r="I137" s="8">
        <v>59064.69</v>
      </c>
      <c r="J137" s="7">
        <v>0.24865240999999999</v>
      </c>
      <c r="K137"/>
      <c r="L137" s="8">
        <v>114529.38</v>
      </c>
      <c r="M137" s="7">
        <v>0.48555599999999999</v>
      </c>
      <c r="N137"/>
      <c r="O137" s="8">
        <v>114529.38</v>
      </c>
      <c r="P137" s="7">
        <v>0.39634385999999999</v>
      </c>
      <c r="Q137"/>
      <c r="R137" s="8">
        <v>6395</v>
      </c>
      <c r="S137" s="7">
        <v>1.8978579999999998E-2</v>
      </c>
      <c r="T137"/>
      <c r="U137" s="8">
        <v>6395</v>
      </c>
      <c r="V137" s="7">
        <v>1.916938E-2</v>
      </c>
      <c r="W137"/>
      <c r="X137" s="8">
        <v>6395</v>
      </c>
      <c r="Y137" s="7">
        <v>1.4516680000000001E-2</v>
      </c>
      <c r="Z137"/>
      <c r="AA137" s="8">
        <v>6395</v>
      </c>
      <c r="AB137" s="7">
        <v>1.174824E-2</v>
      </c>
      <c r="AC137"/>
      <c r="AD137" s="8">
        <v>6395</v>
      </c>
      <c r="AE137" s="7">
        <v>1.541403E-2</v>
      </c>
      <c r="AF137"/>
      <c r="AG137" s="8">
        <v>6395</v>
      </c>
      <c r="AH137" s="7">
        <v>1.6022089999999999E-2</v>
      </c>
      <c r="AI137"/>
      <c r="AJ137" s="8">
        <v>64259.69</v>
      </c>
      <c r="AK137" s="7">
        <v>0.23321473000000001</v>
      </c>
      <c r="AL137"/>
      <c r="AM137" s="8">
        <v>64259.69</v>
      </c>
      <c r="AN137" s="7">
        <v>0.66958170999999989</v>
      </c>
    </row>
    <row r="138" spans="2:40" s="314" customFormat="1" ht="12.75" customHeight="1" x14ac:dyDescent="0.15">
      <c r="B138" s="5" t="s">
        <v>96</v>
      </c>
      <c r="C138" s="8">
        <v>494423.22649999999</v>
      </c>
      <c r="D138" s="7">
        <v>0.13524876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67856.872099999993</v>
      </c>
      <c r="S138" s="7">
        <v>0.20138032</v>
      </c>
      <c r="T138"/>
      <c r="U138" s="8">
        <v>66789.837899999999</v>
      </c>
      <c r="V138" s="7">
        <v>0.20020634000000001</v>
      </c>
      <c r="W138"/>
      <c r="X138" s="8">
        <v>88105.549199999994</v>
      </c>
      <c r="Y138" s="7">
        <v>0.2</v>
      </c>
      <c r="Z138"/>
      <c r="AA138" s="8">
        <v>108867.3475</v>
      </c>
      <c r="AB138" s="7">
        <v>0.2</v>
      </c>
      <c r="AC138"/>
      <c r="AD138" s="8">
        <v>82976.354099999997</v>
      </c>
      <c r="AE138" s="7">
        <v>0.2</v>
      </c>
      <c r="AF138"/>
      <c r="AG138" s="8">
        <v>79827.265700000004</v>
      </c>
      <c r="AH138" s="7">
        <v>0.2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-1584043.9761999999</v>
      </c>
      <c r="D141" s="327">
        <v>-0.43331294999999997</v>
      </c>
      <c r="E141"/>
      <c r="F141" s="326">
        <v>-181371.5</v>
      </c>
      <c r="G141" s="327">
        <v>-3.4661487100000001</v>
      </c>
      <c r="H141"/>
      <c r="I141" s="326">
        <v>-182085.66</v>
      </c>
      <c r="J141" s="327">
        <v>-0.76655001</v>
      </c>
      <c r="K141"/>
      <c r="L141" s="326">
        <v>-181653.34</v>
      </c>
      <c r="M141" s="327">
        <v>-0.77013312</v>
      </c>
      <c r="N141"/>
      <c r="O141" s="326">
        <v>-212584.61</v>
      </c>
      <c r="P141" s="327">
        <v>-0.73567676999999998</v>
      </c>
      <c r="Q141"/>
      <c r="R141" s="326">
        <v>-114388.8606</v>
      </c>
      <c r="S141" s="327">
        <v>-0.33947432</v>
      </c>
      <c r="T141"/>
      <c r="U141" s="326">
        <v>-126504.1479</v>
      </c>
      <c r="V141" s="327">
        <v>-0.37920337999999998</v>
      </c>
      <c r="W141"/>
      <c r="X141" s="326">
        <v>-37307.282299999999</v>
      </c>
      <c r="Y141" s="327">
        <v>-8.4687699999999991E-2</v>
      </c>
      <c r="Z141"/>
      <c r="AA141" s="326">
        <v>3587.2212</v>
      </c>
      <c r="AB141" s="327">
        <v>6.5900800000000008E-3</v>
      </c>
      <c r="AC141"/>
      <c r="AD141" s="326">
        <v>-55201.834499999997</v>
      </c>
      <c r="AE141" s="327">
        <v>-0.13305437000000001</v>
      </c>
      <c r="AF141"/>
      <c r="AG141" s="326">
        <v>-89254.811300000001</v>
      </c>
      <c r="AH141" s="327">
        <v>-0.22361986</v>
      </c>
      <c r="AI141"/>
      <c r="AJ141" s="326">
        <v>-162965.4129</v>
      </c>
      <c r="AK141" s="327">
        <v>-0.59144286000000001</v>
      </c>
      <c r="AL141"/>
      <c r="AM141" s="326">
        <v>-244313.73790000001</v>
      </c>
      <c r="AN141" s="327">
        <v>-2.5457329500000001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-1584043.9761999999</v>
      </c>
      <c r="D144" s="327">
        <v>-0.43331294999999997</v>
      </c>
      <c r="E144"/>
      <c r="F144" s="326">
        <v>-181371.5</v>
      </c>
      <c r="G144" s="327">
        <v>-3.4661487100000001</v>
      </c>
      <c r="H144"/>
      <c r="I144" s="326">
        <v>-182085.66</v>
      </c>
      <c r="J144" s="327">
        <v>-0.76655001</v>
      </c>
      <c r="K144"/>
      <c r="L144" s="326">
        <v>-181653.34</v>
      </c>
      <c r="M144" s="327">
        <v>-0.77013312</v>
      </c>
      <c r="N144"/>
      <c r="O144" s="326">
        <v>-212584.61</v>
      </c>
      <c r="P144" s="327">
        <v>-0.73567676999999998</v>
      </c>
      <c r="Q144"/>
      <c r="R144" s="326">
        <v>-114388.8606</v>
      </c>
      <c r="S144" s="327">
        <v>-0.33947432</v>
      </c>
      <c r="T144"/>
      <c r="U144" s="326">
        <v>-126504.1479</v>
      </c>
      <c r="V144" s="327">
        <v>-0.37920337999999998</v>
      </c>
      <c r="W144"/>
      <c r="X144" s="326">
        <v>-37307.282299999999</v>
      </c>
      <c r="Y144" s="327">
        <v>-8.4687699999999991E-2</v>
      </c>
      <c r="Z144"/>
      <c r="AA144" s="326">
        <v>3587.2212</v>
      </c>
      <c r="AB144" s="327">
        <v>6.5900800000000008E-3</v>
      </c>
      <c r="AC144"/>
      <c r="AD144" s="326">
        <v>-55201.834499999997</v>
      </c>
      <c r="AE144" s="327">
        <v>-0.13305437000000001</v>
      </c>
      <c r="AF144"/>
      <c r="AG144" s="326">
        <v>-89254.811300000001</v>
      </c>
      <c r="AH144" s="327">
        <v>-0.22361986</v>
      </c>
      <c r="AI144"/>
      <c r="AJ144" s="326">
        <v>-162965.4129</v>
      </c>
      <c r="AK144" s="327">
        <v>-0.59144286000000001</v>
      </c>
      <c r="AL144"/>
      <c r="AM144" s="326">
        <v>-244313.73790000001</v>
      </c>
      <c r="AN144" s="327">
        <v>-2.5457329500000001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-1584043.9761999999</v>
      </c>
      <c r="D147" s="327">
        <v>-0.43331294999999997</v>
      </c>
      <c r="E147"/>
      <c r="F147" s="326">
        <v>-181371.5</v>
      </c>
      <c r="G147" s="327">
        <v>-3.4661487100000001</v>
      </c>
      <c r="H147"/>
      <c r="I147" s="326">
        <v>-182085.66</v>
      </c>
      <c r="J147" s="327">
        <v>-0.76655001</v>
      </c>
      <c r="K147"/>
      <c r="L147" s="326">
        <v>-181653.34</v>
      </c>
      <c r="M147" s="327">
        <v>-0.77013312</v>
      </c>
      <c r="N147"/>
      <c r="O147" s="326">
        <v>-212584.61</v>
      </c>
      <c r="P147" s="327">
        <v>-0.73567676999999998</v>
      </c>
      <c r="Q147"/>
      <c r="R147" s="326">
        <v>-114388.8606</v>
      </c>
      <c r="S147" s="327">
        <v>-0.33947432</v>
      </c>
      <c r="T147"/>
      <c r="U147" s="326">
        <v>-126504.1479</v>
      </c>
      <c r="V147" s="327">
        <v>-0.37920337999999998</v>
      </c>
      <c r="W147"/>
      <c r="X147" s="326">
        <v>-37307.282299999999</v>
      </c>
      <c r="Y147" s="327">
        <v>-8.4687699999999991E-2</v>
      </c>
      <c r="Z147"/>
      <c r="AA147" s="326">
        <v>3587.2212</v>
      </c>
      <c r="AB147" s="327">
        <v>6.5900800000000008E-3</v>
      </c>
      <c r="AC147"/>
      <c r="AD147" s="326">
        <v>-55201.834499999997</v>
      </c>
      <c r="AE147" s="327">
        <v>-0.13305437000000001</v>
      </c>
      <c r="AF147"/>
      <c r="AG147" s="326">
        <v>-89254.811300000001</v>
      </c>
      <c r="AH147" s="327">
        <v>-0.22361986</v>
      </c>
      <c r="AI147"/>
      <c r="AJ147" s="326">
        <v>-162965.4129</v>
      </c>
      <c r="AK147" s="327">
        <v>-0.59144286000000001</v>
      </c>
      <c r="AL147"/>
      <c r="AM147" s="326">
        <v>-244313.73790000001</v>
      </c>
      <c r="AN147" s="327">
        <v>-2.5457329500000001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-1584043.9761999999</v>
      </c>
      <c r="D150" s="327">
        <v>-0.43331294999999997</v>
      </c>
      <c r="E150"/>
      <c r="F150" s="326">
        <v>-181371.5</v>
      </c>
      <c r="G150" s="327">
        <v>-3.4661487100000001</v>
      </c>
      <c r="H150"/>
      <c r="I150" s="326">
        <v>-182085.66</v>
      </c>
      <c r="J150" s="327">
        <v>-0.76655001</v>
      </c>
      <c r="K150"/>
      <c r="L150" s="326">
        <v>-181653.34</v>
      </c>
      <c r="M150" s="327">
        <v>-0.77013312</v>
      </c>
      <c r="N150"/>
      <c r="O150" s="326">
        <v>-212584.61</v>
      </c>
      <c r="P150" s="327">
        <v>-0.73567676999999998</v>
      </c>
      <c r="Q150"/>
      <c r="R150" s="326">
        <v>-114388.8606</v>
      </c>
      <c r="S150" s="327">
        <v>-0.33947432</v>
      </c>
      <c r="T150"/>
      <c r="U150" s="326">
        <v>-126504.1479</v>
      </c>
      <c r="V150" s="327">
        <v>-0.37920337999999998</v>
      </c>
      <c r="W150"/>
      <c r="X150" s="326">
        <v>-37307.282299999999</v>
      </c>
      <c r="Y150" s="327">
        <v>-8.4687699999999991E-2</v>
      </c>
      <c r="Z150"/>
      <c r="AA150" s="326">
        <v>3587.2212</v>
      </c>
      <c r="AB150" s="327">
        <v>6.5900800000000008E-3</v>
      </c>
      <c r="AC150"/>
      <c r="AD150" s="326">
        <v>-55201.834499999997</v>
      </c>
      <c r="AE150" s="327">
        <v>-0.13305437000000001</v>
      </c>
      <c r="AF150"/>
      <c r="AG150" s="326">
        <v>-89254.811300000001</v>
      </c>
      <c r="AH150" s="327">
        <v>-0.22361986</v>
      </c>
      <c r="AI150"/>
      <c r="AJ150" s="326">
        <v>-162965.4129</v>
      </c>
      <c r="AK150" s="327">
        <v>-0.59144286000000001</v>
      </c>
      <c r="AL150"/>
      <c r="AM150" s="326">
        <v>-244313.73790000001</v>
      </c>
      <c r="AN150" s="327">
        <v>-2.5457329500000001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-1484989.9561999999</v>
      </c>
      <c r="D153" s="7">
        <v>-0.40621686000000001</v>
      </c>
      <c r="E153"/>
      <c r="F153" s="8">
        <v>-181371.5</v>
      </c>
      <c r="G153" s="7">
        <v>-3.4661487100000001</v>
      </c>
      <c r="H153"/>
      <c r="I153" s="8">
        <v>-175734.32</v>
      </c>
      <c r="J153" s="7">
        <v>-0.73981193000000001</v>
      </c>
      <c r="K153"/>
      <c r="L153" s="8">
        <v>-175302</v>
      </c>
      <c r="M153" s="7">
        <v>-0.74320612999999991</v>
      </c>
      <c r="N153"/>
      <c r="O153" s="8">
        <v>-206233.27</v>
      </c>
      <c r="P153" s="7">
        <v>-0.71369713000000001</v>
      </c>
      <c r="Q153"/>
      <c r="R153" s="8">
        <v>-104388.8606</v>
      </c>
      <c r="S153" s="7">
        <v>-0.30979709999999999</v>
      </c>
      <c r="T153"/>
      <c r="U153" s="8">
        <v>-116504.1479</v>
      </c>
      <c r="V153" s="7">
        <v>-0.34922781000000003</v>
      </c>
      <c r="W153"/>
      <c r="X153" s="8">
        <v>-27307.282299999999</v>
      </c>
      <c r="Y153" s="7">
        <v>-6.198766E-2</v>
      </c>
      <c r="Z153"/>
      <c r="AA153" s="8">
        <v>13587.2212</v>
      </c>
      <c r="AB153" s="7">
        <v>2.496106E-2</v>
      </c>
      <c r="AC153"/>
      <c r="AD153" s="8">
        <v>-45201.834499999997</v>
      </c>
      <c r="AE153" s="7">
        <v>-0.10895112</v>
      </c>
      <c r="AF153"/>
      <c r="AG153" s="8">
        <v>-79254.811300000001</v>
      </c>
      <c r="AH153" s="7">
        <v>-0.19856577</v>
      </c>
      <c r="AI153"/>
      <c r="AJ153" s="8">
        <v>-152965.4129</v>
      </c>
      <c r="AK153" s="7">
        <v>-0.55515031999999997</v>
      </c>
      <c r="AL153"/>
      <c r="AM153" s="8">
        <v>-234313.73790000001</v>
      </c>
      <c r="AN153" s="7">
        <v>-2.44153361</v>
      </c>
    </row>
    <row r="154" spans="2:40" s="314" customFormat="1" ht="12.75" customHeight="1" x14ac:dyDescent="0.15">
      <c r="B154" s="5" t="s">
        <v>107</v>
      </c>
      <c r="C154" s="6">
        <v>-1584043.9761999999</v>
      </c>
      <c r="D154" s="7">
        <v>-0.43331294999999997</v>
      </c>
      <c r="E154"/>
      <c r="F154" s="8">
        <v>-181371.5</v>
      </c>
      <c r="G154" s="7">
        <v>-3.4661487100000001</v>
      </c>
      <c r="H154"/>
      <c r="I154" s="8">
        <v>-182085.66</v>
      </c>
      <c r="J154" s="7">
        <v>-0.76655001</v>
      </c>
      <c r="K154"/>
      <c r="L154" s="8">
        <v>-181653.34</v>
      </c>
      <c r="M154" s="7">
        <v>-0.77013312</v>
      </c>
      <c r="N154"/>
      <c r="O154" s="8">
        <v>-212584.61</v>
      </c>
      <c r="P154" s="7">
        <v>-0.73567676999999998</v>
      </c>
      <c r="Q154"/>
      <c r="R154" s="8">
        <v>-114388.8606</v>
      </c>
      <c r="S154" s="7">
        <v>-0.33947432</v>
      </c>
      <c r="T154"/>
      <c r="U154" s="8">
        <v>-126504.1479</v>
      </c>
      <c r="V154" s="7">
        <v>-0.37920337999999998</v>
      </c>
      <c r="W154"/>
      <c r="X154" s="8">
        <v>-37307.282299999999</v>
      </c>
      <c r="Y154" s="7">
        <v>-8.4687699999999991E-2</v>
      </c>
      <c r="Z154"/>
      <c r="AA154" s="8">
        <v>3587.2212</v>
      </c>
      <c r="AB154" s="7">
        <v>6.5900800000000008E-3</v>
      </c>
      <c r="AC154"/>
      <c r="AD154" s="8">
        <v>-55201.834499999997</v>
      </c>
      <c r="AE154" s="7">
        <v>-0.13305437000000001</v>
      </c>
      <c r="AF154"/>
      <c r="AG154" s="8">
        <v>-89254.811300000001</v>
      </c>
      <c r="AH154" s="7">
        <v>-0.22361986</v>
      </c>
      <c r="AI154"/>
      <c r="AJ154" s="8">
        <v>-162965.4129</v>
      </c>
      <c r="AK154" s="7">
        <v>-0.59144286000000001</v>
      </c>
      <c r="AL154"/>
      <c r="AM154" s="8">
        <v>-244313.73790000001</v>
      </c>
      <c r="AN154" s="7">
        <v>-2.5457329500000001</v>
      </c>
    </row>
    <row r="155" spans="2:40" s="314" customFormat="1" ht="12.75" customHeight="1" x14ac:dyDescent="0.15">
      <c r="B155" s="325" t="s">
        <v>108</v>
      </c>
      <c r="C155" s="330">
        <v>120732.5481</v>
      </c>
      <c r="D155" s="327">
        <v>3.302621E-2</v>
      </c>
      <c r="E155"/>
      <c r="F155" s="326">
        <v>2615.75</v>
      </c>
      <c r="G155" s="327">
        <v>4.9988989999999997E-2</v>
      </c>
      <c r="H155"/>
      <c r="I155" s="326">
        <v>11871.06</v>
      </c>
      <c r="J155" s="327">
        <v>4.9975169999999999E-2</v>
      </c>
      <c r="K155"/>
      <c r="L155" s="326">
        <v>9432.08</v>
      </c>
      <c r="M155" s="327">
        <v>3.9988019999999999E-2</v>
      </c>
      <c r="N155"/>
      <c r="O155" s="326">
        <v>11558.31</v>
      </c>
      <c r="P155" s="327">
        <v>3.999904E-2</v>
      </c>
      <c r="Q155"/>
      <c r="R155" s="326">
        <v>10132.019700000001</v>
      </c>
      <c r="S155" s="327">
        <v>3.0069019999999998E-2</v>
      </c>
      <c r="T155"/>
      <c r="U155" s="326">
        <v>10011.5921</v>
      </c>
      <c r="V155" s="327">
        <v>3.001032E-2</v>
      </c>
      <c r="W155"/>
      <c r="X155" s="326">
        <v>13215.832399999999</v>
      </c>
      <c r="Y155" s="327">
        <v>0.03</v>
      </c>
      <c r="Z155"/>
      <c r="AA155" s="326">
        <v>16330.1021</v>
      </c>
      <c r="AB155" s="327">
        <v>0.03</v>
      </c>
      <c r="AC155"/>
      <c r="AD155" s="326">
        <v>12446.453100000001</v>
      </c>
      <c r="AE155" s="327">
        <v>0.03</v>
      </c>
      <c r="AF155"/>
      <c r="AG155" s="326">
        <v>11974.089900000001</v>
      </c>
      <c r="AH155" s="327">
        <v>0.03</v>
      </c>
      <c r="AI155"/>
      <c r="AJ155" s="326">
        <v>8266.1617999999999</v>
      </c>
      <c r="AK155" s="327">
        <v>0.03</v>
      </c>
      <c r="AL155"/>
      <c r="AM155" s="326">
        <v>2879.0970000000002</v>
      </c>
      <c r="AN155" s="327">
        <v>0.03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36581.207699999999</v>
      </c>
      <c r="D158" s="7">
        <v>1.000674E-2</v>
      </c>
      <c r="E158"/>
      <c r="F158" s="8">
        <v>523.15</v>
      </c>
      <c r="G158" s="7">
        <v>9.9977999999999994E-3</v>
      </c>
      <c r="H158"/>
      <c r="I158" s="8">
        <v>2374.21</v>
      </c>
      <c r="J158" s="7">
        <v>9.9950200000000003E-3</v>
      </c>
      <c r="K158"/>
      <c r="L158" s="8">
        <v>2358.02</v>
      </c>
      <c r="M158" s="7">
        <v>9.9970000000000007E-3</v>
      </c>
      <c r="N158"/>
      <c r="O158" s="8">
        <v>2889.58</v>
      </c>
      <c r="P158" s="7">
        <v>9.9997699999999998E-3</v>
      </c>
      <c r="Q158"/>
      <c r="R158" s="8">
        <v>3392.8436000000002</v>
      </c>
      <c r="S158" s="7">
        <v>1.006902E-2</v>
      </c>
      <c r="T158"/>
      <c r="U158" s="8">
        <v>3339.4919</v>
      </c>
      <c r="V158" s="7">
        <v>1.001032E-2</v>
      </c>
      <c r="W158"/>
      <c r="X158" s="8">
        <v>4405.2775000000001</v>
      </c>
      <c r="Y158" s="7">
        <v>0.01</v>
      </c>
      <c r="Z158"/>
      <c r="AA158" s="8">
        <v>5443.3674000000001</v>
      </c>
      <c r="AB158" s="7">
        <v>0.01</v>
      </c>
      <c r="AC158"/>
      <c r="AD158" s="8">
        <v>4148.8176999999996</v>
      </c>
      <c r="AE158" s="7">
        <v>0.01</v>
      </c>
      <c r="AF158"/>
      <c r="AG158" s="8">
        <v>3991.3633</v>
      </c>
      <c r="AH158" s="7">
        <v>0.01</v>
      </c>
      <c r="AI158"/>
      <c r="AJ158" s="8">
        <v>2755.3872999999999</v>
      </c>
      <c r="AK158" s="7">
        <v>0.01</v>
      </c>
      <c r="AL158"/>
      <c r="AM158" s="8">
        <v>959.69899999999996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68281.959700000007</v>
      </c>
      <c r="D159" s="7">
        <v>1.8678429999999999E-2</v>
      </c>
      <c r="E159"/>
      <c r="F159" s="8">
        <v>0</v>
      </c>
      <c r="G159" s="7">
        <v>0</v>
      </c>
      <c r="H159"/>
      <c r="I159" s="8">
        <v>3561.32</v>
      </c>
      <c r="J159" s="7">
        <v>1.499256E-2</v>
      </c>
      <c r="K159"/>
      <c r="L159" s="8">
        <v>3537.03</v>
      </c>
      <c r="M159" s="7">
        <v>1.499551E-2</v>
      </c>
      <c r="N159"/>
      <c r="O159" s="8">
        <v>4334.37</v>
      </c>
      <c r="P159" s="7">
        <v>1.499965E-2</v>
      </c>
      <c r="Q159"/>
      <c r="R159" s="8">
        <v>6762.4315999999999</v>
      </c>
      <c r="S159" s="7">
        <v>2.006902E-2</v>
      </c>
      <c r="T159"/>
      <c r="U159" s="8">
        <v>6678.9838</v>
      </c>
      <c r="V159" s="7">
        <v>2.0020630000000001E-2</v>
      </c>
      <c r="W159"/>
      <c r="X159" s="8">
        <v>8810.5548999999992</v>
      </c>
      <c r="Y159" s="7">
        <v>0.02</v>
      </c>
      <c r="Z159"/>
      <c r="AA159" s="8">
        <v>10886.7348</v>
      </c>
      <c r="AB159" s="7">
        <v>0.02</v>
      </c>
      <c r="AC159"/>
      <c r="AD159" s="8">
        <v>8297.6353999999992</v>
      </c>
      <c r="AE159" s="7">
        <v>0.02</v>
      </c>
      <c r="AF159"/>
      <c r="AG159" s="8">
        <v>7982.7266</v>
      </c>
      <c r="AH159" s="7">
        <v>0.02</v>
      </c>
      <c r="AI159"/>
      <c r="AJ159" s="8">
        <v>5510.7745999999997</v>
      </c>
      <c r="AK159" s="7">
        <v>0.02</v>
      </c>
      <c r="AL159"/>
      <c r="AM159" s="8">
        <v>1919.3979999999999</v>
      </c>
      <c r="AN159" s="7">
        <v>0.02</v>
      </c>
    </row>
    <row r="160" spans="2:40" s="314" customFormat="1" ht="12.75" customHeight="1" x14ac:dyDescent="0.15">
      <c r="B160" s="5" t="s">
        <v>113</v>
      </c>
      <c r="C160" s="6">
        <v>76006.380600000004</v>
      </c>
      <c r="D160" s="7">
        <v>2.0791440000000001E-2</v>
      </c>
      <c r="E160"/>
      <c r="F160" s="8">
        <v>1569.45</v>
      </c>
      <c r="G160" s="7">
        <v>2.99934E-2</v>
      </c>
      <c r="H160"/>
      <c r="I160" s="8">
        <v>7122.64</v>
      </c>
      <c r="J160" s="7">
        <v>2.9985120000000001E-2</v>
      </c>
      <c r="K160"/>
      <c r="L160" s="8">
        <v>4716.04</v>
      </c>
      <c r="M160" s="7">
        <v>1.999401E-2</v>
      </c>
      <c r="N160"/>
      <c r="O160" s="8">
        <v>5779.15</v>
      </c>
      <c r="P160" s="7">
        <v>1.99995E-2</v>
      </c>
      <c r="Q160"/>
      <c r="R160" s="8">
        <v>6739.1760999999997</v>
      </c>
      <c r="S160" s="7">
        <v>0.02</v>
      </c>
      <c r="T160"/>
      <c r="U160" s="8">
        <v>6672.1001999999999</v>
      </c>
      <c r="V160" s="7">
        <v>0.02</v>
      </c>
      <c r="W160"/>
      <c r="X160" s="8">
        <v>8810.5548999999992</v>
      </c>
      <c r="Y160" s="7">
        <v>0.02</v>
      </c>
      <c r="Z160"/>
      <c r="AA160" s="8">
        <v>10886.7348</v>
      </c>
      <c r="AB160" s="7">
        <v>0.02</v>
      </c>
      <c r="AC160"/>
      <c r="AD160" s="8">
        <v>8297.6353999999992</v>
      </c>
      <c r="AE160" s="7">
        <v>0.02</v>
      </c>
      <c r="AF160"/>
      <c r="AG160" s="8">
        <v>7982.7266</v>
      </c>
      <c r="AH160" s="7">
        <v>0.02</v>
      </c>
      <c r="AI160"/>
      <c r="AJ160" s="8">
        <v>5510.7745999999997</v>
      </c>
      <c r="AK160" s="7">
        <v>0.02</v>
      </c>
      <c r="AL160"/>
      <c r="AM160" s="8">
        <v>1919.3979999999999</v>
      </c>
      <c r="AN160" s="7">
        <v>0.02</v>
      </c>
    </row>
    <row r="161" spans="2:40" s="314" customFormat="1" ht="12.75" customHeight="1" x14ac:dyDescent="0.15">
      <c r="B161" s="5" t="s">
        <v>114</v>
      </c>
      <c r="C161" s="6">
        <v>8144.96</v>
      </c>
      <c r="D161" s="7">
        <v>2.2280400000000001E-3</v>
      </c>
      <c r="E161"/>
      <c r="F161" s="8">
        <v>523.15</v>
      </c>
      <c r="G161" s="7">
        <v>9.9977999999999994E-3</v>
      </c>
      <c r="H161"/>
      <c r="I161" s="8">
        <v>2374.21</v>
      </c>
      <c r="J161" s="7">
        <v>9.9950200000000003E-3</v>
      </c>
      <c r="K161"/>
      <c r="L161" s="8">
        <v>2358.02</v>
      </c>
      <c r="M161" s="7">
        <v>9.9970000000000007E-3</v>
      </c>
      <c r="N161"/>
      <c r="O161" s="8">
        <v>2889.58</v>
      </c>
      <c r="P161" s="7">
        <v>9.9997699999999998E-3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196591.8223</v>
      </c>
      <c r="D162" s="327">
        <v>5.3777409999999998E-2</v>
      </c>
      <c r="E162"/>
      <c r="F162" s="326">
        <v>13088.8</v>
      </c>
      <c r="G162" s="327">
        <v>0.25013701999999999</v>
      </c>
      <c r="H162"/>
      <c r="I162" s="326">
        <v>18703.32</v>
      </c>
      <c r="J162" s="327">
        <v>7.8737830000000009E-2</v>
      </c>
      <c r="K162"/>
      <c r="L162" s="326">
        <v>9300</v>
      </c>
      <c r="M162" s="327">
        <v>3.9428060000000001E-2</v>
      </c>
      <c r="N162"/>
      <c r="O162" s="326">
        <v>13440.01</v>
      </c>
      <c r="P162" s="327">
        <v>4.6510910000000003E-2</v>
      </c>
      <c r="Q162"/>
      <c r="R162" s="326">
        <v>16659.980899999999</v>
      </c>
      <c r="S162" s="327">
        <v>4.9442189999999997E-2</v>
      </c>
      <c r="T162"/>
      <c r="U162" s="326">
        <v>16867.8194</v>
      </c>
      <c r="V162" s="327">
        <v>5.0562250000000003E-2</v>
      </c>
      <c r="W162"/>
      <c r="X162" s="326">
        <v>21933.509699999999</v>
      </c>
      <c r="Y162" s="327">
        <v>4.9789170000000001E-2</v>
      </c>
      <c r="Z162"/>
      <c r="AA162" s="326">
        <v>27028.7441</v>
      </c>
      <c r="AB162" s="327">
        <v>4.9654459999999997E-2</v>
      </c>
      <c r="AC162"/>
      <c r="AD162" s="326">
        <v>21592.052500000002</v>
      </c>
      <c r="AE162" s="327">
        <v>5.2043869999999999E-2</v>
      </c>
      <c r="AF162"/>
      <c r="AG162" s="326">
        <v>19857.231599999999</v>
      </c>
      <c r="AH162" s="327">
        <v>4.9750500000000003E-2</v>
      </c>
      <c r="AI162"/>
      <c r="AJ162" s="326">
        <v>12829.7266</v>
      </c>
      <c r="AK162" s="327">
        <v>4.6562340000000008E-2</v>
      </c>
      <c r="AL162"/>
      <c r="AM162" s="326">
        <v>5290.6274999999996</v>
      </c>
      <c r="AN162" s="327">
        <v>5.5127990000000002E-2</v>
      </c>
    </row>
    <row r="163" spans="2:40" s="314" customFormat="1" ht="12.75" customHeight="1" x14ac:dyDescent="0.15">
      <c r="B163" s="5" t="s">
        <v>116</v>
      </c>
      <c r="C163" s="6">
        <v>98764.130999999994</v>
      </c>
      <c r="D163" s="7">
        <v>2.7016789999999999E-2</v>
      </c>
      <c r="E163"/>
      <c r="F163" s="8">
        <v>6851.71</v>
      </c>
      <c r="G163" s="7">
        <v>0.13094143999999999</v>
      </c>
      <c r="H163"/>
      <c r="I163" s="8">
        <v>12671.45</v>
      </c>
      <c r="J163" s="7">
        <v>5.3344669999999997E-2</v>
      </c>
      <c r="K163"/>
      <c r="L163" s="8">
        <v>5033.3900000000003</v>
      </c>
      <c r="M163" s="7">
        <v>2.1339440000000001E-2</v>
      </c>
      <c r="N163"/>
      <c r="O163" s="8">
        <v>6436.13</v>
      </c>
      <c r="P163" s="7">
        <v>2.2273069999999999E-2</v>
      </c>
      <c r="Q163"/>
      <c r="R163" s="8">
        <v>7873.2295000000004</v>
      </c>
      <c r="S163" s="7">
        <v>2.336556E-2</v>
      </c>
      <c r="T163"/>
      <c r="U163" s="8">
        <v>8012.9229999999998</v>
      </c>
      <c r="V163" s="7">
        <v>2.4019189999999999E-2</v>
      </c>
      <c r="W163"/>
      <c r="X163" s="8">
        <v>10657.0398</v>
      </c>
      <c r="Y163" s="7">
        <v>2.4191529999999999E-2</v>
      </c>
      <c r="Z163"/>
      <c r="AA163" s="8">
        <v>13345.4419</v>
      </c>
      <c r="AB163" s="7">
        <v>2.451689E-2</v>
      </c>
      <c r="AC163"/>
      <c r="AD163" s="8">
        <v>10550.1571</v>
      </c>
      <c r="AE163" s="7">
        <v>2.542931E-2</v>
      </c>
      <c r="AF163"/>
      <c r="AG163" s="8">
        <v>9584.1025000000009</v>
      </c>
      <c r="AH163" s="7">
        <v>2.4012100000000001E-2</v>
      </c>
      <c r="AI163"/>
      <c r="AJ163" s="8">
        <v>5802.1967000000004</v>
      </c>
      <c r="AK163" s="7">
        <v>2.1057639999999999E-2</v>
      </c>
      <c r="AL163"/>
      <c r="AM163" s="8">
        <v>1946.3605</v>
      </c>
      <c r="AN163" s="7">
        <v>2.0280949999999999E-2</v>
      </c>
    </row>
    <row r="164" spans="2:40" s="314" customFormat="1" ht="12.75" customHeight="1" x14ac:dyDescent="0.15">
      <c r="B164" s="5" t="s">
        <v>117</v>
      </c>
      <c r="C164" s="6">
        <v>60886.577499999999</v>
      </c>
      <c r="D164" s="7">
        <v>1.6655440000000001E-2</v>
      </c>
      <c r="E164"/>
      <c r="F164" s="8">
        <v>4272.54</v>
      </c>
      <c r="G164" s="7">
        <v>8.1651520000000005E-2</v>
      </c>
      <c r="H164"/>
      <c r="I164" s="8">
        <v>2654.18</v>
      </c>
      <c r="J164" s="7">
        <v>1.117365E-2</v>
      </c>
      <c r="K164"/>
      <c r="L164" s="8">
        <v>2876.22</v>
      </c>
      <c r="M164" s="7">
        <v>1.219395E-2</v>
      </c>
      <c r="N164"/>
      <c r="O164" s="8">
        <v>3406.8</v>
      </c>
      <c r="P164" s="7">
        <v>1.178968E-2</v>
      </c>
      <c r="Q164"/>
      <c r="R164" s="8">
        <v>5541.1696000000002</v>
      </c>
      <c r="S164" s="7">
        <v>1.6444650000000002E-2</v>
      </c>
      <c r="T164"/>
      <c r="U164" s="8">
        <v>5635.9903999999997</v>
      </c>
      <c r="V164" s="7">
        <v>1.6894200000000002E-2</v>
      </c>
      <c r="W164"/>
      <c r="X164" s="8">
        <v>7524.6713</v>
      </c>
      <c r="Y164" s="7">
        <v>1.7081039999999999E-2</v>
      </c>
      <c r="Z164"/>
      <c r="AA164" s="8">
        <v>9412.4585000000006</v>
      </c>
      <c r="AB164" s="7">
        <v>1.7291609999999999E-2</v>
      </c>
      <c r="AC164"/>
      <c r="AD164" s="8">
        <v>7418.3265000000001</v>
      </c>
      <c r="AE164" s="7">
        <v>1.788058E-2</v>
      </c>
      <c r="AF164"/>
      <c r="AG164" s="8">
        <v>6728.2875000000004</v>
      </c>
      <c r="AH164" s="7">
        <v>1.685712E-2</v>
      </c>
      <c r="AI164"/>
      <c r="AJ164" s="8">
        <v>4100.6761999999999</v>
      </c>
      <c r="AK164" s="7">
        <v>1.48824E-2</v>
      </c>
      <c r="AL164"/>
      <c r="AM164" s="8">
        <v>1315.2574999999999</v>
      </c>
      <c r="AN164" s="7">
        <v>1.3704900000000001E-2</v>
      </c>
    </row>
    <row r="165" spans="2:40" s="314" customFormat="1" ht="12.75" customHeight="1" x14ac:dyDescent="0.15">
      <c r="B165" s="5" t="s">
        <v>118</v>
      </c>
      <c r="C165" s="6">
        <v>16725.919999999998</v>
      </c>
      <c r="D165" s="7">
        <v>4.5753500000000006E-3</v>
      </c>
      <c r="E165"/>
      <c r="F165" s="8">
        <v>1702.98</v>
      </c>
      <c r="G165" s="7">
        <v>3.2545259999999999E-2</v>
      </c>
      <c r="H165"/>
      <c r="I165" s="8">
        <v>235.63</v>
      </c>
      <c r="J165" s="7">
        <v>9.9196000000000006E-4</v>
      </c>
      <c r="K165"/>
      <c r="L165" s="8">
        <v>202.69</v>
      </c>
      <c r="M165" s="7">
        <v>8.593199999999999E-4</v>
      </c>
      <c r="N165"/>
      <c r="O165" s="8">
        <v>2191.34</v>
      </c>
      <c r="P165" s="7">
        <v>7.5834199999999996E-3</v>
      </c>
      <c r="Q165"/>
      <c r="R165" s="8">
        <v>1549.16</v>
      </c>
      <c r="S165" s="7">
        <v>4.5974800000000001E-3</v>
      </c>
      <c r="T165"/>
      <c r="U165" s="8">
        <v>1549.16</v>
      </c>
      <c r="V165" s="7">
        <v>4.6436999999999997E-3</v>
      </c>
      <c r="W165"/>
      <c r="X165" s="8">
        <v>1549.16</v>
      </c>
      <c r="Y165" s="7">
        <v>3.5165999999999999E-3</v>
      </c>
      <c r="Z165"/>
      <c r="AA165" s="8">
        <v>1549.16</v>
      </c>
      <c r="AB165" s="7">
        <v>2.8459599999999998E-3</v>
      </c>
      <c r="AC165"/>
      <c r="AD165" s="8">
        <v>1549.16</v>
      </c>
      <c r="AE165" s="7">
        <v>3.73398E-3</v>
      </c>
      <c r="AF165"/>
      <c r="AG165" s="8">
        <v>1549.16</v>
      </c>
      <c r="AH165" s="7">
        <v>3.88128E-3</v>
      </c>
      <c r="AI165"/>
      <c r="AJ165" s="8">
        <v>1549.16</v>
      </c>
      <c r="AK165" s="7">
        <v>5.6222899999999994E-3</v>
      </c>
      <c r="AL165"/>
      <c r="AM165" s="8">
        <v>1549.16</v>
      </c>
      <c r="AN165" s="7">
        <v>1.6142139999999999E-2</v>
      </c>
    </row>
    <row r="166" spans="2:40" s="314" customFormat="1" ht="12.75" customHeight="1" x14ac:dyDescent="0.15">
      <c r="B166" s="5" t="s">
        <v>119</v>
      </c>
      <c r="C166" s="6">
        <v>20215.1937</v>
      </c>
      <c r="D166" s="7">
        <v>5.5298400000000003E-3</v>
      </c>
      <c r="E166"/>
      <c r="F166" s="8">
        <v>261.57</v>
      </c>
      <c r="G166" s="7">
        <v>4.9988000000000003E-3</v>
      </c>
      <c r="H166"/>
      <c r="I166" s="8">
        <v>3142.06</v>
      </c>
      <c r="J166" s="7">
        <v>1.3227539999999999E-2</v>
      </c>
      <c r="K166"/>
      <c r="L166" s="8">
        <v>1187.7</v>
      </c>
      <c r="M166" s="7">
        <v>5.0353400000000001E-3</v>
      </c>
      <c r="N166"/>
      <c r="O166" s="8">
        <v>1405.74</v>
      </c>
      <c r="P166" s="7">
        <v>4.8647500000000002E-3</v>
      </c>
      <c r="Q166"/>
      <c r="R166" s="8">
        <v>1696.4218000000001</v>
      </c>
      <c r="S166" s="7">
        <v>5.0345099999999999E-3</v>
      </c>
      <c r="T166"/>
      <c r="U166" s="8">
        <v>1669.7458999999999</v>
      </c>
      <c r="V166" s="7">
        <v>5.0051599999999998E-3</v>
      </c>
      <c r="W166"/>
      <c r="X166" s="8">
        <v>2202.6387</v>
      </c>
      <c r="Y166" s="7">
        <v>5.0000000000000001E-3</v>
      </c>
      <c r="Z166"/>
      <c r="AA166" s="8">
        <v>2721.6837</v>
      </c>
      <c r="AB166" s="7">
        <v>5.0000000000000001E-3</v>
      </c>
      <c r="AC166"/>
      <c r="AD166" s="8">
        <v>2074.4088999999999</v>
      </c>
      <c r="AE166" s="7">
        <v>5.0000000000000001E-3</v>
      </c>
      <c r="AF166"/>
      <c r="AG166" s="8">
        <v>1995.6815999999999</v>
      </c>
      <c r="AH166" s="7">
        <v>5.0000000000000001E-3</v>
      </c>
      <c r="AI166"/>
      <c r="AJ166" s="8">
        <v>1377.6936000000001</v>
      </c>
      <c r="AK166" s="7">
        <v>5.0000000000000001E-3</v>
      </c>
      <c r="AL166"/>
      <c r="AM166" s="8">
        <v>479.84949999999998</v>
      </c>
      <c r="AN166" s="7">
        <v>5.0000000000000001E-3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606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</sheetData>
  <sheetProtection formatCells="0" formatColumns="0" formatRows="0" insertColumns="0" insertRows="0" insertHyperlinks="0" deleteColumns="0" deleteRows="0" sort="0" autoFilter="0" pivotTables="0"/>
  <mergeCells count="13">
    <mergeCell ref="R10:S10"/>
    <mergeCell ref="C10:D10"/>
    <mergeCell ref="F10:G10"/>
    <mergeCell ref="I10:J10"/>
    <mergeCell ref="L10:M10"/>
    <mergeCell ref="O10:P10"/>
    <mergeCell ref="AM10:AN10"/>
    <mergeCell ref="U10:V10"/>
    <mergeCell ref="X10:Y10"/>
    <mergeCell ref="AA10:AB10"/>
    <mergeCell ref="AD10:AE10"/>
    <mergeCell ref="AG10:AH10"/>
    <mergeCell ref="AJ10:AK10"/>
  </mergeCells>
  <pageMargins left="0.5" right="0.5" top="0.5" bottom="0.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35F9-7879-4721-9040-BC50890D3049}">
  <sheetPr>
    <pageSetUpPr fitToPage="1"/>
  </sheetPr>
  <dimension ref="B2:O177"/>
  <sheetViews>
    <sheetView workbookViewId="0">
      <pane xSplit="2" ySplit="10" topLeftCell="C138" activePane="bottomRight" state="frozen"/>
      <selection activeCell="J173" sqref="J173"/>
      <selection pane="topRight" activeCell="J173" sqref="J173"/>
      <selection pane="bottomLeft" activeCell="J173" sqref="J173"/>
      <selection pane="bottomRight" activeCell="H153" sqref="H153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155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sylt'!C11</f>
        <v>3378565.5660000001</v>
      </c>
      <c r="D11" s="39">
        <f>'Data entry sylt'!F11</f>
        <v>99523.45</v>
      </c>
      <c r="E11" s="39">
        <f>'Data entry sylt'!I11</f>
        <v>117809.94</v>
      </c>
      <c r="F11" s="39">
        <f>'Data entry sylt'!L11</f>
        <v>186644.79</v>
      </c>
      <c r="G11" s="39">
        <f>'Data entry sylt'!O11</f>
        <v>265494.83</v>
      </c>
      <c r="H11" s="39">
        <f>'Data entry sylt'!R11</f>
        <v>396994.24440000003</v>
      </c>
      <c r="I11" s="39">
        <f>'Data entry sylt'!U11</f>
        <v>512360.15600000002</v>
      </c>
      <c r="J11" s="39">
        <f>'Data entry sylt'!X11</f>
        <v>607943.47660000005</v>
      </c>
      <c r="K11" s="39">
        <f>'Data entry sylt'!AA11</f>
        <v>639069.5233</v>
      </c>
      <c r="L11" s="39">
        <f>'Data entry sylt'!AD11</f>
        <v>552725.1557</v>
      </c>
      <c r="M11" s="39">
        <f>'Data entry sylt'!AG11</f>
        <v>0</v>
      </c>
      <c r="N11" s="39">
        <f>'Data entry sylt'!AJ11</f>
        <v>0</v>
      </c>
      <c r="O11" s="39">
        <f>'Data entry sylt'!AM11</f>
        <v>0</v>
      </c>
    </row>
    <row r="12" spans="2:15" ht="14" x14ac:dyDescent="0.15">
      <c r="B12" s="38" t="s">
        <v>22</v>
      </c>
      <c r="C12" s="39">
        <f>'Data entry sylt'!C12</f>
        <v>1713631.5512000001</v>
      </c>
      <c r="D12" s="39">
        <f>'Data entry sylt'!F12</f>
        <v>150274.35</v>
      </c>
      <c r="E12" s="39">
        <f>'Data entry sylt'!I12</f>
        <v>107513.45</v>
      </c>
      <c r="F12" s="39">
        <f>'Data entry sylt'!L12</f>
        <v>142927.76</v>
      </c>
      <c r="G12" s="39">
        <f>'Data entry sylt'!O12</f>
        <v>132909.82</v>
      </c>
      <c r="H12" s="39">
        <f>'Data entry sylt'!R12</f>
        <v>138677.02179999999</v>
      </c>
      <c r="I12" s="39">
        <f>'Data entry sylt'!U12</f>
        <v>188121.81940000001</v>
      </c>
      <c r="J12" s="39">
        <f>'Data entry sylt'!X12</f>
        <v>198911.88819999999</v>
      </c>
      <c r="K12" s="39">
        <f>'Data entry sylt'!AA12</f>
        <v>182859.03779999999</v>
      </c>
      <c r="L12" s="39">
        <f>'Data entry sylt'!AD12</f>
        <v>176482.8474</v>
      </c>
      <c r="M12" s="39">
        <f>'Data entry sylt'!AG12</f>
        <v>122490.1525</v>
      </c>
      <c r="N12" s="39">
        <f>'Data entry sylt'!AJ12</f>
        <v>89177.913</v>
      </c>
      <c r="O12" s="39">
        <f>'Data entry sylt'!AM12</f>
        <v>83285.491099999999</v>
      </c>
    </row>
    <row r="13" spans="2:15" ht="14" x14ac:dyDescent="0.15">
      <c r="B13" s="38" t="s">
        <v>23</v>
      </c>
      <c r="C13" s="39">
        <f>'Data entry sylt'!C13</f>
        <v>283875.75410000002</v>
      </c>
      <c r="D13" s="39">
        <f>'Data entry sylt'!F13</f>
        <v>-153646.54</v>
      </c>
      <c r="E13" s="39">
        <f>'Data entry sylt'!I13</f>
        <v>-87274.49</v>
      </c>
      <c r="F13" s="39">
        <f>'Data entry sylt'!L13</f>
        <v>-32840.61</v>
      </c>
      <c r="G13" s="39">
        <f>'Data entry sylt'!O13</f>
        <v>16045.51</v>
      </c>
      <c r="H13" s="39">
        <f>'Data entry sylt'!R13</f>
        <v>129895.7939</v>
      </c>
      <c r="I13" s="39">
        <f>'Data entry sylt'!U13</f>
        <v>141757.59080000001</v>
      </c>
      <c r="J13" s="39">
        <f>'Data entry sylt'!X13</f>
        <v>204242.13500000001</v>
      </c>
      <c r="K13" s="39">
        <f>'Data entry sylt'!AA13</f>
        <v>258703.0484</v>
      </c>
      <c r="L13" s="39">
        <f>'Data entry sylt'!AD13</f>
        <v>211657.2726</v>
      </c>
      <c r="M13" s="39">
        <f>'Data entry sylt'!AG13</f>
        <v>-163641.95250000001</v>
      </c>
      <c r="N13" s="39">
        <f>'Data entry sylt'!AJ13</f>
        <v>-125354.713</v>
      </c>
      <c r="O13" s="39">
        <f>'Data entry sylt'!AM13</f>
        <v>-115667.2911</v>
      </c>
    </row>
    <row r="14" spans="2:15" ht="14" x14ac:dyDescent="0.15">
      <c r="B14" s="38" t="s">
        <v>24</v>
      </c>
      <c r="C14" s="39">
        <f>'Data entry sylt'!C14</f>
        <v>33215</v>
      </c>
      <c r="D14" s="39">
        <f>'Data entry sylt'!F14</f>
        <v>2821</v>
      </c>
      <c r="E14" s="39">
        <f>'Data entry sylt'!I14</f>
        <v>2548</v>
      </c>
      <c r="F14" s="39">
        <f>'Data entry sylt'!L14</f>
        <v>2821</v>
      </c>
      <c r="G14" s="39">
        <f>'Data entry sylt'!O14</f>
        <v>2730</v>
      </c>
      <c r="H14" s="39">
        <f>'Data entry sylt'!R14</f>
        <v>2821</v>
      </c>
      <c r="I14" s="39">
        <f>'Data entry sylt'!U14</f>
        <v>2730</v>
      </c>
      <c r="J14" s="39">
        <f>'Data entry sylt'!X14</f>
        <v>2821</v>
      </c>
      <c r="K14" s="39">
        <f>'Data entry sylt'!AA14</f>
        <v>2821</v>
      </c>
      <c r="L14" s="39">
        <f>'Data entry sylt'!AD14</f>
        <v>2730</v>
      </c>
      <c r="M14" s="39">
        <f>'Data entry sylt'!AG14</f>
        <v>2821</v>
      </c>
      <c r="N14" s="39">
        <f>'Data entry sylt'!AJ14</f>
        <v>2730</v>
      </c>
      <c r="O14" s="39">
        <f>'Data entry sylt'!AM14</f>
        <v>2821</v>
      </c>
    </row>
    <row r="15" spans="2:15" ht="14" x14ac:dyDescent="0.15">
      <c r="B15" s="38" t="s">
        <v>25</v>
      </c>
      <c r="C15" s="39">
        <f>'Data entry sylt'!C15</f>
        <v>14496</v>
      </c>
      <c r="D15" s="39">
        <f>'Data entry sylt'!F15</f>
        <v>588</v>
      </c>
      <c r="E15" s="39">
        <f>'Data entry sylt'!I15</f>
        <v>732</v>
      </c>
      <c r="F15" s="39">
        <f>'Data entry sylt'!L15</f>
        <v>1298</v>
      </c>
      <c r="G15" s="39">
        <f>'Data entry sylt'!O15</f>
        <v>1336</v>
      </c>
      <c r="H15" s="39">
        <f>'Data entry sylt'!R15</f>
        <v>1609</v>
      </c>
      <c r="I15" s="39">
        <f>'Data entry sylt'!U15</f>
        <v>2136</v>
      </c>
      <c r="J15" s="39">
        <f>'Data entry sylt'!X15</f>
        <v>2320</v>
      </c>
      <c r="K15" s="39">
        <f>'Data entry sylt'!AA15</f>
        <v>2228</v>
      </c>
      <c r="L15" s="39">
        <f>'Data entry sylt'!AD15</f>
        <v>2249</v>
      </c>
      <c r="M15" s="39">
        <f>'Data entry sylt'!AG15</f>
        <v>0</v>
      </c>
      <c r="N15" s="39">
        <f>'Data entry sylt'!AJ15</f>
        <v>0</v>
      </c>
      <c r="O15" s="39">
        <f>'Data entry sylt'!AM15</f>
        <v>0</v>
      </c>
    </row>
    <row r="16" spans="2:15" ht="14" x14ac:dyDescent="0.15">
      <c r="B16" s="38" t="s">
        <v>26</v>
      </c>
      <c r="C16" s="39">
        <f>'Data entry sylt'!C16</f>
        <v>43.697124793015</v>
      </c>
      <c r="D16" s="39">
        <f>'Data entry sylt'!F16</f>
        <v>20.914569301665999</v>
      </c>
      <c r="E16" s="39">
        <f>'Data entry sylt'!I16</f>
        <v>28.767660910518</v>
      </c>
      <c r="F16" s="39">
        <f>'Data entry sylt'!L16</f>
        <v>46.189294576390999</v>
      </c>
      <c r="G16" s="39">
        <f>'Data entry sylt'!O16</f>
        <v>49.230769230768999</v>
      </c>
      <c r="H16" s="39">
        <f>'Data entry sylt'!R16</f>
        <v>57.036511875221997</v>
      </c>
      <c r="I16" s="39">
        <f>'Data entry sylt'!U16</f>
        <v>78.241758241758006</v>
      </c>
      <c r="J16" s="39">
        <f>'Data entry sylt'!X16</f>
        <v>82.240340304856005</v>
      </c>
      <c r="K16" s="39">
        <f>'Data entry sylt'!AA16</f>
        <v>78.979085430698007</v>
      </c>
      <c r="L16" s="39">
        <f>'Data entry sylt'!AD16</f>
        <v>82.454212454211998</v>
      </c>
      <c r="M16" s="39">
        <f>'Data entry sylt'!AG16</f>
        <v>0</v>
      </c>
      <c r="N16" s="39">
        <f>'Data entry sylt'!AJ16</f>
        <v>0</v>
      </c>
      <c r="O16" s="39">
        <f>'Data entry sylt'!AM16</f>
        <v>0</v>
      </c>
    </row>
    <row r="17" spans="2:15" ht="14" x14ac:dyDescent="0.15">
      <c r="B17" s="38" t="s">
        <v>27</v>
      </c>
      <c r="C17" s="39">
        <f>'Data entry sylt'!C17</f>
        <v>201.72019798565</v>
      </c>
      <c r="D17" s="39">
        <f>'Data entry sylt'!F17</f>
        <v>137.08590136053999</v>
      </c>
      <c r="E17" s="39">
        <f>'Data entry sylt'!I17</f>
        <v>119.83889344262001</v>
      </c>
      <c r="F17" s="39">
        <f>'Data entry sylt'!L17</f>
        <v>115.60855161787001</v>
      </c>
      <c r="G17" s="39">
        <f>'Data entry sylt'!O17</f>
        <v>173.31674401198001</v>
      </c>
      <c r="H17" s="39">
        <f>'Data entry sylt'!R17</f>
        <v>214.67005593536001</v>
      </c>
      <c r="I17" s="39">
        <f>'Data entry sylt'!U17</f>
        <v>211.72125468165001</v>
      </c>
      <c r="J17" s="39">
        <f>'Data entry sylt'!X17</f>
        <v>232.19469827585999</v>
      </c>
      <c r="K17" s="39">
        <f>'Data entry sylt'!AA17</f>
        <v>252.64246858169</v>
      </c>
      <c r="L17" s="39">
        <f>'Data entry sylt'!AD17</f>
        <v>211.19453090261999</v>
      </c>
      <c r="M17" s="39">
        <f>'Data entry sylt'!AG17</f>
        <v>0</v>
      </c>
      <c r="N17" s="39">
        <f>'Data entry sylt'!AJ17</f>
        <v>0</v>
      </c>
      <c r="O17" s="39">
        <f>'Data entry sylt'!AM17</f>
        <v>0</v>
      </c>
    </row>
    <row r="18" spans="2:15" ht="14" x14ac:dyDescent="0.15">
      <c r="B18" s="38" t="s">
        <v>28</v>
      </c>
      <c r="C18" s="39">
        <f>'Data entry sylt'!C18</f>
        <v>86.495369561944997</v>
      </c>
      <c r="D18" s="39">
        <f>'Data entry sylt'!F18</f>
        <v>27.779266217652999</v>
      </c>
      <c r="E18" s="39">
        <f>'Data entry sylt'!I18</f>
        <v>33.111624803768002</v>
      </c>
      <c r="F18" s="39">
        <f>'Data entry sylt'!L18</f>
        <v>52.362899680963999</v>
      </c>
      <c r="G18" s="39">
        <f>'Data entry sylt'!O18</f>
        <v>83.808750915751006</v>
      </c>
      <c r="H18" s="39">
        <f>'Data entry sylt'!R18</f>
        <v>119.6044381425</v>
      </c>
      <c r="I18" s="39">
        <f>'Data entry sylt'!U18</f>
        <v>164.18923076922999</v>
      </c>
      <c r="J18" s="39">
        <f>'Data entry sylt'!X18</f>
        <v>188.29907834100999</v>
      </c>
      <c r="K18" s="39">
        <f>'Data entry sylt'!AA18</f>
        <v>195.28090038993</v>
      </c>
      <c r="L18" s="39">
        <f>'Data entry sylt'!AD18</f>
        <v>170.68736263736</v>
      </c>
      <c r="M18" s="39">
        <f>'Data entry sylt'!AG18</f>
        <v>0</v>
      </c>
      <c r="N18" s="39">
        <f>'Data entry sylt'!AJ18</f>
        <v>0</v>
      </c>
      <c r="O18" s="39">
        <f>'Data entry sylt'!AM18</f>
        <v>0</v>
      </c>
    </row>
    <row r="19" spans="2:15" ht="14" x14ac:dyDescent="0.15">
      <c r="B19" s="38" t="s">
        <v>29</v>
      </c>
      <c r="C19" s="39">
        <f>'Data entry sylt'!C19</f>
        <v>101.71806611471</v>
      </c>
      <c r="D19" s="39">
        <f>'Data entry sylt'!F19</f>
        <v>35.279493087558002</v>
      </c>
      <c r="E19" s="39">
        <f>'Data entry sylt'!I19</f>
        <v>46.236240188383</v>
      </c>
      <c r="F19" s="39">
        <f>'Data entry sylt'!L19</f>
        <v>66.162633817794998</v>
      </c>
      <c r="G19" s="39">
        <f>'Data entry sylt'!O19</f>
        <v>97.250853479853006</v>
      </c>
      <c r="H19" s="39">
        <f>'Data entry sylt'!R19</f>
        <v>140.72819723501999</v>
      </c>
      <c r="I19" s="39">
        <f>'Data entry sylt'!U19</f>
        <v>187.67771282051001</v>
      </c>
      <c r="J19" s="39">
        <f>'Data entry sylt'!X19</f>
        <v>215.50637242113001</v>
      </c>
      <c r="K19" s="39">
        <f>'Data entry sylt'!AA19</f>
        <v>226.54006497696</v>
      </c>
      <c r="L19" s="39">
        <f>'Data entry sylt'!AD19</f>
        <v>202.46342699633999</v>
      </c>
      <c r="M19" s="39">
        <f>'Data entry sylt'!AG19</f>
        <v>0</v>
      </c>
      <c r="N19" s="39">
        <f>'Data entry sylt'!AJ19</f>
        <v>0</v>
      </c>
      <c r="O19" s="39">
        <f>'Data entry sylt'!AM19</f>
        <v>0</v>
      </c>
    </row>
    <row r="20" spans="2:15" ht="14" x14ac:dyDescent="0.15">
      <c r="B20" s="38" t="s">
        <v>30</v>
      </c>
      <c r="C20" s="39">
        <f>'Data entry sylt'!C20</f>
        <v>25474.95</v>
      </c>
      <c r="D20" s="39">
        <f>'Data entry sylt'!F20</f>
        <v>1069</v>
      </c>
      <c r="E20" s="39">
        <f>'Data entry sylt'!I20</f>
        <v>1308</v>
      </c>
      <c r="F20" s="39">
        <f>'Data entry sylt'!L20</f>
        <v>2268</v>
      </c>
      <c r="G20" s="39">
        <f>'Data entry sylt'!O20</f>
        <v>2338</v>
      </c>
      <c r="H20" s="39">
        <f>'Data entry sylt'!R20</f>
        <v>2750.95</v>
      </c>
      <c r="I20" s="39">
        <f>'Data entry sylt'!U20</f>
        <v>3756.5</v>
      </c>
      <c r="J20" s="39">
        <f>'Data entry sylt'!X20</f>
        <v>4356.8999999999996</v>
      </c>
      <c r="K20" s="39">
        <f>'Data entry sylt'!AA20</f>
        <v>3905.65</v>
      </c>
      <c r="L20" s="39">
        <f>'Data entry sylt'!AD20</f>
        <v>3721.95</v>
      </c>
      <c r="M20" s="39">
        <f>'Data entry sylt'!AG20</f>
        <v>0</v>
      </c>
      <c r="N20" s="39">
        <f>'Data entry sylt'!AJ20</f>
        <v>0</v>
      </c>
      <c r="O20" s="39">
        <f>'Data entry sylt'!AM20</f>
        <v>0</v>
      </c>
    </row>
    <row r="21" spans="2:15" ht="14" x14ac:dyDescent="0.15">
      <c r="B21" s="38" t="s">
        <v>31</v>
      </c>
      <c r="C21" s="39">
        <f>'Data entry sylt'!C21</f>
        <v>1.7551984291028999</v>
      </c>
      <c r="D21" s="39">
        <f>'Data entry sylt'!F21</f>
        <v>1.8118644067797001</v>
      </c>
      <c r="E21" s="39">
        <f>'Data entry sylt'!I21</f>
        <v>1.7844474761255</v>
      </c>
      <c r="F21" s="39">
        <f>'Data entry sylt'!L21</f>
        <v>1.7405986185725</v>
      </c>
      <c r="G21" s="39">
        <f>'Data entry sylt'!O21</f>
        <v>1.7395833333333</v>
      </c>
      <c r="H21" s="39">
        <f>'Data entry sylt'!R21</f>
        <v>1.7097265382225</v>
      </c>
      <c r="I21" s="39">
        <f>'Data entry sylt'!U21</f>
        <v>1.7586610486890999</v>
      </c>
      <c r="J21" s="39">
        <f>'Data entry sylt'!X21</f>
        <v>1.877974137931</v>
      </c>
      <c r="K21" s="39">
        <f>'Data entry sylt'!AA21</f>
        <v>1.7529847396767999</v>
      </c>
      <c r="L21" s="39">
        <f>'Data entry sylt'!AD21</f>
        <v>1.6534651266103999</v>
      </c>
      <c r="M21" s="39">
        <f>'Data entry sylt'!AG21</f>
        <v>0</v>
      </c>
      <c r="N21" s="39">
        <f>'Data entry sylt'!AJ21</f>
        <v>0</v>
      </c>
      <c r="O21" s="39">
        <f>'Data entry sylt'!AM21</f>
        <v>0</v>
      </c>
    </row>
    <row r="22" spans="2:15" ht="14" x14ac:dyDescent="0.15">
      <c r="B22" s="38" t="s">
        <v>32</v>
      </c>
      <c r="C22" s="39">
        <f>'Data entry sylt'!C22</f>
        <v>0</v>
      </c>
      <c r="D22" s="39">
        <f>'Data entry sylt'!F22</f>
        <v>0</v>
      </c>
      <c r="E22" s="39">
        <f>'Data entry sylt'!I22</f>
        <v>0</v>
      </c>
      <c r="F22" s="39">
        <f>'Data entry sylt'!L22</f>
        <v>0</v>
      </c>
      <c r="G22" s="39">
        <f>'Data entry sylt'!O22</f>
        <v>0</v>
      </c>
      <c r="H22" s="39">
        <f>'Data entry sylt'!R22</f>
        <v>0</v>
      </c>
      <c r="I22" s="39">
        <f>'Data entry sylt'!U22</f>
        <v>0</v>
      </c>
      <c r="J22" s="39">
        <f>'Data entry sylt'!X22</f>
        <v>0</v>
      </c>
      <c r="K22" s="39">
        <f>'Data entry sylt'!AA22</f>
        <v>0</v>
      </c>
      <c r="L22" s="39">
        <f>'Data entry sylt'!AD22</f>
        <v>0</v>
      </c>
      <c r="M22" s="39">
        <f>'Data entry sylt'!AG22</f>
        <v>0</v>
      </c>
      <c r="N22" s="39">
        <f>'Data entry sylt'!AJ22</f>
        <v>0</v>
      </c>
      <c r="O22" s="39">
        <f>'Data entry sylt'!AM22</f>
        <v>0</v>
      </c>
    </row>
    <row r="23" spans="2:15" ht="14" x14ac:dyDescent="0.15">
      <c r="B23" s="38" t="s">
        <v>33</v>
      </c>
      <c r="C23" s="39">
        <f>'Data entry sylt'!C23</f>
        <v>16.1233</v>
      </c>
      <c r="D23" s="39">
        <f>'Data entry sylt'!F23</f>
        <v>15.12</v>
      </c>
      <c r="E23" s="39">
        <f>'Data entry sylt'!I23</f>
        <v>15.12</v>
      </c>
      <c r="F23" s="39">
        <f>'Data entry sylt'!L23</f>
        <v>15.12</v>
      </c>
      <c r="G23" s="39">
        <f>'Data entry sylt'!O23</f>
        <v>12.12</v>
      </c>
      <c r="H23" s="39">
        <f>'Data entry sylt'!R23</f>
        <v>17</v>
      </c>
      <c r="I23" s="39">
        <f>'Data entry sylt'!U23</f>
        <v>17</v>
      </c>
      <c r="J23" s="39">
        <f>'Data entry sylt'!X23</f>
        <v>17</v>
      </c>
      <c r="K23" s="39">
        <f>'Data entry sylt'!AA23</f>
        <v>17</v>
      </c>
      <c r="L23" s="39">
        <f>'Data entry sylt'!AD23</f>
        <v>17</v>
      </c>
      <c r="M23" s="39">
        <f>'Data entry sylt'!AG23</f>
        <v>17</v>
      </c>
      <c r="N23" s="39">
        <f>'Data entry sylt'!AJ23</f>
        <v>17</v>
      </c>
      <c r="O23" s="39">
        <f>'Data entry sylt'!AM23</f>
        <v>17</v>
      </c>
    </row>
    <row r="24" spans="2:15" x14ac:dyDescent="0.15">
      <c r="C24" s="39">
        <f>'Data entry sylt'!C24</f>
        <v>0</v>
      </c>
      <c r="D24" s="39">
        <f>'Data entry sylt'!F24</f>
        <v>0</v>
      </c>
      <c r="E24" s="39">
        <f>'Data entry sylt'!I24</f>
        <v>0</v>
      </c>
      <c r="F24" s="39">
        <f>'Data entry sylt'!L24</f>
        <v>0</v>
      </c>
      <c r="G24" s="39">
        <f>'Data entry sylt'!O24</f>
        <v>0</v>
      </c>
      <c r="H24" s="39">
        <f>'Data entry sylt'!R24</f>
        <v>0</v>
      </c>
      <c r="I24" s="39">
        <f>'Data entry sylt'!U24</f>
        <v>0</v>
      </c>
      <c r="J24" s="39">
        <f>'Data entry sylt'!X24</f>
        <v>0</v>
      </c>
      <c r="K24" s="39">
        <f>'Data entry sylt'!AA24</f>
        <v>0</v>
      </c>
      <c r="L24" s="39">
        <f>'Data entry sylt'!AD24</f>
        <v>0</v>
      </c>
      <c r="M24" s="39">
        <f>'Data entry sylt'!AG24</f>
        <v>0</v>
      </c>
      <c r="N24" s="39">
        <f>'Data entry sylt'!AJ24</f>
        <v>0</v>
      </c>
      <c r="O24" s="39">
        <f>'Data entry sylt'!AM24</f>
        <v>0</v>
      </c>
    </row>
    <row r="25" spans="2:15" ht="14" x14ac:dyDescent="0.15">
      <c r="B25" s="38" t="s">
        <v>34</v>
      </c>
      <c r="C25" s="39">
        <f>'Data entry sylt'!C25</f>
        <v>0</v>
      </c>
      <c r="D25" s="39">
        <f>'Data entry sylt'!F25</f>
        <v>0</v>
      </c>
      <c r="E25" s="39">
        <f>'Data entry sylt'!I25</f>
        <v>0</v>
      </c>
      <c r="F25" s="39">
        <f>'Data entry sylt'!L25</f>
        <v>0</v>
      </c>
      <c r="G25" s="39">
        <f>'Data entry sylt'!O25</f>
        <v>0</v>
      </c>
      <c r="H25" s="39">
        <f>'Data entry sylt'!R25</f>
        <v>0</v>
      </c>
      <c r="I25" s="39">
        <f>'Data entry sylt'!U25</f>
        <v>0</v>
      </c>
      <c r="J25" s="39">
        <f>'Data entry sylt'!X25</f>
        <v>0</v>
      </c>
      <c r="K25" s="39">
        <f>'Data entry sylt'!AA25</f>
        <v>0</v>
      </c>
      <c r="L25" s="39">
        <f>'Data entry sylt'!AD25</f>
        <v>0</v>
      </c>
      <c r="M25" s="39">
        <f>'Data entry sylt'!AG25</f>
        <v>0</v>
      </c>
      <c r="N25" s="39">
        <f>'Data entry sylt'!AJ25</f>
        <v>0</v>
      </c>
      <c r="O25" s="39">
        <f>'Data entry sylt'!AM25</f>
        <v>0</v>
      </c>
    </row>
    <row r="26" spans="2:15" x14ac:dyDescent="0.15">
      <c r="B26" s="40"/>
      <c r="C26" s="39">
        <f>'Data entry sylt'!C26</f>
        <v>0</v>
      </c>
      <c r="D26" s="39">
        <f>'Data entry sylt'!F26</f>
        <v>0</v>
      </c>
      <c r="E26" s="39">
        <f>'Data entry sylt'!I26</f>
        <v>0</v>
      </c>
      <c r="F26" s="39">
        <f>'Data entry sylt'!L26</f>
        <v>0</v>
      </c>
      <c r="G26" s="39">
        <f>'Data entry sylt'!O26</f>
        <v>0</v>
      </c>
      <c r="H26" s="39">
        <f>'Data entry sylt'!R26</f>
        <v>0</v>
      </c>
      <c r="I26" s="39">
        <f>'Data entry sylt'!U26</f>
        <v>0</v>
      </c>
      <c r="J26" s="39">
        <f>'Data entry sylt'!X26</f>
        <v>0</v>
      </c>
      <c r="K26" s="39">
        <f>'Data entry sylt'!AA26</f>
        <v>0</v>
      </c>
      <c r="L26" s="39">
        <f>'Data entry sylt'!AD26</f>
        <v>0</v>
      </c>
      <c r="M26" s="39">
        <f>'Data entry sylt'!AG26</f>
        <v>0</v>
      </c>
      <c r="N26" s="39">
        <f>'Data entry sylt'!AJ26</f>
        <v>0</v>
      </c>
      <c r="O26" s="39">
        <f>'Data entry sylt'!AM26</f>
        <v>0</v>
      </c>
    </row>
    <row r="27" spans="2:15" ht="14" x14ac:dyDescent="0.15">
      <c r="B27" s="42" t="s">
        <v>21</v>
      </c>
      <c r="C27" s="39">
        <f>'Data entry sylt'!C27</f>
        <v>3378565.5660000001</v>
      </c>
      <c r="D27" s="39">
        <f>'Data entry sylt'!F27</f>
        <v>99523.45</v>
      </c>
      <c r="E27" s="39">
        <f>'Data entry sylt'!I27</f>
        <v>117809.94</v>
      </c>
      <c r="F27" s="39">
        <f>'Data entry sylt'!L27</f>
        <v>186644.79</v>
      </c>
      <c r="G27" s="39">
        <f>'Data entry sylt'!O27</f>
        <v>265494.83</v>
      </c>
      <c r="H27" s="39">
        <f>'Data entry sylt'!R27</f>
        <v>396994.24440000003</v>
      </c>
      <c r="I27" s="39">
        <f>'Data entry sylt'!U27</f>
        <v>512360.15600000002</v>
      </c>
      <c r="J27" s="39">
        <f>'Data entry sylt'!X27</f>
        <v>607943.47660000005</v>
      </c>
      <c r="K27" s="39">
        <f>'Data entry sylt'!AA27</f>
        <v>639069.5233</v>
      </c>
      <c r="L27" s="39">
        <f>'Data entry sylt'!AD27</f>
        <v>552725.1557</v>
      </c>
      <c r="M27" s="39">
        <f>'Data entry sylt'!AG27</f>
        <v>0</v>
      </c>
      <c r="N27" s="39">
        <f>'Data entry sylt'!AJ27</f>
        <v>0</v>
      </c>
      <c r="O27" s="39">
        <f>'Data entry sylt'!AM27</f>
        <v>0</v>
      </c>
    </row>
    <row r="28" spans="2:15" ht="14" x14ac:dyDescent="0.15">
      <c r="B28" s="38" t="s">
        <v>35</v>
      </c>
      <c r="C28" s="39">
        <f>'Data entry sylt'!C28</f>
        <v>2924135.99</v>
      </c>
      <c r="D28" s="39">
        <f>'Data entry sylt'!F28</f>
        <v>80606.509999999995</v>
      </c>
      <c r="E28" s="39">
        <f>'Data entry sylt'!I28</f>
        <v>87722.07</v>
      </c>
      <c r="F28" s="39">
        <f>'Data entry sylt'!L28</f>
        <v>150059.9</v>
      </c>
      <c r="G28" s="39">
        <f>'Data entry sylt'!O28</f>
        <v>231551.17</v>
      </c>
      <c r="H28" s="39">
        <f>'Data entry sylt'!R28</f>
        <v>345404.12</v>
      </c>
      <c r="I28" s="39">
        <f>'Data entry sylt'!U28</f>
        <v>452236.6</v>
      </c>
      <c r="J28" s="39">
        <f>'Data entry sylt'!X28</f>
        <v>538691.69999999995</v>
      </c>
      <c r="K28" s="39">
        <f>'Data entry sylt'!AA28</f>
        <v>562887.42000000004</v>
      </c>
      <c r="L28" s="39">
        <f>'Data entry sylt'!AD28</f>
        <v>474976.5</v>
      </c>
      <c r="M28" s="39">
        <f>'Data entry sylt'!AG28</f>
        <v>0</v>
      </c>
      <c r="N28" s="39">
        <f>'Data entry sylt'!AJ28</f>
        <v>0</v>
      </c>
      <c r="O28" s="39">
        <f>'Data entry sylt'!AM28</f>
        <v>0</v>
      </c>
    </row>
    <row r="29" spans="2:15" ht="14" x14ac:dyDescent="0.15">
      <c r="B29" s="38" t="s">
        <v>36</v>
      </c>
      <c r="C29" s="39">
        <f>'Data entry sylt'!C29</f>
        <v>366934.0539</v>
      </c>
      <c r="D29" s="39">
        <f>'Data entry sylt'!F29</f>
        <v>15095.54</v>
      </c>
      <c r="E29" s="39">
        <f>'Data entry sylt'!I29</f>
        <v>23530.26</v>
      </c>
      <c r="F29" s="39">
        <f>'Data entry sylt'!L29</f>
        <v>28378.19</v>
      </c>
      <c r="G29" s="39">
        <f>'Data entry sylt'!O29</f>
        <v>29000.67</v>
      </c>
      <c r="H29" s="39">
        <f>'Data entry sylt'!R29</f>
        <v>45892.043100000003</v>
      </c>
      <c r="I29" s="39">
        <f>'Data entry sylt'!U29</f>
        <v>47894.308299999997</v>
      </c>
      <c r="J29" s="39">
        <f>'Data entry sylt'!X29</f>
        <v>54668.988299999997</v>
      </c>
      <c r="K29" s="39">
        <f>'Data entry sylt'!AA29</f>
        <v>65369.929400000001</v>
      </c>
      <c r="L29" s="39">
        <f>'Data entry sylt'!AD29</f>
        <v>57104.124799999998</v>
      </c>
      <c r="M29" s="39">
        <f>'Data entry sylt'!AG29</f>
        <v>0</v>
      </c>
      <c r="N29" s="39">
        <f>'Data entry sylt'!AJ29</f>
        <v>0</v>
      </c>
      <c r="O29" s="39">
        <f>'Data entry sylt'!AM29</f>
        <v>0</v>
      </c>
    </row>
    <row r="30" spans="2:15" ht="14" x14ac:dyDescent="0.15">
      <c r="B30" s="38" t="s">
        <v>37</v>
      </c>
      <c r="C30" s="39">
        <f>'Data entry sylt'!C30</f>
        <v>52340.0121</v>
      </c>
      <c r="D30" s="39">
        <f>'Data entry sylt'!F30</f>
        <v>3414.74</v>
      </c>
      <c r="E30" s="39">
        <f>'Data entry sylt'!I30</f>
        <v>3588.05</v>
      </c>
      <c r="F30" s="39">
        <f>'Data entry sylt'!L30</f>
        <v>7443.5</v>
      </c>
      <c r="G30" s="39">
        <f>'Data entry sylt'!O30</f>
        <v>4776.8999999999996</v>
      </c>
      <c r="H30" s="39">
        <f>'Data entry sylt'!R30</f>
        <v>5448.0812999999998</v>
      </c>
      <c r="I30" s="39">
        <f>'Data entry sylt'!U30</f>
        <v>6229.2476999999999</v>
      </c>
      <c r="J30" s="39">
        <f>'Data entry sylt'!X30</f>
        <v>9982.7883000000002</v>
      </c>
      <c r="K30" s="39">
        <f>'Data entry sylt'!AA30</f>
        <v>5812.1738999999998</v>
      </c>
      <c r="L30" s="39">
        <f>'Data entry sylt'!AD30</f>
        <v>5644.5308999999997</v>
      </c>
      <c r="M30" s="39">
        <f>'Data entry sylt'!AG30</f>
        <v>0</v>
      </c>
      <c r="N30" s="39">
        <f>'Data entry sylt'!AJ30</f>
        <v>0</v>
      </c>
      <c r="O30" s="39">
        <f>'Data entry sylt'!AM30</f>
        <v>0</v>
      </c>
    </row>
    <row r="31" spans="2:15" ht="14" x14ac:dyDescent="0.15">
      <c r="B31" s="38" t="s">
        <v>38</v>
      </c>
      <c r="C31" s="39">
        <f>'Data entry sylt'!C31</f>
        <v>35155.51</v>
      </c>
      <c r="D31" s="39">
        <f>'Data entry sylt'!F31</f>
        <v>406.66</v>
      </c>
      <c r="E31" s="39">
        <f>'Data entry sylt'!I31</f>
        <v>2969.56</v>
      </c>
      <c r="F31" s="39">
        <f>'Data entry sylt'!L31</f>
        <v>763.2</v>
      </c>
      <c r="G31" s="39">
        <f>'Data entry sylt'!O31</f>
        <v>166.09</v>
      </c>
      <c r="H31" s="39">
        <f>'Data entry sylt'!R31</f>
        <v>250</v>
      </c>
      <c r="I31" s="39">
        <f>'Data entry sylt'!U31</f>
        <v>6000</v>
      </c>
      <c r="J31" s="39">
        <f>'Data entry sylt'!X31</f>
        <v>4600</v>
      </c>
      <c r="K31" s="39">
        <f>'Data entry sylt'!AA31</f>
        <v>5000</v>
      </c>
      <c r="L31" s="39">
        <f>'Data entry sylt'!AD31</f>
        <v>15000</v>
      </c>
      <c r="M31" s="39">
        <f>'Data entry sylt'!AG31</f>
        <v>0</v>
      </c>
      <c r="N31" s="39">
        <f>'Data entry sylt'!AJ31</f>
        <v>0</v>
      </c>
      <c r="O31" s="39">
        <f>'Data entry sylt'!AM31</f>
        <v>0</v>
      </c>
    </row>
    <row r="32" spans="2:15" x14ac:dyDescent="0.15">
      <c r="B32" s="40"/>
      <c r="C32" s="39">
        <f>'Data entry sylt'!C32</f>
        <v>0</v>
      </c>
      <c r="D32" s="39">
        <f>'Data entry sylt'!F32</f>
        <v>0</v>
      </c>
      <c r="E32" s="39">
        <f>'Data entry sylt'!I32</f>
        <v>0</v>
      </c>
      <c r="F32" s="39">
        <f>'Data entry sylt'!L32</f>
        <v>0</v>
      </c>
      <c r="G32" s="39">
        <f>'Data entry sylt'!O32</f>
        <v>0</v>
      </c>
      <c r="H32" s="39">
        <f>'Data entry sylt'!R32</f>
        <v>0</v>
      </c>
      <c r="I32" s="39">
        <f>'Data entry sylt'!U32</f>
        <v>0</v>
      </c>
      <c r="J32" s="39">
        <f>'Data entry sylt'!X32</f>
        <v>0</v>
      </c>
      <c r="K32" s="39">
        <f>'Data entry sylt'!AA32</f>
        <v>0</v>
      </c>
      <c r="L32" s="39">
        <f>'Data entry sylt'!AD32</f>
        <v>0</v>
      </c>
      <c r="M32" s="39">
        <f>'Data entry sylt'!AG32</f>
        <v>0</v>
      </c>
      <c r="N32" s="39">
        <f>'Data entry sylt'!AJ32</f>
        <v>0</v>
      </c>
      <c r="O32" s="39">
        <f>'Data entry sylt'!AM32</f>
        <v>0</v>
      </c>
    </row>
    <row r="33" spans="2:15" ht="14" x14ac:dyDescent="0.15">
      <c r="B33" s="44" t="s">
        <v>39</v>
      </c>
      <c r="C33" s="39">
        <f>'Data entry sylt'!C33</f>
        <v>0</v>
      </c>
      <c r="D33" s="39">
        <f>'Data entry sylt'!F33</f>
        <v>0</v>
      </c>
      <c r="E33" s="39">
        <f>'Data entry sylt'!I33</f>
        <v>0</v>
      </c>
      <c r="F33" s="39">
        <f>'Data entry sylt'!L33</f>
        <v>0</v>
      </c>
      <c r="G33" s="39">
        <f>'Data entry sylt'!O33</f>
        <v>0</v>
      </c>
      <c r="H33" s="39">
        <f>'Data entry sylt'!R33</f>
        <v>0</v>
      </c>
      <c r="I33" s="39">
        <f>'Data entry sylt'!U33</f>
        <v>0</v>
      </c>
      <c r="J33" s="39">
        <f>'Data entry sylt'!X33</f>
        <v>0</v>
      </c>
      <c r="K33" s="39">
        <f>'Data entry sylt'!AA33</f>
        <v>0</v>
      </c>
      <c r="L33" s="39">
        <f>'Data entry sylt'!AD33</f>
        <v>0</v>
      </c>
      <c r="M33" s="39">
        <f>'Data entry sylt'!AG33</f>
        <v>0</v>
      </c>
      <c r="N33" s="39">
        <f>'Data entry sylt'!AJ33</f>
        <v>0</v>
      </c>
      <c r="O33" s="39">
        <f>'Data entry sylt'!AM33</f>
        <v>0</v>
      </c>
    </row>
    <row r="34" spans="2:15" ht="14" x14ac:dyDescent="0.15">
      <c r="B34" s="42" t="s">
        <v>35</v>
      </c>
      <c r="C34" s="39">
        <f>'Data entry sylt'!C34</f>
        <v>2924135.99</v>
      </c>
      <c r="D34" s="39">
        <f>'Data entry sylt'!F34</f>
        <v>80606.509999999995</v>
      </c>
      <c r="E34" s="39">
        <f>'Data entry sylt'!I34</f>
        <v>87722.07</v>
      </c>
      <c r="F34" s="39">
        <f>'Data entry sylt'!L34</f>
        <v>150059.9</v>
      </c>
      <c r="G34" s="39">
        <f>'Data entry sylt'!O34</f>
        <v>231551.17</v>
      </c>
      <c r="H34" s="39">
        <f>'Data entry sylt'!R34</f>
        <v>345404.12</v>
      </c>
      <c r="I34" s="39">
        <f>'Data entry sylt'!U34</f>
        <v>452236.6</v>
      </c>
      <c r="J34" s="39">
        <f>'Data entry sylt'!X34</f>
        <v>538691.69999999995</v>
      </c>
      <c r="K34" s="39">
        <f>'Data entry sylt'!AA34</f>
        <v>562887.42000000004</v>
      </c>
      <c r="L34" s="39">
        <f>'Data entry sylt'!AD34</f>
        <v>474976.5</v>
      </c>
      <c r="M34" s="39">
        <f>'Data entry sylt'!AG34</f>
        <v>0</v>
      </c>
      <c r="N34" s="39">
        <f>'Data entry sylt'!AJ34</f>
        <v>0</v>
      </c>
      <c r="O34" s="39">
        <f>'Data entry sylt'!AM34</f>
        <v>0</v>
      </c>
    </row>
    <row r="35" spans="2:15" ht="14" x14ac:dyDescent="0.15">
      <c r="B35" s="38" t="s">
        <v>22</v>
      </c>
      <c r="C35" s="39">
        <f>'Data entry sylt'!C35</f>
        <v>821891.97860000003</v>
      </c>
      <c r="D35" s="39">
        <f>'Data entry sylt'!F35</f>
        <v>80809.919999999998</v>
      </c>
      <c r="E35" s="39">
        <f>'Data entry sylt'!I35</f>
        <v>46233.62</v>
      </c>
      <c r="F35" s="39">
        <f>'Data entry sylt'!L35</f>
        <v>73175.77</v>
      </c>
      <c r="G35" s="39">
        <f>'Data entry sylt'!O35</f>
        <v>67748.67</v>
      </c>
      <c r="H35" s="39">
        <f>'Data entry sylt'!R35</f>
        <v>63452.278899999998</v>
      </c>
      <c r="I35" s="39">
        <f>'Data entry sylt'!U35</f>
        <v>97718.030400000003</v>
      </c>
      <c r="J35" s="39">
        <f>'Data entry sylt'!X35</f>
        <v>93478.931899999996</v>
      </c>
      <c r="K35" s="39">
        <f>'Data entry sylt'!AA35</f>
        <v>85656.837599999999</v>
      </c>
      <c r="L35" s="39">
        <f>'Data entry sylt'!AD35</f>
        <v>87567.383600000001</v>
      </c>
      <c r="M35" s="39">
        <f>'Data entry sylt'!AG35</f>
        <v>46641.752899999999</v>
      </c>
      <c r="N35" s="39">
        <f>'Data entry sylt'!AJ35</f>
        <v>39244.234100000001</v>
      </c>
      <c r="O35" s="39">
        <f>'Data entry sylt'!AM35</f>
        <v>40164.549200000001</v>
      </c>
    </row>
    <row r="36" spans="2:15" ht="14" x14ac:dyDescent="0.15">
      <c r="B36" s="38" t="s">
        <v>40</v>
      </c>
      <c r="C36" s="39">
        <f>'Data entry sylt'!C36</f>
        <v>527449.92489999998</v>
      </c>
      <c r="D36" s="39">
        <f>'Data entry sylt'!F36</f>
        <v>44899.35</v>
      </c>
      <c r="E36" s="39">
        <f>'Data entry sylt'!I36</f>
        <v>16845.22</v>
      </c>
      <c r="F36" s="39">
        <f>'Data entry sylt'!L36</f>
        <v>33048.050000000003</v>
      </c>
      <c r="G36" s="39">
        <f>'Data entry sylt'!O36</f>
        <v>46904.81</v>
      </c>
      <c r="H36" s="39">
        <f>'Data entry sylt'!R36</f>
        <v>35394.1132</v>
      </c>
      <c r="I36" s="39">
        <f>'Data entry sylt'!U36</f>
        <v>90918.676500000001</v>
      </c>
      <c r="J36" s="39">
        <f>'Data entry sylt'!X36</f>
        <v>89036.706399999995</v>
      </c>
      <c r="K36" s="39">
        <f>'Data entry sylt'!AA36</f>
        <v>88512.425199999998</v>
      </c>
      <c r="L36" s="39">
        <f>'Data entry sylt'!AD36</f>
        <v>70105.173599999995</v>
      </c>
      <c r="M36" s="39">
        <f>'Data entry sylt'!AG36</f>
        <v>4461.8</v>
      </c>
      <c r="N36" s="39">
        <f>'Data entry sylt'!AJ36</f>
        <v>3761.8</v>
      </c>
      <c r="O36" s="39">
        <f>'Data entry sylt'!AM36</f>
        <v>3561.8</v>
      </c>
    </row>
    <row r="37" spans="2:15" ht="14" x14ac:dyDescent="0.15">
      <c r="B37" s="42" t="s">
        <v>41</v>
      </c>
      <c r="C37" s="39">
        <f>'Data entry sylt'!C37</f>
        <v>1574794.0866</v>
      </c>
      <c r="D37" s="39">
        <f>'Data entry sylt'!F37</f>
        <v>-45102.76</v>
      </c>
      <c r="E37" s="39">
        <f>'Data entry sylt'!I37</f>
        <v>24643.23</v>
      </c>
      <c r="F37" s="39">
        <f>'Data entry sylt'!L37</f>
        <v>43836.08</v>
      </c>
      <c r="G37" s="39">
        <f>'Data entry sylt'!O37</f>
        <v>116897.69</v>
      </c>
      <c r="H37" s="39">
        <f>'Data entry sylt'!R37</f>
        <v>246557.7279</v>
      </c>
      <c r="I37" s="39">
        <f>'Data entry sylt'!U37</f>
        <v>263599.89319999999</v>
      </c>
      <c r="J37" s="39">
        <f>'Data entry sylt'!X37</f>
        <v>356176.06170000002</v>
      </c>
      <c r="K37" s="39">
        <f>'Data entry sylt'!AA37</f>
        <v>388718.15730000002</v>
      </c>
      <c r="L37" s="39">
        <f>'Data entry sylt'!AD37</f>
        <v>317303.94270000001</v>
      </c>
      <c r="M37" s="39">
        <f>'Data entry sylt'!AG37</f>
        <v>-51103.552900000002</v>
      </c>
      <c r="N37" s="39">
        <f>'Data entry sylt'!AJ37</f>
        <v>-43006.034099999997</v>
      </c>
      <c r="O37" s="39">
        <f>'Data entry sylt'!AM37</f>
        <v>-43726.349199999997</v>
      </c>
    </row>
    <row r="38" spans="2:15" x14ac:dyDescent="0.15">
      <c r="B38" s="40"/>
      <c r="C38" s="39">
        <f>'Data entry sylt'!C38</f>
        <v>0</v>
      </c>
      <c r="D38" s="39">
        <f>'Data entry sylt'!F38</f>
        <v>0</v>
      </c>
      <c r="E38" s="39">
        <f>'Data entry sylt'!I38</f>
        <v>0</v>
      </c>
      <c r="F38" s="39">
        <f>'Data entry sylt'!L38</f>
        <v>0</v>
      </c>
      <c r="G38" s="39">
        <f>'Data entry sylt'!O38</f>
        <v>0</v>
      </c>
      <c r="H38" s="39">
        <f>'Data entry sylt'!R38</f>
        <v>0</v>
      </c>
      <c r="I38" s="39">
        <f>'Data entry sylt'!U38</f>
        <v>0</v>
      </c>
      <c r="J38" s="39">
        <f>'Data entry sylt'!X38</f>
        <v>0</v>
      </c>
      <c r="K38" s="39">
        <f>'Data entry sylt'!AA38</f>
        <v>0</v>
      </c>
      <c r="L38" s="39">
        <f>'Data entry sylt'!AD38</f>
        <v>0</v>
      </c>
      <c r="M38" s="39">
        <f>'Data entry sylt'!AG38</f>
        <v>0</v>
      </c>
      <c r="N38" s="39">
        <f>'Data entry sylt'!AJ38</f>
        <v>0</v>
      </c>
      <c r="O38" s="39">
        <f>'Data entry sylt'!AM38</f>
        <v>0</v>
      </c>
    </row>
    <row r="39" spans="2:15" ht="14" x14ac:dyDescent="0.15">
      <c r="B39" s="44" t="s">
        <v>42</v>
      </c>
      <c r="C39" s="39">
        <f>'Data entry sylt'!C39</f>
        <v>0</v>
      </c>
      <c r="D39" s="39">
        <f>'Data entry sylt'!F39</f>
        <v>0</v>
      </c>
      <c r="E39" s="39">
        <f>'Data entry sylt'!I39</f>
        <v>0</v>
      </c>
      <c r="F39" s="39">
        <f>'Data entry sylt'!L39</f>
        <v>0</v>
      </c>
      <c r="G39" s="39">
        <f>'Data entry sylt'!O39</f>
        <v>0</v>
      </c>
      <c r="H39" s="39">
        <f>'Data entry sylt'!R39</f>
        <v>0</v>
      </c>
      <c r="I39" s="39">
        <f>'Data entry sylt'!U39</f>
        <v>0</v>
      </c>
      <c r="J39" s="39">
        <f>'Data entry sylt'!X39</f>
        <v>0</v>
      </c>
      <c r="K39" s="39">
        <f>'Data entry sylt'!AA39</f>
        <v>0</v>
      </c>
      <c r="L39" s="39">
        <f>'Data entry sylt'!AD39</f>
        <v>0</v>
      </c>
      <c r="M39" s="39">
        <f>'Data entry sylt'!AG39</f>
        <v>0</v>
      </c>
      <c r="N39" s="39">
        <f>'Data entry sylt'!AJ39</f>
        <v>0</v>
      </c>
      <c r="O39" s="39">
        <f>'Data entry sylt'!AM39</f>
        <v>0</v>
      </c>
    </row>
    <row r="40" spans="2:15" ht="14" x14ac:dyDescent="0.15">
      <c r="B40" s="38" t="s">
        <v>43</v>
      </c>
      <c r="C40" s="39">
        <f>'Data entry sylt'!C40</f>
        <v>306799.04129999998</v>
      </c>
      <c r="D40" s="39">
        <f>'Data entry sylt'!F40</f>
        <v>11987.7</v>
      </c>
      <c r="E40" s="39">
        <f>'Data entry sylt'!I40</f>
        <v>18845.93</v>
      </c>
      <c r="F40" s="39">
        <f>'Data entry sylt'!L40</f>
        <v>23291.360000000001</v>
      </c>
      <c r="G40" s="39">
        <f>'Data entry sylt'!O40</f>
        <v>23657.42</v>
      </c>
      <c r="H40" s="39">
        <f>'Data entry sylt'!R40</f>
        <v>38123.776299999998</v>
      </c>
      <c r="I40" s="39">
        <f>'Data entry sylt'!U40</f>
        <v>40187.595699999998</v>
      </c>
      <c r="J40" s="39">
        <f>'Data entry sylt'!X40</f>
        <v>45262.014600000002</v>
      </c>
      <c r="K40" s="39">
        <f>'Data entry sylt'!AA40</f>
        <v>55251.619700000003</v>
      </c>
      <c r="L40" s="39">
        <f>'Data entry sylt'!AD40</f>
        <v>50191.625</v>
      </c>
      <c r="M40" s="39">
        <f>'Data entry sylt'!AG40</f>
        <v>0</v>
      </c>
      <c r="N40" s="39">
        <f>'Data entry sylt'!AJ40</f>
        <v>0</v>
      </c>
      <c r="O40" s="39">
        <f>'Data entry sylt'!AM40</f>
        <v>0</v>
      </c>
    </row>
    <row r="41" spans="2:15" ht="14" x14ac:dyDescent="0.15">
      <c r="B41" s="38" t="s">
        <v>44</v>
      </c>
      <c r="C41" s="39">
        <f>'Data entry sylt'!C41</f>
        <v>60134.172599999998</v>
      </c>
      <c r="D41" s="39">
        <f>'Data entry sylt'!F41</f>
        <v>3107.84</v>
      </c>
      <c r="E41" s="39">
        <f>'Data entry sylt'!I41</f>
        <v>4684.33</v>
      </c>
      <c r="F41" s="39">
        <f>'Data entry sylt'!L41</f>
        <v>5085.99</v>
      </c>
      <c r="G41" s="39">
        <f>'Data entry sylt'!O41</f>
        <v>5343.25</v>
      </c>
      <c r="H41" s="39">
        <f>'Data entry sylt'!R41</f>
        <v>7768.2668000000003</v>
      </c>
      <c r="I41" s="39">
        <f>'Data entry sylt'!U41</f>
        <v>7706.7125999999998</v>
      </c>
      <c r="J41" s="39">
        <f>'Data entry sylt'!X41</f>
        <v>9406.9737000000005</v>
      </c>
      <c r="K41" s="39">
        <f>'Data entry sylt'!AA41</f>
        <v>10118.3097</v>
      </c>
      <c r="L41" s="39">
        <f>'Data entry sylt'!AD41</f>
        <v>6912.4997999999996</v>
      </c>
      <c r="M41" s="39">
        <f>'Data entry sylt'!AG41</f>
        <v>0</v>
      </c>
      <c r="N41" s="39">
        <f>'Data entry sylt'!AJ41</f>
        <v>0</v>
      </c>
      <c r="O41" s="39">
        <f>'Data entry sylt'!AM41</f>
        <v>0</v>
      </c>
    </row>
    <row r="42" spans="2:15" ht="14" x14ac:dyDescent="0.15">
      <c r="B42" s="38" t="s">
        <v>45</v>
      </c>
      <c r="C42" s="39">
        <f>'Data entry sylt'!C42</f>
        <v>0.84</v>
      </c>
      <c r="D42" s="39">
        <f>'Data entry sylt'!F42</f>
        <v>0</v>
      </c>
      <c r="E42" s="39">
        <f>'Data entry sylt'!I42</f>
        <v>0</v>
      </c>
      <c r="F42" s="39">
        <f>'Data entry sylt'!L42</f>
        <v>0.84</v>
      </c>
      <c r="G42" s="39">
        <f>'Data entry sylt'!O42</f>
        <v>0</v>
      </c>
      <c r="H42" s="39">
        <f>'Data entry sylt'!R42</f>
        <v>0</v>
      </c>
      <c r="I42" s="39">
        <f>'Data entry sylt'!U42</f>
        <v>0</v>
      </c>
      <c r="J42" s="39">
        <f>'Data entry sylt'!X42</f>
        <v>0</v>
      </c>
      <c r="K42" s="39">
        <f>'Data entry sylt'!AA42</f>
        <v>0</v>
      </c>
      <c r="L42" s="39">
        <f>'Data entry sylt'!AD42</f>
        <v>0</v>
      </c>
      <c r="M42" s="39">
        <f>'Data entry sylt'!AG42</f>
        <v>0</v>
      </c>
      <c r="N42" s="39">
        <f>'Data entry sylt'!AJ42</f>
        <v>0</v>
      </c>
      <c r="O42" s="39">
        <f>'Data entry sylt'!AM42</f>
        <v>0</v>
      </c>
    </row>
    <row r="43" spans="2:15" ht="14" x14ac:dyDescent="0.15">
      <c r="B43" s="42" t="s">
        <v>36</v>
      </c>
      <c r="C43" s="39">
        <f>'Data entry sylt'!C43</f>
        <v>366934.0539</v>
      </c>
      <c r="D43" s="39">
        <f>'Data entry sylt'!F43</f>
        <v>15095.54</v>
      </c>
      <c r="E43" s="39">
        <f>'Data entry sylt'!I43</f>
        <v>23530.26</v>
      </c>
      <c r="F43" s="39">
        <f>'Data entry sylt'!L43</f>
        <v>28378.19</v>
      </c>
      <c r="G43" s="39">
        <f>'Data entry sylt'!O43</f>
        <v>29000.67</v>
      </c>
      <c r="H43" s="39">
        <f>'Data entry sylt'!R43</f>
        <v>45892.043100000003</v>
      </c>
      <c r="I43" s="39">
        <f>'Data entry sylt'!U43</f>
        <v>47894.308299999997</v>
      </c>
      <c r="J43" s="39">
        <f>'Data entry sylt'!X43</f>
        <v>54668.988299999997</v>
      </c>
      <c r="K43" s="39">
        <f>'Data entry sylt'!AA43</f>
        <v>65369.929400000001</v>
      </c>
      <c r="L43" s="39">
        <f>'Data entry sylt'!AD43</f>
        <v>57104.124799999998</v>
      </c>
      <c r="M43" s="39">
        <f>'Data entry sylt'!AG43</f>
        <v>0</v>
      </c>
      <c r="N43" s="39">
        <f>'Data entry sylt'!AJ43</f>
        <v>0</v>
      </c>
      <c r="O43" s="39">
        <f>'Data entry sylt'!AM43</f>
        <v>0</v>
      </c>
    </row>
    <row r="44" spans="2:15" ht="14" x14ac:dyDescent="0.15">
      <c r="B44" s="38" t="s">
        <v>46</v>
      </c>
      <c r="C44" s="39">
        <f>'Data entry sylt'!C44</f>
        <v>135961.60999999999</v>
      </c>
      <c r="D44" s="39">
        <f>'Data entry sylt'!F44</f>
        <v>3831.09</v>
      </c>
      <c r="E44" s="39">
        <f>'Data entry sylt'!I44</f>
        <v>14691.34</v>
      </c>
      <c r="F44" s="39">
        <f>'Data entry sylt'!L44</f>
        <v>12467.63</v>
      </c>
      <c r="G44" s="39">
        <f>'Data entry sylt'!O44</f>
        <v>13087.55</v>
      </c>
      <c r="H44" s="39">
        <f>'Data entry sylt'!R44</f>
        <v>15124</v>
      </c>
      <c r="I44" s="39">
        <f>'Data entry sylt'!U44</f>
        <v>16080</v>
      </c>
      <c r="J44" s="39">
        <f>'Data entry sylt'!X44</f>
        <v>18450</v>
      </c>
      <c r="K44" s="39">
        <f>'Data entry sylt'!AA44</f>
        <v>22330</v>
      </c>
      <c r="L44" s="39">
        <f>'Data entry sylt'!AD44</f>
        <v>19900</v>
      </c>
      <c r="M44" s="39">
        <f>'Data entry sylt'!AG44</f>
        <v>0</v>
      </c>
      <c r="N44" s="39">
        <f>'Data entry sylt'!AJ44</f>
        <v>0</v>
      </c>
      <c r="O44" s="39">
        <f>'Data entry sylt'!AM44</f>
        <v>0</v>
      </c>
    </row>
    <row r="45" spans="2:15" ht="14" x14ac:dyDescent="0.15">
      <c r="B45" s="38" t="s">
        <v>47</v>
      </c>
      <c r="C45" s="39">
        <f>'Data entry sylt'!C45</f>
        <v>8770</v>
      </c>
      <c r="D45" s="39">
        <f>'Data entry sylt'!F45</f>
        <v>148.29</v>
      </c>
      <c r="E45" s="39">
        <f>'Data entry sylt'!I45</f>
        <v>-28.26</v>
      </c>
      <c r="F45" s="39">
        <f>'Data entry sylt'!L45</f>
        <v>1707.02</v>
      </c>
      <c r="G45" s="39">
        <f>'Data entry sylt'!O45</f>
        <v>-817.55</v>
      </c>
      <c r="H45" s="39">
        <f>'Data entry sylt'!R45</f>
        <v>1470</v>
      </c>
      <c r="I45" s="39">
        <f>'Data entry sylt'!U45</f>
        <v>1564</v>
      </c>
      <c r="J45" s="39">
        <f>'Data entry sylt'!X45</f>
        <v>1606.5</v>
      </c>
      <c r="K45" s="39">
        <f>'Data entry sylt'!AA45</f>
        <v>1890</v>
      </c>
      <c r="L45" s="39">
        <f>'Data entry sylt'!AD45</f>
        <v>1230</v>
      </c>
      <c r="M45" s="39">
        <f>'Data entry sylt'!AG45</f>
        <v>0</v>
      </c>
      <c r="N45" s="39">
        <f>'Data entry sylt'!AJ45</f>
        <v>0</v>
      </c>
      <c r="O45" s="39">
        <f>'Data entry sylt'!AM45</f>
        <v>0</v>
      </c>
    </row>
    <row r="46" spans="2:15" ht="14" x14ac:dyDescent="0.15">
      <c r="B46" s="38" t="s">
        <v>48</v>
      </c>
      <c r="C46" s="39">
        <f>'Data entry sylt'!C46</f>
        <v>-2987.9</v>
      </c>
      <c r="D46" s="39">
        <f>'Data entry sylt'!F46</f>
        <v>-68.33</v>
      </c>
      <c r="E46" s="39">
        <f>'Data entry sylt'!I46</f>
        <v>-2697.02</v>
      </c>
      <c r="F46" s="39">
        <f>'Data entry sylt'!L46</f>
        <v>-317.27999999999997</v>
      </c>
      <c r="G46" s="39">
        <f>'Data entry sylt'!O46</f>
        <v>94.73</v>
      </c>
      <c r="H46" s="39">
        <f>'Data entry sylt'!R46</f>
        <v>0</v>
      </c>
      <c r="I46" s="39">
        <f>'Data entry sylt'!U46</f>
        <v>0</v>
      </c>
      <c r="J46" s="39">
        <f>'Data entry sylt'!X46</f>
        <v>0</v>
      </c>
      <c r="K46" s="39">
        <f>'Data entry sylt'!AA46</f>
        <v>0</v>
      </c>
      <c r="L46" s="39">
        <f>'Data entry sylt'!AD46</f>
        <v>0</v>
      </c>
      <c r="M46" s="39">
        <f>'Data entry sylt'!AG46</f>
        <v>0</v>
      </c>
      <c r="N46" s="39">
        <f>'Data entry sylt'!AJ46</f>
        <v>0</v>
      </c>
      <c r="O46" s="39">
        <f>'Data entry sylt'!AM46</f>
        <v>0</v>
      </c>
    </row>
    <row r="47" spans="2:15" ht="14" x14ac:dyDescent="0.15">
      <c r="B47" s="42" t="s">
        <v>49</v>
      </c>
      <c r="C47" s="39">
        <f>'Data entry sylt'!C47</f>
        <v>141743.71</v>
      </c>
      <c r="D47" s="39">
        <f>'Data entry sylt'!F47</f>
        <v>3911.05</v>
      </c>
      <c r="E47" s="39">
        <f>'Data entry sylt'!I47</f>
        <v>11966.06</v>
      </c>
      <c r="F47" s="39">
        <f>'Data entry sylt'!L47</f>
        <v>13857.37</v>
      </c>
      <c r="G47" s="39">
        <f>'Data entry sylt'!O47</f>
        <v>12364.73</v>
      </c>
      <c r="H47" s="39">
        <f>'Data entry sylt'!R47</f>
        <v>16594</v>
      </c>
      <c r="I47" s="39">
        <f>'Data entry sylt'!U47</f>
        <v>17644</v>
      </c>
      <c r="J47" s="39">
        <f>'Data entry sylt'!X47</f>
        <v>20056.5</v>
      </c>
      <c r="K47" s="39">
        <f>'Data entry sylt'!AA47</f>
        <v>24220</v>
      </c>
      <c r="L47" s="39">
        <f>'Data entry sylt'!AD47</f>
        <v>21130</v>
      </c>
      <c r="M47" s="39">
        <f>'Data entry sylt'!AG47</f>
        <v>0</v>
      </c>
      <c r="N47" s="39">
        <f>'Data entry sylt'!AJ47</f>
        <v>0</v>
      </c>
      <c r="O47" s="39">
        <f>'Data entry sylt'!AM47</f>
        <v>0</v>
      </c>
    </row>
    <row r="48" spans="2:15" ht="14" x14ac:dyDescent="0.15">
      <c r="B48" s="38" t="s">
        <v>22</v>
      </c>
      <c r="C48" s="39">
        <f>'Data entry sylt'!C48</f>
        <v>613744.09719999996</v>
      </c>
      <c r="D48" s="39">
        <f>'Data entry sylt'!F48</f>
        <v>52955.45</v>
      </c>
      <c r="E48" s="39">
        <f>'Data entry sylt'!I48</f>
        <v>41455.410000000003</v>
      </c>
      <c r="F48" s="39">
        <f>'Data entry sylt'!L48</f>
        <v>46829.67</v>
      </c>
      <c r="G48" s="39">
        <f>'Data entry sylt'!O48</f>
        <v>43775.97</v>
      </c>
      <c r="H48" s="39">
        <f>'Data entry sylt'!R48</f>
        <v>50152.452299999997</v>
      </c>
      <c r="I48" s="39">
        <f>'Data entry sylt'!U48</f>
        <v>63930.007599999997</v>
      </c>
      <c r="J48" s="39">
        <f>'Data entry sylt'!X48</f>
        <v>76263.083299999998</v>
      </c>
      <c r="K48" s="39">
        <f>'Data entry sylt'!AA48</f>
        <v>69478.005799999999</v>
      </c>
      <c r="L48" s="39">
        <f>'Data entry sylt'!AD48</f>
        <v>64183.704100000003</v>
      </c>
      <c r="M48" s="39">
        <f>'Data entry sylt'!AG48</f>
        <v>51417.795899999997</v>
      </c>
      <c r="N48" s="39">
        <f>'Data entry sylt'!AJ48</f>
        <v>27587.064699999999</v>
      </c>
      <c r="O48" s="39">
        <f>'Data entry sylt'!AM48</f>
        <v>25715.483499999998</v>
      </c>
    </row>
    <row r="49" spans="2:15" ht="14" x14ac:dyDescent="0.15">
      <c r="B49" s="38" t="s">
        <v>40</v>
      </c>
      <c r="C49" s="39">
        <f>'Data entry sylt'!C49</f>
        <v>26669.48</v>
      </c>
      <c r="D49" s="39">
        <f>'Data entry sylt'!F49</f>
        <v>4460.66</v>
      </c>
      <c r="E49" s="39">
        <f>'Data entry sylt'!I49</f>
        <v>-1962.28</v>
      </c>
      <c r="F49" s="39">
        <f>'Data entry sylt'!L49</f>
        <v>6079.15</v>
      </c>
      <c r="G49" s="39">
        <f>'Data entry sylt'!O49</f>
        <v>-2944.05</v>
      </c>
      <c r="H49" s="39">
        <f>'Data entry sylt'!R49</f>
        <v>3372</v>
      </c>
      <c r="I49" s="39">
        <f>'Data entry sylt'!U49</f>
        <v>2592</v>
      </c>
      <c r="J49" s="39">
        <f>'Data entry sylt'!X49</f>
        <v>4332</v>
      </c>
      <c r="K49" s="39">
        <f>'Data entry sylt'!AA49</f>
        <v>2952</v>
      </c>
      <c r="L49" s="39">
        <f>'Data entry sylt'!AD49</f>
        <v>2052</v>
      </c>
      <c r="M49" s="39">
        <f>'Data entry sylt'!AG49</f>
        <v>2402</v>
      </c>
      <c r="N49" s="39">
        <f>'Data entry sylt'!AJ49</f>
        <v>1802</v>
      </c>
      <c r="O49" s="39">
        <f>'Data entry sylt'!AM49</f>
        <v>1532</v>
      </c>
    </row>
    <row r="50" spans="2:15" ht="14" x14ac:dyDescent="0.15">
      <c r="B50" s="42" t="s">
        <v>41</v>
      </c>
      <c r="C50" s="39">
        <f>'Data entry sylt'!C50</f>
        <v>-415223.23330000002</v>
      </c>
      <c r="D50" s="39">
        <f>'Data entry sylt'!F50</f>
        <v>-46231.62</v>
      </c>
      <c r="E50" s="39">
        <f>'Data entry sylt'!I50</f>
        <v>-27928.93</v>
      </c>
      <c r="F50" s="39">
        <f>'Data entry sylt'!L50</f>
        <v>-38388</v>
      </c>
      <c r="G50" s="39">
        <f>'Data entry sylt'!O50</f>
        <v>-24195.98</v>
      </c>
      <c r="H50" s="39">
        <f>'Data entry sylt'!R50</f>
        <v>-24226.409199999998</v>
      </c>
      <c r="I50" s="39">
        <f>'Data entry sylt'!U50</f>
        <v>-36271.699200000003</v>
      </c>
      <c r="J50" s="39">
        <f>'Data entry sylt'!X50</f>
        <v>-45982.595099999999</v>
      </c>
      <c r="K50" s="39">
        <f>'Data entry sylt'!AA50</f>
        <v>-31280.076400000002</v>
      </c>
      <c r="L50" s="39">
        <f>'Data entry sylt'!AD50</f>
        <v>-30261.579300000001</v>
      </c>
      <c r="M50" s="39">
        <f>'Data entry sylt'!AG50</f>
        <v>-53819.795899999997</v>
      </c>
      <c r="N50" s="39">
        <f>'Data entry sylt'!AJ50</f>
        <v>-29389.064699999999</v>
      </c>
      <c r="O50" s="39">
        <f>'Data entry sylt'!AM50</f>
        <v>-27247.483499999998</v>
      </c>
    </row>
    <row r="51" spans="2:15" x14ac:dyDescent="0.15">
      <c r="B51" s="40"/>
      <c r="C51" s="39">
        <f>'Data entry sylt'!C51</f>
        <v>0</v>
      </c>
      <c r="D51" s="39">
        <f>'Data entry sylt'!F51</f>
        <v>0</v>
      </c>
      <c r="E51" s="39">
        <f>'Data entry sylt'!I51</f>
        <v>0</v>
      </c>
      <c r="F51" s="39">
        <f>'Data entry sylt'!L51</f>
        <v>0</v>
      </c>
      <c r="G51" s="39">
        <f>'Data entry sylt'!O51</f>
        <v>0</v>
      </c>
      <c r="H51" s="39">
        <f>'Data entry sylt'!R51</f>
        <v>0</v>
      </c>
      <c r="I51" s="39">
        <f>'Data entry sylt'!U51</f>
        <v>0</v>
      </c>
      <c r="J51" s="39">
        <f>'Data entry sylt'!X51</f>
        <v>0</v>
      </c>
      <c r="K51" s="39">
        <f>'Data entry sylt'!AA51</f>
        <v>0</v>
      </c>
      <c r="L51" s="39">
        <f>'Data entry sylt'!AD51</f>
        <v>0</v>
      </c>
      <c r="M51" s="39">
        <f>'Data entry sylt'!AG51</f>
        <v>0</v>
      </c>
      <c r="N51" s="39">
        <f>'Data entry sylt'!AJ51</f>
        <v>0</v>
      </c>
      <c r="O51" s="39">
        <f>'Data entry sylt'!AM51</f>
        <v>0</v>
      </c>
    </row>
    <row r="52" spans="2:15" ht="14" x14ac:dyDescent="0.15">
      <c r="B52" s="44" t="s">
        <v>50</v>
      </c>
      <c r="C52" s="39">
        <f>'Data entry sylt'!C52</f>
        <v>0</v>
      </c>
      <c r="D52" s="39">
        <f>'Data entry sylt'!F52</f>
        <v>0</v>
      </c>
      <c r="E52" s="39">
        <f>'Data entry sylt'!I52</f>
        <v>0</v>
      </c>
      <c r="F52" s="39">
        <f>'Data entry sylt'!L52</f>
        <v>0</v>
      </c>
      <c r="G52" s="39">
        <f>'Data entry sylt'!O52</f>
        <v>0</v>
      </c>
      <c r="H52" s="39">
        <f>'Data entry sylt'!R52</f>
        <v>0</v>
      </c>
      <c r="I52" s="39">
        <f>'Data entry sylt'!U52</f>
        <v>0</v>
      </c>
      <c r="J52" s="39">
        <f>'Data entry sylt'!X52</f>
        <v>0</v>
      </c>
      <c r="K52" s="39">
        <f>'Data entry sylt'!AA52</f>
        <v>0</v>
      </c>
      <c r="L52" s="39">
        <f>'Data entry sylt'!AD52</f>
        <v>0</v>
      </c>
      <c r="M52" s="39">
        <f>'Data entry sylt'!AG52</f>
        <v>0</v>
      </c>
      <c r="N52" s="39">
        <f>'Data entry sylt'!AJ52</f>
        <v>0</v>
      </c>
      <c r="O52" s="39">
        <f>'Data entry sylt'!AM52</f>
        <v>0</v>
      </c>
    </row>
    <row r="53" spans="2:15" ht="14" x14ac:dyDescent="0.15">
      <c r="B53" s="38" t="s">
        <v>37</v>
      </c>
      <c r="C53" s="39">
        <f>'Data entry sylt'!C53</f>
        <v>52340.0121</v>
      </c>
      <c r="D53" s="39">
        <f>'Data entry sylt'!F53</f>
        <v>3414.74</v>
      </c>
      <c r="E53" s="39">
        <f>'Data entry sylt'!I53</f>
        <v>3588.05</v>
      </c>
      <c r="F53" s="39">
        <f>'Data entry sylt'!L53</f>
        <v>7443.5</v>
      </c>
      <c r="G53" s="39">
        <f>'Data entry sylt'!O53</f>
        <v>4776.8999999999996</v>
      </c>
      <c r="H53" s="39">
        <f>'Data entry sylt'!R53</f>
        <v>5448.0812999999998</v>
      </c>
      <c r="I53" s="39">
        <f>'Data entry sylt'!U53</f>
        <v>6229.2476999999999</v>
      </c>
      <c r="J53" s="39">
        <f>'Data entry sylt'!X53</f>
        <v>9982.7883000000002</v>
      </c>
      <c r="K53" s="39">
        <f>'Data entry sylt'!AA53</f>
        <v>5812.1738999999998</v>
      </c>
      <c r="L53" s="39">
        <f>'Data entry sylt'!AD53</f>
        <v>5644.5308999999997</v>
      </c>
      <c r="M53" s="39">
        <f>'Data entry sylt'!AG53</f>
        <v>0</v>
      </c>
      <c r="N53" s="39">
        <f>'Data entry sylt'!AJ53</f>
        <v>0</v>
      </c>
      <c r="O53" s="39">
        <f>'Data entry sylt'!AM53</f>
        <v>0</v>
      </c>
    </row>
    <row r="54" spans="2:15" ht="14" x14ac:dyDescent="0.15">
      <c r="B54" s="38" t="s">
        <v>49</v>
      </c>
      <c r="C54" s="39">
        <f>'Data entry sylt'!C54</f>
        <v>18070.36</v>
      </c>
      <c r="D54" s="39">
        <f>'Data entry sylt'!F54</f>
        <v>107.14</v>
      </c>
      <c r="E54" s="39">
        <f>'Data entry sylt'!I54</f>
        <v>198</v>
      </c>
      <c r="F54" s="39">
        <f>'Data entry sylt'!L54</f>
        <v>1001.36</v>
      </c>
      <c r="G54" s="39">
        <f>'Data entry sylt'!O54</f>
        <v>63.86</v>
      </c>
      <c r="H54" s="39">
        <f>'Data entry sylt'!R54</f>
        <v>1400</v>
      </c>
      <c r="I54" s="39">
        <f>'Data entry sylt'!U54</f>
        <v>1700</v>
      </c>
      <c r="J54" s="39">
        <f>'Data entry sylt'!X54</f>
        <v>1800</v>
      </c>
      <c r="K54" s="39">
        <f>'Data entry sylt'!AA54</f>
        <v>2800</v>
      </c>
      <c r="L54" s="39">
        <f>'Data entry sylt'!AD54</f>
        <v>3000</v>
      </c>
      <c r="M54" s="39">
        <f>'Data entry sylt'!AG54</f>
        <v>3000</v>
      </c>
      <c r="N54" s="39">
        <f>'Data entry sylt'!AJ54</f>
        <v>1500</v>
      </c>
      <c r="O54" s="39">
        <f>'Data entry sylt'!AM54</f>
        <v>1500</v>
      </c>
    </row>
    <row r="55" spans="2:15" ht="14" x14ac:dyDescent="0.15">
      <c r="B55" s="38" t="s">
        <v>22</v>
      </c>
      <c r="C55" s="39">
        <f>'Data entry sylt'!C55</f>
        <v>0</v>
      </c>
      <c r="D55" s="39">
        <f>'Data entry sylt'!F55</f>
        <v>0</v>
      </c>
      <c r="E55" s="39">
        <f>'Data entry sylt'!I55</f>
        <v>0</v>
      </c>
      <c r="F55" s="39">
        <f>'Data entry sylt'!L55</f>
        <v>0</v>
      </c>
      <c r="G55" s="39">
        <f>'Data entry sylt'!O55</f>
        <v>0</v>
      </c>
      <c r="H55" s="39">
        <f>'Data entry sylt'!R55</f>
        <v>0</v>
      </c>
      <c r="I55" s="39">
        <f>'Data entry sylt'!U55</f>
        <v>0</v>
      </c>
      <c r="J55" s="39">
        <f>'Data entry sylt'!X55</f>
        <v>0</v>
      </c>
      <c r="K55" s="39">
        <f>'Data entry sylt'!AA55</f>
        <v>0</v>
      </c>
      <c r="L55" s="39">
        <f>'Data entry sylt'!AD55</f>
        <v>0</v>
      </c>
      <c r="M55" s="39">
        <f>'Data entry sylt'!AG55</f>
        <v>0</v>
      </c>
      <c r="N55" s="39">
        <f>'Data entry sylt'!AJ55</f>
        <v>0</v>
      </c>
      <c r="O55" s="39">
        <f>'Data entry sylt'!AM55</f>
        <v>0</v>
      </c>
    </row>
    <row r="56" spans="2:15" ht="14" x14ac:dyDescent="0.15">
      <c r="B56" s="38" t="s">
        <v>40</v>
      </c>
      <c r="C56" s="39">
        <f>'Data entry sylt'!C56</f>
        <v>3847.61</v>
      </c>
      <c r="D56" s="39">
        <f>'Data entry sylt'!F56</f>
        <v>729.41</v>
      </c>
      <c r="E56" s="39">
        <f>'Data entry sylt'!I56</f>
        <v>-47.4</v>
      </c>
      <c r="F56" s="39">
        <f>'Data entry sylt'!L56</f>
        <v>191.03</v>
      </c>
      <c r="G56" s="39">
        <f>'Data entry sylt'!O56</f>
        <v>454.57</v>
      </c>
      <c r="H56" s="39">
        <f>'Data entry sylt'!R56</f>
        <v>315</v>
      </c>
      <c r="I56" s="39">
        <f>'Data entry sylt'!U56</f>
        <v>315</v>
      </c>
      <c r="J56" s="39">
        <f>'Data entry sylt'!X56</f>
        <v>315</v>
      </c>
      <c r="K56" s="39">
        <f>'Data entry sylt'!AA56</f>
        <v>315</v>
      </c>
      <c r="L56" s="39">
        <f>'Data entry sylt'!AD56</f>
        <v>315</v>
      </c>
      <c r="M56" s="39">
        <f>'Data entry sylt'!AG56</f>
        <v>315</v>
      </c>
      <c r="N56" s="39">
        <f>'Data entry sylt'!AJ56</f>
        <v>315</v>
      </c>
      <c r="O56" s="39">
        <f>'Data entry sylt'!AM56</f>
        <v>315</v>
      </c>
    </row>
    <row r="57" spans="2:15" ht="14" x14ac:dyDescent="0.15">
      <c r="B57" s="42" t="s">
        <v>41</v>
      </c>
      <c r="C57" s="39">
        <f>'Data entry sylt'!C57</f>
        <v>30422.042099999999</v>
      </c>
      <c r="D57" s="39">
        <f>'Data entry sylt'!F57</f>
        <v>2578.19</v>
      </c>
      <c r="E57" s="39">
        <f>'Data entry sylt'!I57</f>
        <v>3437.45</v>
      </c>
      <c r="F57" s="39">
        <f>'Data entry sylt'!L57</f>
        <v>6251.11</v>
      </c>
      <c r="G57" s="39">
        <f>'Data entry sylt'!O57</f>
        <v>4258.47</v>
      </c>
      <c r="H57" s="39">
        <f>'Data entry sylt'!R57</f>
        <v>3733.0812999999998</v>
      </c>
      <c r="I57" s="39">
        <f>'Data entry sylt'!U57</f>
        <v>4214.2476999999999</v>
      </c>
      <c r="J57" s="39">
        <f>'Data entry sylt'!X57</f>
        <v>7867.7883000000002</v>
      </c>
      <c r="K57" s="39">
        <f>'Data entry sylt'!AA57</f>
        <v>2697.1738999999998</v>
      </c>
      <c r="L57" s="39">
        <f>'Data entry sylt'!AD57</f>
        <v>2329.5309000000002</v>
      </c>
      <c r="M57" s="39">
        <f>'Data entry sylt'!AG57</f>
        <v>-3315</v>
      </c>
      <c r="N57" s="39">
        <f>'Data entry sylt'!AJ57</f>
        <v>-1815</v>
      </c>
      <c r="O57" s="39">
        <f>'Data entry sylt'!AM57</f>
        <v>-1815</v>
      </c>
    </row>
    <row r="58" spans="2:15" x14ac:dyDescent="0.15">
      <c r="B58" s="40"/>
      <c r="C58" s="39">
        <f>'Data entry sylt'!C58</f>
        <v>0</v>
      </c>
      <c r="D58" s="39">
        <f>'Data entry sylt'!F58</f>
        <v>0</v>
      </c>
      <c r="E58" s="39">
        <f>'Data entry sylt'!I58</f>
        <v>0</v>
      </c>
      <c r="F58" s="39">
        <f>'Data entry sylt'!L58</f>
        <v>0</v>
      </c>
      <c r="G58" s="39">
        <f>'Data entry sylt'!O58</f>
        <v>0</v>
      </c>
      <c r="H58" s="39">
        <f>'Data entry sylt'!R58</f>
        <v>0</v>
      </c>
      <c r="I58" s="39">
        <f>'Data entry sylt'!U58</f>
        <v>0</v>
      </c>
      <c r="J58" s="39">
        <f>'Data entry sylt'!X58</f>
        <v>0</v>
      </c>
      <c r="K58" s="39">
        <f>'Data entry sylt'!AA58</f>
        <v>0</v>
      </c>
      <c r="L58" s="39">
        <f>'Data entry sylt'!AD58</f>
        <v>0</v>
      </c>
      <c r="M58" s="39">
        <f>'Data entry sylt'!AG58</f>
        <v>0</v>
      </c>
      <c r="N58" s="39">
        <f>'Data entry sylt'!AJ58</f>
        <v>0</v>
      </c>
      <c r="O58" s="39">
        <f>'Data entry sylt'!AM58</f>
        <v>0</v>
      </c>
    </row>
    <row r="59" spans="2:15" ht="14" x14ac:dyDescent="0.15">
      <c r="B59" s="44" t="s">
        <v>38</v>
      </c>
      <c r="C59" s="39">
        <f>'Data entry sylt'!C59</f>
        <v>0</v>
      </c>
      <c r="D59" s="39">
        <f>'Data entry sylt'!F59</f>
        <v>0</v>
      </c>
      <c r="E59" s="39">
        <f>'Data entry sylt'!I59</f>
        <v>0</v>
      </c>
      <c r="F59" s="39">
        <f>'Data entry sylt'!L59</f>
        <v>0</v>
      </c>
      <c r="G59" s="39">
        <f>'Data entry sylt'!O59</f>
        <v>0</v>
      </c>
      <c r="H59" s="39">
        <f>'Data entry sylt'!R59</f>
        <v>0</v>
      </c>
      <c r="I59" s="39">
        <f>'Data entry sylt'!U59</f>
        <v>0</v>
      </c>
      <c r="J59" s="39">
        <f>'Data entry sylt'!X59</f>
        <v>0</v>
      </c>
      <c r="K59" s="39">
        <f>'Data entry sylt'!AA59</f>
        <v>0</v>
      </c>
      <c r="L59" s="39">
        <f>'Data entry sylt'!AD59</f>
        <v>0</v>
      </c>
      <c r="M59" s="39">
        <f>'Data entry sylt'!AG59</f>
        <v>0</v>
      </c>
      <c r="N59" s="39">
        <f>'Data entry sylt'!AJ59</f>
        <v>0</v>
      </c>
      <c r="O59" s="39">
        <f>'Data entry sylt'!AM59</f>
        <v>0</v>
      </c>
    </row>
    <row r="60" spans="2:15" ht="14" x14ac:dyDescent="0.15">
      <c r="B60" s="42" t="s">
        <v>38</v>
      </c>
      <c r="C60" s="39">
        <f>'Data entry sylt'!C60</f>
        <v>35155.51</v>
      </c>
      <c r="D60" s="39">
        <f>'Data entry sylt'!F60</f>
        <v>406.66</v>
      </c>
      <c r="E60" s="39">
        <f>'Data entry sylt'!I60</f>
        <v>2969.56</v>
      </c>
      <c r="F60" s="39">
        <f>'Data entry sylt'!L60</f>
        <v>763.2</v>
      </c>
      <c r="G60" s="39">
        <f>'Data entry sylt'!O60</f>
        <v>166.09</v>
      </c>
      <c r="H60" s="39">
        <f>'Data entry sylt'!R60</f>
        <v>250</v>
      </c>
      <c r="I60" s="39">
        <f>'Data entry sylt'!U60</f>
        <v>6000</v>
      </c>
      <c r="J60" s="39">
        <f>'Data entry sylt'!X60</f>
        <v>4600</v>
      </c>
      <c r="K60" s="39">
        <f>'Data entry sylt'!AA60</f>
        <v>5000</v>
      </c>
      <c r="L60" s="39">
        <f>'Data entry sylt'!AD60</f>
        <v>15000</v>
      </c>
      <c r="M60" s="39">
        <f>'Data entry sylt'!AG60</f>
        <v>0</v>
      </c>
      <c r="N60" s="39">
        <f>'Data entry sylt'!AJ60</f>
        <v>0</v>
      </c>
      <c r="O60" s="39">
        <f>'Data entry sylt'!AM60</f>
        <v>0</v>
      </c>
    </row>
    <row r="61" spans="2:15" x14ac:dyDescent="0.15">
      <c r="B61" s="40"/>
      <c r="C61" s="39">
        <f>'Data entry sylt'!C61</f>
        <v>0</v>
      </c>
      <c r="D61" s="39">
        <f>'Data entry sylt'!F61</f>
        <v>0</v>
      </c>
      <c r="E61" s="39">
        <f>'Data entry sylt'!I61</f>
        <v>0</v>
      </c>
      <c r="F61" s="39">
        <f>'Data entry sylt'!L61</f>
        <v>0</v>
      </c>
      <c r="G61" s="39">
        <f>'Data entry sylt'!O61</f>
        <v>0</v>
      </c>
      <c r="H61" s="39">
        <f>'Data entry sylt'!R61</f>
        <v>0</v>
      </c>
      <c r="I61" s="39">
        <f>'Data entry sylt'!U61</f>
        <v>0</v>
      </c>
      <c r="J61" s="39">
        <f>'Data entry sylt'!X61</f>
        <v>0</v>
      </c>
      <c r="K61" s="39">
        <f>'Data entry sylt'!AA61</f>
        <v>0</v>
      </c>
      <c r="L61" s="39">
        <f>'Data entry sylt'!AD61</f>
        <v>0</v>
      </c>
      <c r="M61" s="39">
        <f>'Data entry sylt'!AG61</f>
        <v>0</v>
      </c>
      <c r="N61" s="39">
        <f>'Data entry sylt'!AJ61</f>
        <v>0</v>
      </c>
      <c r="O61" s="39">
        <f>'Data entry sylt'!AM61</f>
        <v>0</v>
      </c>
    </row>
    <row r="62" spans="2:15" ht="14" x14ac:dyDescent="0.15">
      <c r="B62" s="44" t="s">
        <v>51</v>
      </c>
      <c r="C62" s="39">
        <f>'Data entry sylt'!C62</f>
        <v>0</v>
      </c>
      <c r="D62" s="39">
        <f>'Data entry sylt'!F62</f>
        <v>0</v>
      </c>
      <c r="E62" s="39">
        <f>'Data entry sylt'!I62</f>
        <v>0</v>
      </c>
      <c r="F62" s="39">
        <f>'Data entry sylt'!L62</f>
        <v>0</v>
      </c>
      <c r="G62" s="39">
        <f>'Data entry sylt'!O62</f>
        <v>0</v>
      </c>
      <c r="H62" s="39">
        <f>'Data entry sylt'!R62</f>
        <v>0</v>
      </c>
      <c r="I62" s="39">
        <f>'Data entry sylt'!U62</f>
        <v>0</v>
      </c>
      <c r="J62" s="39">
        <f>'Data entry sylt'!X62</f>
        <v>0</v>
      </c>
      <c r="K62" s="39">
        <f>'Data entry sylt'!AA62</f>
        <v>0</v>
      </c>
      <c r="L62" s="39">
        <f>'Data entry sylt'!AD62</f>
        <v>0</v>
      </c>
      <c r="M62" s="39">
        <f>'Data entry sylt'!AG62</f>
        <v>0</v>
      </c>
      <c r="N62" s="39">
        <f>'Data entry sylt'!AJ62</f>
        <v>0</v>
      </c>
      <c r="O62" s="39">
        <f>'Data entry sylt'!AM62</f>
        <v>0</v>
      </c>
    </row>
    <row r="63" spans="2:15" ht="14" x14ac:dyDescent="0.15">
      <c r="B63" s="42" t="s">
        <v>52</v>
      </c>
      <c r="C63" s="39">
        <f>'Data entry sylt'!C63</f>
        <v>1225148.4054</v>
      </c>
      <c r="D63" s="39">
        <f>'Data entry sylt'!F63</f>
        <v>-88349.53</v>
      </c>
      <c r="E63" s="39">
        <f>'Data entry sylt'!I63</f>
        <v>3121.31</v>
      </c>
      <c r="F63" s="39">
        <f>'Data entry sylt'!L63</f>
        <v>12462.39</v>
      </c>
      <c r="G63" s="39">
        <f>'Data entry sylt'!O63</f>
        <v>97126.27</v>
      </c>
      <c r="H63" s="39">
        <f>'Data entry sylt'!R63</f>
        <v>226314.4</v>
      </c>
      <c r="I63" s="39">
        <f>'Data entry sylt'!U63</f>
        <v>237542.44159999999</v>
      </c>
      <c r="J63" s="39">
        <f>'Data entry sylt'!X63</f>
        <v>322661.255</v>
      </c>
      <c r="K63" s="39">
        <f>'Data entry sylt'!AA63</f>
        <v>365135.2548</v>
      </c>
      <c r="L63" s="39">
        <f>'Data entry sylt'!AD63</f>
        <v>304371.89429999999</v>
      </c>
      <c r="M63" s="39">
        <f>'Data entry sylt'!AG63</f>
        <v>-108238.34880000001</v>
      </c>
      <c r="N63" s="39">
        <f>'Data entry sylt'!AJ63</f>
        <v>-74210.098800000007</v>
      </c>
      <c r="O63" s="39">
        <f>'Data entry sylt'!AM63</f>
        <v>-72788.832699999999</v>
      </c>
    </row>
    <row r="64" spans="2:15" x14ac:dyDescent="0.15">
      <c r="B64" s="40"/>
      <c r="C64" s="39">
        <f>'Data entry sylt'!C64</f>
        <v>0</v>
      </c>
      <c r="D64" s="39">
        <f>'Data entry sylt'!F64</f>
        <v>0</v>
      </c>
      <c r="E64" s="39">
        <f>'Data entry sylt'!I64</f>
        <v>0</v>
      </c>
      <c r="F64" s="39">
        <f>'Data entry sylt'!L64</f>
        <v>0</v>
      </c>
      <c r="G64" s="39">
        <f>'Data entry sylt'!O64</f>
        <v>0</v>
      </c>
      <c r="H64" s="39">
        <f>'Data entry sylt'!R64</f>
        <v>0</v>
      </c>
      <c r="I64" s="39">
        <f>'Data entry sylt'!U64</f>
        <v>0</v>
      </c>
      <c r="J64" s="39">
        <f>'Data entry sylt'!X64</f>
        <v>0</v>
      </c>
      <c r="K64" s="39">
        <f>'Data entry sylt'!AA64</f>
        <v>0</v>
      </c>
      <c r="L64" s="39">
        <f>'Data entry sylt'!AD64</f>
        <v>0</v>
      </c>
      <c r="M64" s="39">
        <f>'Data entry sylt'!AG64</f>
        <v>0</v>
      </c>
      <c r="N64" s="39">
        <f>'Data entry sylt'!AJ64</f>
        <v>0</v>
      </c>
      <c r="O64" s="39">
        <f>'Data entry sylt'!AM64</f>
        <v>0</v>
      </c>
    </row>
    <row r="65" spans="2:15" ht="14" x14ac:dyDescent="0.15">
      <c r="B65" s="44" t="s">
        <v>53</v>
      </c>
      <c r="C65" s="39">
        <f>'Data entry sylt'!C65</f>
        <v>0</v>
      </c>
      <c r="D65" s="39">
        <f>'Data entry sylt'!F65</f>
        <v>0</v>
      </c>
      <c r="E65" s="39">
        <f>'Data entry sylt'!I65</f>
        <v>0</v>
      </c>
      <c r="F65" s="39">
        <f>'Data entry sylt'!L65</f>
        <v>0</v>
      </c>
      <c r="G65" s="39">
        <f>'Data entry sylt'!O65</f>
        <v>0</v>
      </c>
      <c r="H65" s="39">
        <f>'Data entry sylt'!R65</f>
        <v>0</v>
      </c>
      <c r="I65" s="39">
        <f>'Data entry sylt'!U65</f>
        <v>0</v>
      </c>
      <c r="J65" s="39">
        <f>'Data entry sylt'!X65</f>
        <v>0</v>
      </c>
      <c r="K65" s="39">
        <f>'Data entry sylt'!AA65</f>
        <v>0</v>
      </c>
      <c r="L65" s="39">
        <f>'Data entry sylt'!AD65</f>
        <v>0</v>
      </c>
      <c r="M65" s="39">
        <f>'Data entry sylt'!AG65</f>
        <v>0</v>
      </c>
      <c r="N65" s="39">
        <f>'Data entry sylt'!AJ65</f>
        <v>0</v>
      </c>
      <c r="O65" s="39">
        <f>'Data entry sylt'!AM65</f>
        <v>0</v>
      </c>
    </row>
    <row r="66" spans="2:15" ht="14" x14ac:dyDescent="0.15">
      <c r="B66" s="38" t="s">
        <v>22</v>
      </c>
      <c r="C66" s="39">
        <f>'Data entry sylt'!C66</f>
        <v>151293.90229999999</v>
      </c>
      <c r="D66" s="39">
        <f>'Data entry sylt'!F66</f>
        <v>11054.82</v>
      </c>
      <c r="E66" s="39">
        <f>'Data entry sylt'!I66</f>
        <v>10304.11</v>
      </c>
      <c r="F66" s="39">
        <f>'Data entry sylt'!L66</f>
        <v>13843.06</v>
      </c>
      <c r="G66" s="39">
        <f>'Data entry sylt'!O66</f>
        <v>11136.63</v>
      </c>
      <c r="H66" s="39">
        <f>'Data entry sylt'!R66</f>
        <v>14279.697200000001</v>
      </c>
      <c r="I66" s="39">
        <f>'Data entry sylt'!U66</f>
        <v>11882.7788</v>
      </c>
      <c r="J66" s="39">
        <f>'Data entry sylt'!X66</f>
        <v>15212.5278</v>
      </c>
      <c r="K66" s="39">
        <f>'Data entry sylt'!AA66</f>
        <v>13425.691800000001</v>
      </c>
      <c r="L66" s="39">
        <f>'Data entry sylt'!AD66</f>
        <v>9938.9269000000004</v>
      </c>
      <c r="M66" s="39">
        <f>'Data entry sylt'!AG66</f>
        <v>15165.022499999999</v>
      </c>
      <c r="N66" s="39">
        <f>'Data entry sylt'!AJ66</f>
        <v>14123.0278</v>
      </c>
      <c r="O66" s="39">
        <f>'Data entry sylt'!AM66</f>
        <v>10927.6095</v>
      </c>
    </row>
    <row r="67" spans="2:15" ht="14" x14ac:dyDescent="0.15">
      <c r="B67" s="38" t="s">
        <v>40</v>
      </c>
      <c r="C67" s="39">
        <f>'Data entry sylt'!C67</f>
        <v>126405.8711</v>
      </c>
      <c r="D67" s="39">
        <f>'Data entry sylt'!F67</f>
        <v>3337.64</v>
      </c>
      <c r="E67" s="39">
        <f>'Data entry sylt'!I67</f>
        <v>18982.45</v>
      </c>
      <c r="F67" s="39">
        <f>'Data entry sylt'!L67</f>
        <v>6005.92</v>
      </c>
      <c r="G67" s="39">
        <f>'Data entry sylt'!O67</f>
        <v>9446.01</v>
      </c>
      <c r="H67" s="39">
        <f>'Data entry sylt'!R67</f>
        <v>11958.884899999999</v>
      </c>
      <c r="I67" s="39">
        <f>'Data entry sylt'!U67</f>
        <v>14266.203100000001</v>
      </c>
      <c r="J67" s="39">
        <f>'Data entry sylt'!X67</f>
        <v>16177.869500000001</v>
      </c>
      <c r="K67" s="39">
        <f>'Data entry sylt'!AA67</f>
        <v>16800.390500000001</v>
      </c>
      <c r="L67" s="39">
        <f>'Data entry sylt'!AD67</f>
        <v>15073.5031</v>
      </c>
      <c r="M67" s="39">
        <f>'Data entry sylt'!AG67</f>
        <v>4019</v>
      </c>
      <c r="N67" s="39">
        <f>'Data entry sylt'!AJ67</f>
        <v>6319</v>
      </c>
      <c r="O67" s="39">
        <f>'Data entry sylt'!AM67</f>
        <v>4019</v>
      </c>
    </row>
    <row r="68" spans="2:15" ht="14" x14ac:dyDescent="0.15">
      <c r="B68" s="42" t="s">
        <v>41</v>
      </c>
      <c r="C68" s="39">
        <f>'Data entry sylt'!C68</f>
        <v>-277699.7733</v>
      </c>
      <c r="D68" s="39">
        <f>'Data entry sylt'!F68</f>
        <v>-14392.46</v>
      </c>
      <c r="E68" s="39">
        <f>'Data entry sylt'!I68</f>
        <v>-29286.560000000001</v>
      </c>
      <c r="F68" s="39">
        <f>'Data entry sylt'!L68</f>
        <v>-19848.98</v>
      </c>
      <c r="G68" s="39">
        <f>'Data entry sylt'!O68</f>
        <v>-20582.64</v>
      </c>
      <c r="H68" s="39">
        <f>'Data entry sylt'!R68</f>
        <v>-26238.581999999999</v>
      </c>
      <c r="I68" s="39">
        <f>'Data entry sylt'!U68</f>
        <v>-26148.981899999999</v>
      </c>
      <c r="J68" s="39">
        <f>'Data entry sylt'!X68</f>
        <v>-31390.397300000001</v>
      </c>
      <c r="K68" s="39">
        <f>'Data entry sylt'!AA68</f>
        <v>-30226.082299999998</v>
      </c>
      <c r="L68" s="39">
        <f>'Data entry sylt'!AD68</f>
        <v>-25012.43</v>
      </c>
      <c r="M68" s="39">
        <f>'Data entry sylt'!AG68</f>
        <v>-19184.022499999999</v>
      </c>
      <c r="N68" s="39">
        <f>'Data entry sylt'!AJ68</f>
        <v>-20442.0278</v>
      </c>
      <c r="O68" s="39">
        <f>'Data entry sylt'!AM68</f>
        <v>-14946.6095</v>
      </c>
    </row>
    <row r="69" spans="2:15" x14ac:dyDescent="0.15">
      <c r="B69" s="40"/>
      <c r="C69" s="39">
        <f>'Data entry sylt'!C69</f>
        <v>0</v>
      </c>
      <c r="D69" s="39">
        <f>'Data entry sylt'!F69</f>
        <v>0</v>
      </c>
      <c r="E69" s="39">
        <f>'Data entry sylt'!I69</f>
        <v>0</v>
      </c>
      <c r="F69" s="39">
        <f>'Data entry sylt'!L69</f>
        <v>0</v>
      </c>
      <c r="G69" s="39">
        <f>'Data entry sylt'!O69</f>
        <v>0</v>
      </c>
      <c r="H69" s="39">
        <f>'Data entry sylt'!R69</f>
        <v>0</v>
      </c>
      <c r="I69" s="39">
        <f>'Data entry sylt'!U69</f>
        <v>0</v>
      </c>
      <c r="J69" s="39">
        <f>'Data entry sylt'!X69</f>
        <v>0</v>
      </c>
      <c r="K69" s="39">
        <f>'Data entry sylt'!AA69</f>
        <v>0</v>
      </c>
      <c r="L69" s="39">
        <f>'Data entry sylt'!AD69</f>
        <v>0</v>
      </c>
      <c r="M69" s="39">
        <f>'Data entry sylt'!AG69</f>
        <v>0</v>
      </c>
      <c r="N69" s="39">
        <f>'Data entry sylt'!AJ69</f>
        <v>0</v>
      </c>
      <c r="O69" s="39">
        <f>'Data entry sylt'!AM69</f>
        <v>0</v>
      </c>
    </row>
    <row r="70" spans="2:15" ht="14" x14ac:dyDescent="0.15">
      <c r="B70" s="44" t="s">
        <v>54</v>
      </c>
      <c r="C70" s="39">
        <f>'Data entry sylt'!C70</f>
        <v>0</v>
      </c>
      <c r="D70" s="39">
        <f>'Data entry sylt'!F70</f>
        <v>0</v>
      </c>
      <c r="E70" s="39">
        <f>'Data entry sylt'!I70</f>
        <v>0</v>
      </c>
      <c r="F70" s="39">
        <f>'Data entry sylt'!L70</f>
        <v>0</v>
      </c>
      <c r="G70" s="39">
        <f>'Data entry sylt'!O70</f>
        <v>0</v>
      </c>
      <c r="H70" s="39">
        <f>'Data entry sylt'!R70</f>
        <v>0</v>
      </c>
      <c r="I70" s="39">
        <f>'Data entry sylt'!U70</f>
        <v>0</v>
      </c>
      <c r="J70" s="39">
        <f>'Data entry sylt'!X70</f>
        <v>0</v>
      </c>
      <c r="K70" s="39">
        <f>'Data entry sylt'!AA70</f>
        <v>0</v>
      </c>
      <c r="L70" s="39">
        <f>'Data entry sylt'!AD70</f>
        <v>0</v>
      </c>
      <c r="M70" s="39">
        <f>'Data entry sylt'!AG70</f>
        <v>0</v>
      </c>
      <c r="N70" s="39">
        <f>'Data entry sylt'!AJ70</f>
        <v>0</v>
      </c>
      <c r="O70" s="39">
        <f>'Data entry sylt'!AM70</f>
        <v>0</v>
      </c>
    </row>
    <row r="71" spans="2:15" ht="14" x14ac:dyDescent="0.15">
      <c r="B71" s="38" t="s">
        <v>55</v>
      </c>
      <c r="C71" s="39">
        <f>'Data entry sylt'!C71</f>
        <v>17850.68</v>
      </c>
      <c r="D71" s="39">
        <f>'Data entry sylt'!F71</f>
        <v>1851.21</v>
      </c>
      <c r="E71" s="39">
        <f>'Data entry sylt'!I71</f>
        <v>4936.34</v>
      </c>
      <c r="F71" s="39">
        <f>'Data entry sylt'!L71</f>
        <v>552.6</v>
      </c>
      <c r="G71" s="39">
        <f>'Data entry sylt'!O71</f>
        <v>974.53</v>
      </c>
      <c r="H71" s="39">
        <f>'Data entry sylt'!R71</f>
        <v>1192</v>
      </c>
      <c r="I71" s="39">
        <f>'Data entry sylt'!U71</f>
        <v>1192</v>
      </c>
      <c r="J71" s="39">
        <f>'Data entry sylt'!X71</f>
        <v>1192</v>
      </c>
      <c r="K71" s="39">
        <f>'Data entry sylt'!AA71</f>
        <v>1192</v>
      </c>
      <c r="L71" s="39">
        <f>'Data entry sylt'!AD71</f>
        <v>1192</v>
      </c>
      <c r="M71" s="39">
        <f>'Data entry sylt'!AG71</f>
        <v>1192</v>
      </c>
      <c r="N71" s="39">
        <f>'Data entry sylt'!AJ71</f>
        <v>1192</v>
      </c>
      <c r="O71" s="39">
        <f>'Data entry sylt'!AM71</f>
        <v>1192</v>
      </c>
    </row>
    <row r="72" spans="2:15" ht="14" x14ac:dyDescent="0.15">
      <c r="B72" s="38" t="s">
        <v>56</v>
      </c>
      <c r="C72" s="39">
        <f>'Data entry sylt'!C72</f>
        <v>57396.13</v>
      </c>
      <c r="D72" s="39">
        <f>'Data entry sylt'!F72</f>
        <v>1024.8800000000001</v>
      </c>
      <c r="E72" s="39">
        <f>'Data entry sylt'!I72</f>
        <v>7999.15</v>
      </c>
      <c r="F72" s="39">
        <f>'Data entry sylt'!L72</f>
        <v>4956.1000000000004</v>
      </c>
      <c r="G72" s="39">
        <f>'Data entry sylt'!O72</f>
        <v>4216</v>
      </c>
      <c r="H72" s="39">
        <f>'Data entry sylt'!R72</f>
        <v>4900</v>
      </c>
      <c r="I72" s="39">
        <f>'Data entry sylt'!U72</f>
        <v>4900</v>
      </c>
      <c r="J72" s="39">
        <f>'Data entry sylt'!X72</f>
        <v>4900</v>
      </c>
      <c r="K72" s="39">
        <f>'Data entry sylt'!AA72</f>
        <v>4900</v>
      </c>
      <c r="L72" s="39">
        <f>'Data entry sylt'!AD72</f>
        <v>4900</v>
      </c>
      <c r="M72" s="39">
        <f>'Data entry sylt'!AG72</f>
        <v>4900</v>
      </c>
      <c r="N72" s="39">
        <f>'Data entry sylt'!AJ72</f>
        <v>4900</v>
      </c>
      <c r="O72" s="39">
        <f>'Data entry sylt'!AM72</f>
        <v>4900</v>
      </c>
    </row>
    <row r="73" spans="2:15" ht="14" x14ac:dyDescent="0.15">
      <c r="B73" s="38" t="s">
        <v>40</v>
      </c>
      <c r="C73" s="39">
        <f>'Data entry sylt'!C73</f>
        <v>2584</v>
      </c>
      <c r="D73" s="39">
        <f>'Data entry sylt'!F73</f>
        <v>0</v>
      </c>
      <c r="E73" s="39">
        <f>'Data entry sylt'!I73</f>
        <v>0</v>
      </c>
      <c r="F73" s="39">
        <f>'Data entry sylt'!L73</f>
        <v>0</v>
      </c>
      <c r="G73" s="39">
        <f>'Data entry sylt'!O73</f>
        <v>0</v>
      </c>
      <c r="H73" s="39">
        <f>'Data entry sylt'!R73</f>
        <v>323</v>
      </c>
      <c r="I73" s="39">
        <f>'Data entry sylt'!U73</f>
        <v>323</v>
      </c>
      <c r="J73" s="39">
        <f>'Data entry sylt'!X73</f>
        <v>323</v>
      </c>
      <c r="K73" s="39">
        <f>'Data entry sylt'!AA73</f>
        <v>323</v>
      </c>
      <c r="L73" s="39">
        <f>'Data entry sylt'!AD73</f>
        <v>323</v>
      </c>
      <c r="M73" s="39">
        <f>'Data entry sylt'!AG73</f>
        <v>323</v>
      </c>
      <c r="N73" s="39">
        <f>'Data entry sylt'!AJ73</f>
        <v>323</v>
      </c>
      <c r="O73" s="39">
        <f>'Data entry sylt'!AM73</f>
        <v>323</v>
      </c>
    </row>
    <row r="74" spans="2:15" ht="14" x14ac:dyDescent="0.15">
      <c r="B74" s="42" t="s">
        <v>41</v>
      </c>
      <c r="C74" s="39">
        <f>'Data entry sylt'!C74</f>
        <v>-77830.81</v>
      </c>
      <c r="D74" s="39">
        <f>'Data entry sylt'!F74</f>
        <v>-2876.09</v>
      </c>
      <c r="E74" s="39">
        <f>'Data entry sylt'!I74</f>
        <v>-12935.49</v>
      </c>
      <c r="F74" s="39">
        <f>'Data entry sylt'!L74</f>
        <v>-5508.7</v>
      </c>
      <c r="G74" s="39">
        <f>'Data entry sylt'!O74</f>
        <v>-5190.53</v>
      </c>
      <c r="H74" s="39">
        <f>'Data entry sylt'!R74</f>
        <v>-6415</v>
      </c>
      <c r="I74" s="39">
        <f>'Data entry sylt'!U74</f>
        <v>-6415</v>
      </c>
      <c r="J74" s="39">
        <f>'Data entry sylt'!X74</f>
        <v>-6415</v>
      </c>
      <c r="K74" s="39">
        <f>'Data entry sylt'!AA74</f>
        <v>-6415</v>
      </c>
      <c r="L74" s="39">
        <f>'Data entry sylt'!AD74</f>
        <v>-6415</v>
      </c>
      <c r="M74" s="39">
        <f>'Data entry sylt'!AG74</f>
        <v>-6415</v>
      </c>
      <c r="N74" s="39">
        <f>'Data entry sylt'!AJ74</f>
        <v>-6415</v>
      </c>
      <c r="O74" s="39">
        <f>'Data entry sylt'!AM74</f>
        <v>-6415</v>
      </c>
    </row>
    <row r="75" spans="2:15" x14ac:dyDescent="0.15">
      <c r="B75" s="40"/>
      <c r="C75" s="39">
        <f>'Data entry sylt'!C75</f>
        <v>0</v>
      </c>
      <c r="D75" s="39">
        <f>'Data entry sylt'!F75</f>
        <v>0</v>
      </c>
      <c r="E75" s="39">
        <f>'Data entry sylt'!I75</f>
        <v>0</v>
      </c>
      <c r="F75" s="39">
        <f>'Data entry sylt'!L75</f>
        <v>0</v>
      </c>
      <c r="G75" s="39">
        <f>'Data entry sylt'!O75</f>
        <v>0</v>
      </c>
      <c r="H75" s="39">
        <f>'Data entry sylt'!R75</f>
        <v>0</v>
      </c>
      <c r="I75" s="39">
        <f>'Data entry sylt'!U75</f>
        <v>0</v>
      </c>
      <c r="J75" s="39">
        <f>'Data entry sylt'!X75</f>
        <v>0</v>
      </c>
      <c r="K75" s="39">
        <f>'Data entry sylt'!AA75</f>
        <v>0</v>
      </c>
      <c r="L75" s="39">
        <f>'Data entry sylt'!AD75</f>
        <v>0</v>
      </c>
      <c r="M75" s="39">
        <f>'Data entry sylt'!AG75</f>
        <v>0</v>
      </c>
      <c r="N75" s="39">
        <f>'Data entry sylt'!AJ75</f>
        <v>0</v>
      </c>
      <c r="O75" s="39">
        <f>'Data entry sylt'!AM75</f>
        <v>0</v>
      </c>
    </row>
    <row r="76" spans="2:15" ht="14" x14ac:dyDescent="0.15">
      <c r="B76" s="44" t="s">
        <v>57</v>
      </c>
      <c r="C76" s="39">
        <f>'Data entry sylt'!C76</f>
        <v>0</v>
      </c>
      <c r="D76" s="39">
        <f>'Data entry sylt'!F76</f>
        <v>0</v>
      </c>
      <c r="E76" s="39">
        <f>'Data entry sylt'!I76</f>
        <v>0</v>
      </c>
      <c r="F76" s="39">
        <f>'Data entry sylt'!L76</f>
        <v>0</v>
      </c>
      <c r="G76" s="39">
        <f>'Data entry sylt'!O76</f>
        <v>0</v>
      </c>
      <c r="H76" s="39">
        <f>'Data entry sylt'!R76</f>
        <v>0</v>
      </c>
      <c r="I76" s="39">
        <f>'Data entry sylt'!U76</f>
        <v>0</v>
      </c>
      <c r="J76" s="39">
        <f>'Data entry sylt'!X76</f>
        <v>0</v>
      </c>
      <c r="K76" s="39">
        <f>'Data entry sylt'!AA76</f>
        <v>0</v>
      </c>
      <c r="L76" s="39">
        <f>'Data entry sylt'!AD76</f>
        <v>0</v>
      </c>
      <c r="M76" s="39">
        <f>'Data entry sylt'!AG76</f>
        <v>0</v>
      </c>
      <c r="N76" s="39">
        <f>'Data entry sylt'!AJ76</f>
        <v>0</v>
      </c>
      <c r="O76" s="39">
        <f>'Data entry sylt'!AM76</f>
        <v>0</v>
      </c>
    </row>
    <row r="77" spans="2:15" ht="14" x14ac:dyDescent="0.15">
      <c r="B77" s="38" t="s">
        <v>22</v>
      </c>
      <c r="C77" s="39">
        <f>'Data entry sylt'!C77</f>
        <v>37129.9156</v>
      </c>
      <c r="D77" s="39">
        <f>'Data entry sylt'!F77</f>
        <v>0</v>
      </c>
      <c r="E77" s="39">
        <f>'Data entry sylt'!I77</f>
        <v>3256.56</v>
      </c>
      <c r="F77" s="39">
        <f>'Data entry sylt'!L77</f>
        <v>2802.5</v>
      </c>
      <c r="G77" s="39">
        <f>'Data entry sylt'!O77</f>
        <v>3979.93</v>
      </c>
      <c r="H77" s="39">
        <f>'Data entry sylt'!R77</f>
        <v>3969.9423999999999</v>
      </c>
      <c r="I77" s="39">
        <f>'Data entry sylt'!U77</f>
        <v>5123.6016</v>
      </c>
      <c r="J77" s="39">
        <f>'Data entry sylt'!X77</f>
        <v>6079.4348</v>
      </c>
      <c r="K77" s="39">
        <f>'Data entry sylt'!AA77</f>
        <v>6390.6952000000001</v>
      </c>
      <c r="L77" s="39">
        <f>'Data entry sylt'!AD77</f>
        <v>5527.2515999999996</v>
      </c>
      <c r="M77" s="39">
        <f>'Data entry sylt'!AG77</f>
        <v>0</v>
      </c>
      <c r="N77" s="39">
        <f>'Data entry sylt'!AJ77</f>
        <v>0</v>
      </c>
      <c r="O77" s="39">
        <f>'Data entry sylt'!AM77</f>
        <v>0</v>
      </c>
    </row>
    <row r="78" spans="2:15" ht="14" x14ac:dyDescent="0.15">
      <c r="B78" s="38" t="s">
        <v>40</v>
      </c>
      <c r="C78" s="39">
        <f>'Data entry sylt'!C78</f>
        <v>135232.5747</v>
      </c>
      <c r="D78" s="39">
        <f>'Data entry sylt'!F78</f>
        <v>10637.94</v>
      </c>
      <c r="E78" s="39">
        <f>'Data entry sylt'!I78</f>
        <v>543.09</v>
      </c>
      <c r="F78" s="39">
        <f>'Data entry sylt'!L78</f>
        <v>7503.49</v>
      </c>
      <c r="G78" s="39">
        <f>'Data entry sylt'!O78</f>
        <v>9818.4</v>
      </c>
      <c r="H78" s="39">
        <f>'Data entry sylt'!R78</f>
        <v>17210.4306</v>
      </c>
      <c r="I78" s="39">
        <f>'Data entry sylt'!U78</f>
        <v>17877.6662</v>
      </c>
      <c r="J78" s="39">
        <f>'Data entry sylt'!X78</f>
        <v>21394.377499999999</v>
      </c>
      <c r="K78" s="39">
        <f>'Data entry sylt'!AA78</f>
        <v>24528.821400000001</v>
      </c>
      <c r="L78" s="39">
        <f>'Data entry sylt'!AD78</f>
        <v>19256.359</v>
      </c>
      <c r="M78" s="39">
        <f>'Data entry sylt'!AG78</f>
        <v>2154</v>
      </c>
      <c r="N78" s="39">
        <f>'Data entry sylt'!AJ78</f>
        <v>2154</v>
      </c>
      <c r="O78" s="39">
        <f>'Data entry sylt'!AM78</f>
        <v>2154</v>
      </c>
    </row>
    <row r="79" spans="2:15" ht="14" x14ac:dyDescent="0.15">
      <c r="B79" s="42" t="s">
        <v>41</v>
      </c>
      <c r="C79" s="39">
        <f>'Data entry sylt'!C79</f>
        <v>-172362.4902</v>
      </c>
      <c r="D79" s="39">
        <f>'Data entry sylt'!F79</f>
        <v>-10637.94</v>
      </c>
      <c r="E79" s="39">
        <f>'Data entry sylt'!I79</f>
        <v>-3799.65</v>
      </c>
      <c r="F79" s="39">
        <f>'Data entry sylt'!L79</f>
        <v>-10305.99</v>
      </c>
      <c r="G79" s="39">
        <f>'Data entry sylt'!O79</f>
        <v>-13798.33</v>
      </c>
      <c r="H79" s="39">
        <f>'Data entry sylt'!R79</f>
        <v>-21180.373</v>
      </c>
      <c r="I79" s="39">
        <f>'Data entry sylt'!U79</f>
        <v>-23001.2677</v>
      </c>
      <c r="J79" s="39">
        <f>'Data entry sylt'!X79</f>
        <v>-27473.812300000001</v>
      </c>
      <c r="K79" s="39">
        <f>'Data entry sylt'!AA79</f>
        <v>-30919.5167</v>
      </c>
      <c r="L79" s="39">
        <f>'Data entry sylt'!AD79</f>
        <v>-24783.610499999999</v>
      </c>
      <c r="M79" s="39">
        <f>'Data entry sylt'!AG79</f>
        <v>-2154</v>
      </c>
      <c r="N79" s="39">
        <f>'Data entry sylt'!AJ79</f>
        <v>-2154</v>
      </c>
      <c r="O79" s="39">
        <f>'Data entry sylt'!AM79</f>
        <v>-2154</v>
      </c>
    </row>
    <row r="80" spans="2:15" x14ac:dyDescent="0.15">
      <c r="B80" s="40"/>
      <c r="C80" s="39">
        <f>'Data entry sylt'!C80</f>
        <v>0</v>
      </c>
      <c r="D80" s="39">
        <f>'Data entry sylt'!F80</f>
        <v>0</v>
      </c>
      <c r="E80" s="39">
        <f>'Data entry sylt'!I80</f>
        <v>0</v>
      </c>
      <c r="F80" s="39">
        <f>'Data entry sylt'!L80</f>
        <v>0</v>
      </c>
      <c r="G80" s="39">
        <f>'Data entry sylt'!O80</f>
        <v>0</v>
      </c>
      <c r="H80" s="39">
        <f>'Data entry sylt'!R80</f>
        <v>0</v>
      </c>
      <c r="I80" s="39">
        <f>'Data entry sylt'!U80</f>
        <v>0</v>
      </c>
      <c r="J80" s="39">
        <f>'Data entry sylt'!X80</f>
        <v>0</v>
      </c>
      <c r="K80" s="39">
        <f>'Data entry sylt'!AA80</f>
        <v>0</v>
      </c>
      <c r="L80" s="39">
        <f>'Data entry sylt'!AD80</f>
        <v>0</v>
      </c>
      <c r="M80" s="39">
        <f>'Data entry sylt'!AG80</f>
        <v>0</v>
      </c>
      <c r="N80" s="39">
        <f>'Data entry sylt'!AJ80</f>
        <v>0</v>
      </c>
      <c r="O80" s="39">
        <f>'Data entry sylt'!AM80</f>
        <v>0</v>
      </c>
    </row>
    <row r="81" spans="2:15" ht="14" x14ac:dyDescent="0.15">
      <c r="B81" s="44" t="s">
        <v>58</v>
      </c>
      <c r="C81" s="39">
        <f>'Data entry sylt'!C81</f>
        <v>0</v>
      </c>
      <c r="D81" s="39">
        <f>'Data entry sylt'!F81</f>
        <v>0</v>
      </c>
      <c r="E81" s="39">
        <f>'Data entry sylt'!I81</f>
        <v>0</v>
      </c>
      <c r="F81" s="39">
        <f>'Data entry sylt'!L81</f>
        <v>0</v>
      </c>
      <c r="G81" s="39">
        <f>'Data entry sylt'!O81</f>
        <v>0</v>
      </c>
      <c r="H81" s="39">
        <f>'Data entry sylt'!R81</f>
        <v>0</v>
      </c>
      <c r="I81" s="39">
        <f>'Data entry sylt'!U81</f>
        <v>0</v>
      </c>
      <c r="J81" s="39">
        <f>'Data entry sylt'!X81</f>
        <v>0</v>
      </c>
      <c r="K81" s="39">
        <f>'Data entry sylt'!AA81</f>
        <v>0</v>
      </c>
      <c r="L81" s="39">
        <f>'Data entry sylt'!AD81</f>
        <v>0</v>
      </c>
      <c r="M81" s="39">
        <f>'Data entry sylt'!AG81</f>
        <v>0</v>
      </c>
      <c r="N81" s="39">
        <f>'Data entry sylt'!AJ81</f>
        <v>0</v>
      </c>
      <c r="O81" s="39">
        <f>'Data entry sylt'!AM81</f>
        <v>0</v>
      </c>
    </row>
    <row r="82" spans="2:15" ht="14" x14ac:dyDescent="0.15">
      <c r="B82" s="38" t="s">
        <v>22</v>
      </c>
      <c r="C82" s="39">
        <f>'Data entry sylt'!C82</f>
        <v>89571.657800000001</v>
      </c>
      <c r="D82" s="39">
        <f>'Data entry sylt'!F82</f>
        <v>5454.16</v>
      </c>
      <c r="E82" s="39">
        <f>'Data entry sylt'!I82</f>
        <v>6263.75</v>
      </c>
      <c r="F82" s="39">
        <f>'Data entry sylt'!L82</f>
        <v>6276.76</v>
      </c>
      <c r="G82" s="39">
        <f>'Data entry sylt'!O82</f>
        <v>6268.62</v>
      </c>
      <c r="H82" s="39">
        <f>'Data entry sylt'!R82</f>
        <v>6822.6509999999998</v>
      </c>
      <c r="I82" s="39">
        <f>'Data entry sylt'!U82</f>
        <v>9467.4012000000002</v>
      </c>
      <c r="J82" s="39">
        <f>'Data entry sylt'!X82</f>
        <v>7877.9103999999998</v>
      </c>
      <c r="K82" s="39">
        <f>'Data entry sylt'!AA82</f>
        <v>7907.8073999999997</v>
      </c>
      <c r="L82" s="39">
        <f>'Data entry sylt'!AD82</f>
        <v>9265.5812000000005</v>
      </c>
      <c r="M82" s="39">
        <f>'Data entry sylt'!AG82</f>
        <v>9265.5812000000005</v>
      </c>
      <c r="N82" s="39">
        <f>'Data entry sylt'!AJ82</f>
        <v>8223.5864999999994</v>
      </c>
      <c r="O82" s="39">
        <f>'Data entry sylt'!AM82</f>
        <v>6477.8489</v>
      </c>
    </row>
    <row r="83" spans="2:15" ht="14" x14ac:dyDescent="0.15">
      <c r="B83" s="38" t="s">
        <v>40</v>
      </c>
      <c r="C83" s="39">
        <f>'Data entry sylt'!C83</f>
        <v>81510.48</v>
      </c>
      <c r="D83" s="39">
        <f>'Data entry sylt'!F83</f>
        <v>2632.41</v>
      </c>
      <c r="E83" s="39">
        <f>'Data entry sylt'!I83</f>
        <v>8800.17</v>
      </c>
      <c r="F83" s="39">
        <f>'Data entry sylt'!L83</f>
        <v>9503.86</v>
      </c>
      <c r="G83" s="39">
        <f>'Data entry sylt'!O83</f>
        <v>15394.04</v>
      </c>
      <c r="H83" s="39">
        <f>'Data entry sylt'!R83</f>
        <v>4935</v>
      </c>
      <c r="I83" s="39">
        <f>'Data entry sylt'!U83</f>
        <v>4985</v>
      </c>
      <c r="J83" s="39">
        <f>'Data entry sylt'!X83</f>
        <v>5310</v>
      </c>
      <c r="K83" s="39">
        <f>'Data entry sylt'!AA83</f>
        <v>6285</v>
      </c>
      <c r="L83" s="39">
        <f>'Data entry sylt'!AD83</f>
        <v>5485</v>
      </c>
      <c r="M83" s="39">
        <f>'Data entry sylt'!AG83</f>
        <v>5385</v>
      </c>
      <c r="N83" s="39">
        <f>'Data entry sylt'!AJ83</f>
        <v>4910</v>
      </c>
      <c r="O83" s="39">
        <f>'Data entry sylt'!AM83</f>
        <v>7885</v>
      </c>
    </row>
    <row r="84" spans="2:15" ht="14" x14ac:dyDescent="0.15">
      <c r="B84" s="42" t="s">
        <v>41</v>
      </c>
      <c r="C84" s="39">
        <f>'Data entry sylt'!C84</f>
        <v>-171082.1378</v>
      </c>
      <c r="D84" s="39">
        <f>'Data entry sylt'!F84</f>
        <v>-8086.57</v>
      </c>
      <c r="E84" s="39">
        <f>'Data entry sylt'!I84</f>
        <v>-15063.92</v>
      </c>
      <c r="F84" s="39">
        <f>'Data entry sylt'!L84</f>
        <v>-15780.62</v>
      </c>
      <c r="G84" s="39">
        <f>'Data entry sylt'!O84</f>
        <v>-21662.66</v>
      </c>
      <c r="H84" s="39">
        <f>'Data entry sylt'!R84</f>
        <v>-11757.651</v>
      </c>
      <c r="I84" s="39">
        <f>'Data entry sylt'!U84</f>
        <v>-14452.4012</v>
      </c>
      <c r="J84" s="39">
        <f>'Data entry sylt'!X84</f>
        <v>-13187.910400000001</v>
      </c>
      <c r="K84" s="39">
        <f>'Data entry sylt'!AA84</f>
        <v>-14192.8074</v>
      </c>
      <c r="L84" s="39">
        <f>'Data entry sylt'!AD84</f>
        <v>-14750.581200000001</v>
      </c>
      <c r="M84" s="39">
        <f>'Data entry sylt'!AG84</f>
        <v>-14650.581200000001</v>
      </c>
      <c r="N84" s="39">
        <f>'Data entry sylt'!AJ84</f>
        <v>-13133.586499999999</v>
      </c>
      <c r="O84" s="39">
        <f>'Data entry sylt'!AM84</f>
        <v>-14362.848900000001</v>
      </c>
    </row>
    <row r="85" spans="2:15" x14ac:dyDescent="0.15">
      <c r="B85" s="40"/>
      <c r="C85" s="39">
        <f>'Data entry sylt'!C85</f>
        <v>0</v>
      </c>
      <c r="D85" s="39">
        <f>'Data entry sylt'!F85</f>
        <v>0</v>
      </c>
      <c r="E85" s="39">
        <f>'Data entry sylt'!I85</f>
        <v>0</v>
      </c>
      <c r="F85" s="39">
        <f>'Data entry sylt'!L85</f>
        <v>0</v>
      </c>
      <c r="G85" s="39">
        <f>'Data entry sylt'!O85</f>
        <v>0</v>
      </c>
      <c r="H85" s="39">
        <f>'Data entry sylt'!R85</f>
        <v>0</v>
      </c>
      <c r="I85" s="39">
        <f>'Data entry sylt'!U85</f>
        <v>0</v>
      </c>
      <c r="J85" s="39">
        <f>'Data entry sylt'!X85</f>
        <v>0</v>
      </c>
      <c r="K85" s="39">
        <f>'Data entry sylt'!AA85</f>
        <v>0</v>
      </c>
      <c r="L85" s="39">
        <f>'Data entry sylt'!AD85</f>
        <v>0</v>
      </c>
      <c r="M85" s="39">
        <f>'Data entry sylt'!AG85</f>
        <v>0</v>
      </c>
      <c r="N85" s="39">
        <f>'Data entry sylt'!AJ85</f>
        <v>0</v>
      </c>
      <c r="O85" s="39">
        <f>'Data entry sylt'!AM85</f>
        <v>0</v>
      </c>
    </row>
    <row r="86" spans="2:15" ht="14" x14ac:dyDescent="0.15">
      <c r="B86" s="44" t="s">
        <v>59</v>
      </c>
      <c r="C86" s="39">
        <f>'Data entry sylt'!C86</f>
        <v>0</v>
      </c>
      <c r="D86" s="39">
        <f>'Data entry sylt'!F86</f>
        <v>0</v>
      </c>
      <c r="E86" s="39">
        <f>'Data entry sylt'!I86</f>
        <v>0</v>
      </c>
      <c r="F86" s="39">
        <f>'Data entry sylt'!L86</f>
        <v>0</v>
      </c>
      <c r="G86" s="39">
        <f>'Data entry sylt'!O86</f>
        <v>0</v>
      </c>
      <c r="H86" s="39">
        <f>'Data entry sylt'!R86</f>
        <v>0</v>
      </c>
      <c r="I86" s="39">
        <f>'Data entry sylt'!U86</f>
        <v>0</v>
      </c>
      <c r="J86" s="39">
        <f>'Data entry sylt'!X86</f>
        <v>0</v>
      </c>
      <c r="K86" s="39">
        <f>'Data entry sylt'!AA86</f>
        <v>0</v>
      </c>
      <c r="L86" s="39">
        <f>'Data entry sylt'!AD86</f>
        <v>0</v>
      </c>
      <c r="M86" s="39">
        <f>'Data entry sylt'!AG86</f>
        <v>0</v>
      </c>
      <c r="N86" s="39">
        <f>'Data entry sylt'!AJ86</f>
        <v>0</v>
      </c>
      <c r="O86" s="39">
        <f>'Data entry sylt'!AM86</f>
        <v>0</v>
      </c>
    </row>
    <row r="87" spans="2:15" ht="14" x14ac:dyDescent="0.15">
      <c r="B87" s="42" t="s">
        <v>41</v>
      </c>
      <c r="C87" s="39">
        <f>'Data entry sylt'!C87</f>
        <v>-242297.44</v>
      </c>
      <c r="D87" s="39">
        <f>'Data entry sylt'!F87</f>
        <v>-29303.95</v>
      </c>
      <c r="E87" s="39">
        <f>'Data entry sylt'!I87</f>
        <v>-29310.18</v>
      </c>
      <c r="F87" s="39">
        <f>'Data entry sylt'!L87</f>
        <v>6141.29</v>
      </c>
      <c r="G87" s="39">
        <f>'Data entry sylt'!O87</f>
        <v>-19846.599999999999</v>
      </c>
      <c r="H87" s="39">
        <f>'Data entry sylt'!R87</f>
        <v>-30827</v>
      </c>
      <c r="I87" s="39">
        <f>'Data entry sylt'!U87</f>
        <v>-25767.200000000001</v>
      </c>
      <c r="J87" s="39">
        <f>'Data entry sylt'!X87</f>
        <v>-39952</v>
      </c>
      <c r="K87" s="39">
        <f>'Data entry sylt'!AA87</f>
        <v>-24678.799999999999</v>
      </c>
      <c r="L87" s="39">
        <f>'Data entry sylt'!AD87</f>
        <v>-21753</v>
      </c>
      <c r="M87" s="39">
        <f>'Data entry sylt'!AG87</f>
        <v>-13000</v>
      </c>
      <c r="N87" s="39">
        <f>'Data entry sylt'!AJ87</f>
        <v>-9000</v>
      </c>
      <c r="O87" s="39">
        <f>'Data entry sylt'!AM87</f>
        <v>-5000</v>
      </c>
    </row>
    <row r="88" spans="2:15" x14ac:dyDescent="0.15">
      <c r="B88" s="40"/>
      <c r="C88" s="39">
        <f>'Data entry sylt'!C88</f>
        <v>0</v>
      </c>
      <c r="D88" s="39">
        <f>'Data entry sylt'!F88</f>
        <v>0</v>
      </c>
      <c r="E88" s="39">
        <f>'Data entry sylt'!I88</f>
        <v>0</v>
      </c>
      <c r="F88" s="39">
        <f>'Data entry sylt'!L88</f>
        <v>0</v>
      </c>
      <c r="G88" s="39">
        <f>'Data entry sylt'!O88</f>
        <v>0</v>
      </c>
      <c r="H88" s="39">
        <f>'Data entry sylt'!R88</f>
        <v>0</v>
      </c>
      <c r="I88" s="39">
        <f>'Data entry sylt'!U88</f>
        <v>0</v>
      </c>
      <c r="J88" s="39">
        <f>'Data entry sylt'!X88</f>
        <v>0</v>
      </c>
      <c r="K88" s="39">
        <f>'Data entry sylt'!AA88</f>
        <v>0</v>
      </c>
      <c r="L88" s="39">
        <f>'Data entry sylt'!AD88</f>
        <v>0</v>
      </c>
      <c r="M88" s="39">
        <f>'Data entry sylt'!AG88</f>
        <v>0</v>
      </c>
      <c r="N88" s="39">
        <f>'Data entry sylt'!AJ88</f>
        <v>0</v>
      </c>
      <c r="O88" s="39">
        <f>'Data entry sylt'!AM88</f>
        <v>0</v>
      </c>
    </row>
    <row r="89" spans="2:15" ht="14" x14ac:dyDescent="0.15">
      <c r="B89" s="42" t="s">
        <v>23</v>
      </c>
      <c r="C89" s="39">
        <f>'Data entry sylt'!C89</f>
        <v>283875.75410000002</v>
      </c>
      <c r="D89" s="39">
        <f>'Data entry sylt'!F89</f>
        <v>-153646.54</v>
      </c>
      <c r="E89" s="39">
        <f>'Data entry sylt'!I89</f>
        <v>-87274.49</v>
      </c>
      <c r="F89" s="39">
        <f>'Data entry sylt'!L89</f>
        <v>-32840.61</v>
      </c>
      <c r="G89" s="39">
        <f>'Data entry sylt'!O89</f>
        <v>16045.51</v>
      </c>
      <c r="H89" s="39">
        <f>'Data entry sylt'!R89</f>
        <v>129895.7939</v>
      </c>
      <c r="I89" s="39">
        <f>'Data entry sylt'!U89</f>
        <v>141757.59080000001</v>
      </c>
      <c r="J89" s="39">
        <f>'Data entry sylt'!X89</f>
        <v>204242.13500000001</v>
      </c>
      <c r="K89" s="39">
        <f>'Data entry sylt'!AA89</f>
        <v>258703.0484</v>
      </c>
      <c r="L89" s="39">
        <f>'Data entry sylt'!AD89</f>
        <v>211657.2726</v>
      </c>
      <c r="M89" s="39">
        <f>'Data entry sylt'!AG89</f>
        <v>-163641.95250000001</v>
      </c>
      <c r="N89" s="39">
        <f>'Data entry sylt'!AJ89</f>
        <v>-125354.713</v>
      </c>
      <c r="O89" s="39">
        <f>'Data entry sylt'!AM89</f>
        <v>-115667.2911</v>
      </c>
    </row>
    <row r="90" spans="2:15" x14ac:dyDescent="0.15">
      <c r="B90" s="40"/>
      <c r="C90" s="39">
        <f>'Data entry sylt'!C90</f>
        <v>0</v>
      </c>
      <c r="D90" s="39">
        <f>'Data entry sylt'!F90</f>
        <v>0</v>
      </c>
      <c r="E90" s="39">
        <f>'Data entry sylt'!I90</f>
        <v>0</v>
      </c>
      <c r="F90" s="39">
        <f>'Data entry sylt'!L90</f>
        <v>0</v>
      </c>
      <c r="G90" s="39">
        <f>'Data entry sylt'!O90</f>
        <v>0</v>
      </c>
      <c r="H90" s="39">
        <f>'Data entry sylt'!R90</f>
        <v>0</v>
      </c>
      <c r="I90" s="39">
        <f>'Data entry sylt'!U90</f>
        <v>0</v>
      </c>
      <c r="J90" s="39">
        <f>'Data entry sylt'!X90</f>
        <v>0</v>
      </c>
      <c r="K90" s="39">
        <f>'Data entry sylt'!AA90</f>
        <v>0</v>
      </c>
      <c r="L90" s="39">
        <f>'Data entry sylt'!AD90</f>
        <v>0</v>
      </c>
      <c r="M90" s="39">
        <f>'Data entry sylt'!AG90</f>
        <v>0</v>
      </c>
      <c r="N90" s="39">
        <f>'Data entry sylt'!AJ90</f>
        <v>0</v>
      </c>
      <c r="O90" s="39">
        <f>'Data entry sylt'!AM90</f>
        <v>0</v>
      </c>
    </row>
    <row r="91" spans="2:15" ht="14" x14ac:dyDescent="0.15">
      <c r="B91" s="42" t="s">
        <v>60</v>
      </c>
      <c r="C91" s="39">
        <f>'Data entry sylt'!C91</f>
        <v>0</v>
      </c>
      <c r="D91" s="39">
        <f>'Data entry sylt'!F91</f>
        <v>0</v>
      </c>
      <c r="E91" s="39">
        <f>'Data entry sylt'!I91</f>
        <v>0</v>
      </c>
      <c r="F91" s="39">
        <f>'Data entry sylt'!L91</f>
        <v>0</v>
      </c>
      <c r="G91" s="39">
        <f>'Data entry sylt'!O91</f>
        <v>0</v>
      </c>
      <c r="H91" s="39">
        <f>'Data entry sylt'!R91</f>
        <v>0</v>
      </c>
      <c r="I91" s="39">
        <f>'Data entry sylt'!U91</f>
        <v>0</v>
      </c>
      <c r="J91" s="39">
        <f>'Data entry sylt'!X91</f>
        <v>0</v>
      </c>
      <c r="K91" s="39">
        <f>'Data entry sylt'!AA91</f>
        <v>0</v>
      </c>
      <c r="L91" s="39">
        <f>'Data entry sylt'!AD91</f>
        <v>0</v>
      </c>
      <c r="M91" s="39">
        <f>'Data entry sylt'!AG91</f>
        <v>0</v>
      </c>
      <c r="N91" s="39">
        <f>'Data entry sylt'!AJ91</f>
        <v>0</v>
      </c>
      <c r="O91" s="39">
        <f>'Data entry sylt'!AM91</f>
        <v>0</v>
      </c>
    </row>
    <row r="92" spans="2:15" ht="14" x14ac:dyDescent="0.15">
      <c r="B92" s="38" t="s">
        <v>61</v>
      </c>
      <c r="C92" s="39">
        <f>'Data entry sylt'!C92</f>
        <v>0</v>
      </c>
      <c r="D92" s="39">
        <f>'Data entry sylt'!F92</f>
        <v>0</v>
      </c>
      <c r="E92" s="39">
        <f>'Data entry sylt'!I92</f>
        <v>0</v>
      </c>
      <c r="F92" s="39">
        <f>'Data entry sylt'!L92</f>
        <v>0</v>
      </c>
      <c r="G92" s="39">
        <f>'Data entry sylt'!O92</f>
        <v>0</v>
      </c>
      <c r="H92" s="39">
        <f>'Data entry sylt'!R92</f>
        <v>0</v>
      </c>
      <c r="I92" s="39">
        <f>'Data entry sylt'!U92</f>
        <v>0</v>
      </c>
      <c r="J92" s="39">
        <f>'Data entry sylt'!X92</f>
        <v>0</v>
      </c>
      <c r="K92" s="39">
        <f>'Data entry sylt'!AA92</f>
        <v>0</v>
      </c>
      <c r="L92" s="39">
        <f>'Data entry sylt'!AD92</f>
        <v>0</v>
      </c>
      <c r="M92" s="39">
        <f>'Data entry sylt'!AG92</f>
        <v>0</v>
      </c>
      <c r="N92" s="39">
        <f>'Data entry sylt'!AJ92</f>
        <v>0</v>
      </c>
      <c r="O92" s="39">
        <f>'Data entry sylt'!AM92</f>
        <v>0</v>
      </c>
    </row>
    <row r="93" spans="2:15" ht="14" x14ac:dyDescent="0.15">
      <c r="B93" s="38" t="s">
        <v>62</v>
      </c>
      <c r="C93" s="39">
        <f>'Data entry sylt'!C93</f>
        <v>0</v>
      </c>
      <c r="D93" s="39">
        <f>'Data entry sylt'!F93</f>
        <v>0</v>
      </c>
      <c r="E93" s="39">
        <f>'Data entry sylt'!I93</f>
        <v>0</v>
      </c>
      <c r="F93" s="39">
        <f>'Data entry sylt'!L93</f>
        <v>0</v>
      </c>
      <c r="G93" s="39">
        <f>'Data entry sylt'!O93</f>
        <v>0</v>
      </c>
      <c r="H93" s="39">
        <f>'Data entry sylt'!R93</f>
        <v>0</v>
      </c>
      <c r="I93" s="39">
        <f>'Data entry sylt'!U93</f>
        <v>0</v>
      </c>
      <c r="J93" s="39">
        <f>'Data entry sylt'!X93</f>
        <v>0</v>
      </c>
      <c r="K93" s="39">
        <f>'Data entry sylt'!AA93</f>
        <v>0</v>
      </c>
      <c r="L93" s="39">
        <f>'Data entry sylt'!AD93</f>
        <v>0</v>
      </c>
      <c r="M93" s="39">
        <f>'Data entry sylt'!AG93</f>
        <v>0</v>
      </c>
      <c r="N93" s="39">
        <f>'Data entry sylt'!AJ93</f>
        <v>0</v>
      </c>
      <c r="O93" s="39">
        <f>'Data entry sylt'!AM93</f>
        <v>0</v>
      </c>
    </row>
    <row r="94" spans="2:15" ht="14" x14ac:dyDescent="0.15">
      <c r="B94" s="38" t="s">
        <v>63</v>
      </c>
      <c r="C94" s="39">
        <f>'Data entry sylt'!C94</f>
        <v>0</v>
      </c>
      <c r="D94" s="39">
        <f>'Data entry sylt'!F94</f>
        <v>0</v>
      </c>
      <c r="E94" s="39">
        <f>'Data entry sylt'!I94</f>
        <v>0</v>
      </c>
      <c r="F94" s="39">
        <f>'Data entry sylt'!L94</f>
        <v>0</v>
      </c>
      <c r="G94" s="39">
        <f>'Data entry sylt'!O94</f>
        <v>0</v>
      </c>
      <c r="H94" s="39">
        <f>'Data entry sylt'!R94</f>
        <v>0</v>
      </c>
      <c r="I94" s="39">
        <f>'Data entry sylt'!U94</f>
        <v>0</v>
      </c>
      <c r="J94" s="39">
        <f>'Data entry sylt'!X94</f>
        <v>0</v>
      </c>
      <c r="K94" s="39">
        <f>'Data entry sylt'!AA94</f>
        <v>0</v>
      </c>
      <c r="L94" s="39">
        <f>'Data entry sylt'!AD94</f>
        <v>0</v>
      </c>
      <c r="M94" s="39">
        <f>'Data entry sylt'!AG94</f>
        <v>0</v>
      </c>
      <c r="N94" s="39">
        <f>'Data entry sylt'!AJ94</f>
        <v>0</v>
      </c>
      <c r="O94" s="39">
        <f>'Data entry sylt'!AM94</f>
        <v>0</v>
      </c>
    </row>
    <row r="95" spans="2:15" ht="14" x14ac:dyDescent="0.15">
      <c r="B95" s="38" t="s">
        <v>64</v>
      </c>
      <c r="C95" s="39">
        <f>'Data entry sylt'!C95</f>
        <v>0</v>
      </c>
      <c r="D95" s="39">
        <f>'Data entry sylt'!F95</f>
        <v>0</v>
      </c>
      <c r="E95" s="39">
        <f>'Data entry sylt'!I95</f>
        <v>0</v>
      </c>
      <c r="F95" s="39">
        <f>'Data entry sylt'!L95</f>
        <v>0</v>
      </c>
      <c r="G95" s="39">
        <f>'Data entry sylt'!O95</f>
        <v>0</v>
      </c>
      <c r="H95" s="39">
        <f>'Data entry sylt'!R95</f>
        <v>0</v>
      </c>
      <c r="I95" s="39">
        <f>'Data entry sylt'!U95</f>
        <v>0</v>
      </c>
      <c r="J95" s="39">
        <f>'Data entry sylt'!X95</f>
        <v>0</v>
      </c>
      <c r="K95" s="39">
        <f>'Data entry sylt'!AA95</f>
        <v>0</v>
      </c>
      <c r="L95" s="39">
        <f>'Data entry sylt'!AD95</f>
        <v>0</v>
      </c>
      <c r="M95" s="39">
        <f>'Data entry sylt'!AG95</f>
        <v>0</v>
      </c>
      <c r="N95" s="39">
        <f>'Data entry sylt'!AJ95</f>
        <v>0</v>
      </c>
      <c r="O95" s="39">
        <f>'Data entry sylt'!AM95</f>
        <v>0</v>
      </c>
    </row>
    <row r="96" spans="2:15" x14ac:dyDescent="0.15">
      <c r="B96" s="40"/>
      <c r="C96" s="39">
        <f>'Data entry sylt'!C96</f>
        <v>0</v>
      </c>
      <c r="D96" s="39">
        <f>'Data entry sylt'!F96</f>
        <v>0</v>
      </c>
      <c r="E96" s="39">
        <f>'Data entry sylt'!I96</f>
        <v>0</v>
      </c>
      <c r="F96" s="39">
        <f>'Data entry sylt'!L96</f>
        <v>0</v>
      </c>
      <c r="G96" s="39">
        <f>'Data entry sylt'!O96</f>
        <v>0</v>
      </c>
      <c r="H96" s="39">
        <f>'Data entry sylt'!R96</f>
        <v>0</v>
      </c>
      <c r="I96" s="39">
        <f>'Data entry sylt'!U96</f>
        <v>0</v>
      </c>
      <c r="J96" s="39">
        <f>'Data entry sylt'!X96</f>
        <v>0</v>
      </c>
      <c r="K96" s="39">
        <f>'Data entry sylt'!AA96</f>
        <v>0</v>
      </c>
      <c r="L96" s="39">
        <f>'Data entry sylt'!AD96</f>
        <v>0</v>
      </c>
      <c r="M96" s="39">
        <f>'Data entry sylt'!AG96</f>
        <v>0</v>
      </c>
      <c r="N96" s="39">
        <f>'Data entry sylt'!AJ96</f>
        <v>0</v>
      </c>
      <c r="O96" s="39">
        <f>'Data entry sylt'!AM96</f>
        <v>0</v>
      </c>
    </row>
    <row r="97" spans="2:15" ht="14" x14ac:dyDescent="0.15">
      <c r="B97" s="42" t="s">
        <v>65</v>
      </c>
      <c r="C97" s="39">
        <f>'Data entry sylt'!C97</f>
        <v>0</v>
      </c>
      <c r="D97" s="39">
        <f>'Data entry sylt'!F97</f>
        <v>0</v>
      </c>
      <c r="E97" s="39">
        <f>'Data entry sylt'!I97</f>
        <v>0</v>
      </c>
      <c r="F97" s="39">
        <f>'Data entry sylt'!L97</f>
        <v>0</v>
      </c>
      <c r="G97" s="39">
        <f>'Data entry sylt'!O97</f>
        <v>0</v>
      </c>
      <c r="H97" s="39">
        <f>'Data entry sylt'!R97</f>
        <v>0</v>
      </c>
      <c r="I97" s="39">
        <f>'Data entry sylt'!U97</f>
        <v>0</v>
      </c>
      <c r="J97" s="39">
        <f>'Data entry sylt'!X97</f>
        <v>0</v>
      </c>
      <c r="K97" s="39">
        <f>'Data entry sylt'!AA97</f>
        <v>0</v>
      </c>
      <c r="L97" s="39">
        <f>'Data entry sylt'!AD97</f>
        <v>0</v>
      </c>
      <c r="M97" s="39">
        <f>'Data entry sylt'!AG97</f>
        <v>0</v>
      </c>
      <c r="N97" s="39">
        <f>'Data entry sylt'!AJ97</f>
        <v>0</v>
      </c>
      <c r="O97" s="39">
        <f>'Data entry sylt'!AM97</f>
        <v>0</v>
      </c>
    </row>
    <row r="98" spans="2:15" ht="14" x14ac:dyDescent="0.15">
      <c r="B98" s="38" t="s">
        <v>66</v>
      </c>
      <c r="C98" s="39">
        <f>'Data entry sylt'!C98</f>
        <v>0</v>
      </c>
      <c r="D98" s="39">
        <f>'Data entry sylt'!F98</f>
        <v>0</v>
      </c>
      <c r="E98" s="39">
        <f>'Data entry sylt'!I98</f>
        <v>0</v>
      </c>
      <c r="F98" s="39">
        <f>'Data entry sylt'!L98</f>
        <v>0</v>
      </c>
      <c r="G98" s="39">
        <f>'Data entry sylt'!O98</f>
        <v>0</v>
      </c>
      <c r="H98" s="39">
        <f>'Data entry sylt'!R98</f>
        <v>0</v>
      </c>
      <c r="I98" s="39">
        <f>'Data entry sylt'!U98</f>
        <v>0</v>
      </c>
      <c r="J98" s="39">
        <f>'Data entry sylt'!X98</f>
        <v>0</v>
      </c>
      <c r="K98" s="39">
        <f>'Data entry sylt'!AA98</f>
        <v>0</v>
      </c>
      <c r="L98" s="39">
        <f>'Data entry sylt'!AD98</f>
        <v>0</v>
      </c>
      <c r="M98" s="39">
        <f>'Data entry sylt'!AG98</f>
        <v>0</v>
      </c>
      <c r="N98" s="39">
        <f>'Data entry sylt'!AJ98</f>
        <v>0</v>
      </c>
      <c r="O98" s="39">
        <f>'Data entry sylt'!AM98</f>
        <v>0</v>
      </c>
    </row>
    <row r="99" spans="2:15" ht="14" x14ac:dyDescent="0.15">
      <c r="B99" s="38" t="s">
        <v>67</v>
      </c>
      <c r="C99" s="39">
        <f>'Data entry sylt'!C99</f>
        <v>0</v>
      </c>
      <c r="D99" s="39">
        <f>'Data entry sylt'!F99</f>
        <v>0</v>
      </c>
      <c r="E99" s="39">
        <f>'Data entry sylt'!I99</f>
        <v>0</v>
      </c>
      <c r="F99" s="39">
        <f>'Data entry sylt'!L99</f>
        <v>0</v>
      </c>
      <c r="G99" s="39">
        <f>'Data entry sylt'!O99</f>
        <v>0</v>
      </c>
      <c r="H99" s="39">
        <f>'Data entry sylt'!R99</f>
        <v>0</v>
      </c>
      <c r="I99" s="39">
        <f>'Data entry sylt'!U99</f>
        <v>0</v>
      </c>
      <c r="J99" s="39">
        <f>'Data entry sylt'!X99</f>
        <v>0</v>
      </c>
      <c r="K99" s="39">
        <f>'Data entry sylt'!AA99</f>
        <v>0</v>
      </c>
      <c r="L99" s="39">
        <f>'Data entry sylt'!AD99</f>
        <v>0</v>
      </c>
      <c r="M99" s="39">
        <f>'Data entry sylt'!AG99</f>
        <v>0</v>
      </c>
      <c r="N99" s="39">
        <f>'Data entry sylt'!AJ99</f>
        <v>0</v>
      </c>
      <c r="O99" s="39">
        <f>'Data entry sylt'!AM99</f>
        <v>0</v>
      </c>
    </row>
    <row r="100" spans="2:15" x14ac:dyDescent="0.15">
      <c r="B100" s="40"/>
      <c r="C100" s="39">
        <f>'Data entry sylt'!C100</f>
        <v>0</v>
      </c>
      <c r="D100" s="39">
        <f>'Data entry sylt'!F100</f>
        <v>0</v>
      </c>
      <c r="E100" s="39">
        <f>'Data entry sylt'!I100</f>
        <v>0</v>
      </c>
      <c r="F100" s="39">
        <f>'Data entry sylt'!L100</f>
        <v>0</v>
      </c>
      <c r="G100" s="39">
        <f>'Data entry sylt'!O100</f>
        <v>0</v>
      </c>
      <c r="H100" s="39">
        <f>'Data entry sylt'!R100</f>
        <v>0</v>
      </c>
      <c r="I100" s="39">
        <f>'Data entry sylt'!U100</f>
        <v>0</v>
      </c>
      <c r="J100" s="39">
        <f>'Data entry sylt'!X100</f>
        <v>0</v>
      </c>
      <c r="K100" s="39">
        <f>'Data entry sylt'!AA100</f>
        <v>0</v>
      </c>
      <c r="L100" s="39">
        <f>'Data entry sylt'!AD100</f>
        <v>0</v>
      </c>
      <c r="M100" s="39">
        <f>'Data entry sylt'!AG100</f>
        <v>0</v>
      </c>
      <c r="N100" s="39">
        <f>'Data entry sylt'!AJ100</f>
        <v>0</v>
      </c>
      <c r="O100" s="39">
        <f>'Data entry sylt'!AM100</f>
        <v>0</v>
      </c>
    </row>
    <row r="101" spans="2:15" ht="28" x14ac:dyDescent="0.15">
      <c r="B101" s="42" t="s">
        <v>68</v>
      </c>
      <c r="C101" s="39">
        <f>'Data entry sylt'!C101</f>
        <v>0</v>
      </c>
      <c r="D101" s="39">
        <f>'Data entry sylt'!F101</f>
        <v>0</v>
      </c>
      <c r="E101" s="39">
        <f>'Data entry sylt'!I101</f>
        <v>0</v>
      </c>
      <c r="F101" s="39">
        <f>'Data entry sylt'!L101</f>
        <v>0</v>
      </c>
      <c r="G101" s="39">
        <f>'Data entry sylt'!O101</f>
        <v>0</v>
      </c>
      <c r="H101" s="39">
        <f>'Data entry sylt'!R101</f>
        <v>0</v>
      </c>
      <c r="I101" s="39">
        <f>'Data entry sylt'!U101</f>
        <v>0</v>
      </c>
      <c r="J101" s="39">
        <f>'Data entry sylt'!X101</f>
        <v>0</v>
      </c>
      <c r="K101" s="39">
        <f>'Data entry sylt'!AA101</f>
        <v>0</v>
      </c>
      <c r="L101" s="39">
        <f>'Data entry sylt'!AD101</f>
        <v>0</v>
      </c>
      <c r="M101" s="39">
        <f>'Data entry sylt'!AG101</f>
        <v>0</v>
      </c>
      <c r="N101" s="39">
        <f>'Data entry sylt'!AJ101</f>
        <v>0</v>
      </c>
      <c r="O101" s="39">
        <f>'Data entry sylt'!AM101</f>
        <v>0</v>
      </c>
    </row>
    <row r="102" spans="2:15" x14ac:dyDescent="0.15">
      <c r="B102" s="40"/>
      <c r="C102" s="39">
        <f>'Data entry sylt'!C102</f>
        <v>0</v>
      </c>
      <c r="D102" s="39">
        <f>'Data entry sylt'!F102</f>
        <v>0</v>
      </c>
      <c r="E102" s="39">
        <f>'Data entry sylt'!I102</f>
        <v>0</v>
      </c>
      <c r="F102" s="39">
        <f>'Data entry sylt'!L102</f>
        <v>0</v>
      </c>
      <c r="G102" s="39">
        <f>'Data entry sylt'!O102</f>
        <v>0</v>
      </c>
      <c r="H102" s="39">
        <f>'Data entry sylt'!R102</f>
        <v>0</v>
      </c>
      <c r="I102" s="39">
        <f>'Data entry sylt'!U102</f>
        <v>0</v>
      </c>
      <c r="J102" s="39">
        <f>'Data entry sylt'!X102</f>
        <v>0</v>
      </c>
      <c r="K102" s="39">
        <f>'Data entry sylt'!AA102</f>
        <v>0</v>
      </c>
      <c r="L102" s="39">
        <f>'Data entry sylt'!AD102</f>
        <v>0</v>
      </c>
      <c r="M102" s="39">
        <f>'Data entry sylt'!AG102</f>
        <v>0</v>
      </c>
      <c r="N102" s="39">
        <f>'Data entry sylt'!AJ102</f>
        <v>0</v>
      </c>
      <c r="O102" s="39">
        <f>'Data entry sylt'!AM102</f>
        <v>0</v>
      </c>
    </row>
    <row r="103" spans="2:15" ht="14" x14ac:dyDescent="0.15">
      <c r="B103" s="42" t="s">
        <v>69</v>
      </c>
      <c r="C103" s="39">
        <f>'Data entry sylt'!C103</f>
        <v>283875.75410000002</v>
      </c>
      <c r="D103" s="39">
        <f>'Data entry sylt'!F103</f>
        <v>-153646.54</v>
      </c>
      <c r="E103" s="39">
        <f>'Data entry sylt'!I103</f>
        <v>-87274.49</v>
      </c>
      <c r="F103" s="39">
        <f>'Data entry sylt'!L103</f>
        <v>-32840.61</v>
      </c>
      <c r="G103" s="39">
        <f>'Data entry sylt'!O103</f>
        <v>16045.51</v>
      </c>
      <c r="H103" s="39">
        <f>'Data entry sylt'!R103</f>
        <v>129895.7939</v>
      </c>
      <c r="I103" s="39">
        <f>'Data entry sylt'!U103</f>
        <v>141757.59080000001</v>
      </c>
      <c r="J103" s="39">
        <f>'Data entry sylt'!X103</f>
        <v>204242.13500000001</v>
      </c>
      <c r="K103" s="39">
        <f>'Data entry sylt'!AA103</f>
        <v>258703.0484</v>
      </c>
      <c r="L103" s="39">
        <f>'Data entry sylt'!AD103</f>
        <v>211657.2726</v>
      </c>
      <c r="M103" s="39">
        <f>'Data entry sylt'!AG103</f>
        <v>-163641.95250000001</v>
      </c>
      <c r="N103" s="39">
        <f>'Data entry sylt'!AJ103</f>
        <v>-125354.713</v>
      </c>
      <c r="O103" s="39">
        <f>'Data entry sylt'!AM103</f>
        <v>-115667.2911</v>
      </c>
    </row>
    <row r="104" spans="2:15" x14ac:dyDescent="0.15">
      <c r="B104" s="40"/>
      <c r="C104" s="39">
        <f>'Data entry sylt'!C104</f>
        <v>0</v>
      </c>
      <c r="D104" s="39">
        <f>'Data entry sylt'!F104</f>
        <v>0</v>
      </c>
      <c r="E104" s="39">
        <f>'Data entry sylt'!I104</f>
        <v>0</v>
      </c>
      <c r="F104" s="39">
        <f>'Data entry sylt'!L104</f>
        <v>0</v>
      </c>
      <c r="G104" s="39">
        <f>'Data entry sylt'!O104</f>
        <v>0</v>
      </c>
      <c r="H104" s="39">
        <f>'Data entry sylt'!R104</f>
        <v>0</v>
      </c>
      <c r="I104" s="39">
        <f>'Data entry sylt'!U104</f>
        <v>0</v>
      </c>
      <c r="J104" s="39">
        <f>'Data entry sylt'!X104</f>
        <v>0</v>
      </c>
      <c r="K104" s="39">
        <f>'Data entry sylt'!AA104</f>
        <v>0</v>
      </c>
      <c r="L104" s="39">
        <f>'Data entry sylt'!AD104</f>
        <v>0</v>
      </c>
      <c r="M104" s="39">
        <f>'Data entry sylt'!AG104</f>
        <v>0</v>
      </c>
      <c r="N104" s="39">
        <f>'Data entry sylt'!AJ104</f>
        <v>0</v>
      </c>
      <c r="O104" s="39">
        <f>'Data entry sylt'!AM104</f>
        <v>0</v>
      </c>
    </row>
    <row r="105" spans="2:15" ht="14" x14ac:dyDescent="0.15">
      <c r="B105" s="42" t="s">
        <v>70</v>
      </c>
      <c r="C105" s="39">
        <f>'Data entry sylt'!C105</f>
        <v>57237.96</v>
      </c>
      <c r="D105" s="39">
        <f>'Data entry sylt'!F105</f>
        <v>5605.84</v>
      </c>
      <c r="E105" s="39">
        <f>'Data entry sylt'!I105</f>
        <v>2802.92</v>
      </c>
      <c r="F105" s="39">
        <f>'Data entry sylt'!L105</f>
        <v>2802.92</v>
      </c>
      <c r="G105" s="39">
        <f>'Data entry sylt'!O105</f>
        <v>2802.92</v>
      </c>
      <c r="H105" s="39">
        <f>'Data entry sylt'!R105</f>
        <v>5402.92</v>
      </c>
      <c r="I105" s="39">
        <f>'Data entry sylt'!U105</f>
        <v>5402.92</v>
      </c>
      <c r="J105" s="39">
        <f>'Data entry sylt'!X105</f>
        <v>5402.92</v>
      </c>
      <c r="K105" s="39">
        <f>'Data entry sylt'!AA105</f>
        <v>5402.92</v>
      </c>
      <c r="L105" s="39">
        <f>'Data entry sylt'!AD105</f>
        <v>5402.92</v>
      </c>
      <c r="M105" s="39">
        <f>'Data entry sylt'!AG105</f>
        <v>5402.92</v>
      </c>
      <c r="N105" s="39">
        <f>'Data entry sylt'!AJ105</f>
        <v>5402.92</v>
      </c>
      <c r="O105" s="39">
        <f>'Data entry sylt'!AM105</f>
        <v>5402.92</v>
      </c>
    </row>
    <row r="106" spans="2:15" ht="14" x14ac:dyDescent="0.15">
      <c r="B106" s="38" t="s">
        <v>71</v>
      </c>
      <c r="C106" s="39">
        <f>'Data entry sylt'!C106</f>
        <v>27467.96</v>
      </c>
      <c r="D106" s="39">
        <f>'Data entry sylt'!F106</f>
        <v>4225.84</v>
      </c>
      <c r="E106" s="39">
        <f>'Data entry sylt'!I106</f>
        <v>2112.92</v>
      </c>
      <c r="F106" s="39">
        <f>'Data entry sylt'!L106</f>
        <v>2112.92</v>
      </c>
      <c r="G106" s="39">
        <f>'Data entry sylt'!O106</f>
        <v>2112.92</v>
      </c>
      <c r="H106" s="39">
        <f>'Data entry sylt'!R106</f>
        <v>2112.92</v>
      </c>
      <c r="I106" s="39">
        <f>'Data entry sylt'!U106</f>
        <v>2112.92</v>
      </c>
      <c r="J106" s="39">
        <f>'Data entry sylt'!X106</f>
        <v>2112.92</v>
      </c>
      <c r="K106" s="39">
        <f>'Data entry sylt'!AA106</f>
        <v>2112.92</v>
      </c>
      <c r="L106" s="39">
        <f>'Data entry sylt'!AD106</f>
        <v>2112.92</v>
      </c>
      <c r="M106" s="39">
        <f>'Data entry sylt'!AG106</f>
        <v>2112.92</v>
      </c>
      <c r="N106" s="39">
        <f>'Data entry sylt'!AJ106</f>
        <v>2112.92</v>
      </c>
      <c r="O106" s="39">
        <f>'Data entry sylt'!AM106</f>
        <v>2112.92</v>
      </c>
    </row>
    <row r="107" spans="2:15" ht="14" x14ac:dyDescent="0.15">
      <c r="B107" s="38" t="s">
        <v>72</v>
      </c>
      <c r="C107" s="39">
        <f>'Data entry sylt'!C107</f>
        <v>12800</v>
      </c>
      <c r="D107" s="39">
        <f>'Data entry sylt'!F107</f>
        <v>0</v>
      </c>
      <c r="E107" s="39">
        <f>'Data entry sylt'!I107</f>
        <v>0</v>
      </c>
      <c r="F107" s="39">
        <f>'Data entry sylt'!L107</f>
        <v>0</v>
      </c>
      <c r="G107" s="39">
        <f>'Data entry sylt'!O107</f>
        <v>0</v>
      </c>
      <c r="H107" s="39">
        <f>'Data entry sylt'!R107</f>
        <v>1600</v>
      </c>
      <c r="I107" s="39">
        <f>'Data entry sylt'!U107</f>
        <v>1600</v>
      </c>
      <c r="J107" s="39">
        <f>'Data entry sylt'!X107</f>
        <v>1600</v>
      </c>
      <c r="K107" s="39">
        <f>'Data entry sylt'!AA107</f>
        <v>1600</v>
      </c>
      <c r="L107" s="39">
        <f>'Data entry sylt'!AD107</f>
        <v>1600</v>
      </c>
      <c r="M107" s="39">
        <f>'Data entry sylt'!AG107</f>
        <v>1600</v>
      </c>
      <c r="N107" s="39">
        <f>'Data entry sylt'!AJ107</f>
        <v>1600</v>
      </c>
      <c r="O107" s="39">
        <f>'Data entry sylt'!AM107</f>
        <v>1600</v>
      </c>
    </row>
    <row r="108" spans="2:15" ht="14" x14ac:dyDescent="0.15">
      <c r="B108" s="38" t="s">
        <v>73</v>
      </c>
      <c r="C108" s="39">
        <f>'Data entry sylt'!C108</f>
        <v>8000</v>
      </c>
      <c r="D108" s="39">
        <f>'Data entry sylt'!F108</f>
        <v>0</v>
      </c>
      <c r="E108" s="39">
        <f>'Data entry sylt'!I108</f>
        <v>0</v>
      </c>
      <c r="F108" s="39">
        <f>'Data entry sylt'!L108</f>
        <v>0</v>
      </c>
      <c r="G108" s="39">
        <f>'Data entry sylt'!O108</f>
        <v>0</v>
      </c>
      <c r="H108" s="39">
        <f>'Data entry sylt'!R108</f>
        <v>1000</v>
      </c>
      <c r="I108" s="39">
        <f>'Data entry sylt'!U108</f>
        <v>1000</v>
      </c>
      <c r="J108" s="39">
        <f>'Data entry sylt'!X108</f>
        <v>1000</v>
      </c>
      <c r="K108" s="39">
        <f>'Data entry sylt'!AA108</f>
        <v>1000</v>
      </c>
      <c r="L108" s="39">
        <f>'Data entry sylt'!AD108</f>
        <v>1000</v>
      </c>
      <c r="M108" s="39">
        <f>'Data entry sylt'!AG108</f>
        <v>1000</v>
      </c>
      <c r="N108" s="39">
        <f>'Data entry sylt'!AJ108</f>
        <v>1000</v>
      </c>
      <c r="O108" s="39">
        <f>'Data entry sylt'!AM108</f>
        <v>1000</v>
      </c>
    </row>
    <row r="109" spans="2:15" ht="14" x14ac:dyDescent="0.15">
      <c r="B109" s="38" t="s">
        <v>74</v>
      </c>
      <c r="C109" s="39">
        <f>'Data entry sylt'!C109</f>
        <v>0</v>
      </c>
      <c r="D109" s="39">
        <f>'Data entry sylt'!F109</f>
        <v>0</v>
      </c>
      <c r="E109" s="39">
        <f>'Data entry sylt'!I109</f>
        <v>0</v>
      </c>
      <c r="F109" s="39">
        <f>'Data entry sylt'!L109</f>
        <v>0</v>
      </c>
      <c r="G109" s="39">
        <f>'Data entry sylt'!O109</f>
        <v>0</v>
      </c>
      <c r="H109" s="39">
        <f>'Data entry sylt'!R109</f>
        <v>0</v>
      </c>
      <c r="I109" s="39">
        <f>'Data entry sylt'!U109</f>
        <v>0</v>
      </c>
      <c r="J109" s="39">
        <f>'Data entry sylt'!X109</f>
        <v>0</v>
      </c>
      <c r="K109" s="39">
        <f>'Data entry sylt'!AA109</f>
        <v>0</v>
      </c>
      <c r="L109" s="39">
        <f>'Data entry sylt'!AD109</f>
        <v>0</v>
      </c>
      <c r="M109" s="39">
        <f>'Data entry sylt'!AG109</f>
        <v>0</v>
      </c>
      <c r="N109" s="39">
        <f>'Data entry sylt'!AJ109</f>
        <v>0</v>
      </c>
      <c r="O109" s="39">
        <f>'Data entry sylt'!AM109</f>
        <v>0</v>
      </c>
    </row>
    <row r="110" spans="2:15" ht="14" x14ac:dyDescent="0.15">
      <c r="B110" s="38" t="s">
        <v>75</v>
      </c>
      <c r="C110" s="39">
        <f>'Data entry sylt'!C110</f>
        <v>8970</v>
      </c>
      <c r="D110" s="39">
        <f>'Data entry sylt'!F110</f>
        <v>1380</v>
      </c>
      <c r="E110" s="39">
        <f>'Data entry sylt'!I110</f>
        <v>690</v>
      </c>
      <c r="F110" s="39">
        <f>'Data entry sylt'!L110</f>
        <v>690</v>
      </c>
      <c r="G110" s="39">
        <f>'Data entry sylt'!O110</f>
        <v>690</v>
      </c>
      <c r="H110" s="39">
        <f>'Data entry sylt'!R110</f>
        <v>690</v>
      </c>
      <c r="I110" s="39">
        <f>'Data entry sylt'!U110</f>
        <v>690</v>
      </c>
      <c r="J110" s="39">
        <f>'Data entry sylt'!X110</f>
        <v>690</v>
      </c>
      <c r="K110" s="39">
        <f>'Data entry sylt'!AA110</f>
        <v>690</v>
      </c>
      <c r="L110" s="39">
        <f>'Data entry sylt'!AD110</f>
        <v>690</v>
      </c>
      <c r="M110" s="39">
        <f>'Data entry sylt'!AG110</f>
        <v>690</v>
      </c>
      <c r="N110" s="39">
        <f>'Data entry sylt'!AJ110</f>
        <v>690</v>
      </c>
      <c r="O110" s="39">
        <f>'Data entry sylt'!AM110</f>
        <v>690</v>
      </c>
    </row>
    <row r="111" spans="2:15" ht="14" x14ac:dyDescent="0.15">
      <c r="B111" s="38" t="s">
        <v>76</v>
      </c>
      <c r="C111" s="39">
        <f>'Data entry sylt'!C111</f>
        <v>0</v>
      </c>
      <c r="D111" s="39">
        <f>'Data entry sylt'!F111</f>
        <v>0</v>
      </c>
      <c r="E111" s="39">
        <f>'Data entry sylt'!I111</f>
        <v>0</v>
      </c>
      <c r="F111" s="39">
        <f>'Data entry sylt'!L111</f>
        <v>0</v>
      </c>
      <c r="G111" s="39">
        <f>'Data entry sylt'!O111</f>
        <v>0</v>
      </c>
      <c r="H111" s="39">
        <f>'Data entry sylt'!R111</f>
        <v>0</v>
      </c>
      <c r="I111" s="39">
        <f>'Data entry sylt'!U111</f>
        <v>0</v>
      </c>
      <c r="J111" s="39">
        <f>'Data entry sylt'!X111</f>
        <v>0</v>
      </c>
      <c r="K111" s="39">
        <f>'Data entry sylt'!AA111</f>
        <v>0</v>
      </c>
      <c r="L111" s="39">
        <f>'Data entry sylt'!AD111</f>
        <v>0</v>
      </c>
      <c r="M111" s="39">
        <f>'Data entry sylt'!AG111</f>
        <v>0</v>
      </c>
      <c r="N111" s="39">
        <f>'Data entry sylt'!AJ111</f>
        <v>0</v>
      </c>
      <c r="O111" s="39">
        <f>'Data entry sylt'!AM111</f>
        <v>0</v>
      </c>
    </row>
    <row r="112" spans="2:15" ht="14" x14ac:dyDescent="0.15">
      <c r="B112" s="38" t="s">
        <v>77</v>
      </c>
      <c r="C112" s="39">
        <f>'Data entry sylt'!C112</f>
        <v>0</v>
      </c>
      <c r="D112" s="39">
        <f>'Data entry sylt'!F112</f>
        <v>0</v>
      </c>
      <c r="E112" s="39">
        <f>'Data entry sylt'!I112</f>
        <v>0</v>
      </c>
      <c r="F112" s="39">
        <f>'Data entry sylt'!L112</f>
        <v>0</v>
      </c>
      <c r="G112" s="39">
        <f>'Data entry sylt'!O112</f>
        <v>0</v>
      </c>
      <c r="H112" s="39">
        <f>'Data entry sylt'!R112</f>
        <v>0</v>
      </c>
      <c r="I112" s="39">
        <f>'Data entry sylt'!U112</f>
        <v>0</v>
      </c>
      <c r="J112" s="39">
        <f>'Data entry sylt'!X112</f>
        <v>0</v>
      </c>
      <c r="K112" s="39">
        <f>'Data entry sylt'!AA112</f>
        <v>0</v>
      </c>
      <c r="L112" s="39">
        <f>'Data entry sylt'!AD112</f>
        <v>0</v>
      </c>
      <c r="M112" s="39">
        <f>'Data entry sylt'!AG112</f>
        <v>0</v>
      </c>
      <c r="N112" s="39">
        <f>'Data entry sylt'!AJ112</f>
        <v>0</v>
      </c>
      <c r="O112" s="39">
        <f>'Data entry sylt'!AM112</f>
        <v>0</v>
      </c>
    </row>
    <row r="113" spans="2:15" ht="14" x14ac:dyDescent="0.15">
      <c r="B113" s="38" t="s">
        <v>78</v>
      </c>
      <c r="C113" s="39">
        <f>'Data entry sylt'!C113</f>
        <v>0</v>
      </c>
      <c r="D113" s="39">
        <f>'Data entry sylt'!F113</f>
        <v>0</v>
      </c>
      <c r="E113" s="39">
        <f>'Data entry sylt'!I113</f>
        <v>0</v>
      </c>
      <c r="F113" s="39">
        <f>'Data entry sylt'!L113</f>
        <v>0</v>
      </c>
      <c r="G113" s="39">
        <f>'Data entry sylt'!O113</f>
        <v>0</v>
      </c>
      <c r="H113" s="39">
        <f>'Data entry sylt'!R113</f>
        <v>0</v>
      </c>
      <c r="I113" s="39">
        <f>'Data entry sylt'!U113</f>
        <v>0</v>
      </c>
      <c r="J113" s="39">
        <f>'Data entry sylt'!X113</f>
        <v>0</v>
      </c>
      <c r="K113" s="39">
        <f>'Data entry sylt'!AA113</f>
        <v>0</v>
      </c>
      <c r="L113" s="39">
        <f>'Data entry sylt'!AD113</f>
        <v>0</v>
      </c>
      <c r="M113" s="39">
        <f>'Data entry sylt'!AG113</f>
        <v>0</v>
      </c>
      <c r="N113" s="39">
        <f>'Data entry sylt'!AJ113</f>
        <v>0</v>
      </c>
      <c r="O113" s="39">
        <f>'Data entry sylt'!AM113</f>
        <v>0</v>
      </c>
    </row>
    <row r="114" spans="2:15" ht="14" x14ac:dyDescent="0.15">
      <c r="B114" s="38" t="s">
        <v>79</v>
      </c>
      <c r="C114" s="39">
        <f>'Data entry sylt'!C114</f>
        <v>0</v>
      </c>
      <c r="D114" s="39">
        <f>'Data entry sylt'!F114</f>
        <v>0</v>
      </c>
      <c r="E114" s="39">
        <f>'Data entry sylt'!I114</f>
        <v>0</v>
      </c>
      <c r="F114" s="39">
        <f>'Data entry sylt'!L114</f>
        <v>0</v>
      </c>
      <c r="G114" s="39">
        <f>'Data entry sylt'!O114</f>
        <v>0</v>
      </c>
      <c r="H114" s="39">
        <f>'Data entry sylt'!R114</f>
        <v>0</v>
      </c>
      <c r="I114" s="39">
        <f>'Data entry sylt'!U114</f>
        <v>0</v>
      </c>
      <c r="J114" s="39">
        <f>'Data entry sylt'!X114</f>
        <v>0</v>
      </c>
      <c r="K114" s="39">
        <f>'Data entry sylt'!AA114</f>
        <v>0</v>
      </c>
      <c r="L114" s="39">
        <f>'Data entry sylt'!AD114</f>
        <v>0</v>
      </c>
      <c r="M114" s="39">
        <f>'Data entry sylt'!AG114</f>
        <v>0</v>
      </c>
      <c r="N114" s="39">
        <f>'Data entry sylt'!AJ114</f>
        <v>0</v>
      </c>
      <c r="O114" s="39">
        <f>'Data entry sylt'!AM114</f>
        <v>0</v>
      </c>
    </row>
    <row r="115" spans="2:15" ht="14" x14ac:dyDescent="0.15">
      <c r="B115" s="38" t="s">
        <v>80</v>
      </c>
      <c r="C115" s="39">
        <f>'Data entry sylt'!C115</f>
        <v>0</v>
      </c>
      <c r="D115" s="39">
        <f>'Data entry sylt'!F115</f>
        <v>0</v>
      </c>
      <c r="E115" s="39">
        <f>'Data entry sylt'!I115</f>
        <v>0</v>
      </c>
      <c r="F115" s="39">
        <f>'Data entry sylt'!L115</f>
        <v>0</v>
      </c>
      <c r="G115" s="39">
        <f>'Data entry sylt'!O115</f>
        <v>0</v>
      </c>
      <c r="H115" s="39">
        <f>'Data entry sylt'!R115</f>
        <v>0</v>
      </c>
      <c r="I115" s="39">
        <f>'Data entry sylt'!U115</f>
        <v>0</v>
      </c>
      <c r="J115" s="39">
        <f>'Data entry sylt'!X115</f>
        <v>0</v>
      </c>
      <c r="K115" s="39">
        <f>'Data entry sylt'!AA115</f>
        <v>0</v>
      </c>
      <c r="L115" s="39">
        <f>'Data entry sylt'!AD115</f>
        <v>0</v>
      </c>
      <c r="M115" s="39">
        <f>'Data entry sylt'!AG115</f>
        <v>0</v>
      </c>
      <c r="N115" s="39">
        <f>'Data entry sylt'!AJ115</f>
        <v>0</v>
      </c>
      <c r="O115" s="39">
        <f>'Data entry sylt'!AM115</f>
        <v>0</v>
      </c>
    </row>
    <row r="116" spans="2:15" x14ac:dyDescent="0.15">
      <c r="B116" s="40"/>
      <c r="C116" s="39">
        <f>'Data entry sylt'!C116</f>
        <v>0</v>
      </c>
      <c r="D116" s="39">
        <f>'Data entry sylt'!F116</f>
        <v>0</v>
      </c>
      <c r="E116" s="39">
        <f>'Data entry sylt'!I116</f>
        <v>0</v>
      </c>
      <c r="F116" s="39">
        <f>'Data entry sylt'!L116</f>
        <v>0</v>
      </c>
      <c r="G116" s="39">
        <f>'Data entry sylt'!O116</f>
        <v>0</v>
      </c>
      <c r="H116" s="39">
        <f>'Data entry sylt'!R116</f>
        <v>0</v>
      </c>
      <c r="I116" s="39">
        <f>'Data entry sylt'!U116</f>
        <v>0</v>
      </c>
      <c r="J116" s="39">
        <f>'Data entry sylt'!X116</f>
        <v>0</v>
      </c>
      <c r="K116" s="39">
        <f>'Data entry sylt'!AA116</f>
        <v>0</v>
      </c>
      <c r="L116" s="39">
        <f>'Data entry sylt'!AD116</f>
        <v>0</v>
      </c>
      <c r="M116" s="39">
        <f>'Data entry sylt'!AG116</f>
        <v>0</v>
      </c>
      <c r="N116" s="39">
        <f>'Data entry sylt'!AJ116</f>
        <v>0</v>
      </c>
      <c r="O116" s="39">
        <f>'Data entry sylt'!AM116</f>
        <v>0</v>
      </c>
    </row>
    <row r="117" spans="2:15" ht="14" x14ac:dyDescent="0.15">
      <c r="B117" s="42" t="s">
        <v>81</v>
      </c>
      <c r="C117" s="39">
        <f>'Data entry sylt'!C117</f>
        <v>0</v>
      </c>
      <c r="D117" s="39">
        <f>'Data entry sylt'!F117</f>
        <v>0</v>
      </c>
      <c r="E117" s="39">
        <f>'Data entry sylt'!I117</f>
        <v>0</v>
      </c>
      <c r="F117" s="39">
        <f>'Data entry sylt'!L117</f>
        <v>0</v>
      </c>
      <c r="G117" s="39">
        <f>'Data entry sylt'!O117</f>
        <v>0</v>
      </c>
      <c r="H117" s="39">
        <f>'Data entry sylt'!R117</f>
        <v>0</v>
      </c>
      <c r="I117" s="39">
        <f>'Data entry sylt'!U117</f>
        <v>0</v>
      </c>
      <c r="J117" s="39">
        <f>'Data entry sylt'!X117</f>
        <v>0</v>
      </c>
      <c r="K117" s="39">
        <f>'Data entry sylt'!AA117</f>
        <v>0</v>
      </c>
      <c r="L117" s="39">
        <f>'Data entry sylt'!AD117</f>
        <v>0</v>
      </c>
      <c r="M117" s="39">
        <f>'Data entry sylt'!AG117</f>
        <v>0</v>
      </c>
      <c r="N117" s="39">
        <f>'Data entry sylt'!AJ117</f>
        <v>0</v>
      </c>
      <c r="O117" s="39">
        <f>'Data entry sylt'!AM117</f>
        <v>0</v>
      </c>
    </row>
    <row r="118" spans="2:15" ht="14" x14ac:dyDescent="0.15">
      <c r="B118" s="38" t="s">
        <v>82</v>
      </c>
      <c r="C118" s="39">
        <f>'Data entry sylt'!C118</f>
        <v>0</v>
      </c>
      <c r="D118" s="39">
        <f>'Data entry sylt'!F118</f>
        <v>0</v>
      </c>
      <c r="E118" s="39">
        <f>'Data entry sylt'!I118</f>
        <v>0</v>
      </c>
      <c r="F118" s="39">
        <f>'Data entry sylt'!L118</f>
        <v>0</v>
      </c>
      <c r="G118" s="39">
        <f>'Data entry sylt'!O118</f>
        <v>0</v>
      </c>
      <c r="H118" s="39">
        <f>'Data entry sylt'!R118</f>
        <v>0</v>
      </c>
      <c r="I118" s="39">
        <f>'Data entry sylt'!U118</f>
        <v>0</v>
      </c>
      <c r="J118" s="39">
        <f>'Data entry sylt'!X118</f>
        <v>0</v>
      </c>
      <c r="K118" s="39">
        <f>'Data entry sylt'!AA118</f>
        <v>0</v>
      </c>
      <c r="L118" s="39">
        <f>'Data entry sylt'!AD118</f>
        <v>0</v>
      </c>
      <c r="M118" s="39">
        <f>'Data entry sylt'!AG118</f>
        <v>0</v>
      </c>
      <c r="N118" s="39">
        <f>'Data entry sylt'!AJ118</f>
        <v>0</v>
      </c>
      <c r="O118" s="39">
        <f>'Data entry sylt'!AM118</f>
        <v>0</v>
      </c>
    </row>
    <row r="119" spans="2:15" ht="14" x14ac:dyDescent="0.15">
      <c r="B119" s="38" t="s">
        <v>83</v>
      </c>
      <c r="C119" s="39">
        <f>'Data entry sylt'!C119</f>
        <v>0</v>
      </c>
      <c r="D119" s="39">
        <f>'Data entry sylt'!F119</f>
        <v>0</v>
      </c>
      <c r="E119" s="39">
        <f>'Data entry sylt'!I119</f>
        <v>0</v>
      </c>
      <c r="F119" s="39">
        <f>'Data entry sylt'!L119</f>
        <v>0</v>
      </c>
      <c r="G119" s="39">
        <f>'Data entry sylt'!O119</f>
        <v>0</v>
      </c>
      <c r="H119" s="39">
        <f>'Data entry sylt'!R119</f>
        <v>0</v>
      </c>
      <c r="I119" s="39">
        <f>'Data entry sylt'!U119</f>
        <v>0</v>
      </c>
      <c r="J119" s="39">
        <f>'Data entry sylt'!X119</f>
        <v>0</v>
      </c>
      <c r="K119" s="39">
        <f>'Data entry sylt'!AA119</f>
        <v>0</v>
      </c>
      <c r="L119" s="39">
        <f>'Data entry sylt'!AD119</f>
        <v>0</v>
      </c>
      <c r="M119" s="39">
        <f>'Data entry sylt'!AG119</f>
        <v>0</v>
      </c>
      <c r="N119" s="39">
        <f>'Data entry sylt'!AJ119</f>
        <v>0</v>
      </c>
      <c r="O119" s="39">
        <f>'Data entry sylt'!AM119</f>
        <v>0</v>
      </c>
    </row>
    <row r="120" spans="2:15" x14ac:dyDescent="0.15">
      <c r="B120" s="40"/>
      <c r="C120" s="39">
        <f>'Data entry sylt'!C120</f>
        <v>0</v>
      </c>
      <c r="D120" s="39">
        <f>'Data entry sylt'!F120</f>
        <v>0</v>
      </c>
      <c r="E120" s="39">
        <f>'Data entry sylt'!I120</f>
        <v>0</v>
      </c>
      <c r="F120" s="39">
        <f>'Data entry sylt'!L120</f>
        <v>0</v>
      </c>
      <c r="G120" s="39">
        <f>'Data entry sylt'!O120</f>
        <v>0</v>
      </c>
      <c r="H120" s="39">
        <f>'Data entry sylt'!R120</f>
        <v>0</v>
      </c>
      <c r="I120" s="39">
        <f>'Data entry sylt'!U120</f>
        <v>0</v>
      </c>
      <c r="J120" s="39">
        <f>'Data entry sylt'!X120</f>
        <v>0</v>
      </c>
      <c r="K120" s="39">
        <f>'Data entry sylt'!AA120</f>
        <v>0</v>
      </c>
      <c r="L120" s="39">
        <f>'Data entry sylt'!AD120</f>
        <v>0</v>
      </c>
      <c r="M120" s="39">
        <f>'Data entry sylt'!AG120</f>
        <v>0</v>
      </c>
      <c r="N120" s="39">
        <f>'Data entry sylt'!AJ120</f>
        <v>0</v>
      </c>
      <c r="O120" s="39">
        <f>'Data entry sylt'!AM120</f>
        <v>0</v>
      </c>
    </row>
    <row r="121" spans="2:15" ht="14" x14ac:dyDescent="0.15">
      <c r="B121" s="42" t="s">
        <v>84</v>
      </c>
      <c r="C121" s="39">
        <f>'Data entry sylt'!C121</f>
        <v>226637.7941</v>
      </c>
      <c r="D121" s="39">
        <f>'Data entry sylt'!F121</f>
        <v>-159252.38</v>
      </c>
      <c r="E121" s="39">
        <f>'Data entry sylt'!I121</f>
        <v>-90077.41</v>
      </c>
      <c r="F121" s="39">
        <f>'Data entry sylt'!L121</f>
        <v>-35643.53</v>
      </c>
      <c r="G121" s="39">
        <f>'Data entry sylt'!O121</f>
        <v>13242.59</v>
      </c>
      <c r="H121" s="39">
        <f>'Data entry sylt'!R121</f>
        <v>124492.87390000001</v>
      </c>
      <c r="I121" s="39">
        <f>'Data entry sylt'!U121</f>
        <v>136354.67079999999</v>
      </c>
      <c r="J121" s="39">
        <f>'Data entry sylt'!X121</f>
        <v>198839.215</v>
      </c>
      <c r="K121" s="39">
        <f>'Data entry sylt'!AA121</f>
        <v>253300.12839999999</v>
      </c>
      <c r="L121" s="39">
        <f>'Data entry sylt'!AD121</f>
        <v>206254.35260000001</v>
      </c>
      <c r="M121" s="39">
        <f>'Data entry sylt'!AG121</f>
        <v>-169044.8725</v>
      </c>
      <c r="N121" s="39">
        <f>'Data entry sylt'!AJ121</f>
        <v>-130757.633</v>
      </c>
      <c r="O121" s="39">
        <f>'Data entry sylt'!AM121</f>
        <v>-121070.2111</v>
      </c>
    </row>
    <row r="122" spans="2:15" ht="14" x14ac:dyDescent="0.15">
      <c r="B122" s="38" t="s">
        <v>85</v>
      </c>
      <c r="C122" s="39">
        <f>'Data entry sylt'!C122</f>
        <v>0</v>
      </c>
      <c r="D122" s="39">
        <f>'Data entry sylt'!F122</f>
        <v>0</v>
      </c>
      <c r="E122" s="39">
        <f>'Data entry sylt'!I122</f>
        <v>0</v>
      </c>
      <c r="F122" s="39">
        <f>'Data entry sylt'!L122</f>
        <v>0</v>
      </c>
      <c r="G122" s="39">
        <f>'Data entry sylt'!O122</f>
        <v>0</v>
      </c>
      <c r="H122" s="39">
        <f>'Data entry sylt'!R122</f>
        <v>0</v>
      </c>
      <c r="I122" s="39">
        <f>'Data entry sylt'!U122</f>
        <v>0</v>
      </c>
      <c r="J122" s="39">
        <f>'Data entry sylt'!X122</f>
        <v>0</v>
      </c>
      <c r="K122" s="39">
        <f>'Data entry sylt'!AA122</f>
        <v>0</v>
      </c>
      <c r="L122" s="39">
        <f>'Data entry sylt'!AD122</f>
        <v>0</v>
      </c>
      <c r="M122" s="39">
        <f>'Data entry sylt'!AG122</f>
        <v>0</v>
      </c>
      <c r="N122" s="39">
        <f>'Data entry sylt'!AJ122</f>
        <v>0</v>
      </c>
      <c r="O122" s="39">
        <f>'Data entry sylt'!AM122</f>
        <v>0</v>
      </c>
    </row>
    <row r="123" spans="2:15" x14ac:dyDescent="0.15">
      <c r="B123" s="40"/>
      <c r="C123" s="39">
        <f>'Data entry sylt'!C123</f>
        <v>0</v>
      </c>
      <c r="D123" s="39">
        <f>'Data entry sylt'!F123</f>
        <v>0</v>
      </c>
      <c r="E123" s="39">
        <f>'Data entry sylt'!I123</f>
        <v>0</v>
      </c>
      <c r="F123" s="39">
        <f>'Data entry sylt'!L123</f>
        <v>0</v>
      </c>
      <c r="G123" s="39">
        <f>'Data entry sylt'!O123</f>
        <v>0</v>
      </c>
      <c r="H123" s="39">
        <f>'Data entry sylt'!R123</f>
        <v>0</v>
      </c>
      <c r="I123" s="39">
        <f>'Data entry sylt'!U123</f>
        <v>0</v>
      </c>
      <c r="J123" s="39">
        <f>'Data entry sylt'!X123</f>
        <v>0</v>
      </c>
      <c r="K123" s="39">
        <f>'Data entry sylt'!AA123</f>
        <v>0</v>
      </c>
      <c r="L123" s="39">
        <f>'Data entry sylt'!AD123</f>
        <v>0</v>
      </c>
      <c r="M123" s="39">
        <f>'Data entry sylt'!AG123</f>
        <v>0</v>
      </c>
      <c r="N123" s="39">
        <f>'Data entry sylt'!AJ123</f>
        <v>0</v>
      </c>
      <c r="O123" s="39">
        <f>'Data entry sylt'!AM123</f>
        <v>0</v>
      </c>
    </row>
    <row r="124" spans="2:15" ht="14" x14ac:dyDescent="0.15">
      <c r="B124" s="42" t="s">
        <v>86</v>
      </c>
      <c r="C124" s="39">
        <f>'Data entry sylt'!C124</f>
        <v>226637.7941</v>
      </c>
      <c r="D124" s="39">
        <f>'Data entry sylt'!F124</f>
        <v>-159252.38</v>
      </c>
      <c r="E124" s="39">
        <f>'Data entry sylt'!I124</f>
        <v>-90077.41</v>
      </c>
      <c r="F124" s="39">
        <f>'Data entry sylt'!L124</f>
        <v>-35643.53</v>
      </c>
      <c r="G124" s="39">
        <f>'Data entry sylt'!O124</f>
        <v>13242.59</v>
      </c>
      <c r="H124" s="39">
        <f>'Data entry sylt'!R124</f>
        <v>124492.87390000001</v>
      </c>
      <c r="I124" s="39">
        <f>'Data entry sylt'!U124</f>
        <v>136354.67079999999</v>
      </c>
      <c r="J124" s="39">
        <f>'Data entry sylt'!X124</f>
        <v>198839.215</v>
      </c>
      <c r="K124" s="39">
        <f>'Data entry sylt'!AA124</f>
        <v>253300.12839999999</v>
      </c>
      <c r="L124" s="39">
        <f>'Data entry sylt'!AD124</f>
        <v>206254.35260000001</v>
      </c>
      <c r="M124" s="39">
        <f>'Data entry sylt'!AG124</f>
        <v>-169044.8725</v>
      </c>
      <c r="N124" s="39">
        <f>'Data entry sylt'!AJ124</f>
        <v>-130757.633</v>
      </c>
      <c r="O124" s="39">
        <f>'Data entry sylt'!AM124</f>
        <v>-121070.2111</v>
      </c>
    </row>
    <row r="125" spans="2:15" ht="14" x14ac:dyDescent="0.15">
      <c r="B125" s="38" t="s">
        <v>87</v>
      </c>
      <c r="C125" s="39">
        <f>'Data entry sylt'!C125</f>
        <v>0</v>
      </c>
      <c r="D125" s="39">
        <f>'Data entry sylt'!F125</f>
        <v>0</v>
      </c>
      <c r="E125" s="39">
        <f>'Data entry sylt'!I125</f>
        <v>0</v>
      </c>
      <c r="F125" s="39">
        <f>'Data entry sylt'!L125</f>
        <v>0</v>
      </c>
      <c r="G125" s="39">
        <f>'Data entry sylt'!O125</f>
        <v>0</v>
      </c>
      <c r="H125" s="39">
        <f>'Data entry sylt'!R125</f>
        <v>0</v>
      </c>
      <c r="I125" s="39">
        <f>'Data entry sylt'!U125</f>
        <v>0</v>
      </c>
      <c r="J125" s="39">
        <f>'Data entry sylt'!X125</f>
        <v>0</v>
      </c>
      <c r="K125" s="39">
        <f>'Data entry sylt'!AA125</f>
        <v>0</v>
      </c>
      <c r="L125" s="39">
        <f>'Data entry sylt'!AD125</f>
        <v>0</v>
      </c>
      <c r="M125" s="39">
        <f>'Data entry sylt'!AG125</f>
        <v>0</v>
      </c>
      <c r="N125" s="39">
        <f>'Data entry sylt'!AJ125</f>
        <v>0</v>
      </c>
      <c r="O125" s="39">
        <f>'Data entry sylt'!AM125</f>
        <v>0</v>
      </c>
    </row>
    <row r="126" spans="2:15" x14ac:dyDescent="0.15">
      <c r="B126" s="40"/>
      <c r="C126" s="39">
        <f>'Data entry sylt'!C126</f>
        <v>0</v>
      </c>
      <c r="D126" s="39">
        <f>'Data entry sylt'!F126</f>
        <v>0</v>
      </c>
      <c r="E126" s="39">
        <f>'Data entry sylt'!I126</f>
        <v>0</v>
      </c>
      <c r="F126" s="39">
        <f>'Data entry sylt'!L126</f>
        <v>0</v>
      </c>
      <c r="G126" s="39">
        <f>'Data entry sylt'!O126</f>
        <v>0</v>
      </c>
      <c r="H126" s="39">
        <f>'Data entry sylt'!R126</f>
        <v>0</v>
      </c>
      <c r="I126" s="39">
        <f>'Data entry sylt'!U126</f>
        <v>0</v>
      </c>
      <c r="J126" s="39">
        <f>'Data entry sylt'!X126</f>
        <v>0</v>
      </c>
      <c r="K126" s="39">
        <f>'Data entry sylt'!AA126</f>
        <v>0</v>
      </c>
      <c r="L126" s="39">
        <f>'Data entry sylt'!AD126</f>
        <v>0</v>
      </c>
      <c r="M126" s="39">
        <f>'Data entry sylt'!AG126</f>
        <v>0</v>
      </c>
      <c r="N126" s="39">
        <f>'Data entry sylt'!AJ126</f>
        <v>0</v>
      </c>
      <c r="O126" s="39">
        <f>'Data entry sylt'!AM126</f>
        <v>0</v>
      </c>
    </row>
    <row r="127" spans="2:15" ht="14" x14ac:dyDescent="0.15">
      <c r="B127" s="42" t="s">
        <v>88</v>
      </c>
      <c r="C127" s="39">
        <f>'Data entry sylt'!C127</f>
        <v>226637.7941</v>
      </c>
      <c r="D127" s="39">
        <f>'Data entry sylt'!F127</f>
        <v>-159252.38</v>
      </c>
      <c r="E127" s="39">
        <f>'Data entry sylt'!I127</f>
        <v>-90077.41</v>
      </c>
      <c r="F127" s="39">
        <f>'Data entry sylt'!L127</f>
        <v>-35643.53</v>
      </c>
      <c r="G127" s="39">
        <f>'Data entry sylt'!O127</f>
        <v>13242.59</v>
      </c>
      <c r="H127" s="39">
        <f>'Data entry sylt'!R127</f>
        <v>124492.87390000001</v>
      </c>
      <c r="I127" s="39">
        <f>'Data entry sylt'!U127</f>
        <v>136354.67079999999</v>
      </c>
      <c r="J127" s="39">
        <f>'Data entry sylt'!X127</f>
        <v>198839.215</v>
      </c>
      <c r="K127" s="39">
        <f>'Data entry sylt'!AA127</f>
        <v>253300.12839999999</v>
      </c>
      <c r="L127" s="39">
        <f>'Data entry sylt'!AD127</f>
        <v>206254.35260000001</v>
      </c>
      <c r="M127" s="39">
        <f>'Data entry sylt'!AG127</f>
        <v>-169044.8725</v>
      </c>
      <c r="N127" s="39">
        <f>'Data entry sylt'!AJ127</f>
        <v>-130757.633</v>
      </c>
      <c r="O127" s="39">
        <f>'Data entry sylt'!AM127</f>
        <v>-121070.2111</v>
      </c>
    </row>
    <row r="128" spans="2:15" x14ac:dyDescent="0.15">
      <c r="B128" s="40"/>
      <c r="C128" s="39">
        <f>'Data entry sylt'!C128</f>
        <v>0</v>
      </c>
      <c r="D128" s="39">
        <f>'Data entry sylt'!F128</f>
        <v>0</v>
      </c>
      <c r="E128" s="39">
        <f>'Data entry sylt'!I128</f>
        <v>0</v>
      </c>
      <c r="F128" s="39">
        <f>'Data entry sylt'!L128</f>
        <v>0</v>
      </c>
      <c r="G128" s="39">
        <f>'Data entry sylt'!O128</f>
        <v>0</v>
      </c>
      <c r="H128" s="39">
        <f>'Data entry sylt'!R128</f>
        <v>0</v>
      </c>
      <c r="I128" s="39">
        <f>'Data entry sylt'!U128</f>
        <v>0</v>
      </c>
      <c r="J128" s="39">
        <f>'Data entry sylt'!X128</f>
        <v>0</v>
      </c>
      <c r="K128" s="39">
        <f>'Data entry sylt'!AA128</f>
        <v>0</v>
      </c>
      <c r="L128" s="39">
        <f>'Data entry sylt'!AD128</f>
        <v>0</v>
      </c>
      <c r="M128" s="39">
        <f>'Data entry sylt'!AG128</f>
        <v>0</v>
      </c>
      <c r="N128" s="39">
        <f>'Data entry sylt'!AJ128</f>
        <v>0</v>
      </c>
      <c r="O128" s="39">
        <f>'Data entry sylt'!AM128</f>
        <v>0</v>
      </c>
    </row>
    <row r="129" spans="2:15" ht="14" x14ac:dyDescent="0.15">
      <c r="B129" s="42" t="s">
        <v>89</v>
      </c>
      <c r="C129" s="39">
        <f>'Data entry sylt'!C129</f>
        <v>101282.6967</v>
      </c>
      <c r="D129" s="39">
        <f>'Data entry sylt'!F129</f>
        <v>2917.64</v>
      </c>
      <c r="E129" s="39">
        <f>'Data entry sylt'!I129</f>
        <v>3527.42</v>
      </c>
      <c r="F129" s="39">
        <f>'Data entry sylt'!L129</f>
        <v>5605</v>
      </c>
      <c r="G129" s="39">
        <f>'Data entry sylt'!O129</f>
        <v>7959.86</v>
      </c>
      <c r="H129" s="39">
        <f>'Data entry sylt'!R129</f>
        <v>11909.827300000001</v>
      </c>
      <c r="I129" s="39">
        <f>'Data entry sylt'!U129</f>
        <v>15370.804700000001</v>
      </c>
      <c r="J129" s="39">
        <f>'Data entry sylt'!X129</f>
        <v>18238.3043</v>
      </c>
      <c r="K129" s="39">
        <f>'Data entry sylt'!AA129</f>
        <v>19172.0857</v>
      </c>
      <c r="L129" s="39">
        <f>'Data entry sylt'!AD129</f>
        <v>16581.754700000001</v>
      </c>
      <c r="M129" s="39">
        <f>'Data entry sylt'!AG129</f>
        <v>0</v>
      </c>
      <c r="N129" s="39">
        <f>'Data entry sylt'!AJ129</f>
        <v>0</v>
      </c>
      <c r="O129" s="39">
        <f>'Data entry sylt'!AM129</f>
        <v>0</v>
      </c>
    </row>
    <row r="130" spans="2:15" ht="14" x14ac:dyDescent="0.15">
      <c r="B130" s="38" t="s">
        <v>90</v>
      </c>
      <c r="C130" s="39">
        <f>'Data entry sylt'!C130</f>
        <v>101282.6967</v>
      </c>
      <c r="D130" s="39">
        <f>'Data entry sylt'!F130</f>
        <v>2917.64</v>
      </c>
      <c r="E130" s="39">
        <f>'Data entry sylt'!I130</f>
        <v>3527.42</v>
      </c>
      <c r="F130" s="39">
        <f>'Data entry sylt'!L130</f>
        <v>5605</v>
      </c>
      <c r="G130" s="39">
        <f>'Data entry sylt'!O130</f>
        <v>7959.86</v>
      </c>
      <c r="H130" s="39">
        <f>'Data entry sylt'!R130</f>
        <v>11909.827300000001</v>
      </c>
      <c r="I130" s="39">
        <f>'Data entry sylt'!U130</f>
        <v>15370.804700000001</v>
      </c>
      <c r="J130" s="39">
        <f>'Data entry sylt'!X130</f>
        <v>18238.3043</v>
      </c>
      <c r="K130" s="39">
        <f>'Data entry sylt'!AA130</f>
        <v>19172.0857</v>
      </c>
      <c r="L130" s="39">
        <f>'Data entry sylt'!AD130</f>
        <v>16581.754700000001</v>
      </c>
      <c r="M130" s="39">
        <f>'Data entry sylt'!AG130</f>
        <v>0</v>
      </c>
      <c r="N130" s="39">
        <f>'Data entry sylt'!AJ130</f>
        <v>0</v>
      </c>
      <c r="O130" s="39">
        <f>'Data entry sylt'!AM130</f>
        <v>0</v>
      </c>
    </row>
    <row r="131" spans="2:15" ht="14" x14ac:dyDescent="0.15">
      <c r="B131" s="38" t="s">
        <v>91</v>
      </c>
      <c r="C131" s="39">
        <f>'Data entry sylt'!C131</f>
        <v>0</v>
      </c>
      <c r="D131" s="39">
        <f>'Data entry sylt'!F131</f>
        <v>0</v>
      </c>
      <c r="E131" s="39">
        <f>'Data entry sylt'!I131</f>
        <v>0</v>
      </c>
      <c r="F131" s="39">
        <f>'Data entry sylt'!L131</f>
        <v>0</v>
      </c>
      <c r="G131" s="39">
        <f>'Data entry sylt'!O131</f>
        <v>0</v>
      </c>
      <c r="H131" s="39">
        <f>'Data entry sylt'!R131</f>
        <v>0</v>
      </c>
      <c r="I131" s="39">
        <f>'Data entry sylt'!U131</f>
        <v>0</v>
      </c>
      <c r="J131" s="39">
        <f>'Data entry sylt'!X131</f>
        <v>0</v>
      </c>
      <c r="K131" s="39">
        <f>'Data entry sylt'!AA131</f>
        <v>0</v>
      </c>
      <c r="L131" s="39">
        <f>'Data entry sylt'!AD131</f>
        <v>0</v>
      </c>
      <c r="M131" s="39">
        <f>'Data entry sylt'!AG131</f>
        <v>0</v>
      </c>
      <c r="N131" s="39">
        <f>'Data entry sylt'!AJ131</f>
        <v>0</v>
      </c>
      <c r="O131" s="39">
        <f>'Data entry sylt'!AM131</f>
        <v>0</v>
      </c>
    </row>
    <row r="132" spans="2:15" ht="14" x14ac:dyDescent="0.15">
      <c r="B132" s="38" t="s">
        <v>92</v>
      </c>
      <c r="C132" s="39">
        <f>'Data entry sylt'!C132</f>
        <v>0</v>
      </c>
      <c r="D132" s="39">
        <f>'Data entry sylt'!F132</f>
        <v>0</v>
      </c>
      <c r="E132" s="39">
        <f>'Data entry sylt'!I132</f>
        <v>0</v>
      </c>
      <c r="F132" s="39">
        <f>'Data entry sylt'!L132</f>
        <v>0</v>
      </c>
      <c r="G132" s="39">
        <f>'Data entry sylt'!O132</f>
        <v>0</v>
      </c>
      <c r="H132" s="39">
        <f>'Data entry sylt'!R132</f>
        <v>0</v>
      </c>
      <c r="I132" s="39">
        <f>'Data entry sylt'!U132</f>
        <v>0</v>
      </c>
      <c r="J132" s="39">
        <f>'Data entry sylt'!X132</f>
        <v>0</v>
      </c>
      <c r="K132" s="39">
        <f>'Data entry sylt'!AA132</f>
        <v>0</v>
      </c>
      <c r="L132" s="39">
        <f>'Data entry sylt'!AD132</f>
        <v>0</v>
      </c>
      <c r="M132" s="39">
        <f>'Data entry sylt'!AG132</f>
        <v>0</v>
      </c>
      <c r="N132" s="39">
        <f>'Data entry sylt'!AJ132</f>
        <v>0</v>
      </c>
      <c r="O132" s="39">
        <f>'Data entry sylt'!AM132</f>
        <v>0</v>
      </c>
    </row>
    <row r="133" spans="2:15" x14ac:dyDescent="0.15">
      <c r="B133" s="40"/>
      <c r="C133" s="39">
        <f>'Data entry sylt'!C133</f>
        <v>0</v>
      </c>
      <c r="D133" s="39">
        <f>'Data entry sylt'!F133</f>
        <v>0</v>
      </c>
      <c r="E133" s="39">
        <f>'Data entry sylt'!I133</f>
        <v>0</v>
      </c>
      <c r="F133" s="39">
        <f>'Data entry sylt'!L133</f>
        <v>0</v>
      </c>
      <c r="G133" s="39">
        <f>'Data entry sylt'!O133</f>
        <v>0</v>
      </c>
      <c r="H133" s="39">
        <f>'Data entry sylt'!R133</f>
        <v>0</v>
      </c>
      <c r="I133" s="39">
        <f>'Data entry sylt'!U133</f>
        <v>0</v>
      </c>
      <c r="J133" s="39">
        <f>'Data entry sylt'!X133</f>
        <v>0</v>
      </c>
      <c r="K133" s="39">
        <f>'Data entry sylt'!AA133</f>
        <v>0</v>
      </c>
      <c r="L133" s="39">
        <f>'Data entry sylt'!AD133</f>
        <v>0</v>
      </c>
      <c r="M133" s="39">
        <f>'Data entry sylt'!AG133</f>
        <v>0</v>
      </c>
      <c r="N133" s="39">
        <f>'Data entry sylt'!AJ133</f>
        <v>0</v>
      </c>
      <c r="O133" s="39">
        <f>'Data entry sylt'!AM133</f>
        <v>0</v>
      </c>
    </row>
    <row r="134" spans="2:15" ht="14" x14ac:dyDescent="0.15">
      <c r="B134" s="42" t="s">
        <v>93</v>
      </c>
      <c r="C134" s="39">
        <f>'Data entry sylt'!C134</f>
        <v>125355.0974</v>
      </c>
      <c r="D134" s="39">
        <f>'Data entry sylt'!F134</f>
        <v>-162170.01999999999</v>
      </c>
      <c r="E134" s="39">
        <f>'Data entry sylt'!I134</f>
        <v>-93604.83</v>
      </c>
      <c r="F134" s="39">
        <f>'Data entry sylt'!L134</f>
        <v>-41248.53</v>
      </c>
      <c r="G134" s="39">
        <f>'Data entry sylt'!O134</f>
        <v>5282.73</v>
      </c>
      <c r="H134" s="39">
        <f>'Data entry sylt'!R134</f>
        <v>112583.0465</v>
      </c>
      <c r="I134" s="39">
        <f>'Data entry sylt'!U134</f>
        <v>120983.8661</v>
      </c>
      <c r="J134" s="39">
        <f>'Data entry sylt'!X134</f>
        <v>180600.91070000001</v>
      </c>
      <c r="K134" s="39">
        <f>'Data entry sylt'!AA134</f>
        <v>234128.04269999999</v>
      </c>
      <c r="L134" s="39">
        <f>'Data entry sylt'!AD134</f>
        <v>189672.598</v>
      </c>
      <c r="M134" s="39">
        <f>'Data entry sylt'!AG134</f>
        <v>-169044.8725</v>
      </c>
      <c r="N134" s="39">
        <f>'Data entry sylt'!AJ134</f>
        <v>-130757.633</v>
      </c>
      <c r="O134" s="39">
        <f>'Data entry sylt'!AM134</f>
        <v>-121070.2111</v>
      </c>
    </row>
    <row r="135" spans="2:15" x14ac:dyDescent="0.15">
      <c r="B135" s="40"/>
      <c r="C135" s="39">
        <f>'Data entry sylt'!C135</f>
        <v>0</v>
      </c>
      <c r="D135" s="39">
        <f>'Data entry sylt'!F135</f>
        <v>0</v>
      </c>
      <c r="E135" s="39">
        <f>'Data entry sylt'!I135</f>
        <v>0</v>
      </c>
      <c r="F135" s="39">
        <f>'Data entry sylt'!L135</f>
        <v>0</v>
      </c>
      <c r="G135" s="39">
        <f>'Data entry sylt'!O135</f>
        <v>0</v>
      </c>
      <c r="H135" s="39">
        <f>'Data entry sylt'!R135</f>
        <v>0</v>
      </c>
      <c r="I135" s="39">
        <f>'Data entry sylt'!U135</f>
        <v>0</v>
      </c>
      <c r="J135" s="39">
        <f>'Data entry sylt'!X135</f>
        <v>0</v>
      </c>
      <c r="K135" s="39">
        <f>'Data entry sylt'!AA135</f>
        <v>0</v>
      </c>
      <c r="L135" s="39">
        <f>'Data entry sylt'!AD135</f>
        <v>0</v>
      </c>
      <c r="M135" s="39">
        <f>'Data entry sylt'!AG135</f>
        <v>0</v>
      </c>
      <c r="N135" s="39">
        <f>'Data entry sylt'!AJ135</f>
        <v>0</v>
      </c>
      <c r="O135" s="39">
        <f>'Data entry sylt'!AM135</f>
        <v>0</v>
      </c>
    </row>
    <row r="136" spans="2:15" ht="14" x14ac:dyDescent="0.15">
      <c r="B136" s="42" t="s">
        <v>94</v>
      </c>
      <c r="C136" s="39">
        <f>'Data entry sylt'!C136</f>
        <v>466460.98</v>
      </c>
      <c r="D136" s="39">
        <f>'Data entry sylt'!F136</f>
        <v>57198.58</v>
      </c>
      <c r="E136" s="39">
        <f>'Data entry sylt'!I136</f>
        <v>58230.49</v>
      </c>
      <c r="F136" s="39">
        <f>'Data entry sylt'!L136</f>
        <v>50225.65</v>
      </c>
      <c r="G136" s="39">
        <f>'Data entry sylt'!O136</f>
        <v>50806.26</v>
      </c>
      <c r="H136" s="39">
        <f>'Data entry sylt'!R136</f>
        <v>50000</v>
      </c>
      <c r="I136" s="39">
        <f>'Data entry sylt'!U136</f>
        <v>50000</v>
      </c>
      <c r="J136" s="39">
        <f>'Data entry sylt'!X136</f>
        <v>50000</v>
      </c>
      <c r="K136" s="39">
        <f>'Data entry sylt'!AA136</f>
        <v>50000</v>
      </c>
      <c r="L136" s="39">
        <f>'Data entry sylt'!AD136</f>
        <v>50000</v>
      </c>
      <c r="M136" s="39">
        <f>'Data entry sylt'!AG136</f>
        <v>0</v>
      </c>
      <c r="N136" s="39">
        <f>'Data entry sylt'!AJ136</f>
        <v>0</v>
      </c>
      <c r="O136" s="39">
        <f>'Data entry sylt'!AM136</f>
        <v>0</v>
      </c>
    </row>
    <row r="137" spans="2:15" ht="14" x14ac:dyDescent="0.15">
      <c r="B137" s="38" t="s">
        <v>95</v>
      </c>
      <c r="C137" s="39">
        <f>'Data entry sylt'!C137</f>
        <v>466460.98</v>
      </c>
      <c r="D137" s="39">
        <f>'Data entry sylt'!F137</f>
        <v>57198.58</v>
      </c>
      <c r="E137" s="39">
        <f>'Data entry sylt'!I137</f>
        <v>58230.49</v>
      </c>
      <c r="F137" s="39">
        <f>'Data entry sylt'!L137</f>
        <v>50225.65</v>
      </c>
      <c r="G137" s="39">
        <f>'Data entry sylt'!O137</f>
        <v>50806.26</v>
      </c>
      <c r="H137" s="39">
        <f>'Data entry sylt'!R137</f>
        <v>50000</v>
      </c>
      <c r="I137" s="39">
        <f>'Data entry sylt'!U137</f>
        <v>50000</v>
      </c>
      <c r="J137" s="39">
        <f>'Data entry sylt'!X137</f>
        <v>50000</v>
      </c>
      <c r="K137" s="39">
        <f>'Data entry sylt'!AA137</f>
        <v>50000</v>
      </c>
      <c r="L137" s="39">
        <f>'Data entry sylt'!AD137</f>
        <v>50000</v>
      </c>
      <c r="M137" s="39">
        <f>'Data entry sylt'!AG137</f>
        <v>0</v>
      </c>
      <c r="N137" s="39">
        <f>'Data entry sylt'!AJ137</f>
        <v>0</v>
      </c>
      <c r="O137" s="39">
        <f>'Data entry sylt'!AM137</f>
        <v>0</v>
      </c>
    </row>
    <row r="138" spans="2:15" ht="14" x14ac:dyDescent="0.15">
      <c r="B138" s="38" t="s">
        <v>96</v>
      </c>
      <c r="C138" s="39">
        <f>'Data entry sylt'!C138</f>
        <v>0</v>
      </c>
      <c r="D138" s="39">
        <f>'Data entry sylt'!F138</f>
        <v>0</v>
      </c>
      <c r="E138" s="39">
        <f>'Data entry sylt'!I138</f>
        <v>0</v>
      </c>
      <c r="F138" s="39">
        <f>'Data entry sylt'!L138</f>
        <v>0</v>
      </c>
      <c r="G138" s="39">
        <f>'Data entry sylt'!O138</f>
        <v>0</v>
      </c>
      <c r="H138" s="39">
        <f>'Data entry sylt'!R138</f>
        <v>0</v>
      </c>
      <c r="I138" s="39">
        <f>'Data entry sylt'!U138</f>
        <v>0</v>
      </c>
      <c r="J138" s="39">
        <f>'Data entry sylt'!X138</f>
        <v>0</v>
      </c>
      <c r="K138" s="39">
        <f>'Data entry sylt'!AA138</f>
        <v>0</v>
      </c>
      <c r="L138" s="39">
        <f>'Data entry sylt'!AD138</f>
        <v>0</v>
      </c>
      <c r="M138" s="39">
        <f>'Data entry sylt'!AG138</f>
        <v>0</v>
      </c>
      <c r="N138" s="39">
        <f>'Data entry sylt'!AJ138</f>
        <v>0</v>
      </c>
      <c r="O138" s="39">
        <f>'Data entry sylt'!AM138</f>
        <v>0</v>
      </c>
    </row>
    <row r="139" spans="2:15" ht="14" x14ac:dyDescent="0.15">
      <c r="B139" s="38" t="s">
        <v>97</v>
      </c>
      <c r="C139" s="39">
        <f>'Data entry sylt'!C139</f>
        <v>0</v>
      </c>
      <c r="D139" s="39">
        <f>'Data entry sylt'!F139</f>
        <v>0</v>
      </c>
      <c r="E139" s="39">
        <f>'Data entry sylt'!I139</f>
        <v>0</v>
      </c>
      <c r="F139" s="39">
        <f>'Data entry sylt'!L139</f>
        <v>0</v>
      </c>
      <c r="G139" s="39">
        <f>'Data entry sylt'!O139</f>
        <v>0</v>
      </c>
      <c r="H139" s="39">
        <f>'Data entry sylt'!R139</f>
        <v>0</v>
      </c>
      <c r="I139" s="39">
        <f>'Data entry sylt'!U139</f>
        <v>0</v>
      </c>
      <c r="J139" s="39">
        <f>'Data entry sylt'!X139</f>
        <v>0</v>
      </c>
      <c r="K139" s="39">
        <f>'Data entry sylt'!AA139</f>
        <v>0</v>
      </c>
      <c r="L139" s="39">
        <f>'Data entry sylt'!AD139</f>
        <v>0</v>
      </c>
      <c r="M139" s="39">
        <f>'Data entry sylt'!AG139</f>
        <v>0</v>
      </c>
      <c r="N139" s="39">
        <f>'Data entry sylt'!AJ139</f>
        <v>0</v>
      </c>
      <c r="O139" s="39">
        <f>'Data entry sylt'!AM139</f>
        <v>0</v>
      </c>
    </row>
    <row r="140" spans="2:15" x14ac:dyDescent="0.15">
      <c r="B140" s="40"/>
      <c r="C140" s="39">
        <f>'Data entry sylt'!C140</f>
        <v>0</v>
      </c>
      <c r="D140" s="39">
        <f>'Data entry sylt'!F140</f>
        <v>0</v>
      </c>
      <c r="E140" s="39">
        <f>'Data entry sylt'!I140</f>
        <v>0</v>
      </c>
      <c r="F140" s="39">
        <f>'Data entry sylt'!L140</f>
        <v>0</v>
      </c>
      <c r="G140" s="39">
        <f>'Data entry sylt'!O140</f>
        <v>0</v>
      </c>
      <c r="H140" s="39">
        <f>'Data entry sylt'!R140</f>
        <v>0</v>
      </c>
      <c r="I140" s="39">
        <f>'Data entry sylt'!U140</f>
        <v>0</v>
      </c>
      <c r="J140" s="39">
        <f>'Data entry sylt'!X140</f>
        <v>0</v>
      </c>
      <c r="K140" s="39">
        <f>'Data entry sylt'!AA140</f>
        <v>0</v>
      </c>
      <c r="L140" s="39">
        <f>'Data entry sylt'!AD140</f>
        <v>0</v>
      </c>
      <c r="M140" s="39">
        <f>'Data entry sylt'!AG140</f>
        <v>0</v>
      </c>
      <c r="N140" s="39">
        <f>'Data entry sylt'!AJ140</f>
        <v>0</v>
      </c>
      <c r="O140" s="39">
        <f>'Data entry sylt'!AM140</f>
        <v>0</v>
      </c>
    </row>
    <row r="141" spans="2:15" ht="28" x14ac:dyDescent="0.15">
      <c r="B141" s="42" t="s">
        <v>98</v>
      </c>
      <c r="C141" s="39">
        <f>'Data entry sylt'!C141</f>
        <v>-341105.88260000001</v>
      </c>
      <c r="D141" s="39">
        <f>'Data entry sylt'!F141</f>
        <v>-219368.6</v>
      </c>
      <c r="E141" s="39">
        <f>'Data entry sylt'!I141</f>
        <v>-151835.32</v>
      </c>
      <c r="F141" s="39">
        <f>'Data entry sylt'!L141</f>
        <v>-91474.18</v>
      </c>
      <c r="G141" s="39">
        <f>'Data entry sylt'!O141</f>
        <v>-45523.53</v>
      </c>
      <c r="H141" s="39">
        <f>'Data entry sylt'!R141</f>
        <v>62583.046499999997</v>
      </c>
      <c r="I141" s="39">
        <f>'Data entry sylt'!U141</f>
        <v>70983.866099999999</v>
      </c>
      <c r="J141" s="39">
        <f>'Data entry sylt'!X141</f>
        <v>130600.91069999999</v>
      </c>
      <c r="K141" s="39">
        <f>'Data entry sylt'!AA141</f>
        <v>184128.04269999999</v>
      </c>
      <c r="L141" s="39">
        <f>'Data entry sylt'!AD141</f>
        <v>139672.598</v>
      </c>
      <c r="M141" s="39">
        <f>'Data entry sylt'!AG141</f>
        <v>-169044.8725</v>
      </c>
      <c r="N141" s="39">
        <f>'Data entry sylt'!AJ141</f>
        <v>-130757.633</v>
      </c>
      <c r="O141" s="39">
        <f>'Data entry sylt'!AM141</f>
        <v>-121070.2111</v>
      </c>
    </row>
    <row r="142" spans="2:15" ht="14" x14ac:dyDescent="0.15">
      <c r="B142" s="38" t="s">
        <v>99</v>
      </c>
      <c r="C142" s="39">
        <f>'Data entry sylt'!C142</f>
        <v>0</v>
      </c>
      <c r="D142" s="39">
        <f>'Data entry sylt'!F142</f>
        <v>0</v>
      </c>
      <c r="E142" s="39">
        <f>'Data entry sylt'!I142</f>
        <v>0</v>
      </c>
      <c r="F142" s="39">
        <f>'Data entry sylt'!L142</f>
        <v>0</v>
      </c>
      <c r="G142" s="39">
        <f>'Data entry sylt'!O142</f>
        <v>0</v>
      </c>
      <c r="H142" s="39">
        <f>'Data entry sylt'!R142</f>
        <v>0</v>
      </c>
      <c r="I142" s="39">
        <f>'Data entry sylt'!U142</f>
        <v>0</v>
      </c>
      <c r="J142" s="39">
        <f>'Data entry sylt'!X142</f>
        <v>0</v>
      </c>
      <c r="K142" s="39">
        <f>'Data entry sylt'!AA142</f>
        <v>0</v>
      </c>
      <c r="L142" s="39">
        <f>'Data entry sylt'!AD142</f>
        <v>0</v>
      </c>
      <c r="M142" s="39">
        <f>'Data entry sylt'!AG142</f>
        <v>0</v>
      </c>
      <c r="N142" s="39">
        <f>'Data entry sylt'!AJ142</f>
        <v>0</v>
      </c>
      <c r="O142" s="39">
        <f>'Data entry sylt'!AM142</f>
        <v>0</v>
      </c>
    </row>
    <row r="143" spans="2:15" x14ac:dyDescent="0.15">
      <c r="B143" s="40"/>
      <c r="C143" s="39">
        <f>'Data entry sylt'!C143</f>
        <v>0</v>
      </c>
      <c r="D143" s="39">
        <f>'Data entry sylt'!F143</f>
        <v>0</v>
      </c>
      <c r="E143" s="39">
        <f>'Data entry sylt'!I143</f>
        <v>0</v>
      </c>
      <c r="F143" s="39">
        <f>'Data entry sylt'!L143</f>
        <v>0</v>
      </c>
      <c r="G143" s="39">
        <f>'Data entry sylt'!O143</f>
        <v>0</v>
      </c>
      <c r="H143" s="39">
        <f>'Data entry sylt'!R143</f>
        <v>0</v>
      </c>
      <c r="I143" s="39">
        <f>'Data entry sylt'!U143</f>
        <v>0</v>
      </c>
      <c r="J143" s="39">
        <f>'Data entry sylt'!X143</f>
        <v>0</v>
      </c>
      <c r="K143" s="39">
        <f>'Data entry sylt'!AA143</f>
        <v>0</v>
      </c>
      <c r="L143" s="39">
        <f>'Data entry sylt'!AD143</f>
        <v>0</v>
      </c>
      <c r="M143" s="39">
        <f>'Data entry sylt'!AG143</f>
        <v>0</v>
      </c>
      <c r="N143" s="39">
        <f>'Data entry sylt'!AJ143</f>
        <v>0</v>
      </c>
      <c r="O143" s="39">
        <f>'Data entry sylt'!AM143</f>
        <v>0</v>
      </c>
    </row>
    <row r="144" spans="2:15" ht="14" x14ac:dyDescent="0.15">
      <c r="B144" s="42" t="s">
        <v>100</v>
      </c>
      <c r="C144" s="39">
        <f>'Data entry sylt'!C144</f>
        <v>-341105.88260000001</v>
      </c>
      <c r="D144" s="39">
        <f>'Data entry sylt'!F144</f>
        <v>-219368.6</v>
      </c>
      <c r="E144" s="39">
        <f>'Data entry sylt'!I144</f>
        <v>-151835.32</v>
      </c>
      <c r="F144" s="39">
        <f>'Data entry sylt'!L144</f>
        <v>-91474.18</v>
      </c>
      <c r="G144" s="39">
        <f>'Data entry sylt'!O144</f>
        <v>-45523.53</v>
      </c>
      <c r="H144" s="39">
        <f>'Data entry sylt'!R144</f>
        <v>62583.046499999997</v>
      </c>
      <c r="I144" s="39">
        <f>'Data entry sylt'!U144</f>
        <v>70983.866099999999</v>
      </c>
      <c r="J144" s="39">
        <f>'Data entry sylt'!X144</f>
        <v>130600.91069999999</v>
      </c>
      <c r="K144" s="39">
        <f>'Data entry sylt'!AA144</f>
        <v>184128.04269999999</v>
      </c>
      <c r="L144" s="39">
        <f>'Data entry sylt'!AD144</f>
        <v>139672.598</v>
      </c>
      <c r="M144" s="39">
        <f>'Data entry sylt'!AG144</f>
        <v>-169044.8725</v>
      </c>
      <c r="N144" s="39">
        <f>'Data entry sylt'!AJ144</f>
        <v>-130757.633</v>
      </c>
      <c r="O144" s="39">
        <f>'Data entry sylt'!AM144</f>
        <v>-121070.2111</v>
      </c>
    </row>
    <row r="145" spans="2:15" ht="14" x14ac:dyDescent="0.15">
      <c r="B145" s="38" t="s">
        <v>101</v>
      </c>
      <c r="C145" s="39">
        <f>'Data entry sylt'!C145</f>
        <v>0</v>
      </c>
      <c r="D145" s="39">
        <f>'Data entry sylt'!F145</f>
        <v>0</v>
      </c>
      <c r="E145" s="39">
        <f>'Data entry sylt'!I145</f>
        <v>0</v>
      </c>
      <c r="F145" s="39">
        <f>'Data entry sylt'!L145</f>
        <v>0</v>
      </c>
      <c r="G145" s="39">
        <f>'Data entry sylt'!O145</f>
        <v>0</v>
      </c>
      <c r="H145" s="39">
        <f>'Data entry sylt'!R145</f>
        <v>0</v>
      </c>
      <c r="I145" s="39">
        <f>'Data entry sylt'!U145</f>
        <v>0</v>
      </c>
      <c r="J145" s="39">
        <f>'Data entry sylt'!X145</f>
        <v>0</v>
      </c>
      <c r="K145" s="39">
        <f>'Data entry sylt'!AA145</f>
        <v>0</v>
      </c>
      <c r="L145" s="39">
        <f>'Data entry sylt'!AD145</f>
        <v>0</v>
      </c>
      <c r="M145" s="39">
        <f>'Data entry sylt'!AG145</f>
        <v>0</v>
      </c>
      <c r="N145" s="39">
        <f>'Data entry sylt'!AJ145</f>
        <v>0</v>
      </c>
      <c r="O145" s="39">
        <f>'Data entry sylt'!AM145</f>
        <v>0</v>
      </c>
    </row>
    <row r="146" spans="2:15" x14ac:dyDescent="0.15">
      <c r="B146" s="40"/>
      <c r="C146" s="39">
        <f>'Data entry sylt'!C146</f>
        <v>0</v>
      </c>
      <c r="D146" s="39">
        <f>'Data entry sylt'!F146</f>
        <v>0</v>
      </c>
      <c r="E146" s="39">
        <f>'Data entry sylt'!I146</f>
        <v>0</v>
      </c>
      <c r="F146" s="39">
        <f>'Data entry sylt'!L146</f>
        <v>0</v>
      </c>
      <c r="G146" s="39">
        <f>'Data entry sylt'!O146</f>
        <v>0</v>
      </c>
      <c r="H146" s="39">
        <f>'Data entry sylt'!R146</f>
        <v>0</v>
      </c>
      <c r="I146" s="39">
        <f>'Data entry sylt'!U146</f>
        <v>0</v>
      </c>
      <c r="J146" s="39">
        <f>'Data entry sylt'!X146</f>
        <v>0</v>
      </c>
      <c r="K146" s="39">
        <f>'Data entry sylt'!AA146</f>
        <v>0</v>
      </c>
      <c r="L146" s="39">
        <f>'Data entry sylt'!AD146</f>
        <v>0</v>
      </c>
      <c r="M146" s="39">
        <f>'Data entry sylt'!AG146</f>
        <v>0</v>
      </c>
      <c r="N146" s="39">
        <f>'Data entry sylt'!AJ146</f>
        <v>0</v>
      </c>
      <c r="O146" s="39">
        <f>'Data entry sylt'!AM146</f>
        <v>0</v>
      </c>
    </row>
    <row r="147" spans="2:15" ht="28" x14ac:dyDescent="0.15">
      <c r="B147" s="42" t="s">
        <v>102</v>
      </c>
      <c r="C147" s="39">
        <f>'Data entry sylt'!C147</f>
        <v>-341105.88260000001</v>
      </c>
      <c r="D147" s="39">
        <f>'Data entry sylt'!F147</f>
        <v>-219368.6</v>
      </c>
      <c r="E147" s="39">
        <f>'Data entry sylt'!I147</f>
        <v>-151835.32</v>
      </c>
      <c r="F147" s="39">
        <f>'Data entry sylt'!L147</f>
        <v>-91474.18</v>
      </c>
      <c r="G147" s="39">
        <f>'Data entry sylt'!O147</f>
        <v>-45523.53</v>
      </c>
      <c r="H147" s="39">
        <f>'Data entry sylt'!R147</f>
        <v>62583.046499999997</v>
      </c>
      <c r="I147" s="39">
        <f>'Data entry sylt'!U147</f>
        <v>70983.866099999999</v>
      </c>
      <c r="J147" s="39">
        <f>'Data entry sylt'!X147</f>
        <v>130600.91069999999</v>
      </c>
      <c r="K147" s="39">
        <f>'Data entry sylt'!AA147</f>
        <v>184128.04269999999</v>
      </c>
      <c r="L147" s="39">
        <f>'Data entry sylt'!AD147</f>
        <v>139672.598</v>
      </c>
      <c r="M147" s="39">
        <f>'Data entry sylt'!AG147</f>
        <v>-169044.8725</v>
      </c>
      <c r="N147" s="39">
        <f>'Data entry sylt'!AJ147</f>
        <v>-130757.633</v>
      </c>
      <c r="O147" s="39">
        <f>'Data entry sylt'!AM147</f>
        <v>-121070.2111</v>
      </c>
    </row>
    <row r="148" spans="2:15" ht="14" x14ac:dyDescent="0.15">
      <c r="B148" s="38" t="s">
        <v>103</v>
      </c>
      <c r="C148" s="39">
        <f>'Data entry sylt'!C148</f>
        <v>0</v>
      </c>
      <c r="D148" s="39">
        <f>'Data entry sylt'!F148</f>
        <v>0</v>
      </c>
      <c r="E148" s="39">
        <f>'Data entry sylt'!I148</f>
        <v>0</v>
      </c>
      <c r="F148" s="39">
        <f>'Data entry sylt'!L148</f>
        <v>0</v>
      </c>
      <c r="G148" s="39">
        <f>'Data entry sylt'!O148</f>
        <v>0</v>
      </c>
      <c r="H148" s="39">
        <f>'Data entry sylt'!R148</f>
        <v>0</v>
      </c>
      <c r="I148" s="39">
        <f>'Data entry sylt'!U148</f>
        <v>0</v>
      </c>
      <c r="J148" s="39">
        <f>'Data entry sylt'!X148</f>
        <v>0</v>
      </c>
      <c r="K148" s="39">
        <f>'Data entry sylt'!AA148</f>
        <v>0</v>
      </c>
      <c r="L148" s="39">
        <f>'Data entry sylt'!AD148</f>
        <v>0</v>
      </c>
      <c r="M148" s="39">
        <f>'Data entry sylt'!AG148</f>
        <v>0</v>
      </c>
      <c r="N148" s="39">
        <f>'Data entry sylt'!AJ148</f>
        <v>0</v>
      </c>
      <c r="O148" s="39">
        <f>'Data entry sylt'!AM148</f>
        <v>0</v>
      </c>
    </row>
    <row r="149" spans="2:15" x14ac:dyDescent="0.15">
      <c r="B149" s="40"/>
      <c r="C149" s="39">
        <f>'Data entry sylt'!C149</f>
        <v>0</v>
      </c>
      <c r="D149" s="39">
        <f>'Data entry sylt'!F149</f>
        <v>0</v>
      </c>
      <c r="E149" s="39">
        <f>'Data entry sylt'!I149</f>
        <v>0</v>
      </c>
      <c r="F149" s="39">
        <f>'Data entry sylt'!L149</f>
        <v>0</v>
      </c>
      <c r="G149" s="39">
        <f>'Data entry sylt'!O149</f>
        <v>0</v>
      </c>
      <c r="H149" s="39">
        <f>'Data entry sylt'!R149</f>
        <v>0</v>
      </c>
      <c r="I149" s="39">
        <f>'Data entry sylt'!U149</f>
        <v>0</v>
      </c>
      <c r="J149" s="39">
        <f>'Data entry sylt'!X149</f>
        <v>0</v>
      </c>
      <c r="K149" s="39">
        <f>'Data entry sylt'!AA149</f>
        <v>0</v>
      </c>
      <c r="L149" s="39">
        <f>'Data entry sylt'!AD149</f>
        <v>0</v>
      </c>
      <c r="M149" s="39">
        <f>'Data entry sylt'!AG149</f>
        <v>0</v>
      </c>
      <c r="N149" s="39">
        <f>'Data entry sylt'!AJ149</f>
        <v>0</v>
      </c>
      <c r="O149" s="39">
        <f>'Data entry sylt'!AM149</f>
        <v>0</v>
      </c>
    </row>
    <row r="150" spans="2:15" ht="14" x14ac:dyDescent="0.15">
      <c r="B150" s="42" t="s">
        <v>104</v>
      </c>
      <c r="C150" s="39">
        <f>'Data entry sylt'!C150</f>
        <v>-341105.88260000001</v>
      </c>
      <c r="D150" s="39">
        <f>'Data entry sylt'!F150</f>
        <v>-219368.6</v>
      </c>
      <c r="E150" s="39">
        <f>'Data entry sylt'!I150</f>
        <v>-151835.32</v>
      </c>
      <c r="F150" s="39">
        <f>'Data entry sylt'!L150</f>
        <v>-91474.18</v>
      </c>
      <c r="G150" s="39">
        <f>'Data entry sylt'!O150</f>
        <v>-45523.53</v>
      </c>
      <c r="H150" s="39">
        <f>'Data entry sylt'!R150</f>
        <v>62583.046499999997</v>
      </c>
      <c r="I150" s="39">
        <f>'Data entry sylt'!U150</f>
        <v>70983.866099999999</v>
      </c>
      <c r="J150" s="39">
        <f>'Data entry sylt'!X150</f>
        <v>130600.91069999999</v>
      </c>
      <c r="K150" s="39">
        <f>'Data entry sylt'!AA150</f>
        <v>184128.04269999999</v>
      </c>
      <c r="L150" s="39">
        <f>'Data entry sylt'!AD150</f>
        <v>139672.598</v>
      </c>
      <c r="M150" s="39">
        <f>'Data entry sylt'!AG150</f>
        <v>-169044.8725</v>
      </c>
      <c r="N150" s="39">
        <f>'Data entry sylt'!AJ150</f>
        <v>-130757.633</v>
      </c>
      <c r="O150" s="39">
        <f>'Data entry sylt'!AM150</f>
        <v>-121070.2111</v>
      </c>
    </row>
    <row r="151" spans="2:15" x14ac:dyDescent="0.15">
      <c r="B151" s="40"/>
      <c r="C151" s="39">
        <f>'Data entry sylt'!C151</f>
        <v>0</v>
      </c>
      <c r="D151" s="39">
        <f>'Data entry sylt'!F151</f>
        <v>0</v>
      </c>
      <c r="E151" s="39">
        <f>'Data entry sylt'!I151</f>
        <v>0</v>
      </c>
      <c r="F151" s="39">
        <f>'Data entry sylt'!L151</f>
        <v>0</v>
      </c>
      <c r="G151" s="39">
        <f>'Data entry sylt'!O151</f>
        <v>0</v>
      </c>
      <c r="H151" s="39">
        <f>'Data entry sylt'!R151</f>
        <v>0</v>
      </c>
      <c r="I151" s="39">
        <f>'Data entry sylt'!U151</f>
        <v>0</v>
      </c>
      <c r="J151" s="39">
        <f>'Data entry sylt'!X151</f>
        <v>0</v>
      </c>
      <c r="K151" s="39">
        <f>'Data entry sylt'!AA151</f>
        <v>0</v>
      </c>
      <c r="L151" s="39">
        <f>'Data entry sylt'!AD151</f>
        <v>0</v>
      </c>
      <c r="M151" s="39">
        <f>'Data entry sylt'!AG151</f>
        <v>0</v>
      </c>
      <c r="N151" s="39">
        <f>'Data entry sylt'!AJ151</f>
        <v>0</v>
      </c>
      <c r="O151" s="39">
        <f>'Data entry sylt'!AM151</f>
        <v>0</v>
      </c>
    </row>
    <row r="152" spans="2:15" ht="14" x14ac:dyDescent="0.15">
      <c r="B152" s="44" t="s">
        <v>105</v>
      </c>
      <c r="C152" s="39">
        <f>'Data entry sylt'!C152</f>
        <v>0</v>
      </c>
      <c r="D152" s="39">
        <f>'Data entry sylt'!F152</f>
        <v>0</v>
      </c>
      <c r="E152" s="39">
        <f>'Data entry sylt'!I152</f>
        <v>0</v>
      </c>
      <c r="F152" s="39">
        <f>'Data entry sylt'!L152</f>
        <v>0</v>
      </c>
      <c r="G152" s="39">
        <f>'Data entry sylt'!O152</f>
        <v>0</v>
      </c>
      <c r="H152" s="39">
        <f>'Data entry sylt'!R152</f>
        <v>0</v>
      </c>
      <c r="I152" s="39">
        <f>'Data entry sylt'!U152</f>
        <v>0</v>
      </c>
      <c r="J152" s="39">
        <f>'Data entry sylt'!X152</f>
        <v>0</v>
      </c>
      <c r="K152" s="39">
        <f>'Data entry sylt'!AA152</f>
        <v>0</v>
      </c>
      <c r="L152" s="39">
        <f>'Data entry sylt'!AD152</f>
        <v>0</v>
      </c>
      <c r="M152" s="39">
        <f>'Data entry sylt'!AG152</f>
        <v>0</v>
      </c>
      <c r="N152" s="39">
        <f>'Data entry sylt'!AJ152</f>
        <v>0</v>
      </c>
      <c r="O152" s="39">
        <f>'Data entry sylt'!AM152</f>
        <v>0</v>
      </c>
    </row>
    <row r="153" spans="2:15" ht="14" x14ac:dyDescent="0.15">
      <c r="B153" s="38" t="s">
        <v>106</v>
      </c>
      <c r="C153" s="39">
        <f>'Data entry sylt'!C153</f>
        <v>-333105.88260000001</v>
      </c>
      <c r="D153" s="39">
        <f>'Data entry sylt'!F153</f>
        <v>-219368.6</v>
      </c>
      <c r="E153" s="39">
        <f>'Data entry sylt'!I153</f>
        <v>-151835.32</v>
      </c>
      <c r="F153" s="39">
        <f>'Data entry sylt'!L153</f>
        <v>-91474.18</v>
      </c>
      <c r="G153" s="39">
        <f>'Data entry sylt'!O153</f>
        <v>-45523.53</v>
      </c>
      <c r="H153" s="39">
        <f>'Data entry sylt'!R153</f>
        <v>63583.046499999997</v>
      </c>
      <c r="I153" s="39">
        <f>'Data entry sylt'!U153</f>
        <v>71983.866099999999</v>
      </c>
      <c r="J153" s="39">
        <f>'Data entry sylt'!X153</f>
        <v>131600.91070000001</v>
      </c>
      <c r="K153" s="39">
        <f>'Data entry sylt'!AA153</f>
        <v>185128.04269999999</v>
      </c>
      <c r="L153" s="39">
        <f>'Data entry sylt'!AD153</f>
        <v>140672.598</v>
      </c>
      <c r="M153" s="39">
        <f>'Data entry sylt'!AG153</f>
        <v>-168044.8725</v>
      </c>
      <c r="N153" s="39">
        <f>'Data entry sylt'!AJ153</f>
        <v>-129757.633</v>
      </c>
      <c r="O153" s="39">
        <f>'Data entry sylt'!AM153</f>
        <v>-120070.2111</v>
      </c>
    </row>
    <row r="154" spans="2:15" ht="14" x14ac:dyDescent="0.15">
      <c r="B154" s="38" t="s">
        <v>107</v>
      </c>
      <c r="C154" s="39">
        <f>'Data entry sylt'!C154</f>
        <v>-341105.88260000001</v>
      </c>
      <c r="D154" s="39">
        <f>'Data entry sylt'!F154</f>
        <v>-219368.6</v>
      </c>
      <c r="E154" s="39">
        <f>'Data entry sylt'!I154</f>
        <v>-151835.32</v>
      </c>
      <c r="F154" s="39">
        <f>'Data entry sylt'!L154</f>
        <v>-91474.18</v>
      </c>
      <c r="G154" s="39">
        <f>'Data entry sylt'!O154</f>
        <v>-45523.53</v>
      </c>
      <c r="H154" s="39">
        <f>'Data entry sylt'!R154</f>
        <v>62583.046499999997</v>
      </c>
      <c r="I154" s="39">
        <f>'Data entry sylt'!U154</f>
        <v>70983.866099999999</v>
      </c>
      <c r="J154" s="39">
        <f>'Data entry sylt'!X154</f>
        <v>130600.91069999999</v>
      </c>
      <c r="K154" s="39">
        <f>'Data entry sylt'!AA154</f>
        <v>184128.04269999999</v>
      </c>
      <c r="L154" s="39">
        <f>'Data entry sylt'!AD154</f>
        <v>139672.598</v>
      </c>
      <c r="M154" s="39">
        <f>'Data entry sylt'!AG154</f>
        <v>-169044.8725</v>
      </c>
      <c r="N154" s="39">
        <f>'Data entry sylt'!AJ154</f>
        <v>-130757.633</v>
      </c>
      <c r="O154" s="39">
        <f>'Data entry sylt'!AM154</f>
        <v>-121070.2111</v>
      </c>
    </row>
    <row r="155" spans="2:15" ht="14" x14ac:dyDescent="0.15">
      <c r="B155" s="42" t="s">
        <v>108</v>
      </c>
      <c r="C155" s="39">
        <f>'Data entry sylt'!C155</f>
        <v>143153.5822</v>
      </c>
      <c r="D155" s="39">
        <f>'Data entry sylt'!F155</f>
        <v>4862.74</v>
      </c>
      <c r="E155" s="39">
        <f>'Data entry sylt'!I155</f>
        <v>5879.04</v>
      </c>
      <c r="F155" s="39">
        <f>'Data entry sylt'!L155</f>
        <v>9341.66</v>
      </c>
      <c r="G155" s="39">
        <f>'Data entry sylt'!O155</f>
        <v>13266.44</v>
      </c>
      <c r="H155" s="39">
        <f>'Data entry sylt'!R155</f>
        <v>16059.7698</v>
      </c>
      <c r="I155" s="39">
        <f>'Data entry sylt'!U155</f>
        <v>20674.406200000001</v>
      </c>
      <c r="J155" s="39">
        <f>'Data entry sylt'!X155</f>
        <v>24497.739099999999</v>
      </c>
      <c r="K155" s="39">
        <f>'Data entry sylt'!AA155</f>
        <v>25742.780900000002</v>
      </c>
      <c r="L155" s="39">
        <f>'Data entry sylt'!AD155</f>
        <v>22289.0062</v>
      </c>
      <c r="M155" s="39">
        <f>'Data entry sylt'!AG155</f>
        <v>180</v>
      </c>
      <c r="N155" s="39">
        <f>'Data entry sylt'!AJ155</f>
        <v>180</v>
      </c>
      <c r="O155" s="39">
        <f>'Data entry sylt'!AM155</f>
        <v>180</v>
      </c>
    </row>
    <row r="156" spans="2:15" ht="14" x14ac:dyDescent="0.15">
      <c r="B156" s="38" t="s">
        <v>109</v>
      </c>
      <c r="C156" s="39">
        <f>'Data entry sylt'!C156</f>
        <v>0</v>
      </c>
      <c r="D156" s="39">
        <f>'Data entry sylt'!F156</f>
        <v>0</v>
      </c>
      <c r="E156" s="39">
        <f>'Data entry sylt'!I156</f>
        <v>0</v>
      </c>
      <c r="F156" s="39">
        <f>'Data entry sylt'!L156</f>
        <v>0</v>
      </c>
      <c r="G156" s="39">
        <f>'Data entry sylt'!O156</f>
        <v>0</v>
      </c>
      <c r="H156" s="39">
        <f>'Data entry sylt'!R156</f>
        <v>0</v>
      </c>
      <c r="I156" s="39">
        <f>'Data entry sylt'!U156</f>
        <v>0</v>
      </c>
      <c r="J156" s="39">
        <f>'Data entry sylt'!X156</f>
        <v>0</v>
      </c>
      <c r="K156" s="39">
        <f>'Data entry sylt'!AA156</f>
        <v>0</v>
      </c>
      <c r="L156" s="39">
        <f>'Data entry sylt'!AD156</f>
        <v>0</v>
      </c>
      <c r="M156" s="39">
        <f>'Data entry sylt'!AG156</f>
        <v>0</v>
      </c>
      <c r="N156" s="39">
        <f>'Data entry sylt'!AJ156</f>
        <v>0</v>
      </c>
      <c r="O156" s="39">
        <f>'Data entry sylt'!AM156</f>
        <v>0</v>
      </c>
    </row>
    <row r="157" spans="2:15" ht="14" x14ac:dyDescent="0.15">
      <c r="B157" s="38" t="s">
        <v>110</v>
      </c>
      <c r="C157" s="39">
        <f>'Data entry sylt'!C157</f>
        <v>0</v>
      </c>
      <c r="D157" s="39">
        <f>'Data entry sylt'!F157</f>
        <v>0</v>
      </c>
      <c r="E157" s="39">
        <f>'Data entry sylt'!I157</f>
        <v>0</v>
      </c>
      <c r="F157" s="39">
        <f>'Data entry sylt'!L157</f>
        <v>0</v>
      </c>
      <c r="G157" s="39">
        <f>'Data entry sylt'!O157</f>
        <v>0</v>
      </c>
      <c r="H157" s="39">
        <f>'Data entry sylt'!R157</f>
        <v>0</v>
      </c>
      <c r="I157" s="39">
        <f>'Data entry sylt'!U157</f>
        <v>0</v>
      </c>
      <c r="J157" s="39">
        <f>'Data entry sylt'!X157</f>
        <v>0</v>
      </c>
      <c r="K157" s="39">
        <f>'Data entry sylt'!AA157</f>
        <v>0</v>
      </c>
      <c r="L157" s="39">
        <f>'Data entry sylt'!AD157</f>
        <v>0</v>
      </c>
      <c r="M157" s="39">
        <f>'Data entry sylt'!AG157</f>
        <v>0</v>
      </c>
      <c r="N157" s="39">
        <f>'Data entry sylt'!AJ157</f>
        <v>0</v>
      </c>
      <c r="O157" s="39">
        <f>'Data entry sylt'!AM157</f>
        <v>0</v>
      </c>
    </row>
    <row r="158" spans="2:15" ht="14" x14ac:dyDescent="0.15">
      <c r="B158" s="38" t="s">
        <v>111</v>
      </c>
      <c r="C158" s="39">
        <f>'Data entry sylt'!C158</f>
        <v>35200.905599999998</v>
      </c>
      <c r="D158" s="39">
        <f>'Data entry sylt'!F158</f>
        <v>972.55</v>
      </c>
      <c r="E158" s="39">
        <f>'Data entry sylt'!I158</f>
        <v>1175.81</v>
      </c>
      <c r="F158" s="39">
        <f>'Data entry sylt'!L158</f>
        <v>1868.33</v>
      </c>
      <c r="G158" s="39">
        <f>'Data entry sylt'!O158</f>
        <v>2653.29</v>
      </c>
      <c r="H158" s="39">
        <f>'Data entry sylt'!R158</f>
        <v>4149.9423999999999</v>
      </c>
      <c r="I158" s="39">
        <f>'Data entry sylt'!U158</f>
        <v>5303.6016</v>
      </c>
      <c r="J158" s="39">
        <f>'Data entry sylt'!X158</f>
        <v>6259.4348</v>
      </c>
      <c r="K158" s="39">
        <f>'Data entry sylt'!AA158</f>
        <v>6570.6952000000001</v>
      </c>
      <c r="L158" s="39">
        <f>'Data entry sylt'!AD158</f>
        <v>5707.2515999999996</v>
      </c>
      <c r="M158" s="39">
        <f>'Data entry sylt'!AG158</f>
        <v>180</v>
      </c>
      <c r="N158" s="39">
        <f>'Data entry sylt'!AJ158</f>
        <v>180</v>
      </c>
      <c r="O158" s="39">
        <f>'Data entry sylt'!AM158</f>
        <v>180</v>
      </c>
    </row>
    <row r="159" spans="2:15" ht="14" x14ac:dyDescent="0.15">
      <c r="B159" s="38" t="s">
        <v>112</v>
      </c>
      <c r="C159" s="39">
        <f>'Data entry sylt'!C159</f>
        <v>64220.841099999998</v>
      </c>
      <c r="D159" s="39">
        <f>'Data entry sylt'!F159</f>
        <v>0</v>
      </c>
      <c r="E159" s="39">
        <f>'Data entry sylt'!I159</f>
        <v>3256.56</v>
      </c>
      <c r="F159" s="39">
        <f>'Data entry sylt'!L159</f>
        <v>2802.5</v>
      </c>
      <c r="G159" s="39">
        <f>'Data entry sylt'!O159</f>
        <v>3979.93</v>
      </c>
      <c r="H159" s="39">
        <f>'Data entry sylt'!R159</f>
        <v>7939.8849</v>
      </c>
      <c r="I159" s="39">
        <f>'Data entry sylt'!U159</f>
        <v>10247.203100000001</v>
      </c>
      <c r="J159" s="39">
        <f>'Data entry sylt'!X159</f>
        <v>12158.869500000001</v>
      </c>
      <c r="K159" s="39">
        <f>'Data entry sylt'!AA159</f>
        <v>12781.3905</v>
      </c>
      <c r="L159" s="39">
        <f>'Data entry sylt'!AD159</f>
        <v>11054.5031</v>
      </c>
      <c r="M159" s="39">
        <f>'Data entry sylt'!AG159</f>
        <v>0</v>
      </c>
      <c r="N159" s="39">
        <f>'Data entry sylt'!AJ159</f>
        <v>0</v>
      </c>
      <c r="O159" s="39">
        <f>'Data entry sylt'!AM159</f>
        <v>0</v>
      </c>
    </row>
    <row r="160" spans="2:15" ht="14" x14ac:dyDescent="0.15">
      <c r="B160" s="38" t="s">
        <v>113</v>
      </c>
      <c r="C160" s="39">
        <f>'Data entry sylt'!C160</f>
        <v>101282.6967</v>
      </c>
      <c r="D160" s="39">
        <f>'Data entry sylt'!F160</f>
        <v>2917.64</v>
      </c>
      <c r="E160" s="39">
        <f>'Data entry sylt'!I160</f>
        <v>3527.42</v>
      </c>
      <c r="F160" s="39">
        <f>'Data entry sylt'!L160</f>
        <v>5605</v>
      </c>
      <c r="G160" s="39">
        <f>'Data entry sylt'!O160</f>
        <v>7959.86</v>
      </c>
      <c r="H160" s="39">
        <f>'Data entry sylt'!R160</f>
        <v>11909.827300000001</v>
      </c>
      <c r="I160" s="39">
        <f>'Data entry sylt'!U160</f>
        <v>15370.804700000001</v>
      </c>
      <c r="J160" s="39">
        <f>'Data entry sylt'!X160</f>
        <v>18238.3043</v>
      </c>
      <c r="K160" s="39">
        <f>'Data entry sylt'!AA160</f>
        <v>19172.0857</v>
      </c>
      <c r="L160" s="39">
        <f>'Data entry sylt'!AD160</f>
        <v>16581.754700000001</v>
      </c>
      <c r="M160" s="39">
        <f>'Data entry sylt'!AG160</f>
        <v>0</v>
      </c>
      <c r="N160" s="39">
        <f>'Data entry sylt'!AJ160</f>
        <v>0</v>
      </c>
      <c r="O160" s="39">
        <f>'Data entry sylt'!AM160</f>
        <v>0</v>
      </c>
    </row>
    <row r="161" spans="2:15" ht="14" x14ac:dyDescent="0.15">
      <c r="B161" s="38" t="s">
        <v>114</v>
      </c>
      <c r="C161" s="39">
        <f>'Data entry sylt'!C161</f>
        <v>6669.98</v>
      </c>
      <c r="D161" s="39">
        <f>'Data entry sylt'!F161</f>
        <v>972.55</v>
      </c>
      <c r="E161" s="39">
        <f>'Data entry sylt'!I161</f>
        <v>1175.81</v>
      </c>
      <c r="F161" s="39">
        <f>'Data entry sylt'!L161</f>
        <v>1868.33</v>
      </c>
      <c r="G161" s="39">
        <f>'Data entry sylt'!O161</f>
        <v>2653.29</v>
      </c>
      <c r="H161" s="39">
        <f>'Data entry sylt'!R161</f>
        <v>0</v>
      </c>
      <c r="I161" s="39">
        <f>'Data entry sylt'!U161</f>
        <v>0</v>
      </c>
      <c r="J161" s="39">
        <f>'Data entry sylt'!X161</f>
        <v>0</v>
      </c>
      <c r="K161" s="39">
        <f>'Data entry sylt'!AA161</f>
        <v>0</v>
      </c>
      <c r="L161" s="39">
        <f>'Data entry sylt'!AD161</f>
        <v>0</v>
      </c>
      <c r="M161" s="39">
        <f>'Data entry sylt'!AG161</f>
        <v>0</v>
      </c>
      <c r="N161" s="39">
        <f>'Data entry sylt'!AJ161</f>
        <v>0</v>
      </c>
      <c r="O161" s="39">
        <f>'Data entry sylt'!AM161</f>
        <v>0</v>
      </c>
    </row>
    <row r="162" spans="2:15" ht="14" x14ac:dyDescent="0.15">
      <c r="B162" s="42" t="s">
        <v>115</v>
      </c>
      <c r="C162" s="39">
        <f>'Data entry sylt'!C162</f>
        <v>183802.4258</v>
      </c>
      <c r="D162" s="39">
        <f>'Data entry sylt'!F162</f>
        <v>15275.4</v>
      </c>
      <c r="E162" s="39">
        <f>'Data entry sylt'!I162</f>
        <v>1361.91</v>
      </c>
      <c r="F162" s="39">
        <f>'Data entry sylt'!L162</f>
        <v>10405.540000000001</v>
      </c>
      <c r="G162" s="39">
        <f>'Data entry sylt'!O162</f>
        <v>14122.73</v>
      </c>
      <c r="H162" s="39">
        <f>'Data entry sylt'!R162</f>
        <v>22655.867699999999</v>
      </c>
      <c r="I162" s="39">
        <f>'Data entry sylt'!U162</f>
        <v>26005.7899</v>
      </c>
      <c r="J162" s="39">
        <f>'Data entry sylt'!X162</f>
        <v>31431.4791</v>
      </c>
      <c r="K162" s="39">
        <f>'Data entry sylt'!AA162</f>
        <v>34940.676099999997</v>
      </c>
      <c r="L162" s="39">
        <f>'Data entry sylt'!AD162</f>
        <v>27603.032999999999</v>
      </c>
      <c r="M162" s="39">
        <f>'Data entry sylt'!AG162</f>
        <v>0</v>
      </c>
      <c r="N162" s="39">
        <f>'Data entry sylt'!AJ162</f>
        <v>0</v>
      </c>
      <c r="O162" s="39">
        <f>'Data entry sylt'!AM162</f>
        <v>0</v>
      </c>
    </row>
    <row r="163" spans="2:15" ht="14" x14ac:dyDescent="0.15">
      <c r="B163" s="38" t="s">
        <v>116</v>
      </c>
      <c r="C163" s="39">
        <f>'Data entry sylt'!C163</f>
        <v>102759.2268</v>
      </c>
      <c r="D163" s="39">
        <f>'Data entry sylt'!F163</f>
        <v>8657.7900000000009</v>
      </c>
      <c r="E163" s="39">
        <f>'Data entry sylt'!I163</f>
        <v>786.14</v>
      </c>
      <c r="F163" s="39">
        <f>'Data entry sylt'!L163</f>
        <v>5252.1</v>
      </c>
      <c r="G163" s="39">
        <f>'Data entry sylt'!O163</f>
        <v>7833.08</v>
      </c>
      <c r="H163" s="39">
        <f>'Data entry sylt'!R163</f>
        <v>11569.3796</v>
      </c>
      <c r="I163" s="39">
        <f>'Data entry sylt'!U163</f>
        <v>15405.7253</v>
      </c>
      <c r="J163" s="39">
        <f>'Data entry sylt'!X163</f>
        <v>18270.536400000001</v>
      </c>
      <c r="K163" s="39">
        <f>'Data entry sylt'!AA163</f>
        <v>18956.549900000002</v>
      </c>
      <c r="L163" s="39">
        <f>'Data entry sylt'!AD163</f>
        <v>16027.9256</v>
      </c>
      <c r="M163" s="39">
        <f>'Data entry sylt'!AG163</f>
        <v>0</v>
      </c>
      <c r="N163" s="39">
        <f>'Data entry sylt'!AJ163</f>
        <v>0</v>
      </c>
      <c r="O163" s="39">
        <f>'Data entry sylt'!AM163</f>
        <v>0</v>
      </c>
    </row>
    <row r="164" spans="2:15" ht="14" x14ac:dyDescent="0.15">
      <c r="B164" s="38" t="s">
        <v>117</v>
      </c>
      <c r="C164" s="39">
        <f>'Data entry sylt'!C164</f>
        <v>48060.288699999997</v>
      </c>
      <c r="D164" s="39">
        <f>'Data entry sylt'!F164</f>
        <v>4747.6899999999996</v>
      </c>
      <c r="E164" s="39">
        <f>'Data entry sylt'!I164</f>
        <v>1198.01</v>
      </c>
      <c r="F164" s="39">
        <f>'Data entry sylt'!L164</f>
        <v>1500.6</v>
      </c>
      <c r="G164" s="39">
        <f>'Data entry sylt'!O164</f>
        <v>5053.09</v>
      </c>
      <c r="H164" s="39">
        <f>'Data entry sylt'!R164</f>
        <v>5150.9969000000001</v>
      </c>
      <c r="I164" s="39">
        <f>'Data entry sylt'!U164</f>
        <v>6776.0535</v>
      </c>
      <c r="J164" s="39">
        <f>'Data entry sylt'!X164</f>
        <v>8080.8716000000004</v>
      </c>
      <c r="K164" s="39">
        <f>'Data entry sylt'!AA164</f>
        <v>8445.1460000000006</v>
      </c>
      <c r="L164" s="39">
        <f>'Data entry sylt'!AD164</f>
        <v>7107.8307000000004</v>
      </c>
      <c r="M164" s="39">
        <f>'Data entry sylt'!AG164</f>
        <v>0</v>
      </c>
      <c r="N164" s="39">
        <f>'Data entry sylt'!AJ164</f>
        <v>0</v>
      </c>
      <c r="O164" s="39">
        <f>'Data entry sylt'!AM164</f>
        <v>0</v>
      </c>
    </row>
    <row r="165" spans="2:15" ht="14" x14ac:dyDescent="0.15">
      <c r="B165" s="38" t="s">
        <v>118</v>
      </c>
      <c r="C165" s="39">
        <f>'Data entry sylt'!C165</f>
        <v>19406.368900000001</v>
      </c>
      <c r="D165" s="39">
        <f>'Data entry sylt'!F165</f>
        <v>1466.88</v>
      </c>
      <c r="E165" s="39">
        <f>'Data entry sylt'!I165</f>
        <v>-219.2</v>
      </c>
      <c r="F165" s="39">
        <f>'Data entry sylt'!L165</f>
        <v>2902.54</v>
      </c>
      <c r="G165" s="39">
        <f>'Data entry sylt'!O165</f>
        <v>78.8</v>
      </c>
      <c r="H165" s="39">
        <f>'Data entry sylt'!R165</f>
        <v>4248.4706999999999</v>
      </c>
      <c r="I165" s="39">
        <f>'Data entry sylt'!U165</f>
        <v>1582.8280999999999</v>
      </c>
      <c r="J165" s="39">
        <f>'Data entry sylt'!X165</f>
        <v>2424.1127000000001</v>
      </c>
      <c r="K165" s="39">
        <f>'Data entry sylt'!AA165</f>
        <v>4784.5430999999999</v>
      </c>
      <c r="L165" s="39">
        <f>'Data entry sylt'!AD165</f>
        <v>2137.3942999999999</v>
      </c>
      <c r="M165" s="39">
        <f>'Data entry sylt'!AG165</f>
        <v>0</v>
      </c>
      <c r="N165" s="39">
        <f>'Data entry sylt'!AJ165</f>
        <v>0</v>
      </c>
      <c r="O165" s="39">
        <f>'Data entry sylt'!AM165</f>
        <v>0</v>
      </c>
    </row>
    <row r="166" spans="2:15" ht="14" x14ac:dyDescent="0.15">
      <c r="B166" s="38" t="s">
        <v>119</v>
      </c>
      <c r="C166" s="39">
        <f>'Data entry sylt'!C166</f>
        <v>13576.5417</v>
      </c>
      <c r="D166" s="39">
        <f>'Data entry sylt'!F166</f>
        <v>403.04</v>
      </c>
      <c r="E166" s="39">
        <f>'Data entry sylt'!I166</f>
        <v>-403.04</v>
      </c>
      <c r="F166" s="39">
        <f>'Data entry sylt'!L166</f>
        <v>750.3</v>
      </c>
      <c r="G166" s="39">
        <f>'Data entry sylt'!O166</f>
        <v>1157.76</v>
      </c>
      <c r="H166" s="39">
        <f>'Data entry sylt'!R166</f>
        <v>1687.0206000000001</v>
      </c>
      <c r="I166" s="39">
        <f>'Data entry sylt'!U166</f>
        <v>2241.183</v>
      </c>
      <c r="J166" s="39">
        <f>'Data entry sylt'!X166</f>
        <v>2655.9585000000002</v>
      </c>
      <c r="K166" s="39">
        <f>'Data entry sylt'!AA166</f>
        <v>2754.4371000000001</v>
      </c>
      <c r="L166" s="39">
        <f>'Data entry sylt'!AD166</f>
        <v>2329.8825000000002</v>
      </c>
      <c r="M166" s="39">
        <f>'Data entry sylt'!AG166</f>
        <v>0</v>
      </c>
      <c r="N166" s="39">
        <f>'Data entry sylt'!AJ166</f>
        <v>0</v>
      </c>
      <c r="O166" s="39">
        <f>'Data entry sylt'!AM166</f>
        <v>0</v>
      </c>
    </row>
    <row r="168" spans="2:15" ht="14" x14ac:dyDescent="0.15">
      <c r="B168" s="33" t="s">
        <v>156</v>
      </c>
    </row>
    <row r="171" spans="2:15" customFormat="1" ht="14" x14ac:dyDescent="0.15">
      <c r="B171" s="180" t="s">
        <v>331</v>
      </c>
      <c r="C171" s="21">
        <f t="shared" ref="C171:I171" si="0">+C11</f>
        <v>3378565.5660000001</v>
      </c>
      <c r="D171" s="21">
        <f t="shared" si="0"/>
        <v>99523.45</v>
      </c>
      <c r="E171" s="21">
        <f t="shared" si="0"/>
        <v>117809.94</v>
      </c>
      <c r="F171" s="21">
        <f t="shared" si="0"/>
        <v>186644.79</v>
      </c>
      <c r="G171" s="21">
        <f t="shared" si="0"/>
        <v>265494.83</v>
      </c>
      <c r="H171" s="21">
        <f t="shared" si="0"/>
        <v>396994.24440000003</v>
      </c>
      <c r="I171" s="21">
        <f t="shared" si="0"/>
        <v>512360.15600000002</v>
      </c>
    </row>
    <row r="172" spans="2:15" customFormat="1" ht="14" x14ac:dyDescent="0.15">
      <c r="B172" s="180" t="s">
        <v>106</v>
      </c>
      <c r="C172" s="21">
        <f t="shared" ref="C172:I172" si="1">+C153</f>
        <v>-333105.88260000001</v>
      </c>
      <c r="D172" s="21">
        <f t="shared" si="1"/>
        <v>-219368.6</v>
      </c>
      <c r="E172" s="21">
        <f t="shared" si="1"/>
        <v>-151835.32</v>
      </c>
      <c r="F172" s="21">
        <f t="shared" si="1"/>
        <v>-91474.18</v>
      </c>
      <c r="G172" s="21">
        <f t="shared" si="1"/>
        <v>-45523.53</v>
      </c>
      <c r="H172" s="21">
        <f t="shared" si="1"/>
        <v>63583.046499999997</v>
      </c>
      <c r="I172" s="21">
        <f t="shared" si="1"/>
        <v>71983.866099999999</v>
      </c>
    </row>
    <row r="173" spans="2:15" customFormat="1" ht="14" x14ac:dyDescent="0.15">
      <c r="B173" s="180" t="s">
        <v>317</v>
      </c>
      <c r="C173" s="22">
        <f t="shared" ref="C173:I173" si="2">+C171-C172</f>
        <v>3711671.4486000002</v>
      </c>
      <c r="D173" s="22">
        <f t="shared" si="2"/>
        <v>318892.05</v>
      </c>
      <c r="E173" s="22">
        <f t="shared" si="2"/>
        <v>269645.26</v>
      </c>
      <c r="F173" s="22">
        <f t="shared" si="2"/>
        <v>278118.96999999997</v>
      </c>
      <c r="G173" s="22">
        <f t="shared" si="2"/>
        <v>311018.36</v>
      </c>
      <c r="H173" s="22">
        <f t="shared" si="2"/>
        <v>333411.19790000003</v>
      </c>
      <c r="I173" s="22">
        <f t="shared" si="2"/>
        <v>440376.28990000003</v>
      </c>
    </row>
    <row r="174" spans="2:15" customFormat="1" ht="14" x14ac:dyDescent="0.15">
      <c r="B174" s="180" t="s">
        <v>178</v>
      </c>
      <c r="C174" s="22">
        <f t="shared" ref="C174:I174" si="3">-C12*(1-$D$7)</f>
        <v>-1713631.5512000001</v>
      </c>
      <c r="D174" s="22">
        <f t="shared" si="3"/>
        <v>-150274.35</v>
      </c>
      <c r="E174" s="22">
        <f t="shared" si="3"/>
        <v>-107513.45</v>
      </c>
      <c r="F174" s="22">
        <f t="shared" si="3"/>
        <v>-142927.76</v>
      </c>
      <c r="G174" s="22">
        <f t="shared" si="3"/>
        <v>-132909.82</v>
      </c>
      <c r="H174" s="22">
        <f t="shared" si="3"/>
        <v>-138677.02179999999</v>
      </c>
      <c r="I174" s="22">
        <f t="shared" si="3"/>
        <v>-188121.81940000001</v>
      </c>
    </row>
    <row r="175" spans="2:15" customFormat="1" ht="14" x14ac:dyDescent="0.15">
      <c r="B175" s="180" t="s">
        <v>94</v>
      </c>
      <c r="C175" s="22">
        <f t="shared" ref="C175:I175" si="4">-C136</f>
        <v>-466460.98</v>
      </c>
      <c r="D175" s="22">
        <f t="shared" si="4"/>
        <v>-57198.58</v>
      </c>
      <c r="E175" s="22">
        <f t="shared" si="4"/>
        <v>-58230.49</v>
      </c>
      <c r="F175" s="22">
        <f t="shared" si="4"/>
        <v>-50225.65</v>
      </c>
      <c r="G175" s="22">
        <f t="shared" si="4"/>
        <v>-50806.26</v>
      </c>
      <c r="H175" s="22">
        <f t="shared" si="4"/>
        <v>-50000</v>
      </c>
      <c r="I175" s="22">
        <f t="shared" si="4"/>
        <v>-50000</v>
      </c>
    </row>
    <row r="176" spans="2:15" customFormat="1" ht="14" x14ac:dyDescent="0.15">
      <c r="B176" s="180" t="s">
        <v>318</v>
      </c>
      <c r="C176" s="22">
        <f t="shared" ref="C176:I176" si="5">SUM(C173:C175)</f>
        <v>1531578.9174000002</v>
      </c>
      <c r="D176" s="22">
        <f t="shared" si="5"/>
        <v>111419.11999999998</v>
      </c>
      <c r="E176" s="22">
        <f t="shared" si="5"/>
        <v>103901.32</v>
      </c>
      <c r="F176" s="22">
        <f t="shared" si="5"/>
        <v>84965.559999999969</v>
      </c>
      <c r="G176" s="22">
        <f t="shared" si="5"/>
        <v>127302.27999999997</v>
      </c>
      <c r="H176" s="22">
        <f t="shared" si="5"/>
        <v>144734.17610000004</v>
      </c>
      <c r="I176" s="22">
        <f t="shared" si="5"/>
        <v>202254.47050000002</v>
      </c>
    </row>
    <row r="177" customFormat="1" x14ac:dyDescent="0.15"/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259B-03C9-4AFA-AD06-10B1C2198AD5}">
  <sheetPr>
    <pageSetUpPr fitToPage="1"/>
  </sheetPr>
  <dimension ref="B2:AN168"/>
  <sheetViews>
    <sheetView workbookViewId="0">
      <pane xSplit="2" ySplit="10" topLeftCell="C14" activePane="bottomRight" state="frozen"/>
      <selection activeCell="A11" sqref="A11:XFD168"/>
      <selection pane="topRight" activeCell="A11" sqref="A11:XFD168"/>
      <selection pane="bottomLeft" activeCell="A11" sqref="A11:XFD16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157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5594172.2648</v>
      </c>
      <c r="D11" s="7">
        <v>1</v>
      </c>
      <c r="E11"/>
      <c r="F11" s="6">
        <v>276711.28999999998</v>
      </c>
      <c r="G11" s="7">
        <v>1</v>
      </c>
      <c r="H11"/>
      <c r="I11" s="6">
        <v>311673.43</v>
      </c>
      <c r="J11" s="7">
        <v>1</v>
      </c>
      <c r="K11"/>
      <c r="L11" s="6">
        <v>483307.31</v>
      </c>
      <c r="M11" s="7">
        <v>1</v>
      </c>
      <c r="N11"/>
      <c r="O11" s="6">
        <v>292693.88</v>
      </c>
      <c r="P11" s="7">
        <v>1</v>
      </c>
      <c r="Q11"/>
      <c r="R11" s="6">
        <v>556188.63959999999</v>
      </c>
      <c r="S11" s="7">
        <v>1</v>
      </c>
      <c r="T11"/>
      <c r="U11" s="6">
        <v>570701.24320000003</v>
      </c>
      <c r="V11" s="7">
        <v>1</v>
      </c>
      <c r="W11"/>
      <c r="X11" s="6">
        <v>513355.848</v>
      </c>
      <c r="Y11" s="7">
        <v>1</v>
      </c>
      <c r="Z11"/>
      <c r="AA11" s="6">
        <v>634997.71</v>
      </c>
      <c r="AB11" s="7">
        <v>1</v>
      </c>
      <c r="AC11"/>
      <c r="AD11" s="6">
        <v>759704.66399999999</v>
      </c>
      <c r="AE11" s="7">
        <v>1</v>
      </c>
      <c r="AF11"/>
      <c r="AG11" s="6">
        <v>476944.61800000002</v>
      </c>
      <c r="AH11" s="7">
        <v>1</v>
      </c>
      <c r="AI11"/>
      <c r="AJ11" s="6">
        <v>412189.75199999998</v>
      </c>
      <c r="AK11" s="7">
        <v>1</v>
      </c>
      <c r="AL11"/>
      <c r="AM11" s="6">
        <v>305703.88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2894507.4992999998</v>
      </c>
      <c r="D12" s="7">
        <v>0.51741480000000006</v>
      </c>
      <c r="E12"/>
      <c r="F12" s="6">
        <v>220441.31</v>
      </c>
      <c r="G12" s="7">
        <v>0.79664732999999999</v>
      </c>
      <c r="H12"/>
      <c r="I12" s="6">
        <v>197240.75</v>
      </c>
      <c r="J12" s="7">
        <v>0.63284428999999998</v>
      </c>
      <c r="K12"/>
      <c r="L12" s="6">
        <v>206609.12</v>
      </c>
      <c r="M12" s="7">
        <v>0.42749016000000001</v>
      </c>
      <c r="N12"/>
      <c r="O12" s="6">
        <v>235772.29</v>
      </c>
      <c r="P12" s="7">
        <v>0.80552518000000006</v>
      </c>
      <c r="Q12"/>
      <c r="R12" s="6">
        <v>264782.30609999999</v>
      </c>
      <c r="S12" s="7">
        <v>0.47606565000000001</v>
      </c>
      <c r="T12"/>
      <c r="U12" s="6">
        <v>265060.40299999999</v>
      </c>
      <c r="V12" s="7">
        <v>0.46444686000000002</v>
      </c>
      <c r="W12"/>
      <c r="X12" s="6">
        <v>244551.83129999999</v>
      </c>
      <c r="Y12" s="7">
        <v>0.47637878</v>
      </c>
      <c r="Z12"/>
      <c r="AA12" s="6">
        <v>261382.6569</v>
      </c>
      <c r="AB12" s="7">
        <v>0.41162771999999997</v>
      </c>
      <c r="AC12"/>
      <c r="AD12" s="6">
        <v>264339.11729999998</v>
      </c>
      <c r="AE12" s="7">
        <v>0.34794984000000001</v>
      </c>
      <c r="AF12"/>
      <c r="AG12" s="6">
        <v>253330.851</v>
      </c>
      <c r="AH12" s="7">
        <v>0.5311536</v>
      </c>
      <c r="AI12"/>
      <c r="AJ12" s="6">
        <v>242832.62169999999</v>
      </c>
      <c r="AK12" s="7">
        <v>0.58912823999999997</v>
      </c>
      <c r="AL12"/>
      <c r="AM12" s="6">
        <v>238164.242</v>
      </c>
      <c r="AN12" s="7">
        <v>0.77906842999999992</v>
      </c>
    </row>
    <row r="13" spans="2:40" s="314" customFormat="1" ht="12.75" customHeight="1" x14ac:dyDescent="0.15">
      <c r="B13" s="5" t="s">
        <v>23</v>
      </c>
      <c r="C13" s="6">
        <v>120008.2077</v>
      </c>
      <c r="D13" s="7">
        <v>0</v>
      </c>
      <c r="E13"/>
      <c r="F13" s="6">
        <v>-158854.84</v>
      </c>
      <c r="G13" s="7">
        <v>0</v>
      </c>
      <c r="H13"/>
      <c r="I13" s="6">
        <v>-93163.13</v>
      </c>
      <c r="J13" s="7">
        <v>0</v>
      </c>
      <c r="K13"/>
      <c r="L13" s="6">
        <v>55664.63</v>
      </c>
      <c r="M13" s="7">
        <v>0</v>
      </c>
      <c r="N13"/>
      <c r="O13" s="6">
        <v>-127405.33</v>
      </c>
      <c r="P13" s="7">
        <v>0</v>
      </c>
      <c r="Q13"/>
      <c r="R13" s="6">
        <v>59799.731699999997</v>
      </c>
      <c r="S13" s="7">
        <v>0</v>
      </c>
      <c r="T13"/>
      <c r="U13" s="6">
        <v>48790.780400000003</v>
      </c>
      <c r="V13" s="7">
        <v>0</v>
      </c>
      <c r="W13"/>
      <c r="X13" s="6">
        <v>37286.643799999998</v>
      </c>
      <c r="Y13" s="7">
        <v>0</v>
      </c>
      <c r="Z13"/>
      <c r="AA13" s="6">
        <v>146312.84849999999</v>
      </c>
      <c r="AB13" s="7">
        <v>0</v>
      </c>
      <c r="AC13"/>
      <c r="AD13" s="6">
        <v>209292.24840000001</v>
      </c>
      <c r="AE13" s="7">
        <v>0</v>
      </c>
      <c r="AF13"/>
      <c r="AG13" s="6">
        <v>4064.0747000000001</v>
      </c>
      <c r="AH13" s="7">
        <v>0</v>
      </c>
      <c r="AI13"/>
      <c r="AJ13" s="6">
        <v>107.1705</v>
      </c>
      <c r="AK13" s="7">
        <v>0</v>
      </c>
      <c r="AL13"/>
      <c r="AM13" s="6">
        <v>-61886.620300000002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37595</v>
      </c>
      <c r="D14" s="7">
        <v>0</v>
      </c>
      <c r="E14"/>
      <c r="F14" s="8">
        <v>3193</v>
      </c>
      <c r="G14" s="7">
        <v>0</v>
      </c>
      <c r="H14"/>
      <c r="I14" s="8">
        <v>2884</v>
      </c>
      <c r="J14" s="7">
        <v>0</v>
      </c>
      <c r="K14"/>
      <c r="L14" s="8">
        <v>3193</v>
      </c>
      <c r="M14" s="7">
        <v>0</v>
      </c>
      <c r="N14"/>
      <c r="O14" s="8">
        <v>3090</v>
      </c>
      <c r="P14" s="7">
        <v>0</v>
      </c>
      <c r="Q14"/>
      <c r="R14" s="8">
        <v>3193</v>
      </c>
      <c r="S14" s="7">
        <v>0</v>
      </c>
      <c r="T14"/>
      <c r="U14" s="8">
        <v>3090</v>
      </c>
      <c r="V14" s="7">
        <v>0</v>
      </c>
      <c r="W14"/>
      <c r="X14" s="8">
        <v>3193</v>
      </c>
      <c r="Y14" s="7">
        <v>0</v>
      </c>
      <c r="Z14"/>
      <c r="AA14" s="8">
        <v>3193</v>
      </c>
      <c r="AB14" s="7">
        <v>0</v>
      </c>
      <c r="AC14"/>
      <c r="AD14" s="8">
        <v>3090</v>
      </c>
      <c r="AE14" s="7">
        <v>0</v>
      </c>
      <c r="AF14"/>
      <c r="AG14" s="8">
        <v>3193</v>
      </c>
      <c r="AH14" s="7">
        <v>0</v>
      </c>
      <c r="AI14"/>
      <c r="AJ14" s="8">
        <v>3090</v>
      </c>
      <c r="AK14" s="7">
        <v>0</v>
      </c>
      <c r="AL14"/>
      <c r="AM14" s="8">
        <v>3193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16784</v>
      </c>
      <c r="D15" s="7">
        <v>0</v>
      </c>
      <c r="E15"/>
      <c r="F15" s="9">
        <v>1103</v>
      </c>
      <c r="G15" s="7">
        <v>0</v>
      </c>
      <c r="H15"/>
      <c r="I15" s="9">
        <v>1075</v>
      </c>
      <c r="J15" s="7">
        <v>0</v>
      </c>
      <c r="K15"/>
      <c r="L15" s="9">
        <v>1652</v>
      </c>
      <c r="M15" s="7">
        <v>0</v>
      </c>
      <c r="N15"/>
      <c r="O15" s="9">
        <v>958</v>
      </c>
      <c r="P15" s="7">
        <v>0</v>
      </c>
      <c r="Q15"/>
      <c r="R15" s="9">
        <v>1588</v>
      </c>
      <c r="S15" s="7">
        <v>0</v>
      </c>
      <c r="T15"/>
      <c r="U15" s="9">
        <v>1430</v>
      </c>
      <c r="V15" s="7">
        <v>0</v>
      </c>
      <c r="W15"/>
      <c r="X15" s="9">
        <v>1285</v>
      </c>
      <c r="Y15" s="7">
        <v>0</v>
      </c>
      <c r="Z15"/>
      <c r="AA15" s="9">
        <v>1822</v>
      </c>
      <c r="AB15" s="7">
        <v>0</v>
      </c>
      <c r="AC15"/>
      <c r="AD15" s="9">
        <v>1973</v>
      </c>
      <c r="AE15" s="7">
        <v>0</v>
      </c>
      <c r="AF15"/>
      <c r="AG15" s="9">
        <v>1330</v>
      </c>
      <c r="AH15" s="7">
        <v>0</v>
      </c>
      <c r="AI15"/>
      <c r="AJ15" s="9">
        <v>1457</v>
      </c>
      <c r="AK15" s="7">
        <v>0</v>
      </c>
      <c r="AL15"/>
      <c r="AM15" s="9">
        <v>1111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44.942146562043</v>
      </c>
      <c r="D16" s="7">
        <v>0</v>
      </c>
      <c r="E16"/>
      <c r="F16" s="8">
        <v>36.141559661759999</v>
      </c>
      <c r="G16" s="7">
        <v>0</v>
      </c>
      <c r="H16"/>
      <c r="I16" s="8">
        <v>38.453536754508001</v>
      </c>
      <c r="J16" s="7">
        <v>0</v>
      </c>
      <c r="K16"/>
      <c r="L16" s="8">
        <v>52.082680864391001</v>
      </c>
      <c r="M16" s="7">
        <v>0</v>
      </c>
      <c r="N16"/>
      <c r="O16" s="8">
        <v>31.229773462783001</v>
      </c>
      <c r="P16" s="7">
        <v>0</v>
      </c>
      <c r="Q16"/>
      <c r="R16" s="8">
        <v>49.921703726902997</v>
      </c>
      <c r="S16" s="7">
        <v>0</v>
      </c>
      <c r="T16"/>
      <c r="U16" s="8">
        <v>46.310679611650002</v>
      </c>
      <c r="V16" s="7">
        <v>0</v>
      </c>
      <c r="W16"/>
      <c r="X16" s="8">
        <v>40.244284372064001</v>
      </c>
      <c r="Y16" s="7">
        <v>0</v>
      </c>
      <c r="Z16"/>
      <c r="AA16" s="8">
        <v>57.124960851863001</v>
      </c>
      <c r="AB16" s="7">
        <v>0</v>
      </c>
      <c r="AC16"/>
      <c r="AD16" s="8">
        <v>63.851132686084</v>
      </c>
      <c r="AE16" s="7">
        <v>0</v>
      </c>
      <c r="AF16"/>
      <c r="AG16" s="8">
        <v>41.653617287816999</v>
      </c>
      <c r="AH16" s="7">
        <v>0</v>
      </c>
      <c r="AI16"/>
      <c r="AJ16" s="8">
        <v>47.152103559871001</v>
      </c>
      <c r="AK16" s="7">
        <v>0</v>
      </c>
      <c r="AL16"/>
      <c r="AM16" s="8">
        <v>34.794863764485001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122.43785092946</v>
      </c>
      <c r="D17" s="7">
        <v>0</v>
      </c>
      <c r="E17"/>
      <c r="F17" s="9">
        <v>100.89873980054</v>
      </c>
      <c r="G17" s="7">
        <v>0</v>
      </c>
      <c r="H17"/>
      <c r="I17" s="9">
        <v>108.52234418605001</v>
      </c>
      <c r="J17" s="7">
        <v>0</v>
      </c>
      <c r="K17"/>
      <c r="L17" s="9">
        <v>114.85392857143</v>
      </c>
      <c r="M17" s="7">
        <v>0</v>
      </c>
      <c r="N17"/>
      <c r="O17" s="9">
        <v>115.40090814196</v>
      </c>
      <c r="P17" s="7">
        <v>0</v>
      </c>
      <c r="Q17"/>
      <c r="R17" s="9">
        <v>125.56190176322001</v>
      </c>
      <c r="S17" s="7">
        <v>0</v>
      </c>
      <c r="T17"/>
      <c r="U17" s="9">
        <v>123.63825174825</v>
      </c>
      <c r="V17" s="7">
        <v>0</v>
      </c>
      <c r="W17"/>
      <c r="X17" s="9">
        <v>122.17961089494</v>
      </c>
      <c r="Y17" s="7">
        <v>0</v>
      </c>
      <c r="Z17"/>
      <c r="AA17" s="9">
        <v>115.66794731065001</v>
      </c>
      <c r="AB17" s="7">
        <v>0</v>
      </c>
      <c r="AC17"/>
      <c r="AD17" s="9">
        <v>138.57374556513</v>
      </c>
      <c r="AE17" s="7">
        <v>0</v>
      </c>
      <c r="AF17"/>
      <c r="AG17" s="9">
        <v>134.53270676692</v>
      </c>
      <c r="AH17" s="7">
        <v>0</v>
      </c>
      <c r="AI17"/>
      <c r="AJ17" s="9">
        <v>129.22786547701</v>
      </c>
      <c r="AK17" s="7">
        <v>0</v>
      </c>
      <c r="AL17"/>
      <c r="AM17" s="9">
        <v>127.98289828983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53.776964223965997</v>
      </c>
      <c r="D18" s="7">
        <v>0</v>
      </c>
      <c r="E18"/>
      <c r="F18" s="6">
        <v>34.313448167867001</v>
      </c>
      <c r="G18" s="7">
        <v>0</v>
      </c>
      <c r="H18"/>
      <c r="I18" s="6">
        <v>39.891619278778997</v>
      </c>
      <c r="J18" s="7">
        <v>0</v>
      </c>
      <c r="K18"/>
      <c r="L18" s="6">
        <v>57.966852489821001</v>
      </c>
      <c r="M18" s="7">
        <v>0</v>
      </c>
      <c r="N18"/>
      <c r="O18" s="6">
        <v>35.370627831714998</v>
      </c>
      <c r="P18" s="7">
        <v>0</v>
      </c>
      <c r="Q18"/>
      <c r="R18" s="6">
        <v>61.507140620106</v>
      </c>
      <c r="S18" s="7">
        <v>0</v>
      </c>
      <c r="T18"/>
      <c r="U18" s="6">
        <v>56.246828478963998</v>
      </c>
      <c r="V18" s="7">
        <v>0</v>
      </c>
      <c r="W18"/>
      <c r="X18" s="6">
        <v>48.230754776072999</v>
      </c>
      <c r="Y18" s="7">
        <v>0</v>
      </c>
      <c r="Z18"/>
      <c r="AA18" s="6">
        <v>65.063263388663003</v>
      </c>
      <c r="AB18" s="7">
        <v>0</v>
      </c>
      <c r="AC18"/>
      <c r="AD18" s="6">
        <v>87.510032362459995</v>
      </c>
      <c r="AE18" s="7">
        <v>0</v>
      </c>
      <c r="AF18"/>
      <c r="AG18" s="6">
        <v>55.098183526463998</v>
      </c>
      <c r="AH18" s="7">
        <v>0</v>
      </c>
      <c r="AI18"/>
      <c r="AJ18" s="6">
        <v>59.962783171520996</v>
      </c>
      <c r="AK18" s="7">
        <v>0</v>
      </c>
      <c r="AL18"/>
      <c r="AM18" s="6">
        <v>43.591919824615999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148.80096461764001</v>
      </c>
      <c r="D19" s="7">
        <v>0</v>
      </c>
      <c r="E19"/>
      <c r="F19" s="9">
        <v>86.661850923895997</v>
      </c>
      <c r="G19" s="7">
        <v>0</v>
      </c>
      <c r="H19"/>
      <c r="I19" s="9">
        <v>108.06984396671</v>
      </c>
      <c r="J19" s="7">
        <v>0</v>
      </c>
      <c r="K19"/>
      <c r="L19" s="9">
        <v>151.36464453491999</v>
      </c>
      <c r="M19" s="7">
        <v>0</v>
      </c>
      <c r="N19"/>
      <c r="O19" s="9">
        <v>94.722938511327001</v>
      </c>
      <c r="P19" s="7">
        <v>0</v>
      </c>
      <c r="Q19"/>
      <c r="R19" s="9">
        <v>174.18999047917001</v>
      </c>
      <c r="S19" s="7">
        <v>0</v>
      </c>
      <c r="T19"/>
      <c r="U19" s="9">
        <v>184.69295896439999</v>
      </c>
      <c r="V19" s="7">
        <v>0</v>
      </c>
      <c r="W19"/>
      <c r="X19" s="9">
        <v>160.77539868462</v>
      </c>
      <c r="Y19" s="7">
        <v>0</v>
      </c>
      <c r="Z19"/>
      <c r="AA19" s="9">
        <v>198.87181647354001</v>
      </c>
      <c r="AB19" s="7">
        <v>0</v>
      </c>
      <c r="AC19"/>
      <c r="AD19" s="9">
        <v>245.85911456311001</v>
      </c>
      <c r="AE19" s="7">
        <v>0</v>
      </c>
      <c r="AF19"/>
      <c r="AG19" s="9">
        <v>149.37194425305</v>
      </c>
      <c r="AH19" s="7">
        <v>0</v>
      </c>
      <c r="AI19"/>
      <c r="AJ19" s="9">
        <v>133.39474174757001</v>
      </c>
      <c r="AK19" s="7">
        <v>0</v>
      </c>
      <c r="AL19"/>
      <c r="AM19" s="9">
        <v>95.741897901659996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24241.79</v>
      </c>
      <c r="D20" s="7">
        <v>0</v>
      </c>
      <c r="E20"/>
      <c r="F20" s="8">
        <v>1893</v>
      </c>
      <c r="G20" s="7">
        <v>0</v>
      </c>
      <c r="H20"/>
      <c r="I20" s="8">
        <v>1627</v>
      </c>
      <c r="J20" s="7">
        <v>0</v>
      </c>
      <c r="K20"/>
      <c r="L20" s="8">
        <v>2347</v>
      </c>
      <c r="M20" s="7">
        <v>0</v>
      </c>
      <c r="N20"/>
      <c r="O20" s="8">
        <v>1570</v>
      </c>
      <c r="P20" s="7">
        <v>0</v>
      </c>
      <c r="Q20"/>
      <c r="R20" s="8">
        <v>2194.83</v>
      </c>
      <c r="S20" s="7">
        <v>0</v>
      </c>
      <c r="T20"/>
      <c r="U20" s="8">
        <v>1801.86</v>
      </c>
      <c r="V20" s="7">
        <v>0</v>
      </c>
      <c r="W20"/>
      <c r="X20" s="8">
        <v>1835.4</v>
      </c>
      <c r="Y20" s="7">
        <v>0</v>
      </c>
      <c r="Z20"/>
      <c r="AA20" s="8">
        <v>2414.25</v>
      </c>
      <c r="AB20" s="7">
        <v>0</v>
      </c>
      <c r="AC20"/>
      <c r="AD20" s="8">
        <v>2602.1999999999998</v>
      </c>
      <c r="AE20" s="7">
        <v>0</v>
      </c>
      <c r="AF20"/>
      <c r="AG20" s="8">
        <v>1852.65</v>
      </c>
      <c r="AH20" s="7">
        <v>0</v>
      </c>
      <c r="AI20"/>
      <c r="AJ20" s="8">
        <v>2229.6</v>
      </c>
      <c r="AK20" s="7">
        <v>0</v>
      </c>
      <c r="AL20"/>
      <c r="AM20" s="8">
        <v>1874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1.4347650331438999</v>
      </c>
      <c r="D21" s="7">
        <v>0</v>
      </c>
      <c r="E21"/>
      <c r="F21" s="9">
        <v>1.6403812824957</v>
      </c>
      <c r="G21" s="7">
        <v>0</v>
      </c>
      <c r="H21"/>
      <c r="I21" s="9">
        <v>1.4670874661858</v>
      </c>
      <c r="J21" s="7">
        <v>0</v>
      </c>
      <c r="K21"/>
      <c r="L21" s="9">
        <v>1.4113048707156</v>
      </c>
      <c r="M21" s="7">
        <v>0</v>
      </c>
      <c r="N21"/>
      <c r="O21" s="9">
        <v>1.6269430051813001</v>
      </c>
      <c r="P21" s="7">
        <v>0</v>
      </c>
      <c r="Q21"/>
      <c r="R21" s="9">
        <v>1.3769322459222</v>
      </c>
      <c r="S21" s="7">
        <v>0</v>
      </c>
      <c r="T21"/>
      <c r="U21" s="9">
        <v>1.2591614255765</v>
      </c>
      <c r="V21" s="7">
        <v>0</v>
      </c>
      <c r="W21"/>
      <c r="X21" s="9">
        <v>1.4283268482489999</v>
      </c>
      <c r="Y21" s="7">
        <v>0</v>
      </c>
      <c r="Z21"/>
      <c r="AA21" s="9">
        <v>1.3236019736842</v>
      </c>
      <c r="AB21" s="7">
        <v>0</v>
      </c>
      <c r="AC21"/>
      <c r="AD21" s="9">
        <v>1.3189052204764</v>
      </c>
      <c r="AE21" s="7">
        <v>0</v>
      </c>
      <c r="AF21"/>
      <c r="AG21" s="9">
        <v>1.392969924812</v>
      </c>
      <c r="AH21" s="7">
        <v>0</v>
      </c>
      <c r="AI21"/>
      <c r="AJ21" s="9">
        <v>1.5302676733013001</v>
      </c>
      <c r="AK21" s="7">
        <v>0</v>
      </c>
      <c r="AL21"/>
      <c r="AM21" s="9">
        <v>1.6867686768676999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49461.79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6709.83</v>
      </c>
      <c r="S22" s="7">
        <v>0</v>
      </c>
      <c r="T22"/>
      <c r="U22" s="8">
        <v>6671.86</v>
      </c>
      <c r="V22" s="7">
        <v>0</v>
      </c>
      <c r="W22"/>
      <c r="X22" s="8">
        <v>5355.4</v>
      </c>
      <c r="Y22" s="7">
        <v>0</v>
      </c>
      <c r="Z22"/>
      <c r="AA22" s="8">
        <v>7594.25</v>
      </c>
      <c r="AB22" s="7">
        <v>0</v>
      </c>
      <c r="AC22"/>
      <c r="AD22" s="8">
        <v>9172.2000000000007</v>
      </c>
      <c r="AE22" s="7">
        <v>0</v>
      </c>
      <c r="AF22"/>
      <c r="AG22" s="8">
        <v>5426.65</v>
      </c>
      <c r="AH22" s="7">
        <v>0</v>
      </c>
      <c r="AI22"/>
      <c r="AJ22" s="8">
        <v>5073.6000000000004</v>
      </c>
      <c r="AK22" s="7">
        <v>0</v>
      </c>
      <c r="AL22"/>
      <c r="AM22" s="8">
        <v>3458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66.098299999999995</v>
      </c>
      <c r="D23" s="7">
        <v>0</v>
      </c>
      <c r="E23"/>
      <c r="F23" s="8">
        <v>68.599999999999994</v>
      </c>
      <c r="G23" s="7">
        <v>0</v>
      </c>
      <c r="H23"/>
      <c r="I23" s="8">
        <v>67.599999999999994</v>
      </c>
      <c r="J23" s="7">
        <v>0</v>
      </c>
      <c r="K23"/>
      <c r="L23" s="8">
        <v>67.459999999999994</v>
      </c>
      <c r="M23" s="7">
        <v>0</v>
      </c>
      <c r="N23"/>
      <c r="O23" s="8">
        <v>67.52</v>
      </c>
      <c r="P23" s="7">
        <v>0</v>
      </c>
      <c r="Q23"/>
      <c r="R23" s="8">
        <v>66.25</v>
      </c>
      <c r="S23" s="7">
        <v>0</v>
      </c>
      <c r="T23"/>
      <c r="U23" s="8">
        <v>66.25</v>
      </c>
      <c r="V23" s="7">
        <v>0</v>
      </c>
      <c r="W23"/>
      <c r="X23" s="8">
        <v>66.25</v>
      </c>
      <c r="Y23" s="7">
        <v>0</v>
      </c>
      <c r="Z23"/>
      <c r="AA23" s="8">
        <v>66.25</v>
      </c>
      <c r="AB23" s="7">
        <v>0</v>
      </c>
      <c r="AC23"/>
      <c r="AD23" s="8">
        <v>64.25</v>
      </c>
      <c r="AE23" s="7">
        <v>0</v>
      </c>
      <c r="AF23"/>
      <c r="AG23" s="8">
        <v>64.25</v>
      </c>
      <c r="AH23" s="7">
        <v>0</v>
      </c>
      <c r="AI23"/>
      <c r="AJ23" s="8">
        <v>64.25</v>
      </c>
      <c r="AK23" s="7">
        <v>0</v>
      </c>
      <c r="AL23"/>
      <c r="AM23" s="8">
        <v>64.25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5594172.2648</v>
      </c>
      <c r="D27" s="327">
        <v>1</v>
      </c>
      <c r="E27"/>
      <c r="F27" s="326">
        <v>276711.28999999998</v>
      </c>
      <c r="G27" s="327">
        <v>1</v>
      </c>
      <c r="H27"/>
      <c r="I27" s="326">
        <v>311673.43</v>
      </c>
      <c r="J27" s="327">
        <v>1</v>
      </c>
      <c r="K27"/>
      <c r="L27" s="326">
        <v>483307.31</v>
      </c>
      <c r="M27" s="327">
        <v>1</v>
      </c>
      <c r="N27"/>
      <c r="O27" s="326">
        <v>292693.88</v>
      </c>
      <c r="P27" s="327">
        <v>1</v>
      </c>
      <c r="Q27"/>
      <c r="R27" s="326">
        <v>556188.63959999999</v>
      </c>
      <c r="S27" s="327">
        <v>1</v>
      </c>
      <c r="T27"/>
      <c r="U27" s="326">
        <v>570701.24320000003</v>
      </c>
      <c r="V27" s="327">
        <v>1</v>
      </c>
      <c r="W27"/>
      <c r="X27" s="326">
        <v>513355.848</v>
      </c>
      <c r="Y27" s="327">
        <v>1</v>
      </c>
      <c r="Z27"/>
      <c r="AA27" s="326">
        <v>634997.71</v>
      </c>
      <c r="AB27" s="327">
        <v>1</v>
      </c>
      <c r="AC27"/>
      <c r="AD27" s="326">
        <v>759704.66399999999</v>
      </c>
      <c r="AE27" s="327">
        <v>1</v>
      </c>
      <c r="AF27"/>
      <c r="AG27" s="326">
        <v>476944.61800000002</v>
      </c>
      <c r="AH27" s="327">
        <v>1</v>
      </c>
      <c r="AI27"/>
      <c r="AJ27" s="326">
        <v>412189.75199999998</v>
      </c>
      <c r="AK27" s="327">
        <v>1</v>
      </c>
      <c r="AL27"/>
      <c r="AM27" s="326">
        <v>305703.88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2054996.89</v>
      </c>
      <c r="D28" s="7">
        <v>0.36734602000000011</v>
      </c>
      <c r="E28"/>
      <c r="F28" s="8">
        <v>111291.31</v>
      </c>
      <c r="G28" s="7">
        <v>0.40219287999999997</v>
      </c>
      <c r="H28"/>
      <c r="I28" s="8">
        <v>116661.52</v>
      </c>
      <c r="J28" s="7">
        <v>0.37430690999999999</v>
      </c>
      <c r="K28"/>
      <c r="L28" s="8">
        <v>189738.69</v>
      </c>
      <c r="M28" s="7">
        <v>0.39258394000000002</v>
      </c>
      <c r="N28"/>
      <c r="O28" s="8">
        <v>110554.07</v>
      </c>
      <c r="P28" s="7">
        <v>0.37771227000000002</v>
      </c>
      <c r="Q28"/>
      <c r="R28" s="8">
        <v>199392.3</v>
      </c>
      <c r="S28" s="7">
        <v>0.35849761000000002</v>
      </c>
      <c r="T28"/>
      <c r="U28" s="8">
        <v>176802.7</v>
      </c>
      <c r="V28" s="7">
        <v>0.30979904000000003</v>
      </c>
      <c r="W28"/>
      <c r="X28" s="8">
        <v>157000.79999999999</v>
      </c>
      <c r="Y28" s="7">
        <v>0.3058323</v>
      </c>
      <c r="Z28"/>
      <c r="AA28" s="8">
        <v>210747</v>
      </c>
      <c r="AB28" s="7">
        <v>0.33188624</v>
      </c>
      <c r="AC28"/>
      <c r="AD28" s="8">
        <v>273406</v>
      </c>
      <c r="AE28" s="7">
        <v>0.35988459</v>
      </c>
      <c r="AF28"/>
      <c r="AG28" s="8">
        <v>178928.5</v>
      </c>
      <c r="AH28" s="7">
        <v>0.37515572000000003</v>
      </c>
      <c r="AI28"/>
      <c r="AJ28" s="8">
        <v>188285</v>
      </c>
      <c r="AK28" s="7">
        <v>0.45679205000000001</v>
      </c>
      <c r="AL28"/>
      <c r="AM28" s="8">
        <v>142189</v>
      </c>
      <c r="AN28" s="7">
        <v>0.46512004000000001</v>
      </c>
    </row>
    <row r="29" spans="2:40" s="314" customFormat="1" ht="12.75" customHeight="1" x14ac:dyDescent="0.15">
      <c r="B29" s="5" t="s">
        <v>36</v>
      </c>
      <c r="C29" s="8">
        <v>2448499.2648</v>
      </c>
      <c r="D29" s="7">
        <v>0.43768750000000001</v>
      </c>
      <c r="E29"/>
      <c r="F29" s="8">
        <v>109622.39999999999</v>
      </c>
      <c r="G29" s="7">
        <v>0.39616164999999998</v>
      </c>
      <c r="H29"/>
      <c r="I29" s="8">
        <v>133584.6</v>
      </c>
      <c r="J29" s="7">
        <v>0.42860439</v>
      </c>
      <c r="K29"/>
      <c r="L29" s="8">
        <v>232574.37</v>
      </c>
      <c r="M29" s="7">
        <v>0.48121426</v>
      </c>
      <c r="N29"/>
      <c r="O29" s="8">
        <v>99122.84</v>
      </c>
      <c r="P29" s="7">
        <v>0.33865703000000003</v>
      </c>
      <c r="Q29"/>
      <c r="R29" s="8">
        <v>232196.33960000001</v>
      </c>
      <c r="S29" s="7">
        <v>0.41747767000000002</v>
      </c>
      <c r="T29"/>
      <c r="U29" s="8">
        <v>266198.54320000001</v>
      </c>
      <c r="V29" s="7">
        <v>0.46644115000000003</v>
      </c>
      <c r="W29"/>
      <c r="X29" s="8">
        <v>224355.04800000001</v>
      </c>
      <c r="Y29" s="7">
        <v>0.43703611999999997</v>
      </c>
      <c r="Z29"/>
      <c r="AA29" s="8">
        <v>304650.71000000002</v>
      </c>
      <c r="AB29" s="7">
        <v>0.47976663000000003</v>
      </c>
      <c r="AC29"/>
      <c r="AD29" s="8">
        <v>373498.66399999999</v>
      </c>
      <c r="AE29" s="7">
        <v>0.49163666</v>
      </c>
      <c r="AF29"/>
      <c r="AG29" s="8">
        <v>210576.11799999999</v>
      </c>
      <c r="AH29" s="7">
        <v>0.44151063000000002</v>
      </c>
      <c r="AI29"/>
      <c r="AJ29" s="8">
        <v>159854.75200000001</v>
      </c>
      <c r="AK29" s="7">
        <v>0.38781835999999997</v>
      </c>
      <c r="AL29"/>
      <c r="AM29" s="8">
        <v>102264.88</v>
      </c>
      <c r="AN29" s="7">
        <v>0.33452268000000002</v>
      </c>
    </row>
    <row r="30" spans="2:40" s="314" customFormat="1" ht="12.75" customHeight="1" x14ac:dyDescent="0.15">
      <c r="B30" s="5" t="s">
        <v>37</v>
      </c>
      <c r="C30" s="8">
        <v>1028963.35</v>
      </c>
      <c r="D30" s="7">
        <v>0.18393487</v>
      </c>
      <c r="E30"/>
      <c r="F30" s="8">
        <v>55075.27</v>
      </c>
      <c r="G30" s="7">
        <v>0.19903514</v>
      </c>
      <c r="H30"/>
      <c r="I30" s="8">
        <v>55914.77</v>
      </c>
      <c r="J30" s="7">
        <v>0.17940179000000001</v>
      </c>
      <c r="K30"/>
      <c r="L30" s="8">
        <v>56416.44</v>
      </c>
      <c r="M30" s="7">
        <v>0.11672995</v>
      </c>
      <c r="N30"/>
      <c r="O30" s="8">
        <v>75116.87</v>
      </c>
      <c r="P30" s="7">
        <v>0.25663970000000003</v>
      </c>
      <c r="Q30"/>
      <c r="R30" s="8">
        <v>118100</v>
      </c>
      <c r="S30" s="7">
        <v>0.21233803000000001</v>
      </c>
      <c r="T30"/>
      <c r="U30" s="8">
        <v>121200</v>
      </c>
      <c r="V30" s="7">
        <v>0.21237031000000001</v>
      </c>
      <c r="W30"/>
      <c r="X30" s="8">
        <v>125500</v>
      </c>
      <c r="Y30" s="7">
        <v>0.24446979999999999</v>
      </c>
      <c r="Z30"/>
      <c r="AA30" s="8">
        <v>113100</v>
      </c>
      <c r="AB30" s="7">
        <v>0.17811088</v>
      </c>
      <c r="AC30"/>
      <c r="AD30" s="8">
        <v>106300</v>
      </c>
      <c r="AE30" s="7">
        <v>0.13992280000000001</v>
      </c>
      <c r="AF30"/>
      <c r="AG30" s="8">
        <v>82940</v>
      </c>
      <c r="AH30" s="7">
        <v>0.17389859999999999</v>
      </c>
      <c r="AI30"/>
      <c r="AJ30" s="8">
        <v>61050</v>
      </c>
      <c r="AK30" s="7">
        <v>0.1481114</v>
      </c>
      <c r="AL30"/>
      <c r="AM30" s="8">
        <v>58250</v>
      </c>
      <c r="AN30" s="7">
        <v>0.19054387</v>
      </c>
    </row>
    <row r="31" spans="2:40" s="314" customFormat="1" ht="12.75" customHeight="1" x14ac:dyDescent="0.15">
      <c r="B31" s="5" t="s">
        <v>38</v>
      </c>
      <c r="C31" s="8">
        <v>61712.76</v>
      </c>
      <c r="D31" s="7">
        <v>1.1031620000000001E-2</v>
      </c>
      <c r="E31"/>
      <c r="F31" s="8">
        <v>722.31</v>
      </c>
      <c r="G31" s="7">
        <v>2.6103400000000001E-3</v>
      </c>
      <c r="H31"/>
      <c r="I31" s="8">
        <v>5512.54</v>
      </c>
      <c r="J31" s="7">
        <v>1.768691E-2</v>
      </c>
      <c r="K31"/>
      <c r="L31" s="8">
        <v>4577.8100000000004</v>
      </c>
      <c r="M31" s="7">
        <v>9.4718400000000005E-3</v>
      </c>
      <c r="N31"/>
      <c r="O31" s="8">
        <v>7900.1</v>
      </c>
      <c r="P31" s="7">
        <v>2.6991000000000001E-2</v>
      </c>
      <c r="Q31"/>
      <c r="R31" s="8">
        <v>6500</v>
      </c>
      <c r="S31" s="7">
        <v>1.168668E-2</v>
      </c>
      <c r="T31"/>
      <c r="U31" s="8">
        <v>6500</v>
      </c>
      <c r="V31" s="7">
        <v>1.13895E-2</v>
      </c>
      <c r="W31"/>
      <c r="X31" s="8">
        <v>6500</v>
      </c>
      <c r="Y31" s="7">
        <v>1.2661779999999999E-2</v>
      </c>
      <c r="Z31"/>
      <c r="AA31" s="8">
        <v>6500</v>
      </c>
      <c r="AB31" s="7">
        <v>1.023626E-2</v>
      </c>
      <c r="AC31"/>
      <c r="AD31" s="8">
        <v>6500</v>
      </c>
      <c r="AE31" s="7">
        <v>8.5559599999999996E-3</v>
      </c>
      <c r="AF31"/>
      <c r="AG31" s="8">
        <v>4500</v>
      </c>
      <c r="AH31" s="7">
        <v>9.4350600000000003E-3</v>
      </c>
      <c r="AI31"/>
      <c r="AJ31" s="8">
        <v>3000</v>
      </c>
      <c r="AK31" s="7">
        <v>7.2782000000000003E-3</v>
      </c>
      <c r="AL31"/>
      <c r="AM31" s="8">
        <v>3000</v>
      </c>
      <c r="AN31" s="7">
        <v>9.8134199999999998E-3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2054996.89</v>
      </c>
      <c r="D34" s="327">
        <v>1</v>
      </c>
      <c r="E34"/>
      <c r="F34" s="326">
        <v>111291.31</v>
      </c>
      <c r="G34" s="327">
        <v>1</v>
      </c>
      <c r="H34"/>
      <c r="I34" s="326">
        <v>116661.52</v>
      </c>
      <c r="J34" s="327">
        <v>1</v>
      </c>
      <c r="K34"/>
      <c r="L34" s="326">
        <v>189738.69</v>
      </c>
      <c r="M34" s="327">
        <v>1</v>
      </c>
      <c r="N34"/>
      <c r="O34" s="326">
        <v>110554.07</v>
      </c>
      <c r="P34" s="327">
        <v>1</v>
      </c>
      <c r="Q34"/>
      <c r="R34" s="326">
        <v>199392.3</v>
      </c>
      <c r="S34" s="327">
        <v>1</v>
      </c>
      <c r="T34"/>
      <c r="U34" s="326">
        <v>176802.7</v>
      </c>
      <c r="V34" s="327">
        <v>1</v>
      </c>
      <c r="W34"/>
      <c r="X34" s="326">
        <v>157000.79999999999</v>
      </c>
      <c r="Y34" s="327">
        <v>1</v>
      </c>
      <c r="Z34"/>
      <c r="AA34" s="326">
        <v>210747</v>
      </c>
      <c r="AB34" s="327">
        <v>1</v>
      </c>
      <c r="AC34"/>
      <c r="AD34" s="326">
        <v>273406</v>
      </c>
      <c r="AE34" s="327">
        <v>1</v>
      </c>
      <c r="AF34"/>
      <c r="AG34" s="326">
        <v>178928.5</v>
      </c>
      <c r="AH34" s="327">
        <v>1</v>
      </c>
      <c r="AI34"/>
      <c r="AJ34" s="326">
        <v>188285</v>
      </c>
      <c r="AK34" s="327">
        <v>1</v>
      </c>
      <c r="AL34"/>
      <c r="AM34" s="326">
        <v>142189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675553.59299999999</v>
      </c>
      <c r="D35" s="7">
        <v>0.32873703999999998</v>
      </c>
      <c r="E35"/>
      <c r="F35" s="8">
        <v>58999.360000000001</v>
      </c>
      <c r="G35" s="7">
        <v>0.53013447000000002</v>
      </c>
      <c r="H35"/>
      <c r="I35" s="8">
        <v>43795.94</v>
      </c>
      <c r="J35" s="7">
        <v>0.37541033000000001</v>
      </c>
      <c r="K35"/>
      <c r="L35" s="8">
        <v>54862.23</v>
      </c>
      <c r="M35" s="7">
        <v>0.28914624999999999</v>
      </c>
      <c r="N35"/>
      <c r="O35" s="8">
        <v>53802.36</v>
      </c>
      <c r="P35" s="7">
        <v>0.48666104999999998</v>
      </c>
      <c r="Q35"/>
      <c r="R35" s="8">
        <v>60654.910100000001</v>
      </c>
      <c r="S35" s="7">
        <v>0.30419886000000002</v>
      </c>
      <c r="T35"/>
      <c r="U35" s="8">
        <v>59837.799099999997</v>
      </c>
      <c r="V35" s="7">
        <v>0.33844392000000001</v>
      </c>
      <c r="W35"/>
      <c r="X35" s="8">
        <v>56694.231699999997</v>
      </c>
      <c r="Y35" s="7">
        <v>0.36110792000000003</v>
      </c>
      <c r="Z35"/>
      <c r="AA35" s="8">
        <v>57771.164299999997</v>
      </c>
      <c r="AB35" s="7">
        <v>0.27412567999999998</v>
      </c>
      <c r="AC35"/>
      <c r="AD35" s="8">
        <v>59891.781799999997</v>
      </c>
      <c r="AE35" s="7">
        <v>0.21905804000000001</v>
      </c>
      <c r="AF35"/>
      <c r="AG35" s="8">
        <v>55280.788</v>
      </c>
      <c r="AH35" s="7">
        <v>0.30895463000000001</v>
      </c>
      <c r="AI35"/>
      <c r="AJ35" s="8">
        <v>55684.467700000001</v>
      </c>
      <c r="AK35" s="7">
        <v>0.29574563999999998</v>
      </c>
      <c r="AL35"/>
      <c r="AM35" s="8">
        <v>58278.560299999997</v>
      </c>
      <c r="AN35" s="7">
        <v>0.40986686999999999</v>
      </c>
    </row>
    <row r="36" spans="2:40" s="314" customFormat="1" ht="12.75" customHeight="1" x14ac:dyDescent="0.15">
      <c r="B36" s="5" t="s">
        <v>40</v>
      </c>
      <c r="C36" s="8">
        <v>368586.94380000001</v>
      </c>
      <c r="D36" s="7">
        <v>0.17936131</v>
      </c>
      <c r="E36"/>
      <c r="F36" s="8">
        <v>49915.39</v>
      </c>
      <c r="G36" s="7">
        <v>0.44851111999999999</v>
      </c>
      <c r="H36"/>
      <c r="I36" s="8">
        <v>45785.09</v>
      </c>
      <c r="J36" s="7">
        <v>0.39246093999999998</v>
      </c>
      <c r="K36"/>
      <c r="L36" s="8">
        <v>29217.040000000001</v>
      </c>
      <c r="M36" s="7">
        <v>0.15398566999999999</v>
      </c>
      <c r="N36"/>
      <c r="O36" s="8">
        <v>33877.82</v>
      </c>
      <c r="P36" s="7">
        <v>0.30643666000000003</v>
      </c>
      <c r="Q36"/>
      <c r="R36" s="8">
        <v>28068.304700000001</v>
      </c>
      <c r="S36" s="7">
        <v>0.14076925000000001</v>
      </c>
      <c r="T36"/>
      <c r="U36" s="8">
        <v>23852.3269</v>
      </c>
      <c r="V36" s="7">
        <v>0.13490928999999999</v>
      </c>
      <c r="W36"/>
      <c r="X36" s="8">
        <v>23954.216899999999</v>
      </c>
      <c r="Y36" s="7">
        <v>0.15257385000000001</v>
      </c>
      <c r="Z36"/>
      <c r="AA36" s="8">
        <v>28465.324100000002</v>
      </c>
      <c r="AB36" s="7">
        <v>0.13506870000000001</v>
      </c>
      <c r="AC36"/>
      <c r="AD36" s="8">
        <v>35082.0579</v>
      </c>
      <c r="AE36" s="7">
        <v>0.12831487999999999</v>
      </c>
      <c r="AF36"/>
      <c r="AG36" s="8">
        <v>25482.051200000002</v>
      </c>
      <c r="AH36" s="7">
        <v>0.14241471</v>
      </c>
      <c r="AI36"/>
      <c r="AJ36" s="8">
        <v>25430.58</v>
      </c>
      <c r="AK36" s="7">
        <v>0.13506429</v>
      </c>
      <c r="AL36"/>
      <c r="AM36" s="8">
        <v>19456.742099999999</v>
      </c>
      <c r="AN36" s="7">
        <v>0.13683718</v>
      </c>
    </row>
    <row r="37" spans="2:40" s="314" customFormat="1" ht="12.75" customHeight="1" x14ac:dyDescent="0.15">
      <c r="B37" s="325" t="s">
        <v>41</v>
      </c>
      <c r="C37" s="326">
        <v>1010856.3532</v>
      </c>
      <c r="D37" s="327">
        <v>0.49190165000000002</v>
      </c>
      <c r="E37"/>
      <c r="F37" s="326">
        <v>2376.56</v>
      </c>
      <c r="G37" s="327">
        <v>2.1354410000000001E-2</v>
      </c>
      <c r="H37"/>
      <c r="I37" s="326">
        <v>27080.49</v>
      </c>
      <c r="J37" s="327">
        <v>0.23212873000000001</v>
      </c>
      <c r="K37"/>
      <c r="L37" s="326">
        <v>105659.42</v>
      </c>
      <c r="M37" s="327">
        <v>0.55686807999999999</v>
      </c>
      <c r="N37"/>
      <c r="O37" s="326">
        <v>22873.89</v>
      </c>
      <c r="P37" s="327">
        <v>0.20690228999999999</v>
      </c>
      <c r="Q37"/>
      <c r="R37" s="326">
        <v>110669.0852</v>
      </c>
      <c r="S37" s="327">
        <v>0.55503188999999997</v>
      </c>
      <c r="T37"/>
      <c r="U37" s="326">
        <v>93112.573999999993</v>
      </c>
      <c r="V37" s="327">
        <v>0.52664679000000003</v>
      </c>
      <c r="W37"/>
      <c r="X37" s="326">
        <v>76352.3514</v>
      </c>
      <c r="Y37" s="327">
        <v>0.48631823000000002</v>
      </c>
      <c r="Z37"/>
      <c r="AA37" s="326">
        <v>124510.5116</v>
      </c>
      <c r="AB37" s="327">
        <v>0.59080562000000003</v>
      </c>
      <c r="AC37"/>
      <c r="AD37" s="326">
        <v>178432.16029999999</v>
      </c>
      <c r="AE37" s="327">
        <v>0.65262708000000003</v>
      </c>
      <c r="AF37"/>
      <c r="AG37" s="326">
        <v>98165.660799999998</v>
      </c>
      <c r="AH37" s="327">
        <v>0.54863066000000005</v>
      </c>
      <c r="AI37"/>
      <c r="AJ37" s="326">
        <v>107169.9523</v>
      </c>
      <c r="AK37" s="327">
        <v>0.56919006999999999</v>
      </c>
      <c r="AL37"/>
      <c r="AM37" s="326">
        <v>64453.6976</v>
      </c>
      <c r="AN37" s="327">
        <v>0.45329595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1529704.26</v>
      </c>
      <c r="D40" s="7">
        <v>0.62475177000000004</v>
      </c>
      <c r="E40"/>
      <c r="F40" s="8">
        <v>70926.64</v>
      </c>
      <c r="G40" s="7">
        <v>0.64700863999999991</v>
      </c>
      <c r="H40"/>
      <c r="I40" s="8">
        <v>80100.960000000006</v>
      </c>
      <c r="J40" s="7">
        <v>0.59962720000000003</v>
      </c>
      <c r="K40"/>
      <c r="L40" s="8">
        <v>140668.17000000001</v>
      </c>
      <c r="M40" s="7">
        <v>0.60483091999999994</v>
      </c>
      <c r="N40"/>
      <c r="O40" s="8">
        <v>64680.59</v>
      </c>
      <c r="P40" s="7">
        <v>0.65252962999999997</v>
      </c>
      <c r="Q40"/>
      <c r="R40" s="8">
        <v>146528.29999999999</v>
      </c>
      <c r="S40" s="7">
        <v>0.63105344000000008</v>
      </c>
      <c r="T40"/>
      <c r="U40" s="8">
        <v>150768.6</v>
      </c>
      <c r="V40" s="7">
        <v>0.56637650000000006</v>
      </c>
      <c r="W40"/>
      <c r="X40" s="8">
        <v>140054</v>
      </c>
      <c r="Y40" s="7">
        <v>0.62425161000000007</v>
      </c>
      <c r="Z40"/>
      <c r="AA40" s="8">
        <v>192452.5</v>
      </c>
      <c r="AB40" s="7">
        <v>0.63171525000000006</v>
      </c>
      <c r="AC40"/>
      <c r="AD40" s="8">
        <v>231822</v>
      </c>
      <c r="AE40" s="7">
        <v>0.62067691999999997</v>
      </c>
      <c r="AF40"/>
      <c r="AG40" s="8">
        <v>136506.5</v>
      </c>
      <c r="AH40" s="7">
        <v>0.64825252000000011</v>
      </c>
      <c r="AI40"/>
      <c r="AJ40" s="8">
        <v>106976</v>
      </c>
      <c r="AK40" s="7">
        <v>0.66920751000000001</v>
      </c>
      <c r="AL40"/>
      <c r="AM40" s="8">
        <v>68220</v>
      </c>
      <c r="AN40" s="7">
        <v>0.66709119000000006</v>
      </c>
    </row>
    <row r="41" spans="2:40" s="314" customFormat="1" ht="12.75" customHeight="1" x14ac:dyDescent="0.15">
      <c r="B41" s="5" t="s">
        <v>44</v>
      </c>
      <c r="C41" s="8">
        <v>657660.66480000003</v>
      </c>
      <c r="D41" s="7">
        <v>0.26859745000000002</v>
      </c>
      <c r="E41"/>
      <c r="F41" s="8">
        <v>25419.67</v>
      </c>
      <c r="G41" s="7">
        <v>0.2318839</v>
      </c>
      <c r="H41"/>
      <c r="I41" s="8">
        <v>34839.94</v>
      </c>
      <c r="J41" s="7">
        <v>0.26080806000000001</v>
      </c>
      <c r="K41"/>
      <c r="L41" s="8">
        <v>57062.47</v>
      </c>
      <c r="M41" s="7">
        <v>0.2453515</v>
      </c>
      <c r="N41"/>
      <c r="O41" s="8">
        <v>28071.43</v>
      </c>
      <c r="P41" s="7">
        <v>0.28319840000000002</v>
      </c>
      <c r="Q41"/>
      <c r="R41" s="8">
        <v>68468.039600000004</v>
      </c>
      <c r="S41" s="7">
        <v>0.29487131</v>
      </c>
      <c r="T41"/>
      <c r="U41" s="8">
        <v>80929.943199999994</v>
      </c>
      <c r="V41" s="7">
        <v>0.30402098</v>
      </c>
      <c r="W41"/>
      <c r="X41" s="8">
        <v>71801.047999999995</v>
      </c>
      <c r="Y41" s="7">
        <v>0.32003313</v>
      </c>
      <c r="Z41"/>
      <c r="AA41" s="8">
        <v>87398.21</v>
      </c>
      <c r="AB41" s="7">
        <v>0.28688005</v>
      </c>
      <c r="AC41"/>
      <c r="AD41" s="8">
        <v>95176.664000000004</v>
      </c>
      <c r="AE41" s="7">
        <v>0.25482463999999999</v>
      </c>
      <c r="AF41"/>
      <c r="AG41" s="8">
        <v>51569.618000000002</v>
      </c>
      <c r="AH41" s="7">
        <v>0.24489775</v>
      </c>
      <c r="AI41"/>
      <c r="AJ41" s="8">
        <v>34378.752</v>
      </c>
      <c r="AK41" s="7">
        <v>0.21506243</v>
      </c>
      <c r="AL41"/>
      <c r="AM41" s="8">
        <v>22544.880000000001</v>
      </c>
      <c r="AN41" s="7">
        <v>0.22045574000000001</v>
      </c>
    </row>
    <row r="42" spans="2:40" s="314" customFormat="1" ht="12.75" customHeight="1" x14ac:dyDescent="0.15">
      <c r="B42" s="5" t="s">
        <v>45</v>
      </c>
      <c r="C42" s="8">
        <v>261134.34</v>
      </c>
      <c r="D42" s="7">
        <v>0.10665077000000001</v>
      </c>
      <c r="E42"/>
      <c r="F42" s="8">
        <v>13276.09</v>
      </c>
      <c r="G42" s="7">
        <v>0.12110746</v>
      </c>
      <c r="H42"/>
      <c r="I42" s="8">
        <v>18643.7</v>
      </c>
      <c r="J42" s="7">
        <v>0.13956473999999999</v>
      </c>
      <c r="K42"/>
      <c r="L42" s="8">
        <v>34843.730000000003</v>
      </c>
      <c r="M42" s="7">
        <v>0.14981758000000001</v>
      </c>
      <c r="N42"/>
      <c r="O42" s="8">
        <v>6370.82</v>
      </c>
      <c r="P42" s="7">
        <v>6.4271969999999998E-2</v>
      </c>
      <c r="Q42"/>
      <c r="R42" s="8">
        <v>17200</v>
      </c>
      <c r="S42" s="7">
        <v>7.4075240000000001E-2</v>
      </c>
      <c r="T42"/>
      <c r="U42" s="8">
        <v>34500</v>
      </c>
      <c r="V42" s="7">
        <v>0.12960251</v>
      </c>
      <c r="W42"/>
      <c r="X42" s="8">
        <v>12500</v>
      </c>
      <c r="Y42" s="7">
        <v>5.5715260000000003E-2</v>
      </c>
      <c r="Z42"/>
      <c r="AA42" s="8">
        <v>24800</v>
      </c>
      <c r="AB42" s="7">
        <v>8.140470000000001E-2</v>
      </c>
      <c r="AC42"/>
      <c r="AD42" s="8">
        <v>46500</v>
      </c>
      <c r="AE42" s="7">
        <v>0.12449844</v>
      </c>
      <c r="AF42"/>
      <c r="AG42" s="8">
        <v>22500</v>
      </c>
      <c r="AH42" s="7">
        <v>0.10684972</v>
      </c>
      <c r="AI42"/>
      <c r="AJ42" s="8">
        <v>18500</v>
      </c>
      <c r="AK42" s="7">
        <v>0.11573006</v>
      </c>
      <c r="AL42"/>
      <c r="AM42" s="8">
        <v>11500</v>
      </c>
      <c r="AN42" s="7">
        <v>0.11245307</v>
      </c>
    </row>
    <row r="43" spans="2:40" s="314" customFormat="1" ht="12.75" customHeight="1" x14ac:dyDescent="0.15">
      <c r="B43" s="325" t="s">
        <v>36</v>
      </c>
      <c r="C43" s="326">
        <v>2448499.2648</v>
      </c>
      <c r="D43" s="327">
        <v>1</v>
      </c>
      <c r="E43"/>
      <c r="F43" s="326">
        <v>109622.39999999999</v>
      </c>
      <c r="G43" s="327">
        <v>1</v>
      </c>
      <c r="H43"/>
      <c r="I43" s="326">
        <v>133584.6</v>
      </c>
      <c r="J43" s="327">
        <v>1</v>
      </c>
      <c r="K43"/>
      <c r="L43" s="326">
        <v>232574.37</v>
      </c>
      <c r="M43" s="327">
        <v>1</v>
      </c>
      <c r="N43"/>
      <c r="O43" s="326">
        <v>99122.84</v>
      </c>
      <c r="P43" s="327">
        <v>1</v>
      </c>
      <c r="Q43"/>
      <c r="R43" s="326">
        <v>232196.33960000001</v>
      </c>
      <c r="S43" s="327">
        <v>1</v>
      </c>
      <c r="T43"/>
      <c r="U43" s="326">
        <v>266198.54320000001</v>
      </c>
      <c r="V43" s="327">
        <v>1</v>
      </c>
      <c r="W43"/>
      <c r="X43" s="326">
        <v>224355.04800000001</v>
      </c>
      <c r="Y43" s="327">
        <v>1</v>
      </c>
      <c r="Z43"/>
      <c r="AA43" s="326">
        <v>304650.71000000002</v>
      </c>
      <c r="AB43" s="327">
        <v>1</v>
      </c>
      <c r="AC43"/>
      <c r="AD43" s="326">
        <v>373498.66399999999</v>
      </c>
      <c r="AE43" s="327">
        <v>1</v>
      </c>
      <c r="AF43"/>
      <c r="AG43" s="326">
        <v>210576.11799999999</v>
      </c>
      <c r="AH43" s="327">
        <v>1</v>
      </c>
      <c r="AI43"/>
      <c r="AJ43" s="326">
        <v>159854.75200000001</v>
      </c>
      <c r="AK43" s="327">
        <v>1</v>
      </c>
      <c r="AL43"/>
      <c r="AM43" s="326">
        <v>102264.88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464226.79100000003</v>
      </c>
      <c r="D44" s="7">
        <v>0.30347486000000001</v>
      </c>
      <c r="E44"/>
      <c r="F44" s="8">
        <v>28669.599999999999</v>
      </c>
      <c r="G44" s="7">
        <v>0.40421483000000002</v>
      </c>
      <c r="H44"/>
      <c r="I44" s="8">
        <v>43146.04</v>
      </c>
      <c r="J44" s="7">
        <v>0.53864573000000004</v>
      </c>
      <c r="K44"/>
      <c r="L44" s="8">
        <v>40647.769999999997</v>
      </c>
      <c r="M44" s="7">
        <v>0.2889621</v>
      </c>
      <c r="N44"/>
      <c r="O44" s="8">
        <v>19031.04</v>
      </c>
      <c r="P44" s="7">
        <v>0.29423107999999998</v>
      </c>
      <c r="Q44"/>
      <c r="R44" s="8">
        <v>41551.756999999998</v>
      </c>
      <c r="S44" s="7">
        <v>0.28357495999999999</v>
      </c>
      <c r="T44"/>
      <c r="U44" s="8">
        <v>42243.644</v>
      </c>
      <c r="V44" s="7">
        <v>0.28018861</v>
      </c>
      <c r="W44"/>
      <c r="X44" s="8">
        <v>39191.660000000003</v>
      </c>
      <c r="Y44" s="7">
        <v>0.27983248999999999</v>
      </c>
      <c r="Z44"/>
      <c r="AA44" s="8">
        <v>54154.175000000003</v>
      </c>
      <c r="AB44" s="7">
        <v>0.28138982000000001</v>
      </c>
      <c r="AC44"/>
      <c r="AD44" s="8">
        <v>66105.38</v>
      </c>
      <c r="AE44" s="7">
        <v>0.28515576999999998</v>
      </c>
      <c r="AF44"/>
      <c r="AG44" s="8">
        <v>39088.885000000002</v>
      </c>
      <c r="AH44" s="7">
        <v>0.28635181999999998</v>
      </c>
      <c r="AI44"/>
      <c r="AJ44" s="8">
        <v>30736.04</v>
      </c>
      <c r="AK44" s="7">
        <v>0.28731716000000002</v>
      </c>
      <c r="AL44"/>
      <c r="AM44" s="8">
        <v>19660.8</v>
      </c>
      <c r="AN44" s="7">
        <v>0.28819700999999998</v>
      </c>
    </row>
    <row r="45" spans="2:40" s="314" customFormat="1" ht="12.75" customHeight="1" x14ac:dyDescent="0.15">
      <c r="B45" s="5" t="s">
        <v>47</v>
      </c>
      <c r="C45" s="8">
        <v>126973.1452</v>
      </c>
      <c r="D45" s="7">
        <v>0.19306787</v>
      </c>
      <c r="E45"/>
      <c r="F45" s="8">
        <v>5976.16</v>
      </c>
      <c r="G45" s="7">
        <v>0.23509983000000001</v>
      </c>
      <c r="H45"/>
      <c r="I45" s="8">
        <v>9057.89</v>
      </c>
      <c r="J45" s="7">
        <v>0.25998580999999998</v>
      </c>
      <c r="K45"/>
      <c r="L45" s="8">
        <v>9886.9699999999993</v>
      </c>
      <c r="M45" s="7">
        <v>0.17326572000000001</v>
      </c>
      <c r="N45"/>
      <c r="O45" s="8">
        <v>8355.49</v>
      </c>
      <c r="P45" s="7">
        <v>0.29765102999999998</v>
      </c>
      <c r="Q45"/>
      <c r="R45" s="8">
        <v>12761.8104</v>
      </c>
      <c r="S45" s="7">
        <v>0.18639077000000001</v>
      </c>
      <c r="T45"/>
      <c r="U45" s="8">
        <v>14835.3568</v>
      </c>
      <c r="V45" s="7">
        <v>0.1833111</v>
      </c>
      <c r="W45"/>
      <c r="X45" s="8">
        <v>13284.102000000001</v>
      </c>
      <c r="Y45" s="7">
        <v>0.18501265</v>
      </c>
      <c r="Z45"/>
      <c r="AA45" s="8">
        <v>15946.965</v>
      </c>
      <c r="AB45" s="7">
        <v>0.18246329</v>
      </c>
      <c r="AC45"/>
      <c r="AD45" s="8">
        <v>17213.736000000001</v>
      </c>
      <c r="AE45" s="7">
        <v>0.18086089</v>
      </c>
      <c r="AF45"/>
      <c r="AG45" s="8">
        <v>9432.7369999999992</v>
      </c>
      <c r="AH45" s="7">
        <v>0.18291267999999999</v>
      </c>
      <c r="AI45"/>
      <c r="AJ45" s="8">
        <v>6131.1279999999997</v>
      </c>
      <c r="AK45" s="7">
        <v>0.17834062000000001</v>
      </c>
      <c r="AL45"/>
      <c r="AM45" s="8">
        <v>4090.8</v>
      </c>
      <c r="AN45" s="7">
        <v>0.18145140000000001</v>
      </c>
    </row>
    <row r="46" spans="2:40" s="314" customFormat="1" ht="12.75" customHeight="1" x14ac:dyDescent="0.15">
      <c r="B46" s="5" t="s">
        <v>48</v>
      </c>
      <c r="C46" s="8">
        <v>7687.37</v>
      </c>
      <c r="D46" s="7">
        <v>2.9438369999999998E-2</v>
      </c>
      <c r="E46"/>
      <c r="F46" s="8">
        <v>142.74</v>
      </c>
      <c r="G46" s="7">
        <v>1.075166E-2</v>
      </c>
      <c r="H46"/>
      <c r="I46" s="8">
        <v>831.47</v>
      </c>
      <c r="J46" s="7">
        <v>4.4597909999999998E-2</v>
      </c>
      <c r="K46"/>
      <c r="L46" s="8">
        <v>559.84</v>
      </c>
      <c r="M46" s="7">
        <v>1.6067169999999999E-2</v>
      </c>
      <c r="N46"/>
      <c r="O46" s="8">
        <v>683.32</v>
      </c>
      <c r="P46" s="7">
        <v>0.10725778</v>
      </c>
      <c r="Q46"/>
      <c r="R46" s="8">
        <v>947</v>
      </c>
      <c r="S46" s="7">
        <v>5.5058139999999998E-2</v>
      </c>
      <c r="T46"/>
      <c r="U46" s="8">
        <v>-160</v>
      </c>
      <c r="V46" s="7">
        <v>-4.6376799999999999E-3</v>
      </c>
      <c r="W46"/>
      <c r="X46" s="8">
        <v>940</v>
      </c>
      <c r="Y46" s="7">
        <v>7.5199999999999989E-2</v>
      </c>
      <c r="Z46"/>
      <c r="AA46" s="8">
        <v>993</v>
      </c>
      <c r="AB46" s="7">
        <v>4.0040319999999997E-2</v>
      </c>
      <c r="AC46"/>
      <c r="AD46" s="8">
        <v>-160</v>
      </c>
      <c r="AE46" s="7">
        <v>-3.44086E-3</v>
      </c>
      <c r="AF46"/>
      <c r="AG46" s="8">
        <v>1010</v>
      </c>
      <c r="AH46" s="7">
        <v>4.4888890000000001E-2</v>
      </c>
      <c r="AI46"/>
      <c r="AJ46" s="8">
        <v>970</v>
      </c>
      <c r="AK46" s="7">
        <v>5.2432430000000002E-2</v>
      </c>
      <c r="AL46"/>
      <c r="AM46" s="8">
        <v>930</v>
      </c>
      <c r="AN46" s="7">
        <v>8.0869570000000002E-2</v>
      </c>
    </row>
    <row r="47" spans="2:40" s="314" customFormat="1" ht="12.75" customHeight="1" x14ac:dyDescent="0.15">
      <c r="B47" s="325" t="s">
        <v>49</v>
      </c>
      <c r="C47" s="326">
        <v>598887.30619999999</v>
      </c>
      <c r="D47" s="327">
        <v>0.24459362000000001</v>
      </c>
      <c r="E47"/>
      <c r="F47" s="326">
        <v>34788.5</v>
      </c>
      <c r="G47" s="327">
        <v>0.31734846</v>
      </c>
      <c r="H47"/>
      <c r="I47" s="326">
        <v>53035.4</v>
      </c>
      <c r="J47" s="327">
        <v>0.39701732000000001</v>
      </c>
      <c r="K47"/>
      <c r="L47" s="326">
        <v>51094.58</v>
      </c>
      <c r="M47" s="327">
        <v>0.21969136</v>
      </c>
      <c r="N47"/>
      <c r="O47" s="326">
        <v>28069.85</v>
      </c>
      <c r="P47" s="327">
        <v>0.28318246000000002</v>
      </c>
      <c r="Q47"/>
      <c r="R47" s="326">
        <v>55260.5674</v>
      </c>
      <c r="S47" s="327">
        <v>0.23799069</v>
      </c>
      <c r="T47"/>
      <c r="U47" s="326">
        <v>56919.000800000002</v>
      </c>
      <c r="V47" s="327">
        <v>0.21382161</v>
      </c>
      <c r="W47"/>
      <c r="X47" s="326">
        <v>53415.762000000002</v>
      </c>
      <c r="Y47" s="327">
        <v>0.23808584999999999</v>
      </c>
      <c r="Z47"/>
      <c r="AA47" s="326">
        <v>71094.14</v>
      </c>
      <c r="AB47" s="327">
        <v>0.23336278999999999</v>
      </c>
      <c r="AC47"/>
      <c r="AD47" s="326">
        <v>83159.115999999995</v>
      </c>
      <c r="AE47" s="327">
        <v>0.22264903</v>
      </c>
      <c r="AF47"/>
      <c r="AG47" s="326">
        <v>49531.622000000003</v>
      </c>
      <c r="AH47" s="327">
        <v>0.23521955999999999</v>
      </c>
      <c r="AI47"/>
      <c r="AJ47" s="326">
        <v>37837.167999999998</v>
      </c>
      <c r="AK47" s="327">
        <v>0.23669717000000001</v>
      </c>
      <c r="AL47"/>
      <c r="AM47" s="326">
        <v>24681.599999999999</v>
      </c>
      <c r="AN47" s="327">
        <v>0.24134971999999999</v>
      </c>
    </row>
    <row r="48" spans="2:40" s="314" customFormat="1" ht="12.75" customHeight="1" x14ac:dyDescent="0.15">
      <c r="B48" s="5" t="s">
        <v>22</v>
      </c>
      <c r="C48" s="8">
        <v>1195695.2089</v>
      </c>
      <c r="D48" s="7">
        <v>0.48833799</v>
      </c>
      <c r="E48"/>
      <c r="F48" s="8">
        <v>95956.93</v>
      </c>
      <c r="G48" s="7">
        <v>0.87534053000000001</v>
      </c>
      <c r="H48"/>
      <c r="I48" s="8">
        <v>79280.13</v>
      </c>
      <c r="J48" s="7">
        <v>0.59348255999999999</v>
      </c>
      <c r="K48"/>
      <c r="L48" s="8">
        <v>78319.72</v>
      </c>
      <c r="M48" s="7">
        <v>0.33675128999999998</v>
      </c>
      <c r="N48"/>
      <c r="O48" s="8">
        <v>100422.39999999999</v>
      </c>
      <c r="P48" s="7">
        <v>1.0131106000000001</v>
      </c>
      <c r="Q48"/>
      <c r="R48" s="8">
        <v>107972.2552</v>
      </c>
      <c r="S48" s="7">
        <v>0.46500412000000002</v>
      </c>
      <c r="T48"/>
      <c r="U48" s="8">
        <v>107039.56600000001</v>
      </c>
      <c r="V48" s="7">
        <v>0.40210425</v>
      </c>
      <c r="W48"/>
      <c r="X48" s="8">
        <v>99713.936199999996</v>
      </c>
      <c r="Y48" s="7">
        <v>0.44444704000000002</v>
      </c>
      <c r="Z48"/>
      <c r="AA48" s="8">
        <v>107572.4522</v>
      </c>
      <c r="AB48" s="7">
        <v>0.35310093999999997</v>
      </c>
      <c r="AC48"/>
      <c r="AD48" s="8">
        <v>108535.36500000001</v>
      </c>
      <c r="AE48" s="7">
        <v>0.29059104000000002</v>
      </c>
      <c r="AF48"/>
      <c r="AG48" s="8">
        <v>103527.7007</v>
      </c>
      <c r="AH48" s="7">
        <v>0.49164027999999999</v>
      </c>
      <c r="AI48"/>
      <c r="AJ48" s="8">
        <v>106637.9194</v>
      </c>
      <c r="AK48" s="7">
        <v>0.66709258000000005</v>
      </c>
      <c r="AL48"/>
      <c r="AM48" s="8">
        <v>100716.8342</v>
      </c>
      <c r="AN48" s="7">
        <v>0.98486238999999998</v>
      </c>
    </row>
    <row r="49" spans="2:40" s="314" customFormat="1" ht="12.75" customHeight="1" x14ac:dyDescent="0.15">
      <c r="B49" s="5" t="s">
        <v>40</v>
      </c>
      <c r="C49" s="8">
        <v>95636.357000000004</v>
      </c>
      <c r="D49" s="7">
        <v>3.9059169999999997E-2</v>
      </c>
      <c r="E49"/>
      <c r="F49" s="8">
        <v>4048.85</v>
      </c>
      <c r="G49" s="7">
        <v>3.6934509999999997E-2</v>
      </c>
      <c r="H49"/>
      <c r="I49" s="8">
        <v>6912.73</v>
      </c>
      <c r="J49" s="7">
        <v>5.1747960000000003E-2</v>
      </c>
      <c r="K49"/>
      <c r="L49" s="8">
        <v>8898.5400000000009</v>
      </c>
      <c r="M49" s="7">
        <v>3.8261049999999998E-2</v>
      </c>
      <c r="N49"/>
      <c r="O49" s="8">
        <v>2457.1999999999998</v>
      </c>
      <c r="P49" s="7">
        <v>2.4789439999999999E-2</v>
      </c>
      <c r="Q49"/>
      <c r="R49" s="8">
        <v>7874.4489999999996</v>
      </c>
      <c r="S49" s="7">
        <v>3.3912890000000001E-2</v>
      </c>
      <c r="T49"/>
      <c r="U49" s="8">
        <v>11553.558000000001</v>
      </c>
      <c r="V49" s="7">
        <v>4.3402030000000001E-2</v>
      </c>
      <c r="W49"/>
      <c r="X49" s="8">
        <v>8569.6200000000008</v>
      </c>
      <c r="Y49" s="7">
        <v>3.8196690000000012E-2</v>
      </c>
      <c r="Z49"/>
      <c r="AA49" s="8">
        <v>11981.275</v>
      </c>
      <c r="AB49" s="7">
        <v>3.9327910000000001E-2</v>
      </c>
      <c r="AC49"/>
      <c r="AD49" s="8">
        <v>11313.66</v>
      </c>
      <c r="AE49" s="7">
        <v>3.029103E-2</v>
      </c>
      <c r="AF49"/>
      <c r="AG49" s="8">
        <v>11058.995000000001</v>
      </c>
      <c r="AH49" s="7">
        <v>5.2517800000000003E-2</v>
      </c>
      <c r="AI49"/>
      <c r="AJ49" s="8">
        <v>5922.08</v>
      </c>
      <c r="AK49" s="7">
        <v>3.7046629999999997E-2</v>
      </c>
      <c r="AL49"/>
      <c r="AM49" s="8">
        <v>5045.3999999999996</v>
      </c>
      <c r="AN49" s="7">
        <v>4.9336589999999993E-2</v>
      </c>
    </row>
    <row r="50" spans="2:40" s="314" customFormat="1" ht="12.75" customHeight="1" x14ac:dyDescent="0.15">
      <c r="B50" s="325" t="s">
        <v>41</v>
      </c>
      <c r="C50" s="326">
        <v>558280.39269999997</v>
      </c>
      <c r="D50" s="327">
        <v>0.22800920999999999</v>
      </c>
      <c r="E50"/>
      <c r="F50" s="326">
        <v>-25171.88</v>
      </c>
      <c r="G50" s="327">
        <v>-0.22962351</v>
      </c>
      <c r="H50"/>
      <c r="I50" s="326">
        <v>-5643.66</v>
      </c>
      <c r="J50" s="327">
        <v>-4.2247830000000007E-2</v>
      </c>
      <c r="K50"/>
      <c r="L50" s="326">
        <v>94261.53</v>
      </c>
      <c r="M50" s="327">
        <v>0.40529629</v>
      </c>
      <c r="N50"/>
      <c r="O50" s="326">
        <v>-31826.61</v>
      </c>
      <c r="P50" s="327">
        <v>-0.32108250999999999</v>
      </c>
      <c r="Q50"/>
      <c r="R50" s="326">
        <v>61089.067999999999</v>
      </c>
      <c r="S50" s="327">
        <v>0.2630923</v>
      </c>
      <c r="T50"/>
      <c r="U50" s="326">
        <v>90686.418399999995</v>
      </c>
      <c r="V50" s="327">
        <v>0.34067210999999997</v>
      </c>
      <c r="W50"/>
      <c r="X50" s="326">
        <v>62655.729800000001</v>
      </c>
      <c r="Y50" s="327">
        <v>0.27927043000000001</v>
      </c>
      <c r="Z50"/>
      <c r="AA50" s="326">
        <v>114002.8428</v>
      </c>
      <c r="AB50" s="327">
        <v>0.37420836000000002</v>
      </c>
      <c r="AC50"/>
      <c r="AD50" s="326">
        <v>170490.52299999999</v>
      </c>
      <c r="AE50" s="327">
        <v>0.45646890000000001</v>
      </c>
      <c r="AF50"/>
      <c r="AG50" s="326">
        <v>46457.800300000003</v>
      </c>
      <c r="AH50" s="327">
        <v>0.22062235999999999</v>
      </c>
      <c r="AI50"/>
      <c r="AJ50" s="326">
        <v>9457.5846000000001</v>
      </c>
      <c r="AK50" s="327">
        <v>5.9163610000000012E-2</v>
      </c>
      <c r="AL50"/>
      <c r="AM50" s="326">
        <v>-28178.9542</v>
      </c>
      <c r="AN50" s="327">
        <v>-0.27554868999999999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1028963.35</v>
      </c>
      <c r="D53" s="7">
        <v>1</v>
      </c>
      <c r="E53"/>
      <c r="F53" s="8">
        <v>55075.27</v>
      </c>
      <c r="G53" s="7">
        <v>1</v>
      </c>
      <c r="H53"/>
      <c r="I53" s="8">
        <v>55914.77</v>
      </c>
      <c r="J53" s="7">
        <v>1</v>
      </c>
      <c r="K53"/>
      <c r="L53" s="8">
        <v>56416.44</v>
      </c>
      <c r="M53" s="7">
        <v>1</v>
      </c>
      <c r="N53"/>
      <c r="O53" s="8">
        <v>75116.87</v>
      </c>
      <c r="P53" s="7">
        <v>1</v>
      </c>
      <c r="Q53"/>
      <c r="R53" s="8">
        <v>118100</v>
      </c>
      <c r="S53" s="7">
        <v>1</v>
      </c>
      <c r="T53"/>
      <c r="U53" s="8">
        <v>121200</v>
      </c>
      <c r="V53" s="7">
        <v>1</v>
      </c>
      <c r="W53"/>
      <c r="X53" s="8">
        <v>125500</v>
      </c>
      <c r="Y53" s="7">
        <v>1</v>
      </c>
      <c r="Z53"/>
      <c r="AA53" s="8">
        <v>113100</v>
      </c>
      <c r="AB53" s="7">
        <v>1</v>
      </c>
      <c r="AC53"/>
      <c r="AD53" s="8">
        <v>106300</v>
      </c>
      <c r="AE53" s="7">
        <v>1</v>
      </c>
      <c r="AF53"/>
      <c r="AG53" s="8">
        <v>82940</v>
      </c>
      <c r="AH53" s="7">
        <v>1</v>
      </c>
      <c r="AI53"/>
      <c r="AJ53" s="8">
        <v>61050</v>
      </c>
      <c r="AK53" s="7">
        <v>1</v>
      </c>
      <c r="AL53"/>
      <c r="AM53" s="8">
        <v>58250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168761.73</v>
      </c>
      <c r="D54" s="7">
        <v>0.16401141</v>
      </c>
      <c r="E54"/>
      <c r="F54" s="8">
        <v>0</v>
      </c>
      <c r="G54" s="7">
        <v>0</v>
      </c>
      <c r="H54"/>
      <c r="I54" s="8">
        <v>24884.26</v>
      </c>
      <c r="J54" s="7">
        <v>0.44503912000000001</v>
      </c>
      <c r="K54"/>
      <c r="L54" s="8">
        <v>25149.759999999998</v>
      </c>
      <c r="M54" s="7">
        <v>0.44578779000000002</v>
      </c>
      <c r="N54"/>
      <c r="O54" s="8">
        <v>10578.21</v>
      </c>
      <c r="P54" s="7">
        <v>0.14082336000000001</v>
      </c>
      <c r="Q54"/>
      <c r="R54" s="8">
        <v>18845</v>
      </c>
      <c r="S54" s="7">
        <v>0.15956815999999999</v>
      </c>
      <c r="T54"/>
      <c r="U54" s="8">
        <v>21727</v>
      </c>
      <c r="V54" s="7">
        <v>0.17926568000000001</v>
      </c>
      <c r="W54"/>
      <c r="X54" s="8">
        <v>17077</v>
      </c>
      <c r="Y54" s="7">
        <v>0.13607171000000001</v>
      </c>
      <c r="Z54"/>
      <c r="AA54" s="8">
        <v>13225.5</v>
      </c>
      <c r="AB54" s="7">
        <v>0.11693634</v>
      </c>
      <c r="AC54"/>
      <c r="AD54" s="8">
        <v>16922.5</v>
      </c>
      <c r="AE54" s="7">
        <v>0.15919567000000001</v>
      </c>
      <c r="AF54"/>
      <c r="AG54" s="8">
        <v>15145</v>
      </c>
      <c r="AH54" s="7">
        <v>0.18260187999999999</v>
      </c>
      <c r="AI54"/>
      <c r="AJ54" s="8">
        <v>2622.5</v>
      </c>
      <c r="AK54" s="7">
        <v>4.2956590000000003E-2</v>
      </c>
      <c r="AL54"/>
      <c r="AM54" s="8">
        <v>2585</v>
      </c>
      <c r="AN54" s="7">
        <v>4.4377680000000003E-2</v>
      </c>
    </row>
    <row r="55" spans="2:40" s="314" customFormat="1" ht="12.75" customHeight="1" x14ac:dyDescent="0.15">
      <c r="B55" s="5" t="s">
        <v>22</v>
      </c>
      <c r="C55" s="8">
        <v>599152.54099999997</v>
      </c>
      <c r="D55" s="7">
        <v>0.58228754000000005</v>
      </c>
      <c r="E55"/>
      <c r="F55" s="8">
        <v>34645.97</v>
      </c>
      <c r="G55" s="7">
        <v>0.62906582</v>
      </c>
      <c r="H55"/>
      <c r="I55" s="8">
        <v>42438.43</v>
      </c>
      <c r="J55" s="7">
        <v>0.75898425000000003</v>
      </c>
      <c r="K55"/>
      <c r="L55" s="8">
        <v>38856.93</v>
      </c>
      <c r="M55" s="7">
        <v>0.68875190000000008</v>
      </c>
      <c r="N55"/>
      <c r="O55" s="8">
        <v>49828.45</v>
      </c>
      <c r="P55" s="7">
        <v>0.66334565999999995</v>
      </c>
      <c r="Q55"/>
      <c r="R55" s="8">
        <v>59911.189200000001</v>
      </c>
      <c r="S55" s="7">
        <v>0.50729203</v>
      </c>
      <c r="T55"/>
      <c r="U55" s="8">
        <v>60459.207999999999</v>
      </c>
      <c r="V55" s="7">
        <v>0.49883834999999999</v>
      </c>
      <c r="W55"/>
      <c r="X55" s="8">
        <v>55553.932500000003</v>
      </c>
      <c r="Y55" s="7">
        <v>0.44266082000000001</v>
      </c>
      <c r="Z55"/>
      <c r="AA55" s="8">
        <v>57810.400199999996</v>
      </c>
      <c r="AB55" s="7">
        <v>0.51114411999999998</v>
      </c>
      <c r="AC55"/>
      <c r="AD55" s="8">
        <v>56712.7304</v>
      </c>
      <c r="AE55" s="7">
        <v>0.53351581000000003</v>
      </c>
      <c r="AF55"/>
      <c r="AG55" s="8">
        <v>56933.012000000002</v>
      </c>
      <c r="AH55" s="7">
        <v>0.68643612000000009</v>
      </c>
      <c r="AI55"/>
      <c r="AJ55" s="8">
        <v>44637.749900000003</v>
      </c>
      <c r="AK55" s="7">
        <v>0.73116707000000003</v>
      </c>
      <c r="AL55"/>
      <c r="AM55" s="8">
        <v>41364.538800000002</v>
      </c>
      <c r="AN55" s="7">
        <v>0.71012083999999998</v>
      </c>
    </row>
    <row r="56" spans="2:40" s="314" customFormat="1" ht="12.75" customHeight="1" x14ac:dyDescent="0.15">
      <c r="B56" s="5" t="s">
        <v>40</v>
      </c>
      <c r="C56" s="8">
        <v>165324.63</v>
      </c>
      <c r="D56" s="7">
        <v>0.16067106</v>
      </c>
      <c r="E56"/>
      <c r="F56" s="8">
        <v>1478.64</v>
      </c>
      <c r="G56" s="7">
        <v>2.6847619999999999E-2</v>
      </c>
      <c r="H56"/>
      <c r="I56" s="8">
        <v>2289.3200000000002</v>
      </c>
      <c r="J56" s="7">
        <v>4.0943029999999998E-2</v>
      </c>
      <c r="K56"/>
      <c r="L56" s="8">
        <v>14540.56</v>
      </c>
      <c r="M56" s="7">
        <v>0.25773622000000002</v>
      </c>
      <c r="N56"/>
      <c r="O56" s="8">
        <v>18520.11</v>
      </c>
      <c r="P56" s="7">
        <v>0.24655061</v>
      </c>
      <c r="Q56"/>
      <c r="R56" s="8">
        <v>20200</v>
      </c>
      <c r="S56" s="7">
        <v>0.17104148999999999</v>
      </c>
      <c r="T56"/>
      <c r="U56" s="8">
        <v>22550</v>
      </c>
      <c r="V56" s="7">
        <v>0.18605611</v>
      </c>
      <c r="W56"/>
      <c r="X56" s="8">
        <v>18923</v>
      </c>
      <c r="Y56" s="7">
        <v>0.15078088000000001</v>
      </c>
      <c r="Z56"/>
      <c r="AA56" s="8">
        <v>15350</v>
      </c>
      <c r="AB56" s="7">
        <v>0.1357206</v>
      </c>
      <c r="AC56"/>
      <c r="AD56" s="8">
        <v>19100</v>
      </c>
      <c r="AE56" s="7">
        <v>0.17968015000000001</v>
      </c>
      <c r="AF56"/>
      <c r="AG56" s="8">
        <v>13650</v>
      </c>
      <c r="AH56" s="7">
        <v>0.1645768</v>
      </c>
      <c r="AI56"/>
      <c r="AJ56" s="8">
        <v>12000</v>
      </c>
      <c r="AK56" s="7">
        <v>0.19656019999999999</v>
      </c>
      <c r="AL56"/>
      <c r="AM56" s="8">
        <v>6723</v>
      </c>
      <c r="AN56" s="7">
        <v>0.11541630999999999</v>
      </c>
    </row>
    <row r="57" spans="2:40" s="314" customFormat="1" ht="12.75" customHeight="1" x14ac:dyDescent="0.15">
      <c r="B57" s="325" t="s">
        <v>41</v>
      </c>
      <c r="C57" s="326">
        <v>95724.448999999993</v>
      </c>
      <c r="D57" s="327">
        <v>9.3029989999999993E-2</v>
      </c>
      <c r="E57"/>
      <c r="F57" s="326">
        <v>18950.66</v>
      </c>
      <c r="G57" s="327">
        <v>0.34408655999999999</v>
      </c>
      <c r="H57"/>
      <c r="I57" s="326">
        <v>-13697.24</v>
      </c>
      <c r="J57" s="327">
        <v>-0.2449664</v>
      </c>
      <c r="K57"/>
      <c r="L57" s="326">
        <v>-22130.81</v>
      </c>
      <c r="M57" s="327">
        <v>-0.39227590000000001</v>
      </c>
      <c r="N57"/>
      <c r="O57" s="326">
        <v>-3809.9</v>
      </c>
      <c r="P57" s="327">
        <v>-5.0719630000000002E-2</v>
      </c>
      <c r="Q57"/>
      <c r="R57" s="326">
        <v>19143.810799999999</v>
      </c>
      <c r="S57" s="327">
        <v>0.16209831</v>
      </c>
      <c r="T57"/>
      <c r="U57" s="326">
        <v>16463.792000000001</v>
      </c>
      <c r="V57" s="327">
        <v>0.13583987</v>
      </c>
      <c r="W57"/>
      <c r="X57" s="326">
        <v>33946.067499999997</v>
      </c>
      <c r="Y57" s="327">
        <v>0.27048659000000003</v>
      </c>
      <c r="Z57"/>
      <c r="AA57" s="326">
        <v>26714.0998</v>
      </c>
      <c r="AB57" s="327">
        <v>0.23619894</v>
      </c>
      <c r="AC57"/>
      <c r="AD57" s="326">
        <v>13564.7696</v>
      </c>
      <c r="AE57" s="327">
        <v>0.12760837</v>
      </c>
      <c r="AF57"/>
      <c r="AG57" s="326">
        <v>-2788.0120000000002</v>
      </c>
      <c r="AH57" s="327">
        <v>-3.3614810000000002E-2</v>
      </c>
      <c r="AI57"/>
      <c r="AJ57" s="326">
        <v>1789.7501</v>
      </c>
      <c r="AK57" s="327">
        <v>2.9316140000000001E-2</v>
      </c>
      <c r="AL57"/>
      <c r="AM57" s="326">
        <v>7577.4611999999997</v>
      </c>
      <c r="AN57" s="327">
        <v>0.13008517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61712.76</v>
      </c>
      <c r="D60" s="327">
        <v>5.997566E-2</v>
      </c>
      <c r="E60"/>
      <c r="F60" s="326">
        <v>722.31</v>
      </c>
      <c r="G60" s="327">
        <v>1.311496E-2</v>
      </c>
      <c r="H60"/>
      <c r="I60" s="326">
        <v>5512.54</v>
      </c>
      <c r="J60" s="327">
        <v>9.8588260000000011E-2</v>
      </c>
      <c r="K60"/>
      <c r="L60" s="326">
        <v>4577.8100000000004</v>
      </c>
      <c r="M60" s="327">
        <v>8.1143190000000004E-2</v>
      </c>
      <c r="N60"/>
      <c r="O60" s="326">
        <v>7900.1</v>
      </c>
      <c r="P60" s="327">
        <v>0.10517078000000001</v>
      </c>
      <c r="Q60"/>
      <c r="R60" s="326">
        <v>6500</v>
      </c>
      <c r="S60" s="327">
        <v>5.50381E-2</v>
      </c>
      <c r="T60"/>
      <c r="U60" s="326">
        <v>6500</v>
      </c>
      <c r="V60" s="327">
        <v>5.3630360000000002E-2</v>
      </c>
      <c r="W60"/>
      <c r="X60" s="326">
        <v>6500</v>
      </c>
      <c r="Y60" s="327">
        <v>5.1792829999999998E-2</v>
      </c>
      <c r="Z60"/>
      <c r="AA60" s="326">
        <v>6500</v>
      </c>
      <c r="AB60" s="327">
        <v>5.7471260000000003E-2</v>
      </c>
      <c r="AC60"/>
      <c r="AD60" s="326">
        <v>6500</v>
      </c>
      <c r="AE60" s="327">
        <v>6.1147699999999999E-2</v>
      </c>
      <c r="AF60"/>
      <c r="AG60" s="326">
        <v>4500</v>
      </c>
      <c r="AH60" s="327">
        <v>5.425609E-2</v>
      </c>
      <c r="AI60"/>
      <c r="AJ60" s="326">
        <v>3000</v>
      </c>
      <c r="AK60" s="327">
        <v>4.9140049999999998E-2</v>
      </c>
      <c r="AL60"/>
      <c r="AM60" s="326">
        <v>3000</v>
      </c>
      <c r="AN60" s="327">
        <v>5.1502149999999997E-2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1726573.9545</v>
      </c>
      <c r="D63" s="327">
        <v>0.30863796999999998</v>
      </c>
      <c r="E63"/>
      <c r="F63" s="326">
        <v>-3122.35</v>
      </c>
      <c r="G63" s="327">
        <v>-1.128378E-2</v>
      </c>
      <c r="H63"/>
      <c r="I63" s="326">
        <v>13252.13</v>
      </c>
      <c r="J63" s="327">
        <v>4.2519280000000013E-2</v>
      </c>
      <c r="K63"/>
      <c r="L63" s="326">
        <v>182367.95</v>
      </c>
      <c r="M63" s="327">
        <v>0.37733332000000003</v>
      </c>
      <c r="N63"/>
      <c r="O63" s="326">
        <v>-4862.5200000000004</v>
      </c>
      <c r="P63" s="327">
        <v>-1.6612990000000001E-2</v>
      </c>
      <c r="Q63"/>
      <c r="R63" s="326">
        <v>197401.96400000001</v>
      </c>
      <c r="S63" s="327">
        <v>0.35491908999999999</v>
      </c>
      <c r="T63"/>
      <c r="U63" s="326">
        <v>206762.7843</v>
      </c>
      <c r="V63" s="327">
        <v>0.36229601</v>
      </c>
      <c r="W63"/>
      <c r="X63" s="326">
        <v>179454.14869999999</v>
      </c>
      <c r="Y63" s="327">
        <v>0.34957066999999997</v>
      </c>
      <c r="Z63"/>
      <c r="AA63" s="326">
        <v>271727.45419999998</v>
      </c>
      <c r="AB63" s="327">
        <v>0.42791878999999999</v>
      </c>
      <c r="AC63"/>
      <c r="AD63" s="326">
        <v>368987.45280000003</v>
      </c>
      <c r="AE63" s="327">
        <v>0.48569855000000001</v>
      </c>
      <c r="AF63"/>
      <c r="AG63" s="326">
        <v>146335.4491</v>
      </c>
      <c r="AH63" s="327">
        <v>0.30681853999999997</v>
      </c>
      <c r="AI63"/>
      <c r="AJ63" s="326">
        <v>121417.28690000001</v>
      </c>
      <c r="AK63" s="327">
        <v>0.29456649000000001</v>
      </c>
      <c r="AL63"/>
      <c r="AM63" s="326">
        <v>46852.2045</v>
      </c>
      <c r="AN63" s="327">
        <v>0.15326008999999999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228759.87359999999</v>
      </c>
      <c r="D66" s="7">
        <v>4.0892530000000003E-2</v>
      </c>
      <c r="E66"/>
      <c r="F66" s="8">
        <v>19607.669999999998</v>
      </c>
      <c r="G66" s="7">
        <v>7.085967E-2</v>
      </c>
      <c r="H66"/>
      <c r="I66" s="8">
        <v>19314.5</v>
      </c>
      <c r="J66" s="7">
        <v>6.1970310000000001E-2</v>
      </c>
      <c r="K66"/>
      <c r="L66" s="8">
        <v>20558.400000000001</v>
      </c>
      <c r="M66" s="7">
        <v>4.2536909999999997E-2</v>
      </c>
      <c r="N66"/>
      <c r="O66" s="8">
        <v>21442.17</v>
      </c>
      <c r="P66" s="7">
        <v>7.3258009999999998E-2</v>
      </c>
      <c r="Q66"/>
      <c r="R66" s="8">
        <v>17485.969000000001</v>
      </c>
      <c r="S66" s="7">
        <v>3.1438920000000002E-2</v>
      </c>
      <c r="T66"/>
      <c r="U66" s="8">
        <v>20540.249800000001</v>
      </c>
      <c r="V66" s="7">
        <v>3.5991250000000002E-2</v>
      </c>
      <c r="W66"/>
      <c r="X66" s="8">
        <v>15760.835300000001</v>
      </c>
      <c r="Y66" s="7">
        <v>3.0701579999999999E-2</v>
      </c>
      <c r="Z66"/>
      <c r="AA66" s="8">
        <v>20527.087599999999</v>
      </c>
      <c r="AB66" s="7">
        <v>3.2326239999999999E-2</v>
      </c>
      <c r="AC66"/>
      <c r="AD66" s="8">
        <v>20374.010399999999</v>
      </c>
      <c r="AE66" s="7">
        <v>2.6818330000000001E-2</v>
      </c>
      <c r="AF66"/>
      <c r="AG66" s="8">
        <v>19910.479599999999</v>
      </c>
      <c r="AH66" s="7">
        <v>4.1745890000000001E-2</v>
      </c>
      <c r="AI66"/>
      <c r="AJ66" s="8">
        <v>16212.637000000001</v>
      </c>
      <c r="AK66" s="7">
        <v>3.9332950000000012E-2</v>
      </c>
      <c r="AL66"/>
      <c r="AM66" s="8">
        <v>17025.8649</v>
      </c>
      <c r="AN66" s="7">
        <v>5.5693979999999997E-2</v>
      </c>
    </row>
    <row r="67" spans="2:40" s="314" customFormat="1" ht="12.75" customHeight="1" x14ac:dyDescent="0.15">
      <c r="B67" s="5" t="s">
        <v>40</v>
      </c>
      <c r="C67" s="8">
        <v>132057.378</v>
      </c>
      <c r="D67" s="7">
        <v>2.3606240000000001E-2</v>
      </c>
      <c r="E67"/>
      <c r="F67" s="8">
        <v>19492.310000000001</v>
      </c>
      <c r="G67" s="7">
        <v>7.0442770000000002E-2</v>
      </c>
      <c r="H67"/>
      <c r="I67" s="8">
        <v>12653.96</v>
      </c>
      <c r="J67" s="7">
        <v>4.0600059999999993E-2</v>
      </c>
      <c r="K67"/>
      <c r="L67" s="8">
        <v>10303.81</v>
      </c>
      <c r="M67" s="7">
        <v>2.1319379999999999E-2</v>
      </c>
      <c r="N67"/>
      <c r="O67" s="8">
        <v>6577.46</v>
      </c>
      <c r="P67" s="7">
        <v>2.247215E-2</v>
      </c>
      <c r="Q67"/>
      <c r="R67" s="8">
        <v>10557.591899999999</v>
      </c>
      <c r="S67" s="7">
        <v>1.898203E-2</v>
      </c>
      <c r="T67"/>
      <c r="U67" s="8">
        <v>13235.3784</v>
      </c>
      <c r="V67" s="7">
        <v>2.3191429999999999E-2</v>
      </c>
      <c r="W67"/>
      <c r="X67" s="8">
        <v>10816.6666</v>
      </c>
      <c r="Y67" s="7">
        <v>2.1070499999999999E-2</v>
      </c>
      <c r="Z67"/>
      <c r="AA67" s="8">
        <v>10517.9661</v>
      </c>
      <c r="AB67" s="7">
        <v>1.6563789999999998E-2</v>
      </c>
      <c r="AC67"/>
      <c r="AD67" s="8">
        <v>13178.629000000001</v>
      </c>
      <c r="AE67" s="7">
        <v>1.7347040000000001E-2</v>
      </c>
      <c r="AF67"/>
      <c r="AG67" s="8">
        <v>8808.7803000000004</v>
      </c>
      <c r="AH67" s="7">
        <v>1.846919E-2</v>
      </c>
      <c r="AI67"/>
      <c r="AJ67" s="8">
        <v>9970.4082999999991</v>
      </c>
      <c r="AK67" s="7">
        <v>2.4188879999999999E-2</v>
      </c>
      <c r="AL67"/>
      <c r="AM67" s="8">
        <v>5944.4174000000003</v>
      </c>
      <c r="AN67" s="7">
        <v>1.944502E-2</v>
      </c>
    </row>
    <row r="68" spans="2:40" s="314" customFormat="1" ht="12.75" customHeight="1" x14ac:dyDescent="0.15">
      <c r="B68" s="325" t="s">
        <v>41</v>
      </c>
      <c r="C68" s="326">
        <v>-360817.25160000002</v>
      </c>
      <c r="D68" s="327">
        <v>-6.4498769999999997E-2</v>
      </c>
      <c r="E68"/>
      <c r="F68" s="326">
        <v>-39099.980000000003</v>
      </c>
      <c r="G68" s="327">
        <v>-0.14130244</v>
      </c>
      <c r="H68"/>
      <c r="I68" s="326">
        <v>-31968.46</v>
      </c>
      <c r="J68" s="327">
        <v>-0.10257036999999999</v>
      </c>
      <c r="K68"/>
      <c r="L68" s="326">
        <v>-30862.21</v>
      </c>
      <c r="M68" s="327">
        <v>-6.3856289999999996E-2</v>
      </c>
      <c r="N68"/>
      <c r="O68" s="326">
        <v>-28019.63</v>
      </c>
      <c r="P68" s="327">
        <v>-9.573015E-2</v>
      </c>
      <c r="Q68"/>
      <c r="R68" s="326">
        <v>-28043.5609</v>
      </c>
      <c r="S68" s="327">
        <v>-5.0420949999999999E-2</v>
      </c>
      <c r="T68"/>
      <c r="U68" s="326">
        <v>-33775.628199999999</v>
      </c>
      <c r="V68" s="327">
        <v>-5.9182680000000001E-2</v>
      </c>
      <c r="W68"/>
      <c r="X68" s="326">
        <v>-26577.501899999999</v>
      </c>
      <c r="Y68" s="327">
        <v>-5.1772080000000012E-2</v>
      </c>
      <c r="Z68"/>
      <c r="AA68" s="326">
        <v>-31045.0537</v>
      </c>
      <c r="AB68" s="327">
        <v>-4.8890019999999999E-2</v>
      </c>
      <c r="AC68"/>
      <c r="AD68" s="326">
        <v>-33552.6394</v>
      </c>
      <c r="AE68" s="327">
        <v>-4.4165370000000002E-2</v>
      </c>
      <c r="AF68"/>
      <c r="AG68" s="326">
        <v>-28719.259900000001</v>
      </c>
      <c r="AH68" s="327">
        <v>-6.0215079999999997E-2</v>
      </c>
      <c r="AI68"/>
      <c r="AJ68" s="326">
        <v>-26183.045300000002</v>
      </c>
      <c r="AK68" s="327">
        <v>-6.3521830000000001E-2</v>
      </c>
      <c r="AL68"/>
      <c r="AM68" s="326">
        <v>-22970.282299999999</v>
      </c>
      <c r="AN68" s="327">
        <v>-7.5138990000000003E-2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7881.55</v>
      </c>
      <c r="D71" s="7">
        <v>1.4088900000000001E-3</v>
      </c>
      <c r="E71"/>
      <c r="F71" s="8">
        <v>0</v>
      </c>
      <c r="G71" s="7">
        <v>0</v>
      </c>
      <c r="H71"/>
      <c r="I71" s="8">
        <v>1533.47</v>
      </c>
      <c r="J71" s="7">
        <v>4.92012E-3</v>
      </c>
      <c r="K71"/>
      <c r="L71" s="8">
        <v>799</v>
      </c>
      <c r="M71" s="7">
        <v>1.6531899999999999E-3</v>
      </c>
      <c r="N71"/>
      <c r="O71" s="8">
        <v>789.08</v>
      </c>
      <c r="P71" s="7">
        <v>2.6959200000000001E-3</v>
      </c>
      <c r="Q71"/>
      <c r="R71" s="8">
        <v>595</v>
      </c>
      <c r="S71" s="7">
        <v>1.06978E-3</v>
      </c>
      <c r="T71"/>
      <c r="U71" s="8">
        <v>595</v>
      </c>
      <c r="V71" s="7">
        <v>1.04258E-3</v>
      </c>
      <c r="W71"/>
      <c r="X71" s="8">
        <v>595</v>
      </c>
      <c r="Y71" s="7">
        <v>1.1590400000000001E-3</v>
      </c>
      <c r="Z71"/>
      <c r="AA71" s="8">
        <v>595</v>
      </c>
      <c r="AB71" s="7">
        <v>9.3701000000000006E-4</v>
      </c>
      <c r="AC71"/>
      <c r="AD71" s="8">
        <v>595</v>
      </c>
      <c r="AE71" s="7">
        <v>7.8319999999999996E-4</v>
      </c>
      <c r="AF71"/>
      <c r="AG71" s="8">
        <v>595</v>
      </c>
      <c r="AH71" s="7">
        <v>1.24752E-3</v>
      </c>
      <c r="AI71"/>
      <c r="AJ71" s="8">
        <v>595</v>
      </c>
      <c r="AK71" s="7">
        <v>1.4435100000000001E-3</v>
      </c>
      <c r="AL71"/>
      <c r="AM71" s="8">
        <v>595</v>
      </c>
      <c r="AN71" s="7">
        <v>1.94633E-3</v>
      </c>
    </row>
    <row r="72" spans="2:40" s="314" customFormat="1" ht="12.75" customHeight="1" x14ac:dyDescent="0.15">
      <c r="B72" s="5" t="s">
        <v>56</v>
      </c>
      <c r="C72" s="8">
        <v>98493.2</v>
      </c>
      <c r="D72" s="7">
        <v>1.760639E-2</v>
      </c>
      <c r="E72"/>
      <c r="F72" s="8">
        <v>11386.96</v>
      </c>
      <c r="G72" s="7">
        <v>4.1151049999999988E-2</v>
      </c>
      <c r="H72"/>
      <c r="I72" s="8">
        <v>6369.11</v>
      </c>
      <c r="J72" s="7">
        <v>2.0435200000000001E-2</v>
      </c>
      <c r="K72"/>
      <c r="L72" s="8">
        <v>4330.84</v>
      </c>
      <c r="M72" s="7">
        <v>8.9608399999999994E-3</v>
      </c>
      <c r="N72"/>
      <c r="O72" s="8">
        <v>4209.17</v>
      </c>
      <c r="P72" s="7">
        <v>1.4380789999999999E-2</v>
      </c>
      <c r="Q72"/>
      <c r="R72" s="8">
        <v>7895.39</v>
      </c>
      <c r="S72" s="7">
        <v>1.419553E-2</v>
      </c>
      <c r="T72"/>
      <c r="U72" s="8">
        <v>7895.39</v>
      </c>
      <c r="V72" s="7">
        <v>1.3834539999999999E-2</v>
      </c>
      <c r="W72"/>
      <c r="X72" s="8">
        <v>13264.39</v>
      </c>
      <c r="Y72" s="7">
        <v>2.5838590000000002E-2</v>
      </c>
      <c r="Z72"/>
      <c r="AA72" s="8">
        <v>7895.39</v>
      </c>
      <c r="AB72" s="7">
        <v>1.243373E-2</v>
      </c>
      <c r="AC72"/>
      <c r="AD72" s="8">
        <v>7895.39</v>
      </c>
      <c r="AE72" s="7">
        <v>1.0392709999999999E-2</v>
      </c>
      <c r="AF72"/>
      <c r="AG72" s="8">
        <v>12010.39</v>
      </c>
      <c r="AH72" s="7">
        <v>2.518194E-2</v>
      </c>
      <c r="AI72"/>
      <c r="AJ72" s="8">
        <v>7645.39</v>
      </c>
      <c r="AK72" s="7">
        <v>1.8548229999999999E-2</v>
      </c>
      <c r="AL72"/>
      <c r="AM72" s="8">
        <v>7695.39</v>
      </c>
      <c r="AN72" s="7">
        <v>2.5172690000000001E-2</v>
      </c>
    </row>
    <row r="73" spans="2:40" s="314" customFormat="1" ht="12.75" customHeight="1" x14ac:dyDescent="0.15">
      <c r="B73" s="5" t="s">
        <v>40</v>
      </c>
      <c r="C73" s="8">
        <v>8456.5</v>
      </c>
      <c r="D73" s="7">
        <v>1.51166E-3</v>
      </c>
      <c r="E73"/>
      <c r="F73" s="8">
        <v>811.5</v>
      </c>
      <c r="G73" s="7">
        <v>2.9326600000000001E-3</v>
      </c>
      <c r="H73"/>
      <c r="I73" s="8">
        <v>811.5</v>
      </c>
      <c r="J73" s="7">
        <v>2.6036900000000001E-3</v>
      </c>
      <c r="K73"/>
      <c r="L73" s="8">
        <v>811.5</v>
      </c>
      <c r="M73" s="7">
        <v>1.67906E-3</v>
      </c>
      <c r="N73"/>
      <c r="O73" s="8">
        <v>0</v>
      </c>
      <c r="P73" s="7">
        <v>0</v>
      </c>
      <c r="Q73"/>
      <c r="R73" s="8">
        <v>679</v>
      </c>
      <c r="S73" s="7">
        <v>1.2208099999999999E-3</v>
      </c>
      <c r="T73"/>
      <c r="U73" s="8">
        <v>679</v>
      </c>
      <c r="V73" s="7">
        <v>1.18976E-3</v>
      </c>
      <c r="W73"/>
      <c r="X73" s="8">
        <v>974</v>
      </c>
      <c r="Y73" s="7">
        <v>1.8973200000000001E-3</v>
      </c>
      <c r="Z73"/>
      <c r="AA73" s="8">
        <v>679</v>
      </c>
      <c r="AB73" s="7">
        <v>1.0693E-3</v>
      </c>
      <c r="AC73"/>
      <c r="AD73" s="8">
        <v>679</v>
      </c>
      <c r="AE73" s="7">
        <v>8.9377E-4</v>
      </c>
      <c r="AF73"/>
      <c r="AG73" s="8">
        <v>974</v>
      </c>
      <c r="AH73" s="7">
        <v>2.0421699999999998E-3</v>
      </c>
      <c r="AI73"/>
      <c r="AJ73" s="8">
        <v>679</v>
      </c>
      <c r="AK73" s="7">
        <v>1.6473E-3</v>
      </c>
      <c r="AL73"/>
      <c r="AM73" s="8">
        <v>679</v>
      </c>
      <c r="AN73" s="7">
        <v>2.2211000000000002E-3</v>
      </c>
    </row>
    <row r="74" spans="2:40" s="314" customFormat="1" ht="12.75" customHeight="1" x14ac:dyDescent="0.15">
      <c r="B74" s="325" t="s">
        <v>41</v>
      </c>
      <c r="C74" s="326">
        <v>-114831.25</v>
      </c>
      <c r="D74" s="327">
        <v>-2.052694E-2</v>
      </c>
      <c r="E74"/>
      <c r="F74" s="326">
        <v>-12198.46</v>
      </c>
      <c r="G74" s="327">
        <v>-4.4083709999999998E-2</v>
      </c>
      <c r="H74"/>
      <c r="I74" s="326">
        <v>-8714.08</v>
      </c>
      <c r="J74" s="327">
        <v>-2.7959009999999999E-2</v>
      </c>
      <c r="K74"/>
      <c r="L74" s="326">
        <v>-5941.34</v>
      </c>
      <c r="M74" s="327">
        <v>-1.229309E-2</v>
      </c>
      <c r="N74"/>
      <c r="O74" s="326">
        <v>-4998.25</v>
      </c>
      <c r="P74" s="327">
        <v>-1.707672E-2</v>
      </c>
      <c r="Q74"/>
      <c r="R74" s="326">
        <v>-9169.39</v>
      </c>
      <c r="S74" s="327">
        <v>-1.648612E-2</v>
      </c>
      <c r="T74"/>
      <c r="U74" s="326">
        <v>-9169.39</v>
      </c>
      <c r="V74" s="327">
        <v>-1.6066879999999999E-2</v>
      </c>
      <c r="W74"/>
      <c r="X74" s="326">
        <v>-14833.39</v>
      </c>
      <c r="Y74" s="327">
        <v>-2.8894949999999999E-2</v>
      </c>
      <c r="Z74"/>
      <c r="AA74" s="326">
        <v>-9169.39</v>
      </c>
      <c r="AB74" s="327">
        <v>-1.4440039999999999E-2</v>
      </c>
      <c r="AC74"/>
      <c r="AD74" s="326">
        <v>-9169.39</v>
      </c>
      <c r="AE74" s="327">
        <v>-1.2069679999999999E-2</v>
      </c>
      <c r="AF74"/>
      <c r="AG74" s="326">
        <v>-13579.39</v>
      </c>
      <c r="AH74" s="327">
        <v>-2.8471630000000001E-2</v>
      </c>
      <c r="AI74"/>
      <c r="AJ74" s="326">
        <v>-8919.39</v>
      </c>
      <c r="AK74" s="327">
        <v>-2.1639039999999998E-2</v>
      </c>
      <c r="AL74"/>
      <c r="AM74" s="326">
        <v>-8969.39</v>
      </c>
      <c r="AN74" s="327">
        <v>-2.9340120000000001E-2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89402.134600000005</v>
      </c>
      <c r="D77" s="7">
        <v>1.59813E-2</v>
      </c>
      <c r="E77"/>
      <c r="F77" s="8">
        <v>2557.7600000000002</v>
      </c>
      <c r="G77" s="7">
        <v>9.2434200000000005E-3</v>
      </c>
      <c r="H77"/>
      <c r="I77" s="8">
        <v>6267.84</v>
      </c>
      <c r="J77" s="7">
        <v>2.0110280000000001E-2</v>
      </c>
      <c r="K77"/>
      <c r="L77" s="8">
        <v>4831.6099999999997</v>
      </c>
      <c r="M77" s="7">
        <v>9.9969699999999991E-3</v>
      </c>
      <c r="N77"/>
      <c r="O77" s="8">
        <v>2925.88</v>
      </c>
      <c r="P77" s="7">
        <v>9.9963800000000009E-3</v>
      </c>
      <c r="Q77"/>
      <c r="R77" s="8">
        <v>9404.2723999999998</v>
      </c>
      <c r="S77" s="7">
        <v>1.690842E-2</v>
      </c>
      <c r="T77"/>
      <c r="U77" s="8">
        <v>9500.3970000000008</v>
      </c>
      <c r="V77" s="7">
        <v>1.6646879999999999E-2</v>
      </c>
      <c r="W77"/>
      <c r="X77" s="8">
        <v>8943.1722000000009</v>
      </c>
      <c r="Y77" s="7">
        <v>1.7420999999999999E-2</v>
      </c>
      <c r="Z77"/>
      <c r="AA77" s="8">
        <v>9290.9573999999993</v>
      </c>
      <c r="AB77" s="7">
        <v>1.4631480000000001E-2</v>
      </c>
      <c r="AC77"/>
      <c r="AD77" s="8">
        <v>10413.2012</v>
      </c>
      <c r="AE77" s="7">
        <v>1.3706909999999999E-2</v>
      </c>
      <c r="AF77"/>
      <c r="AG77" s="8">
        <v>8929.7934999999998</v>
      </c>
      <c r="AH77" s="7">
        <v>1.8722909999999999E-2</v>
      </c>
      <c r="AI77"/>
      <c r="AJ77" s="8">
        <v>8541.2643000000007</v>
      </c>
      <c r="AK77" s="7">
        <v>2.0721679999999999E-2</v>
      </c>
      <c r="AL77"/>
      <c r="AM77" s="8">
        <v>7795.9866000000002</v>
      </c>
      <c r="AN77" s="7">
        <v>2.5501759999999998E-2</v>
      </c>
    </row>
    <row r="78" spans="2:40" s="314" customFormat="1" ht="12.75" customHeight="1" x14ac:dyDescent="0.15">
      <c r="B78" s="5" t="s">
        <v>40</v>
      </c>
      <c r="C78" s="8">
        <v>186207.91250000001</v>
      </c>
      <c r="D78" s="7">
        <v>3.3286049999999998E-2</v>
      </c>
      <c r="E78"/>
      <c r="F78" s="8">
        <v>6845.27</v>
      </c>
      <c r="G78" s="7">
        <v>2.4737950000000002E-2</v>
      </c>
      <c r="H78"/>
      <c r="I78" s="8">
        <v>11633.71</v>
      </c>
      <c r="J78" s="7">
        <v>3.7326600000000001E-2</v>
      </c>
      <c r="K78"/>
      <c r="L78" s="8">
        <v>5409.94</v>
      </c>
      <c r="M78" s="7">
        <v>1.119358E-2</v>
      </c>
      <c r="N78"/>
      <c r="O78" s="8">
        <v>9649.59</v>
      </c>
      <c r="P78" s="7">
        <v>3.2968200000000003E-2</v>
      </c>
      <c r="Q78"/>
      <c r="R78" s="8">
        <v>17906.6554</v>
      </c>
      <c r="S78" s="7">
        <v>3.2195290000000001E-2</v>
      </c>
      <c r="T78"/>
      <c r="U78" s="8">
        <v>20174.093400000002</v>
      </c>
      <c r="V78" s="7">
        <v>3.5349659999999998E-2</v>
      </c>
      <c r="W78"/>
      <c r="X78" s="8">
        <v>20356.5825</v>
      </c>
      <c r="Y78" s="7">
        <v>3.9653939999999999E-2</v>
      </c>
      <c r="Z78"/>
      <c r="AA78" s="8">
        <v>19035.3871</v>
      </c>
      <c r="AB78" s="7">
        <v>2.99771E-2</v>
      </c>
      <c r="AC78"/>
      <c r="AD78" s="8">
        <v>24612.226600000002</v>
      </c>
      <c r="AE78" s="7">
        <v>3.2397099999999998E-2</v>
      </c>
      <c r="AF78"/>
      <c r="AG78" s="8">
        <v>17500.301200000002</v>
      </c>
      <c r="AH78" s="7">
        <v>3.6692519999999999E-2</v>
      </c>
      <c r="AI78"/>
      <c r="AJ78" s="8">
        <v>17633.447499999998</v>
      </c>
      <c r="AK78" s="7">
        <v>4.2779930000000001E-2</v>
      </c>
      <c r="AL78"/>
      <c r="AM78" s="8">
        <v>15450.7088</v>
      </c>
      <c r="AN78" s="7">
        <v>5.0541419999999997E-2</v>
      </c>
    </row>
    <row r="79" spans="2:40" s="314" customFormat="1" ht="12.75" customHeight="1" x14ac:dyDescent="0.15">
      <c r="B79" s="325" t="s">
        <v>41</v>
      </c>
      <c r="C79" s="326">
        <v>-275610.04719999997</v>
      </c>
      <c r="D79" s="327">
        <v>-4.9267350000000001E-2</v>
      </c>
      <c r="E79"/>
      <c r="F79" s="326">
        <v>-9403.0300000000007</v>
      </c>
      <c r="G79" s="327">
        <v>-3.3981369999999997E-2</v>
      </c>
      <c r="H79"/>
      <c r="I79" s="326">
        <v>-17901.55</v>
      </c>
      <c r="J79" s="327">
        <v>-5.7436880000000003E-2</v>
      </c>
      <c r="K79"/>
      <c r="L79" s="326">
        <v>-10241.549999999999</v>
      </c>
      <c r="M79" s="327">
        <v>-2.1190549999999999E-2</v>
      </c>
      <c r="N79"/>
      <c r="O79" s="326">
        <v>-12575.47</v>
      </c>
      <c r="P79" s="327">
        <v>-4.2964580000000002E-2</v>
      </c>
      <c r="Q79"/>
      <c r="R79" s="326">
        <v>-27310.927800000001</v>
      </c>
      <c r="S79" s="327">
        <v>-4.9103709999999988E-2</v>
      </c>
      <c r="T79"/>
      <c r="U79" s="326">
        <v>-29674.4905</v>
      </c>
      <c r="V79" s="327">
        <v>-5.1996540000000001E-2</v>
      </c>
      <c r="W79"/>
      <c r="X79" s="326">
        <v>-29299.7546</v>
      </c>
      <c r="Y79" s="327">
        <v>-5.7074939999999998E-2</v>
      </c>
      <c r="Z79"/>
      <c r="AA79" s="326">
        <v>-28326.344499999999</v>
      </c>
      <c r="AB79" s="327">
        <v>-4.4608580000000002E-2</v>
      </c>
      <c r="AC79"/>
      <c r="AD79" s="326">
        <v>-35025.427900000002</v>
      </c>
      <c r="AE79" s="327">
        <v>-4.6104010000000001E-2</v>
      </c>
      <c r="AF79"/>
      <c r="AG79" s="326">
        <v>-26430.094700000001</v>
      </c>
      <c r="AH79" s="327">
        <v>-5.5415440000000003E-2</v>
      </c>
      <c r="AI79"/>
      <c r="AJ79" s="326">
        <v>-26174.711800000001</v>
      </c>
      <c r="AK79" s="327">
        <v>-6.350161E-2</v>
      </c>
      <c r="AL79"/>
      <c r="AM79" s="326">
        <v>-23246.695400000001</v>
      </c>
      <c r="AN79" s="327">
        <v>-7.6043180000000002E-2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105944.148</v>
      </c>
      <c r="D82" s="7">
        <v>1.893831E-2</v>
      </c>
      <c r="E82"/>
      <c r="F82" s="8">
        <v>8673.6200000000008</v>
      </c>
      <c r="G82" s="7">
        <v>3.1345379999999999E-2</v>
      </c>
      <c r="H82"/>
      <c r="I82" s="8">
        <v>6143.91</v>
      </c>
      <c r="J82" s="7">
        <v>1.9712650000000002E-2</v>
      </c>
      <c r="K82"/>
      <c r="L82" s="8">
        <v>9180.23</v>
      </c>
      <c r="M82" s="7">
        <v>1.89946E-2</v>
      </c>
      <c r="N82"/>
      <c r="O82" s="8">
        <v>7351.03</v>
      </c>
      <c r="P82" s="7">
        <v>2.5115080000000001E-2</v>
      </c>
      <c r="Q82"/>
      <c r="R82" s="8">
        <v>9353.7101999999995</v>
      </c>
      <c r="S82" s="7">
        <v>1.6817510000000001E-2</v>
      </c>
      <c r="T82"/>
      <c r="U82" s="8">
        <v>7683.183</v>
      </c>
      <c r="V82" s="7">
        <v>1.3462709999999999E-2</v>
      </c>
      <c r="W82"/>
      <c r="X82" s="8">
        <v>7885.7233999999999</v>
      </c>
      <c r="Y82" s="7">
        <v>1.5361130000000001E-2</v>
      </c>
      <c r="Z82"/>
      <c r="AA82" s="8">
        <v>8410.5953000000009</v>
      </c>
      <c r="AB82" s="7">
        <v>1.3245079999999999E-2</v>
      </c>
      <c r="AC82"/>
      <c r="AD82" s="8">
        <v>8412.0282999999999</v>
      </c>
      <c r="AE82" s="7">
        <v>1.1072759999999999E-2</v>
      </c>
      <c r="AF82"/>
      <c r="AG82" s="8">
        <v>8749.0773000000008</v>
      </c>
      <c r="AH82" s="7">
        <v>1.8344010000000001E-2</v>
      </c>
      <c r="AI82"/>
      <c r="AJ82" s="8">
        <v>11118.5833</v>
      </c>
      <c r="AK82" s="7">
        <v>2.6974430000000001E-2</v>
      </c>
      <c r="AL82"/>
      <c r="AM82" s="8">
        <v>12982.457200000001</v>
      </c>
      <c r="AN82" s="7">
        <v>4.246743E-2</v>
      </c>
    </row>
    <row r="83" spans="2:40" s="314" customFormat="1" ht="12.75" customHeight="1" x14ac:dyDescent="0.15">
      <c r="B83" s="5" t="s">
        <v>40</v>
      </c>
      <c r="C83" s="8">
        <v>397916.81</v>
      </c>
      <c r="D83" s="7">
        <v>7.1130600000000002E-2</v>
      </c>
      <c r="E83"/>
      <c r="F83" s="8">
        <v>33752.32</v>
      </c>
      <c r="G83" s="7">
        <v>0.12197666</v>
      </c>
      <c r="H83"/>
      <c r="I83" s="8">
        <v>27490.47</v>
      </c>
      <c r="J83" s="7">
        <v>8.8202799999999998E-2</v>
      </c>
      <c r="K83"/>
      <c r="L83" s="8">
        <v>35331.589999999997</v>
      </c>
      <c r="M83" s="7">
        <v>7.3103780000000007E-2</v>
      </c>
      <c r="N83"/>
      <c r="O83" s="8">
        <v>40394.43</v>
      </c>
      <c r="P83" s="7">
        <v>0.13800914</v>
      </c>
      <c r="Q83"/>
      <c r="R83" s="8">
        <v>32446</v>
      </c>
      <c r="S83" s="7">
        <v>5.8336319999999997E-2</v>
      </c>
      <c r="T83"/>
      <c r="U83" s="8">
        <v>46316</v>
      </c>
      <c r="V83" s="7">
        <v>8.1156300000000001E-2</v>
      </c>
      <c r="W83"/>
      <c r="X83" s="8">
        <v>38216</v>
      </c>
      <c r="Y83" s="7">
        <v>7.4443490000000001E-2</v>
      </c>
      <c r="Z83"/>
      <c r="AA83" s="8">
        <v>21866</v>
      </c>
      <c r="AB83" s="7">
        <v>3.4434770000000003E-2</v>
      </c>
      <c r="AC83"/>
      <c r="AD83" s="8">
        <v>48956</v>
      </c>
      <c r="AE83" s="7">
        <v>6.4440830000000004E-2</v>
      </c>
      <c r="AF83"/>
      <c r="AG83" s="8">
        <v>36866</v>
      </c>
      <c r="AH83" s="7">
        <v>7.7296190000000001E-2</v>
      </c>
      <c r="AI83"/>
      <c r="AJ83" s="8">
        <v>24266</v>
      </c>
      <c r="AK83" s="7">
        <v>5.8870939999999997E-2</v>
      </c>
      <c r="AL83"/>
      <c r="AM83" s="8">
        <v>12016</v>
      </c>
      <c r="AN83" s="7">
        <v>3.9306010000000002E-2</v>
      </c>
    </row>
    <row r="84" spans="2:40" s="314" customFormat="1" ht="12.75" customHeight="1" x14ac:dyDescent="0.15">
      <c r="B84" s="325" t="s">
        <v>41</v>
      </c>
      <c r="C84" s="326">
        <v>-503860.95799999998</v>
      </c>
      <c r="D84" s="327">
        <v>-9.0068900000000007E-2</v>
      </c>
      <c r="E84"/>
      <c r="F84" s="326">
        <v>-42425.94</v>
      </c>
      <c r="G84" s="327">
        <v>-0.15332203999999999</v>
      </c>
      <c r="H84"/>
      <c r="I84" s="326">
        <v>-33634.379999999997</v>
      </c>
      <c r="J84" s="327">
        <v>-0.10791545</v>
      </c>
      <c r="K84"/>
      <c r="L84" s="326">
        <v>-44511.82</v>
      </c>
      <c r="M84" s="327">
        <v>-9.2098379999999994E-2</v>
      </c>
      <c r="N84"/>
      <c r="O84" s="326">
        <v>-47745.46</v>
      </c>
      <c r="P84" s="327">
        <v>-0.16312421999999999</v>
      </c>
      <c r="Q84"/>
      <c r="R84" s="326">
        <v>-41799.710200000001</v>
      </c>
      <c r="S84" s="327">
        <v>-7.515384E-2</v>
      </c>
      <c r="T84"/>
      <c r="U84" s="326">
        <v>-53999.182999999997</v>
      </c>
      <c r="V84" s="327">
        <v>-9.4618999999999995E-2</v>
      </c>
      <c r="W84"/>
      <c r="X84" s="326">
        <v>-46101.723400000003</v>
      </c>
      <c r="Y84" s="327">
        <v>-8.9804610000000007E-2</v>
      </c>
      <c r="Z84"/>
      <c r="AA84" s="326">
        <v>-30276.595300000001</v>
      </c>
      <c r="AB84" s="327">
        <v>-4.7679850000000003E-2</v>
      </c>
      <c r="AC84"/>
      <c r="AD84" s="326">
        <v>-57368.028299999998</v>
      </c>
      <c r="AE84" s="327">
        <v>-7.5513589999999992E-2</v>
      </c>
      <c r="AF84"/>
      <c r="AG84" s="326">
        <v>-45615.077299999997</v>
      </c>
      <c r="AH84" s="327">
        <v>-9.5640199999999995E-2</v>
      </c>
      <c r="AI84"/>
      <c r="AJ84" s="326">
        <v>-35384.583299999998</v>
      </c>
      <c r="AK84" s="327">
        <v>-8.584536999999999E-2</v>
      </c>
      <c r="AL84"/>
      <c r="AM84" s="326">
        <v>-24998.457200000001</v>
      </c>
      <c r="AN84" s="327">
        <v>-8.1773440000000003E-2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-351446.2402</v>
      </c>
      <c r="D87" s="327">
        <v>-6.282364E-2</v>
      </c>
      <c r="E87"/>
      <c r="F87" s="326">
        <v>-52605.08</v>
      </c>
      <c r="G87" s="327">
        <v>-0.19010817999999999</v>
      </c>
      <c r="H87"/>
      <c r="I87" s="326">
        <v>-14196.79</v>
      </c>
      <c r="J87" s="327">
        <v>-4.5550210000000001E-2</v>
      </c>
      <c r="K87"/>
      <c r="L87" s="326">
        <v>-35146.400000000001</v>
      </c>
      <c r="M87" s="327">
        <v>-7.2720610000000005E-2</v>
      </c>
      <c r="N87"/>
      <c r="O87" s="326">
        <v>-29204</v>
      </c>
      <c r="P87" s="327">
        <v>-9.9776600000000007E-2</v>
      </c>
      <c r="Q87"/>
      <c r="R87" s="326">
        <v>-31278.643499999998</v>
      </c>
      <c r="S87" s="327">
        <v>-5.6237469999999998E-2</v>
      </c>
      <c r="T87"/>
      <c r="U87" s="326">
        <v>-31353.3122</v>
      </c>
      <c r="V87" s="327">
        <v>-5.4938220000000003E-2</v>
      </c>
      <c r="W87"/>
      <c r="X87" s="326">
        <v>-25355.134900000001</v>
      </c>
      <c r="Y87" s="327">
        <v>-4.9390950000000003E-2</v>
      </c>
      <c r="Z87"/>
      <c r="AA87" s="326">
        <v>-26597.2222</v>
      </c>
      <c r="AB87" s="327">
        <v>-4.1885539999999999E-2</v>
      </c>
      <c r="AC87"/>
      <c r="AD87" s="326">
        <v>-24579.718799999999</v>
      </c>
      <c r="AE87" s="327">
        <v>-3.2354309999999997E-2</v>
      </c>
      <c r="AF87"/>
      <c r="AG87" s="326">
        <v>-27927.552599999999</v>
      </c>
      <c r="AH87" s="327">
        <v>-5.8555129999999997E-2</v>
      </c>
      <c r="AI87"/>
      <c r="AJ87" s="326">
        <v>-24648.385999999999</v>
      </c>
      <c r="AK87" s="327">
        <v>-5.979864E-2</v>
      </c>
      <c r="AL87"/>
      <c r="AM87" s="326">
        <v>-28554</v>
      </c>
      <c r="AN87" s="327">
        <v>-9.3404109999999999E-2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120008.2077</v>
      </c>
      <c r="D89" s="327">
        <v>2.145236E-2</v>
      </c>
      <c r="E89"/>
      <c r="F89" s="326">
        <v>-158854.84</v>
      </c>
      <c r="G89" s="327">
        <v>-0.57408152999999995</v>
      </c>
      <c r="H89"/>
      <c r="I89" s="326">
        <v>-93163.13</v>
      </c>
      <c r="J89" s="327">
        <v>-0.29891265</v>
      </c>
      <c r="K89"/>
      <c r="L89" s="326">
        <v>55664.63</v>
      </c>
      <c r="M89" s="327">
        <v>0.1151744</v>
      </c>
      <c r="N89"/>
      <c r="O89" s="326">
        <v>-127405.33</v>
      </c>
      <c r="P89" s="327">
        <v>-0.43528525000000001</v>
      </c>
      <c r="Q89"/>
      <c r="R89" s="326">
        <v>59799.731699999997</v>
      </c>
      <c r="S89" s="327">
        <v>0.107517</v>
      </c>
      <c r="T89"/>
      <c r="U89" s="326">
        <v>48790.780400000003</v>
      </c>
      <c r="V89" s="327">
        <v>8.5492680000000001E-2</v>
      </c>
      <c r="W89"/>
      <c r="X89" s="326">
        <v>37286.643799999998</v>
      </c>
      <c r="Y89" s="327">
        <v>7.2633130000000004E-2</v>
      </c>
      <c r="Z89"/>
      <c r="AA89" s="326">
        <v>146312.84849999999</v>
      </c>
      <c r="AB89" s="327">
        <v>0.23041476999999999</v>
      </c>
      <c r="AC89"/>
      <c r="AD89" s="326">
        <v>209292.24840000001</v>
      </c>
      <c r="AE89" s="327">
        <v>0.27549159000000001</v>
      </c>
      <c r="AF89"/>
      <c r="AG89" s="326">
        <v>4064.0747000000001</v>
      </c>
      <c r="AH89" s="327">
        <v>8.5210600000000004E-3</v>
      </c>
      <c r="AI89"/>
      <c r="AJ89" s="326">
        <v>107.1705</v>
      </c>
      <c r="AK89" s="327">
        <v>2.5999999999999998E-4</v>
      </c>
      <c r="AL89"/>
      <c r="AM89" s="326">
        <v>-61886.620300000002</v>
      </c>
      <c r="AN89" s="327">
        <v>-0.20243976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151177.09</v>
      </c>
      <c r="D91" s="327">
        <v>2.7024030000000001E-2</v>
      </c>
      <c r="E91"/>
      <c r="F91" s="326">
        <v>0</v>
      </c>
      <c r="G91" s="327">
        <v>0</v>
      </c>
      <c r="H91"/>
      <c r="I91" s="326">
        <v>166.67</v>
      </c>
      <c r="J91" s="327">
        <v>5.3476000000000001E-4</v>
      </c>
      <c r="K91"/>
      <c r="L91" s="326">
        <v>0</v>
      </c>
      <c r="M91" s="327">
        <v>0</v>
      </c>
      <c r="N91"/>
      <c r="O91" s="326">
        <v>50.42</v>
      </c>
      <c r="P91" s="327">
        <v>1.7226000000000001E-4</v>
      </c>
      <c r="Q91"/>
      <c r="R91" s="326">
        <v>120</v>
      </c>
      <c r="S91" s="327">
        <v>2.1575000000000001E-4</v>
      </c>
      <c r="T91"/>
      <c r="U91" s="326">
        <v>120</v>
      </c>
      <c r="V91" s="327">
        <v>2.1027E-4</v>
      </c>
      <c r="W91"/>
      <c r="X91" s="326">
        <v>150120</v>
      </c>
      <c r="Y91" s="327">
        <v>0.29242873000000003</v>
      </c>
      <c r="Z91"/>
      <c r="AA91" s="326">
        <v>120</v>
      </c>
      <c r="AB91" s="327">
        <v>1.8898E-4</v>
      </c>
      <c r="AC91"/>
      <c r="AD91" s="326">
        <v>120</v>
      </c>
      <c r="AE91" s="327">
        <v>1.5796000000000001E-4</v>
      </c>
      <c r="AF91"/>
      <c r="AG91" s="326">
        <v>120</v>
      </c>
      <c r="AH91" s="327">
        <v>2.5159999999999999E-4</v>
      </c>
      <c r="AI91"/>
      <c r="AJ91" s="326">
        <v>120</v>
      </c>
      <c r="AK91" s="327">
        <v>2.9113000000000001E-4</v>
      </c>
      <c r="AL91"/>
      <c r="AM91" s="326">
        <v>120</v>
      </c>
      <c r="AN91" s="327">
        <v>3.9253999999999998E-4</v>
      </c>
    </row>
    <row r="92" spans="2:40" s="314" customFormat="1" ht="12.75" customHeight="1" x14ac:dyDescent="0.15">
      <c r="B92" s="5" t="s">
        <v>61</v>
      </c>
      <c r="C92" s="8">
        <v>1177.0899999999999</v>
      </c>
      <c r="D92" s="7">
        <v>2.1041000000000001E-4</v>
      </c>
      <c r="E92"/>
      <c r="F92" s="8">
        <v>0</v>
      </c>
      <c r="G92" s="7">
        <v>0</v>
      </c>
      <c r="H92"/>
      <c r="I92" s="8">
        <v>166.67</v>
      </c>
      <c r="J92" s="7">
        <v>5.3476000000000001E-4</v>
      </c>
      <c r="K92"/>
      <c r="L92" s="8">
        <v>0</v>
      </c>
      <c r="M92" s="7">
        <v>0</v>
      </c>
      <c r="N92"/>
      <c r="O92" s="8">
        <v>50.42</v>
      </c>
      <c r="P92" s="7">
        <v>1.7226000000000001E-4</v>
      </c>
      <c r="Q92"/>
      <c r="R92" s="8">
        <v>120</v>
      </c>
      <c r="S92" s="7">
        <v>2.1575000000000001E-4</v>
      </c>
      <c r="T92"/>
      <c r="U92" s="8">
        <v>120</v>
      </c>
      <c r="V92" s="7">
        <v>2.1027E-4</v>
      </c>
      <c r="W92"/>
      <c r="X92" s="8">
        <v>120</v>
      </c>
      <c r="Y92" s="7">
        <v>2.3376000000000001E-4</v>
      </c>
      <c r="Z92"/>
      <c r="AA92" s="8">
        <v>120</v>
      </c>
      <c r="AB92" s="7">
        <v>1.8898E-4</v>
      </c>
      <c r="AC92"/>
      <c r="AD92" s="8">
        <v>120</v>
      </c>
      <c r="AE92" s="7">
        <v>1.5796000000000001E-4</v>
      </c>
      <c r="AF92"/>
      <c r="AG92" s="8">
        <v>120</v>
      </c>
      <c r="AH92" s="7">
        <v>2.5159999999999999E-4</v>
      </c>
      <c r="AI92"/>
      <c r="AJ92" s="8">
        <v>120</v>
      </c>
      <c r="AK92" s="7">
        <v>2.9113000000000001E-4</v>
      </c>
      <c r="AL92"/>
      <c r="AM92" s="8">
        <v>120</v>
      </c>
      <c r="AN92" s="7">
        <v>3.9253999999999998E-4</v>
      </c>
    </row>
    <row r="93" spans="2:40" s="314" customFormat="1" ht="12.75" customHeight="1" x14ac:dyDescent="0.15">
      <c r="B93" s="5" t="s">
        <v>62</v>
      </c>
      <c r="C93" s="8">
        <v>150000</v>
      </c>
      <c r="D93" s="7">
        <v>2.681362E-2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150000</v>
      </c>
      <c r="Y93" s="7">
        <v>0.29219497999999999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274000</v>
      </c>
      <c r="D97" s="327">
        <v>4.8979540000000002E-2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15000</v>
      </c>
      <c r="S97" s="327">
        <v>2.696927E-2</v>
      </c>
      <c r="T97"/>
      <c r="U97" s="326">
        <v>15000</v>
      </c>
      <c r="V97" s="327">
        <v>2.628345E-2</v>
      </c>
      <c r="W97"/>
      <c r="X97" s="326">
        <v>169000</v>
      </c>
      <c r="Y97" s="327">
        <v>0.32920633999999999</v>
      </c>
      <c r="Z97"/>
      <c r="AA97" s="326">
        <v>15000</v>
      </c>
      <c r="AB97" s="327">
        <v>2.3622130000000002E-2</v>
      </c>
      <c r="AC97"/>
      <c r="AD97" s="326">
        <v>15000</v>
      </c>
      <c r="AE97" s="327">
        <v>1.974451E-2</v>
      </c>
      <c r="AF97"/>
      <c r="AG97" s="326">
        <v>15000</v>
      </c>
      <c r="AH97" s="327">
        <v>3.1450190000000003E-2</v>
      </c>
      <c r="AI97"/>
      <c r="AJ97" s="326">
        <v>15000</v>
      </c>
      <c r="AK97" s="327">
        <v>3.6391010000000001E-2</v>
      </c>
      <c r="AL97"/>
      <c r="AM97" s="326">
        <v>15000</v>
      </c>
      <c r="AN97" s="327">
        <v>4.9067090000000001E-2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274000</v>
      </c>
      <c r="D99" s="7">
        <v>4.8979540000000002E-2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15000</v>
      </c>
      <c r="S99" s="7">
        <v>2.696927E-2</v>
      </c>
      <c r="T99"/>
      <c r="U99" s="8">
        <v>15000</v>
      </c>
      <c r="V99" s="7">
        <v>2.628345E-2</v>
      </c>
      <c r="W99"/>
      <c r="X99" s="8">
        <v>169000</v>
      </c>
      <c r="Y99" s="7">
        <v>0.32920633999999999</v>
      </c>
      <c r="Z99"/>
      <c r="AA99" s="8">
        <v>15000</v>
      </c>
      <c r="AB99" s="7">
        <v>2.3622130000000002E-2</v>
      </c>
      <c r="AC99"/>
      <c r="AD99" s="8">
        <v>15000</v>
      </c>
      <c r="AE99" s="7">
        <v>1.974451E-2</v>
      </c>
      <c r="AF99"/>
      <c r="AG99" s="8">
        <v>15000</v>
      </c>
      <c r="AH99" s="7">
        <v>3.1450190000000003E-2</v>
      </c>
      <c r="AI99"/>
      <c r="AJ99" s="8">
        <v>15000</v>
      </c>
      <c r="AK99" s="7">
        <v>3.6391010000000001E-2</v>
      </c>
      <c r="AL99"/>
      <c r="AM99" s="8">
        <v>15000</v>
      </c>
      <c r="AN99" s="7">
        <v>4.9067090000000001E-2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-122822.91</v>
      </c>
      <c r="D101" s="327">
        <v>-2.1955510000000001E-2</v>
      </c>
      <c r="E101"/>
      <c r="F101" s="326">
        <v>0</v>
      </c>
      <c r="G101" s="327">
        <v>0</v>
      </c>
      <c r="H101"/>
      <c r="I101" s="326">
        <v>166.67</v>
      </c>
      <c r="J101" s="327">
        <v>5.3476000000000001E-4</v>
      </c>
      <c r="K101"/>
      <c r="L101" s="326">
        <v>0</v>
      </c>
      <c r="M101" s="327">
        <v>0</v>
      </c>
      <c r="N101"/>
      <c r="O101" s="326">
        <v>50.42</v>
      </c>
      <c r="P101" s="327">
        <v>1.7226000000000001E-4</v>
      </c>
      <c r="Q101"/>
      <c r="R101" s="326">
        <v>-14880</v>
      </c>
      <c r="S101" s="327">
        <v>-2.6753510000000001E-2</v>
      </c>
      <c r="T101"/>
      <c r="U101" s="326">
        <v>-14880</v>
      </c>
      <c r="V101" s="327">
        <v>-2.607319E-2</v>
      </c>
      <c r="W101"/>
      <c r="X101" s="326">
        <v>-18880</v>
      </c>
      <c r="Y101" s="327">
        <v>-3.6777610000000002E-2</v>
      </c>
      <c r="Z101"/>
      <c r="AA101" s="326">
        <v>-14880</v>
      </c>
      <c r="AB101" s="327">
        <v>-2.3433160000000001E-2</v>
      </c>
      <c r="AC101"/>
      <c r="AD101" s="326">
        <v>-14880</v>
      </c>
      <c r="AE101" s="327">
        <v>-1.9586559999999999E-2</v>
      </c>
      <c r="AF101"/>
      <c r="AG101" s="326">
        <v>-14880</v>
      </c>
      <c r="AH101" s="327">
        <v>-3.1198589999999998E-2</v>
      </c>
      <c r="AI101"/>
      <c r="AJ101" s="326">
        <v>-14880</v>
      </c>
      <c r="AK101" s="327">
        <v>-3.6099880000000001E-2</v>
      </c>
      <c r="AL101"/>
      <c r="AM101" s="326">
        <v>-14880</v>
      </c>
      <c r="AN101" s="327">
        <v>-4.8674549999999997E-2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-2814.7022999999999</v>
      </c>
      <c r="D103" s="327">
        <v>-5.0314999999999995E-4</v>
      </c>
      <c r="E103"/>
      <c r="F103" s="326">
        <v>-158854.84</v>
      </c>
      <c r="G103" s="327">
        <v>-0.57408152999999995</v>
      </c>
      <c r="H103"/>
      <c r="I103" s="326">
        <v>-92996.46</v>
      </c>
      <c r="J103" s="327">
        <v>-0.29837788999999998</v>
      </c>
      <c r="K103"/>
      <c r="L103" s="326">
        <v>55664.63</v>
      </c>
      <c r="M103" s="327">
        <v>0.1151744</v>
      </c>
      <c r="N103"/>
      <c r="O103" s="326">
        <v>-127354.91</v>
      </c>
      <c r="P103" s="327">
        <v>-0.43511298999999998</v>
      </c>
      <c r="Q103"/>
      <c r="R103" s="326">
        <v>44919.731699999997</v>
      </c>
      <c r="S103" s="327">
        <v>8.0763479999999999E-2</v>
      </c>
      <c r="T103"/>
      <c r="U103" s="326">
        <v>33910.780400000003</v>
      </c>
      <c r="V103" s="327">
        <v>5.94195E-2</v>
      </c>
      <c r="W103"/>
      <c r="X103" s="326">
        <v>18406.643800000002</v>
      </c>
      <c r="Y103" s="327">
        <v>3.5855529999999997E-2</v>
      </c>
      <c r="Z103"/>
      <c r="AA103" s="326">
        <v>131432.84849999999</v>
      </c>
      <c r="AB103" s="327">
        <v>0.20698161000000001</v>
      </c>
      <c r="AC103"/>
      <c r="AD103" s="326">
        <v>194412.24840000001</v>
      </c>
      <c r="AE103" s="327">
        <v>0.25590502999999998</v>
      </c>
      <c r="AF103"/>
      <c r="AG103" s="326">
        <v>-10815.925300000001</v>
      </c>
      <c r="AH103" s="327">
        <v>-2.2677530000000001E-2</v>
      </c>
      <c r="AI103"/>
      <c r="AJ103" s="326">
        <v>-14772.8295</v>
      </c>
      <c r="AK103" s="327">
        <v>-3.5839879999999998E-2</v>
      </c>
      <c r="AL103"/>
      <c r="AM103" s="326">
        <v>-76766.620299999995</v>
      </c>
      <c r="AN103" s="327">
        <v>-0.25111431000000001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147050.95000000001</v>
      </c>
      <c r="D105" s="327">
        <v>2.6286449999999999E-2</v>
      </c>
      <c r="E105"/>
      <c r="F105" s="326">
        <v>8647.14</v>
      </c>
      <c r="G105" s="327">
        <v>3.1249679999999998E-2</v>
      </c>
      <c r="H105"/>
      <c r="I105" s="326">
        <v>7312.14</v>
      </c>
      <c r="J105" s="327">
        <v>2.34609E-2</v>
      </c>
      <c r="K105"/>
      <c r="L105" s="326">
        <v>11627.61</v>
      </c>
      <c r="M105" s="327">
        <v>2.405842E-2</v>
      </c>
      <c r="N105"/>
      <c r="O105" s="326">
        <v>33464.06</v>
      </c>
      <c r="P105" s="327">
        <v>0.11433126</v>
      </c>
      <c r="Q105"/>
      <c r="R105" s="326">
        <v>10750</v>
      </c>
      <c r="S105" s="327">
        <v>1.932797E-2</v>
      </c>
      <c r="T105"/>
      <c r="U105" s="326">
        <v>10750</v>
      </c>
      <c r="V105" s="327">
        <v>1.8836479999999999E-2</v>
      </c>
      <c r="W105"/>
      <c r="X105" s="326">
        <v>10750</v>
      </c>
      <c r="Y105" s="327">
        <v>2.094064E-2</v>
      </c>
      <c r="Z105"/>
      <c r="AA105" s="326">
        <v>10750</v>
      </c>
      <c r="AB105" s="327">
        <v>1.692919E-2</v>
      </c>
      <c r="AC105"/>
      <c r="AD105" s="326">
        <v>10750</v>
      </c>
      <c r="AE105" s="327">
        <v>1.415024E-2</v>
      </c>
      <c r="AF105"/>
      <c r="AG105" s="326">
        <v>10750</v>
      </c>
      <c r="AH105" s="327">
        <v>2.2539300000000002E-2</v>
      </c>
      <c r="AI105"/>
      <c r="AJ105" s="326">
        <v>10750</v>
      </c>
      <c r="AK105" s="327">
        <v>2.6080220000000001E-2</v>
      </c>
      <c r="AL105"/>
      <c r="AM105" s="326">
        <v>10750</v>
      </c>
      <c r="AN105" s="327">
        <v>3.5164749999999988E-2</v>
      </c>
    </row>
    <row r="106" spans="2:40" s="314" customFormat="1" ht="12.75" customHeight="1" x14ac:dyDescent="0.15">
      <c r="B106" s="5" t="s">
        <v>71</v>
      </c>
      <c r="C106" s="8">
        <v>21836.45</v>
      </c>
      <c r="D106" s="7">
        <v>3.9034299999999998E-3</v>
      </c>
      <c r="E106"/>
      <c r="F106" s="8">
        <v>0</v>
      </c>
      <c r="G106" s="7">
        <v>0</v>
      </c>
      <c r="H106"/>
      <c r="I106" s="8">
        <v>0</v>
      </c>
      <c r="J106" s="7">
        <v>0</v>
      </c>
      <c r="K106"/>
      <c r="L106" s="8">
        <v>0</v>
      </c>
      <c r="M106" s="7">
        <v>0</v>
      </c>
      <c r="N106"/>
      <c r="O106" s="8">
        <v>21836.45</v>
      </c>
      <c r="P106" s="7">
        <v>7.4605080000000004E-2</v>
      </c>
      <c r="Q106"/>
      <c r="R106" s="8">
        <v>0</v>
      </c>
      <c r="S106" s="7">
        <v>0</v>
      </c>
      <c r="T106"/>
      <c r="U106" s="8">
        <v>0</v>
      </c>
      <c r="V106" s="7">
        <v>0</v>
      </c>
      <c r="W106"/>
      <c r="X106" s="8">
        <v>0</v>
      </c>
      <c r="Y106" s="7">
        <v>0</v>
      </c>
      <c r="Z106"/>
      <c r="AA106" s="8">
        <v>0</v>
      </c>
      <c r="AB106" s="7">
        <v>0</v>
      </c>
      <c r="AC106"/>
      <c r="AD106" s="8">
        <v>0</v>
      </c>
      <c r="AE106" s="7">
        <v>0</v>
      </c>
      <c r="AF106"/>
      <c r="AG106" s="8">
        <v>0</v>
      </c>
      <c r="AH106" s="7">
        <v>0</v>
      </c>
      <c r="AI106"/>
      <c r="AJ106" s="8">
        <v>0</v>
      </c>
      <c r="AK106" s="7">
        <v>0</v>
      </c>
      <c r="AL106"/>
      <c r="AM106" s="8">
        <v>0</v>
      </c>
      <c r="AN106" s="7">
        <v>0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55200</v>
      </c>
      <c r="D108" s="7">
        <v>9.8674100000000001E-3</v>
      </c>
      <c r="E108"/>
      <c r="F108" s="8">
        <v>3000</v>
      </c>
      <c r="G108" s="7">
        <v>1.084162E-2</v>
      </c>
      <c r="H108"/>
      <c r="I108" s="8">
        <v>3000</v>
      </c>
      <c r="J108" s="7">
        <v>9.6254600000000006E-3</v>
      </c>
      <c r="K108"/>
      <c r="L108" s="8">
        <v>3000</v>
      </c>
      <c r="M108" s="7">
        <v>6.2072300000000002E-3</v>
      </c>
      <c r="N108"/>
      <c r="O108" s="8">
        <v>3000</v>
      </c>
      <c r="P108" s="7">
        <v>1.0249619999999999E-2</v>
      </c>
      <c r="Q108"/>
      <c r="R108" s="8">
        <v>5400</v>
      </c>
      <c r="S108" s="7">
        <v>9.708940000000001E-3</v>
      </c>
      <c r="T108"/>
      <c r="U108" s="8">
        <v>5400</v>
      </c>
      <c r="V108" s="7">
        <v>9.4620399999999997E-3</v>
      </c>
      <c r="W108"/>
      <c r="X108" s="8">
        <v>5400</v>
      </c>
      <c r="Y108" s="7">
        <v>1.051902E-2</v>
      </c>
      <c r="Z108"/>
      <c r="AA108" s="8">
        <v>5400</v>
      </c>
      <c r="AB108" s="7">
        <v>8.5039699999999996E-3</v>
      </c>
      <c r="AC108"/>
      <c r="AD108" s="8">
        <v>5400</v>
      </c>
      <c r="AE108" s="7">
        <v>7.1080300000000004E-3</v>
      </c>
      <c r="AF108"/>
      <c r="AG108" s="8">
        <v>5400</v>
      </c>
      <c r="AH108" s="7">
        <v>1.132207E-2</v>
      </c>
      <c r="AI108"/>
      <c r="AJ108" s="8">
        <v>5400</v>
      </c>
      <c r="AK108" s="7">
        <v>1.3100759999999999E-2</v>
      </c>
      <c r="AL108"/>
      <c r="AM108" s="8">
        <v>5400</v>
      </c>
      <c r="AN108" s="7">
        <v>1.766415E-2</v>
      </c>
    </row>
    <row r="109" spans="2:40" s="314" customFormat="1" ht="12.75" customHeight="1" x14ac:dyDescent="0.15">
      <c r="B109" s="5" t="s">
        <v>74</v>
      </c>
      <c r="C109" s="8">
        <v>37347.82</v>
      </c>
      <c r="D109" s="7">
        <v>6.6762000000000002E-3</v>
      </c>
      <c r="E109"/>
      <c r="F109" s="8">
        <v>2980.47</v>
      </c>
      <c r="G109" s="7">
        <v>1.0771050000000001E-2</v>
      </c>
      <c r="H109"/>
      <c r="I109" s="8">
        <v>1645.47</v>
      </c>
      <c r="J109" s="7">
        <v>5.2794700000000014E-3</v>
      </c>
      <c r="K109"/>
      <c r="L109" s="8">
        <v>5960.94</v>
      </c>
      <c r="M109" s="7">
        <v>1.233364E-2</v>
      </c>
      <c r="N109"/>
      <c r="O109" s="8">
        <v>5960.94</v>
      </c>
      <c r="P109" s="7">
        <v>2.036578E-2</v>
      </c>
      <c r="Q109"/>
      <c r="R109" s="8">
        <v>2600</v>
      </c>
      <c r="S109" s="7">
        <v>4.6746700000000014E-3</v>
      </c>
      <c r="T109"/>
      <c r="U109" s="8">
        <v>2600</v>
      </c>
      <c r="V109" s="7">
        <v>4.5557999999999996E-3</v>
      </c>
      <c r="W109"/>
      <c r="X109" s="8">
        <v>2600</v>
      </c>
      <c r="Y109" s="7">
        <v>5.06471E-3</v>
      </c>
      <c r="Z109"/>
      <c r="AA109" s="8">
        <v>2600</v>
      </c>
      <c r="AB109" s="7">
        <v>4.0945E-3</v>
      </c>
      <c r="AC109"/>
      <c r="AD109" s="8">
        <v>2600</v>
      </c>
      <c r="AE109" s="7">
        <v>3.42238E-3</v>
      </c>
      <c r="AF109"/>
      <c r="AG109" s="8">
        <v>2600</v>
      </c>
      <c r="AH109" s="7">
        <v>5.4513699999999997E-3</v>
      </c>
      <c r="AI109"/>
      <c r="AJ109" s="8">
        <v>2600</v>
      </c>
      <c r="AK109" s="7">
        <v>6.3077700000000007E-3</v>
      </c>
      <c r="AL109"/>
      <c r="AM109" s="8">
        <v>2600</v>
      </c>
      <c r="AN109" s="7">
        <v>8.5049600000000006E-3</v>
      </c>
    </row>
    <row r="110" spans="2:40" s="314" customFormat="1" ht="12.75" customHeight="1" x14ac:dyDescent="0.15">
      <c r="B110" s="5" t="s">
        <v>75</v>
      </c>
      <c r="C110" s="8">
        <v>32666.68</v>
      </c>
      <c r="D110" s="7">
        <v>5.8394100000000006E-3</v>
      </c>
      <c r="E110"/>
      <c r="F110" s="8">
        <v>2666.67</v>
      </c>
      <c r="G110" s="7">
        <v>9.6370099999999997E-3</v>
      </c>
      <c r="H110"/>
      <c r="I110" s="8">
        <v>2666.67</v>
      </c>
      <c r="J110" s="7">
        <v>8.5559700000000013E-3</v>
      </c>
      <c r="K110"/>
      <c r="L110" s="8">
        <v>2666.67</v>
      </c>
      <c r="M110" s="7">
        <v>5.5175500000000004E-3</v>
      </c>
      <c r="N110"/>
      <c r="O110" s="8">
        <v>2666.67</v>
      </c>
      <c r="P110" s="7">
        <v>9.1107800000000006E-3</v>
      </c>
      <c r="Q110"/>
      <c r="R110" s="8">
        <v>2750</v>
      </c>
      <c r="S110" s="7">
        <v>4.94437E-3</v>
      </c>
      <c r="T110"/>
      <c r="U110" s="8">
        <v>2750</v>
      </c>
      <c r="V110" s="7">
        <v>4.81863E-3</v>
      </c>
      <c r="W110"/>
      <c r="X110" s="8">
        <v>2750</v>
      </c>
      <c r="Y110" s="7">
        <v>5.3569100000000003E-3</v>
      </c>
      <c r="Z110"/>
      <c r="AA110" s="8">
        <v>2750</v>
      </c>
      <c r="AB110" s="7">
        <v>4.3307199999999997E-3</v>
      </c>
      <c r="AC110"/>
      <c r="AD110" s="8">
        <v>2750</v>
      </c>
      <c r="AE110" s="7">
        <v>3.6198300000000001E-3</v>
      </c>
      <c r="AF110"/>
      <c r="AG110" s="8">
        <v>2750</v>
      </c>
      <c r="AH110" s="7">
        <v>5.7658699999999993E-3</v>
      </c>
      <c r="AI110"/>
      <c r="AJ110" s="8">
        <v>2750</v>
      </c>
      <c r="AK110" s="7">
        <v>6.6716800000000001E-3</v>
      </c>
      <c r="AL110"/>
      <c r="AM110" s="8">
        <v>2750</v>
      </c>
      <c r="AN110" s="7">
        <v>8.9956299999999993E-3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-149865.65229999999</v>
      </c>
      <c r="D121" s="327">
        <v>-2.67896E-2</v>
      </c>
      <c r="E121"/>
      <c r="F121" s="326">
        <v>-167501.98000000001</v>
      </c>
      <c r="G121" s="327">
        <v>-0.60533121000000001</v>
      </c>
      <c r="H121"/>
      <c r="I121" s="326">
        <v>-100308.6</v>
      </c>
      <c r="J121" s="327">
        <v>-0.32183878999999999</v>
      </c>
      <c r="K121"/>
      <c r="L121" s="326">
        <v>44037.02</v>
      </c>
      <c r="M121" s="327">
        <v>9.1115980000000013E-2</v>
      </c>
      <c r="N121"/>
      <c r="O121" s="326">
        <v>-160818.97</v>
      </c>
      <c r="P121" s="327">
        <v>-0.54944425000000008</v>
      </c>
      <c r="Q121"/>
      <c r="R121" s="326">
        <v>34169.731699999997</v>
      </c>
      <c r="S121" s="327">
        <v>6.1435510000000013E-2</v>
      </c>
      <c r="T121"/>
      <c r="U121" s="326">
        <v>23160.7804</v>
      </c>
      <c r="V121" s="327">
        <v>4.0583019999999997E-2</v>
      </c>
      <c r="W121"/>
      <c r="X121" s="326">
        <v>7656.6437999999998</v>
      </c>
      <c r="Y121" s="327">
        <v>1.491489E-2</v>
      </c>
      <c r="Z121"/>
      <c r="AA121" s="326">
        <v>120682.84849999999</v>
      </c>
      <c r="AB121" s="327">
        <v>0.19005242</v>
      </c>
      <c r="AC121"/>
      <c r="AD121" s="326">
        <v>183662.24840000001</v>
      </c>
      <c r="AE121" s="327">
        <v>0.24175479999999999</v>
      </c>
      <c r="AF121"/>
      <c r="AG121" s="326">
        <v>-21565.925299999999</v>
      </c>
      <c r="AH121" s="327">
        <v>-4.5216830000000013E-2</v>
      </c>
      <c r="AI121"/>
      <c r="AJ121" s="326">
        <v>-25522.8295</v>
      </c>
      <c r="AK121" s="327">
        <v>-6.1920099999999999E-2</v>
      </c>
      <c r="AL121"/>
      <c r="AM121" s="326">
        <v>-87516.620299999995</v>
      </c>
      <c r="AN121" s="327">
        <v>-0.28627905999999997</v>
      </c>
    </row>
    <row r="122" spans="2:40" s="314" customFormat="1" ht="12.75" customHeight="1" x14ac:dyDescent="0.15">
      <c r="B122" s="5" t="s">
        <v>85</v>
      </c>
      <c r="C122" s="8">
        <v>167814.6906</v>
      </c>
      <c r="D122" s="7">
        <v>2.9998130000000001E-2</v>
      </c>
      <c r="E122"/>
      <c r="F122" s="8">
        <v>8299.6</v>
      </c>
      <c r="G122" s="7">
        <v>2.9993720000000001E-2</v>
      </c>
      <c r="H122"/>
      <c r="I122" s="8">
        <v>9349.02</v>
      </c>
      <c r="J122" s="7">
        <v>2.9996200000000001E-2</v>
      </c>
      <c r="K122"/>
      <c r="L122" s="8">
        <v>0</v>
      </c>
      <c r="M122" s="7">
        <v>0</v>
      </c>
      <c r="N122"/>
      <c r="O122" s="8">
        <v>23272.48</v>
      </c>
      <c r="P122" s="7">
        <v>7.9511329999999991E-2</v>
      </c>
      <c r="Q122"/>
      <c r="R122" s="8">
        <v>16685.659199999998</v>
      </c>
      <c r="S122" s="7">
        <v>0.03</v>
      </c>
      <c r="T122"/>
      <c r="U122" s="8">
        <v>17121.0373</v>
      </c>
      <c r="V122" s="7">
        <v>0.03</v>
      </c>
      <c r="W122"/>
      <c r="X122" s="8">
        <v>15400.6754</v>
      </c>
      <c r="Y122" s="7">
        <v>0.03</v>
      </c>
      <c r="Z122"/>
      <c r="AA122" s="8">
        <v>19049.9313</v>
      </c>
      <c r="AB122" s="7">
        <v>0.03</v>
      </c>
      <c r="AC122"/>
      <c r="AD122" s="8">
        <v>22791.139899999998</v>
      </c>
      <c r="AE122" s="7">
        <v>0.03</v>
      </c>
      <c r="AF122"/>
      <c r="AG122" s="8">
        <v>14308.3385</v>
      </c>
      <c r="AH122" s="7">
        <v>0.03</v>
      </c>
      <c r="AI122"/>
      <c r="AJ122" s="8">
        <v>12365.6926</v>
      </c>
      <c r="AK122" s="7">
        <v>0.03</v>
      </c>
      <c r="AL122"/>
      <c r="AM122" s="8">
        <v>9171.1164000000008</v>
      </c>
      <c r="AN122" s="7">
        <v>0.03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-317680.34289999999</v>
      </c>
      <c r="D124" s="327">
        <v>-5.6787729999999988E-2</v>
      </c>
      <c r="E124"/>
      <c r="F124" s="326">
        <v>-175801.58</v>
      </c>
      <c r="G124" s="327">
        <v>-0.63532493000000001</v>
      </c>
      <c r="H124"/>
      <c r="I124" s="326">
        <v>-109657.62</v>
      </c>
      <c r="J124" s="327">
        <v>-0.35183500000000001</v>
      </c>
      <c r="K124"/>
      <c r="L124" s="326">
        <v>44037.02</v>
      </c>
      <c r="M124" s="327">
        <v>9.1115980000000013E-2</v>
      </c>
      <c r="N124"/>
      <c r="O124" s="326">
        <v>-184091.45</v>
      </c>
      <c r="P124" s="327">
        <v>-0.62895557999999996</v>
      </c>
      <c r="Q124"/>
      <c r="R124" s="326">
        <v>17484.072499999998</v>
      </c>
      <c r="S124" s="327">
        <v>3.143551E-2</v>
      </c>
      <c r="T124"/>
      <c r="U124" s="326">
        <v>6039.7430999999997</v>
      </c>
      <c r="V124" s="327">
        <v>1.058302E-2</v>
      </c>
      <c r="W124"/>
      <c r="X124" s="326">
        <v>-7744.0316000000003</v>
      </c>
      <c r="Y124" s="327">
        <v>-1.5085110000000001E-2</v>
      </c>
      <c r="Z124"/>
      <c r="AA124" s="326">
        <v>101632.9172</v>
      </c>
      <c r="AB124" s="327">
        <v>0.16005242</v>
      </c>
      <c r="AC124"/>
      <c r="AD124" s="326">
        <v>160871.1085</v>
      </c>
      <c r="AE124" s="327">
        <v>0.21175479999999999</v>
      </c>
      <c r="AF124"/>
      <c r="AG124" s="326">
        <v>-35874.263800000001</v>
      </c>
      <c r="AH124" s="327">
        <v>-7.5216829999999998E-2</v>
      </c>
      <c r="AI124"/>
      <c r="AJ124" s="326">
        <v>-37888.522100000002</v>
      </c>
      <c r="AK124" s="327">
        <v>-9.1920100000000005E-2</v>
      </c>
      <c r="AL124"/>
      <c r="AM124" s="326">
        <v>-96687.736699999994</v>
      </c>
      <c r="AN124" s="327">
        <v>-0.31627906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-317680.34289999999</v>
      </c>
      <c r="D127" s="327">
        <v>-5.6787729999999988E-2</v>
      </c>
      <c r="E127"/>
      <c r="F127" s="326">
        <v>-175801.58</v>
      </c>
      <c r="G127" s="327">
        <v>-0.63532493000000001</v>
      </c>
      <c r="H127"/>
      <c r="I127" s="326">
        <v>-109657.62</v>
      </c>
      <c r="J127" s="327">
        <v>-0.35183500000000001</v>
      </c>
      <c r="K127"/>
      <c r="L127" s="326">
        <v>44037.02</v>
      </c>
      <c r="M127" s="327">
        <v>9.1115980000000013E-2</v>
      </c>
      <c r="N127"/>
      <c r="O127" s="326">
        <v>-184091.45</v>
      </c>
      <c r="P127" s="327">
        <v>-0.62895557999999996</v>
      </c>
      <c r="Q127"/>
      <c r="R127" s="326">
        <v>17484.072499999998</v>
      </c>
      <c r="S127" s="327">
        <v>3.143551E-2</v>
      </c>
      <c r="T127"/>
      <c r="U127" s="326">
        <v>6039.7430999999997</v>
      </c>
      <c r="V127" s="327">
        <v>1.058302E-2</v>
      </c>
      <c r="W127"/>
      <c r="X127" s="326">
        <v>-7744.0316000000003</v>
      </c>
      <c r="Y127" s="327">
        <v>-1.5085110000000001E-2</v>
      </c>
      <c r="Z127"/>
      <c r="AA127" s="326">
        <v>101632.9172</v>
      </c>
      <c r="AB127" s="327">
        <v>0.16005242</v>
      </c>
      <c r="AC127"/>
      <c r="AD127" s="326">
        <v>160871.1085</v>
      </c>
      <c r="AE127" s="327">
        <v>0.21175479999999999</v>
      </c>
      <c r="AF127"/>
      <c r="AG127" s="326">
        <v>-35874.263800000001</v>
      </c>
      <c r="AH127" s="327">
        <v>-7.5216829999999998E-2</v>
      </c>
      <c r="AI127"/>
      <c r="AJ127" s="326">
        <v>-37888.522100000002</v>
      </c>
      <c r="AK127" s="327">
        <v>-9.1920100000000005E-2</v>
      </c>
      <c r="AL127"/>
      <c r="AM127" s="326">
        <v>-96687.736699999994</v>
      </c>
      <c r="AN127" s="327">
        <v>-0.31627906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160057.20060000001</v>
      </c>
      <c r="D129" s="327">
        <v>2.8611419999999999E-2</v>
      </c>
      <c r="E129"/>
      <c r="F129" s="326">
        <v>8299.6</v>
      </c>
      <c r="G129" s="327">
        <v>2.9993720000000001E-2</v>
      </c>
      <c r="H129"/>
      <c r="I129" s="326">
        <v>9349.02</v>
      </c>
      <c r="J129" s="327">
        <v>2.9996200000000001E-2</v>
      </c>
      <c r="K129"/>
      <c r="L129" s="326">
        <v>9663.2199999999993</v>
      </c>
      <c r="M129" s="327">
        <v>1.999395E-2</v>
      </c>
      <c r="N129"/>
      <c r="O129" s="326">
        <v>5851.77</v>
      </c>
      <c r="P129" s="327">
        <v>1.9992800000000002E-2</v>
      </c>
      <c r="Q129"/>
      <c r="R129" s="326">
        <v>16685.659199999998</v>
      </c>
      <c r="S129" s="327">
        <v>0.03</v>
      </c>
      <c r="T129"/>
      <c r="U129" s="326">
        <v>17121.0373</v>
      </c>
      <c r="V129" s="327">
        <v>0.03</v>
      </c>
      <c r="W129"/>
      <c r="X129" s="326">
        <v>15400.6754</v>
      </c>
      <c r="Y129" s="327">
        <v>0.03</v>
      </c>
      <c r="Z129"/>
      <c r="AA129" s="326">
        <v>19049.9313</v>
      </c>
      <c r="AB129" s="327">
        <v>0.03</v>
      </c>
      <c r="AC129"/>
      <c r="AD129" s="326">
        <v>22791.139899999998</v>
      </c>
      <c r="AE129" s="327">
        <v>0.03</v>
      </c>
      <c r="AF129"/>
      <c r="AG129" s="326">
        <v>14308.3385</v>
      </c>
      <c r="AH129" s="327">
        <v>0.03</v>
      </c>
      <c r="AI129"/>
      <c r="AJ129" s="326">
        <v>12365.6926</v>
      </c>
      <c r="AK129" s="327">
        <v>0.03</v>
      </c>
      <c r="AL129"/>
      <c r="AM129" s="326">
        <v>9171.1164000000008</v>
      </c>
      <c r="AN129" s="327">
        <v>0.03</v>
      </c>
    </row>
    <row r="130" spans="2:40" s="314" customFormat="1" ht="12.75" customHeight="1" x14ac:dyDescent="0.15">
      <c r="B130" s="5" t="s">
        <v>90</v>
      </c>
      <c r="C130" s="8">
        <v>160057.20060000001</v>
      </c>
      <c r="D130" s="7">
        <v>2.8611419999999999E-2</v>
      </c>
      <c r="E130"/>
      <c r="F130" s="8">
        <v>8299.6</v>
      </c>
      <c r="G130" s="7">
        <v>2.9993720000000001E-2</v>
      </c>
      <c r="H130"/>
      <c r="I130" s="8">
        <v>9349.02</v>
      </c>
      <c r="J130" s="7">
        <v>2.9996200000000001E-2</v>
      </c>
      <c r="K130"/>
      <c r="L130" s="8">
        <v>9663.2199999999993</v>
      </c>
      <c r="M130" s="7">
        <v>1.999395E-2</v>
      </c>
      <c r="N130"/>
      <c r="O130" s="8">
        <v>5851.77</v>
      </c>
      <c r="P130" s="7">
        <v>1.9992800000000002E-2</v>
      </c>
      <c r="Q130"/>
      <c r="R130" s="8">
        <v>16685.659199999998</v>
      </c>
      <c r="S130" s="7">
        <v>0.03</v>
      </c>
      <c r="T130"/>
      <c r="U130" s="8">
        <v>17121.0373</v>
      </c>
      <c r="V130" s="7">
        <v>0.03</v>
      </c>
      <c r="W130"/>
      <c r="X130" s="8">
        <v>15400.6754</v>
      </c>
      <c r="Y130" s="7">
        <v>0.03</v>
      </c>
      <c r="Z130"/>
      <c r="AA130" s="8">
        <v>19049.9313</v>
      </c>
      <c r="AB130" s="7">
        <v>0.03</v>
      </c>
      <c r="AC130"/>
      <c r="AD130" s="8">
        <v>22791.139899999998</v>
      </c>
      <c r="AE130" s="7">
        <v>0.03</v>
      </c>
      <c r="AF130"/>
      <c r="AG130" s="8">
        <v>14308.3385</v>
      </c>
      <c r="AH130" s="7">
        <v>0.03</v>
      </c>
      <c r="AI130"/>
      <c r="AJ130" s="8">
        <v>12365.6926</v>
      </c>
      <c r="AK130" s="7">
        <v>0.03</v>
      </c>
      <c r="AL130"/>
      <c r="AM130" s="8">
        <v>9171.1164000000008</v>
      </c>
      <c r="AN130" s="7">
        <v>0.03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-477737.54369999998</v>
      </c>
      <c r="D134" s="327">
        <v>-8.5399150000000007E-2</v>
      </c>
      <c r="E134"/>
      <c r="F134" s="326">
        <v>-184101.18</v>
      </c>
      <c r="G134" s="327">
        <v>-0.66531863999999996</v>
      </c>
      <c r="H134"/>
      <c r="I134" s="326">
        <v>-119006.64</v>
      </c>
      <c r="J134" s="327">
        <v>-0.38183119999999998</v>
      </c>
      <c r="K134"/>
      <c r="L134" s="326">
        <v>34373.800000000003</v>
      </c>
      <c r="M134" s="327">
        <v>7.1122039999999997E-2</v>
      </c>
      <c r="N134"/>
      <c r="O134" s="326">
        <v>-189943.22</v>
      </c>
      <c r="P134" s="327">
        <v>-0.64894837999999988</v>
      </c>
      <c r="Q134"/>
      <c r="R134" s="326">
        <v>798.41330000000005</v>
      </c>
      <c r="S134" s="327">
        <v>1.4355100000000001E-3</v>
      </c>
      <c r="T134"/>
      <c r="U134" s="326">
        <v>-11081.2942</v>
      </c>
      <c r="V134" s="327">
        <v>-1.941698E-2</v>
      </c>
      <c r="W134"/>
      <c r="X134" s="326">
        <v>-23144.706999999999</v>
      </c>
      <c r="Y134" s="327">
        <v>-4.5085109999999998E-2</v>
      </c>
      <c r="Z134"/>
      <c r="AA134" s="326">
        <v>82582.9859</v>
      </c>
      <c r="AB134" s="327">
        <v>0.13005242</v>
      </c>
      <c r="AC134"/>
      <c r="AD134" s="326">
        <v>138079.96849999999</v>
      </c>
      <c r="AE134" s="327">
        <v>0.18175479999999999</v>
      </c>
      <c r="AF134"/>
      <c r="AG134" s="326">
        <v>-50182.602400000003</v>
      </c>
      <c r="AH134" s="327">
        <v>-0.10521683</v>
      </c>
      <c r="AI134"/>
      <c r="AJ134" s="326">
        <v>-50254.214699999997</v>
      </c>
      <c r="AK134" s="327">
        <v>-0.1219201</v>
      </c>
      <c r="AL134"/>
      <c r="AM134" s="326">
        <v>-105858.85309999999</v>
      </c>
      <c r="AN134" s="327">
        <v>-0.34627906000000003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868360</v>
      </c>
      <c r="D136" s="327">
        <v>0.15522581999999999</v>
      </c>
      <c r="E136"/>
      <c r="F136" s="326">
        <v>100848</v>
      </c>
      <c r="G136" s="327">
        <v>0.36445206000000002</v>
      </c>
      <c r="H136"/>
      <c r="I136" s="326">
        <v>100848</v>
      </c>
      <c r="J136" s="327">
        <v>0.32356944999999998</v>
      </c>
      <c r="K136"/>
      <c r="L136" s="326">
        <v>0</v>
      </c>
      <c r="M136" s="327">
        <v>0</v>
      </c>
      <c r="N136"/>
      <c r="O136" s="326">
        <v>0</v>
      </c>
      <c r="P136" s="327">
        <v>0</v>
      </c>
      <c r="Q136"/>
      <c r="R136" s="326">
        <v>83333</v>
      </c>
      <c r="S136" s="327">
        <v>0.14982866</v>
      </c>
      <c r="T136"/>
      <c r="U136" s="326">
        <v>83333</v>
      </c>
      <c r="V136" s="327">
        <v>0.14601860999999999</v>
      </c>
      <c r="W136"/>
      <c r="X136" s="326">
        <v>83333</v>
      </c>
      <c r="Y136" s="327">
        <v>0.16232989</v>
      </c>
      <c r="Z136"/>
      <c r="AA136" s="326">
        <v>83333</v>
      </c>
      <c r="AB136" s="327">
        <v>0.13123354000000001</v>
      </c>
      <c r="AC136"/>
      <c r="AD136" s="326">
        <v>83333</v>
      </c>
      <c r="AE136" s="327">
        <v>0.10969131</v>
      </c>
      <c r="AF136"/>
      <c r="AG136" s="326">
        <v>83333</v>
      </c>
      <c r="AH136" s="327">
        <v>0.17472259000000001</v>
      </c>
      <c r="AI136"/>
      <c r="AJ136" s="326">
        <v>83333</v>
      </c>
      <c r="AK136" s="327">
        <v>0.20217145</v>
      </c>
      <c r="AL136"/>
      <c r="AM136" s="326">
        <v>83333</v>
      </c>
      <c r="AN136" s="327">
        <v>0.27259386000000002</v>
      </c>
    </row>
    <row r="137" spans="2:40" s="314" customFormat="1" ht="12.75" customHeight="1" x14ac:dyDescent="0.15">
      <c r="B137" s="5" t="s">
        <v>95</v>
      </c>
      <c r="C137" s="8">
        <v>868360</v>
      </c>
      <c r="D137" s="7">
        <v>0.15522581999999999</v>
      </c>
      <c r="E137"/>
      <c r="F137" s="8">
        <v>100848</v>
      </c>
      <c r="G137" s="7">
        <v>0.36445206000000002</v>
      </c>
      <c r="H137"/>
      <c r="I137" s="8">
        <v>100848</v>
      </c>
      <c r="J137" s="7">
        <v>0.32356944999999998</v>
      </c>
      <c r="K137"/>
      <c r="L137" s="8">
        <v>0</v>
      </c>
      <c r="M137" s="7">
        <v>0</v>
      </c>
      <c r="N137"/>
      <c r="O137" s="8">
        <v>0</v>
      </c>
      <c r="P137" s="7">
        <v>0</v>
      </c>
      <c r="Q137"/>
      <c r="R137" s="8">
        <v>83333</v>
      </c>
      <c r="S137" s="7">
        <v>0.14982866</v>
      </c>
      <c r="T137"/>
      <c r="U137" s="8">
        <v>83333</v>
      </c>
      <c r="V137" s="7">
        <v>0.14601860999999999</v>
      </c>
      <c r="W137"/>
      <c r="X137" s="8">
        <v>83333</v>
      </c>
      <c r="Y137" s="7">
        <v>0.16232989</v>
      </c>
      <c r="Z137"/>
      <c r="AA137" s="8">
        <v>83333</v>
      </c>
      <c r="AB137" s="7">
        <v>0.13123354000000001</v>
      </c>
      <c r="AC137"/>
      <c r="AD137" s="8">
        <v>83333</v>
      </c>
      <c r="AE137" s="7">
        <v>0.10969131</v>
      </c>
      <c r="AF137"/>
      <c r="AG137" s="8">
        <v>83333</v>
      </c>
      <c r="AH137" s="7">
        <v>0.17472259000000001</v>
      </c>
      <c r="AI137"/>
      <c r="AJ137" s="8">
        <v>83333</v>
      </c>
      <c r="AK137" s="7">
        <v>0.20217145</v>
      </c>
      <c r="AL137"/>
      <c r="AM137" s="8">
        <v>83333</v>
      </c>
      <c r="AN137" s="7">
        <v>0.27259386000000002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-1346097.5437</v>
      </c>
      <c r="D141" s="327">
        <v>-0.24062496999999999</v>
      </c>
      <c r="E141"/>
      <c r="F141" s="326">
        <v>-284949.18</v>
      </c>
      <c r="G141" s="327">
        <v>-1.0297707</v>
      </c>
      <c r="H141"/>
      <c r="I141" s="326">
        <v>-219854.64</v>
      </c>
      <c r="J141" s="327">
        <v>-0.70540064999999996</v>
      </c>
      <c r="K141"/>
      <c r="L141" s="326">
        <v>34373.800000000003</v>
      </c>
      <c r="M141" s="327">
        <v>7.1122039999999997E-2</v>
      </c>
      <c r="N141"/>
      <c r="O141" s="326">
        <v>-189943.22</v>
      </c>
      <c r="P141" s="327">
        <v>-0.64894837999999988</v>
      </c>
      <c r="Q141"/>
      <c r="R141" s="326">
        <v>-82534.5867</v>
      </c>
      <c r="S141" s="327">
        <v>-0.14839315</v>
      </c>
      <c r="T141"/>
      <c r="U141" s="326">
        <v>-94414.294200000004</v>
      </c>
      <c r="V141" s="327">
        <v>-0.16543558999999999</v>
      </c>
      <c r="W141"/>
      <c r="X141" s="326">
        <v>-106477.70699999999</v>
      </c>
      <c r="Y141" s="327">
        <v>-0.20741501000000001</v>
      </c>
      <c r="Z141"/>
      <c r="AA141" s="326">
        <v>-750.01409999999998</v>
      </c>
      <c r="AB141" s="327">
        <v>-1.1811300000000001E-3</v>
      </c>
      <c r="AC141"/>
      <c r="AD141" s="326">
        <v>54746.968500000003</v>
      </c>
      <c r="AE141" s="327">
        <v>7.2063490000000008E-2</v>
      </c>
      <c r="AF141"/>
      <c r="AG141" s="326">
        <v>-133515.6024</v>
      </c>
      <c r="AH141" s="327">
        <v>-0.27993942999999999</v>
      </c>
      <c r="AI141"/>
      <c r="AJ141" s="326">
        <v>-133587.21470000001</v>
      </c>
      <c r="AK141" s="327">
        <v>-0.32409155000000001</v>
      </c>
      <c r="AL141"/>
      <c r="AM141" s="326">
        <v>-189191.85310000001</v>
      </c>
      <c r="AN141" s="327">
        <v>-0.61887292000000005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-1346097.5437</v>
      </c>
      <c r="D144" s="327">
        <v>-0.24062496999999999</v>
      </c>
      <c r="E144"/>
      <c r="F144" s="326">
        <v>-284949.18</v>
      </c>
      <c r="G144" s="327">
        <v>-1.0297707</v>
      </c>
      <c r="H144"/>
      <c r="I144" s="326">
        <v>-219854.64</v>
      </c>
      <c r="J144" s="327">
        <v>-0.70540064999999996</v>
      </c>
      <c r="K144"/>
      <c r="L144" s="326">
        <v>34373.800000000003</v>
      </c>
      <c r="M144" s="327">
        <v>7.1122039999999997E-2</v>
      </c>
      <c r="N144"/>
      <c r="O144" s="326">
        <v>-189943.22</v>
      </c>
      <c r="P144" s="327">
        <v>-0.64894837999999988</v>
      </c>
      <c r="Q144"/>
      <c r="R144" s="326">
        <v>-82534.5867</v>
      </c>
      <c r="S144" s="327">
        <v>-0.14839315</v>
      </c>
      <c r="T144"/>
      <c r="U144" s="326">
        <v>-94414.294200000004</v>
      </c>
      <c r="V144" s="327">
        <v>-0.16543558999999999</v>
      </c>
      <c r="W144"/>
      <c r="X144" s="326">
        <v>-106477.70699999999</v>
      </c>
      <c r="Y144" s="327">
        <v>-0.20741501000000001</v>
      </c>
      <c r="Z144"/>
      <c r="AA144" s="326">
        <v>-750.01409999999998</v>
      </c>
      <c r="AB144" s="327">
        <v>-1.1811300000000001E-3</v>
      </c>
      <c r="AC144"/>
      <c r="AD144" s="326">
        <v>54746.968500000003</v>
      </c>
      <c r="AE144" s="327">
        <v>7.2063490000000008E-2</v>
      </c>
      <c r="AF144"/>
      <c r="AG144" s="326">
        <v>-133515.6024</v>
      </c>
      <c r="AH144" s="327">
        <v>-0.27993942999999999</v>
      </c>
      <c r="AI144"/>
      <c r="AJ144" s="326">
        <v>-133587.21470000001</v>
      </c>
      <c r="AK144" s="327">
        <v>-0.32409155000000001</v>
      </c>
      <c r="AL144"/>
      <c r="AM144" s="326">
        <v>-189191.85310000001</v>
      </c>
      <c r="AN144" s="327">
        <v>-0.61887292000000005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-1346097.5437</v>
      </c>
      <c r="D147" s="327">
        <v>-0.24062496999999999</v>
      </c>
      <c r="E147"/>
      <c r="F147" s="326">
        <v>-284949.18</v>
      </c>
      <c r="G147" s="327">
        <v>-1.0297707</v>
      </c>
      <c r="H147"/>
      <c r="I147" s="326">
        <v>-219854.64</v>
      </c>
      <c r="J147" s="327">
        <v>-0.70540064999999996</v>
      </c>
      <c r="K147"/>
      <c r="L147" s="326">
        <v>34373.800000000003</v>
      </c>
      <c r="M147" s="327">
        <v>7.1122039999999997E-2</v>
      </c>
      <c r="N147"/>
      <c r="O147" s="326">
        <v>-189943.22</v>
      </c>
      <c r="P147" s="327">
        <v>-0.64894837999999988</v>
      </c>
      <c r="Q147"/>
      <c r="R147" s="326">
        <v>-82534.5867</v>
      </c>
      <c r="S147" s="327">
        <v>-0.14839315</v>
      </c>
      <c r="T147"/>
      <c r="U147" s="326">
        <v>-94414.294200000004</v>
      </c>
      <c r="V147" s="327">
        <v>-0.16543558999999999</v>
      </c>
      <c r="W147"/>
      <c r="X147" s="326">
        <v>-106477.70699999999</v>
      </c>
      <c r="Y147" s="327">
        <v>-0.20741501000000001</v>
      </c>
      <c r="Z147"/>
      <c r="AA147" s="326">
        <v>-750.01409999999998</v>
      </c>
      <c r="AB147" s="327">
        <v>-1.1811300000000001E-3</v>
      </c>
      <c r="AC147"/>
      <c r="AD147" s="326">
        <v>54746.968500000003</v>
      </c>
      <c r="AE147" s="327">
        <v>7.2063490000000008E-2</v>
      </c>
      <c r="AF147"/>
      <c r="AG147" s="326">
        <v>-133515.6024</v>
      </c>
      <c r="AH147" s="327">
        <v>-0.27993942999999999</v>
      </c>
      <c r="AI147"/>
      <c r="AJ147" s="326">
        <v>-133587.21470000001</v>
      </c>
      <c r="AK147" s="327">
        <v>-0.32409155000000001</v>
      </c>
      <c r="AL147"/>
      <c r="AM147" s="326">
        <v>-189191.85310000001</v>
      </c>
      <c r="AN147" s="327">
        <v>-0.61887292000000005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-1346097.5437</v>
      </c>
      <c r="D150" s="327">
        <v>-0.24062496999999999</v>
      </c>
      <c r="E150"/>
      <c r="F150" s="326">
        <v>-284949.18</v>
      </c>
      <c r="G150" s="327">
        <v>-1.0297707</v>
      </c>
      <c r="H150"/>
      <c r="I150" s="326">
        <v>-219854.64</v>
      </c>
      <c r="J150" s="327">
        <v>-0.70540064999999996</v>
      </c>
      <c r="K150"/>
      <c r="L150" s="326">
        <v>34373.800000000003</v>
      </c>
      <c r="M150" s="327">
        <v>7.1122039999999997E-2</v>
      </c>
      <c r="N150"/>
      <c r="O150" s="326">
        <v>-189943.22</v>
      </c>
      <c r="P150" s="327">
        <v>-0.64894837999999988</v>
      </c>
      <c r="Q150"/>
      <c r="R150" s="326">
        <v>-82534.5867</v>
      </c>
      <c r="S150" s="327">
        <v>-0.14839315</v>
      </c>
      <c r="T150"/>
      <c r="U150" s="326">
        <v>-94414.294200000004</v>
      </c>
      <c r="V150" s="327">
        <v>-0.16543558999999999</v>
      </c>
      <c r="W150"/>
      <c r="X150" s="326">
        <v>-106477.70699999999</v>
      </c>
      <c r="Y150" s="327">
        <v>-0.20741501000000001</v>
      </c>
      <c r="Z150"/>
      <c r="AA150" s="326">
        <v>-750.01409999999998</v>
      </c>
      <c r="AB150" s="327">
        <v>-1.1811300000000001E-3</v>
      </c>
      <c r="AC150"/>
      <c r="AD150" s="326">
        <v>54746.968500000003</v>
      </c>
      <c r="AE150" s="327">
        <v>7.2063490000000008E-2</v>
      </c>
      <c r="AF150"/>
      <c r="AG150" s="326">
        <v>-133515.6024</v>
      </c>
      <c r="AH150" s="327">
        <v>-0.27993942999999999</v>
      </c>
      <c r="AI150"/>
      <c r="AJ150" s="326">
        <v>-133587.21470000001</v>
      </c>
      <c r="AK150" s="327">
        <v>-0.32409155000000001</v>
      </c>
      <c r="AL150"/>
      <c r="AM150" s="326">
        <v>-189191.85310000001</v>
      </c>
      <c r="AN150" s="327">
        <v>-0.61887292000000005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-1290897.5437</v>
      </c>
      <c r="D153" s="7">
        <v>-0.23075756</v>
      </c>
      <c r="E153"/>
      <c r="F153" s="8">
        <v>-281949.18</v>
      </c>
      <c r="G153" s="7">
        <v>-1.0189290799999999</v>
      </c>
      <c r="H153"/>
      <c r="I153" s="8">
        <v>-216854.64</v>
      </c>
      <c r="J153" s="7">
        <v>-0.69577518999999999</v>
      </c>
      <c r="K153"/>
      <c r="L153" s="8">
        <v>37373.800000000003</v>
      </c>
      <c r="M153" s="7">
        <v>7.7329270000000006E-2</v>
      </c>
      <c r="N153"/>
      <c r="O153" s="8">
        <v>-186943.22</v>
      </c>
      <c r="P153" s="7">
        <v>-0.63869876999999997</v>
      </c>
      <c r="Q153"/>
      <c r="R153" s="8">
        <v>-77134.5867</v>
      </c>
      <c r="S153" s="7">
        <v>-0.13868422</v>
      </c>
      <c r="T153"/>
      <c r="U153" s="8">
        <v>-89014.294200000004</v>
      </c>
      <c r="V153" s="7">
        <v>-0.15597353999999999</v>
      </c>
      <c r="W153"/>
      <c r="X153" s="8">
        <v>-101077.70699999999</v>
      </c>
      <c r="Y153" s="7">
        <v>-0.19689598999999999</v>
      </c>
      <c r="Z153"/>
      <c r="AA153" s="8">
        <v>4649.9858999999997</v>
      </c>
      <c r="AB153" s="7">
        <v>7.3228400000000006E-3</v>
      </c>
      <c r="AC153"/>
      <c r="AD153" s="8">
        <v>60146.968500000003</v>
      </c>
      <c r="AE153" s="7">
        <v>7.917151E-2</v>
      </c>
      <c r="AF153"/>
      <c r="AG153" s="8">
        <v>-128115.6024</v>
      </c>
      <c r="AH153" s="7">
        <v>-0.26861736000000003</v>
      </c>
      <c r="AI153"/>
      <c r="AJ153" s="8">
        <v>-128187.2147</v>
      </c>
      <c r="AK153" s="7">
        <v>-0.31099079000000002</v>
      </c>
      <c r="AL153"/>
      <c r="AM153" s="8">
        <v>-183791.85310000001</v>
      </c>
      <c r="AN153" s="7">
        <v>-0.60120876999999995</v>
      </c>
    </row>
    <row r="154" spans="2:40" s="314" customFormat="1" ht="12.75" customHeight="1" x14ac:dyDescent="0.15">
      <c r="B154" s="5" t="s">
        <v>107</v>
      </c>
      <c r="C154" s="6">
        <v>-1346097.5437</v>
      </c>
      <c r="D154" s="7">
        <v>-0.24062496999999999</v>
      </c>
      <c r="E154"/>
      <c r="F154" s="8">
        <v>-284949.18</v>
      </c>
      <c r="G154" s="7">
        <v>-1.0297707</v>
      </c>
      <c r="H154"/>
      <c r="I154" s="8">
        <v>-219854.64</v>
      </c>
      <c r="J154" s="7">
        <v>-0.70540064999999996</v>
      </c>
      <c r="K154"/>
      <c r="L154" s="8">
        <v>34373.800000000003</v>
      </c>
      <c r="M154" s="7">
        <v>7.1122039999999997E-2</v>
      </c>
      <c r="N154"/>
      <c r="O154" s="8">
        <v>-189943.22</v>
      </c>
      <c r="P154" s="7">
        <v>-0.64894837999999988</v>
      </c>
      <c r="Q154"/>
      <c r="R154" s="8">
        <v>-82534.5867</v>
      </c>
      <c r="S154" s="7">
        <v>-0.14839315</v>
      </c>
      <c r="T154"/>
      <c r="U154" s="8">
        <v>-94414.294200000004</v>
      </c>
      <c r="V154" s="7">
        <v>-0.16543558999999999</v>
      </c>
      <c r="W154"/>
      <c r="X154" s="8">
        <v>-106477.70699999999</v>
      </c>
      <c r="Y154" s="7">
        <v>-0.20741501000000001</v>
      </c>
      <c r="Z154"/>
      <c r="AA154" s="8">
        <v>-750.01409999999998</v>
      </c>
      <c r="AB154" s="7">
        <v>-1.1811300000000001E-3</v>
      </c>
      <c r="AC154"/>
      <c r="AD154" s="8">
        <v>54746.968500000003</v>
      </c>
      <c r="AE154" s="7">
        <v>7.2063490000000008E-2</v>
      </c>
      <c r="AF154"/>
      <c r="AG154" s="8">
        <v>-133515.6024</v>
      </c>
      <c r="AH154" s="7">
        <v>-0.27993942999999999</v>
      </c>
      <c r="AI154"/>
      <c r="AJ154" s="8">
        <v>-133587.21470000001</v>
      </c>
      <c r="AK154" s="7">
        <v>-0.32409155000000001</v>
      </c>
      <c r="AL154"/>
      <c r="AM154" s="8">
        <v>-189191.85310000001</v>
      </c>
      <c r="AN154" s="7">
        <v>-0.61887292000000005</v>
      </c>
    </row>
    <row r="155" spans="2:40" s="314" customFormat="1" ht="12.75" customHeight="1" x14ac:dyDescent="0.15">
      <c r="B155" s="325" t="s">
        <v>108</v>
      </c>
      <c r="C155" s="330">
        <v>229635.78419999999</v>
      </c>
      <c r="D155" s="327">
        <v>4.1049110000000007E-2</v>
      </c>
      <c r="E155"/>
      <c r="F155" s="326">
        <v>13832.66</v>
      </c>
      <c r="G155" s="327">
        <v>4.9989499999999999E-2</v>
      </c>
      <c r="H155"/>
      <c r="I155" s="326">
        <v>15581.7</v>
      </c>
      <c r="J155" s="327">
        <v>4.9993669999999997E-2</v>
      </c>
      <c r="K155"/>
      <c r="L155" s="326">
        <v>19326.439999999999</v>
      </c>
      <c r="M155" s="327">
        <v>3.9987889999999998E-2</v>
      </c>
      <c r="N155"/>
      <c r="O155" s="326">
        <v>11703.53</v>
      </c>
      <c r="P155" s="327">
        <v>3.9985560000000003E-2</v>
      </c>
      <c r="Q155"/>
      <c r="R155" s="326">
        <v>22247.545600000001</v>
      </c>
      <c r="S155" s="327">
        <v>0.04</v>
      </c>
      <c r="T155"/>
      <c r="U155" s="326">
        <v>22828.0497</v>
      </c>
      <c r="V155" s="327">
        <v>0.04</v>
      </c>
      <c r="W155"/>
      <c r="X155" s="326">
        <v>20534.233899999999</v>
      </c>
      <c r="Y155" s="327">
        <v>0.04</v>
      </c>
      <c r="Z155"/>
      <c r="AA155" s="326">
        <v>25399.9084</v>
      </c>
      <c r="AB155" s="327">
        <v>0.04</v>
      </c>
      <c r="AC155"/>
      <c r="AD155" s="326">
        <v>30388.186600000001</v>
      </c>
      <c r="AE155" s="327">
        <v>0.04</v>
      </c>
      <c r="AF155"/>
      <c r="AG155" s="326">
        <v>19077.7847</v>
      </c>
      <c r="AH155" s="327">
        <v>0.04</v>
      </c>
      <c r="AI155"/>
      <c r="AJ155" s="326">
        <v>16487.590100000001</v>
      </c>
      <c r="AK155" s="327">
        <v>0.04</v>
      </c>
      <c r="AL155"/>
      <c r="AM155" s="326">
        <v>12228.155199999999</v>
      </c>
      <c r="AN155" s="327">
        <v>0.04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55938.2235</v>
      </c>
      <c r="D158" s="7">
        <v>9.9993700000000005E-3</v>
      </c>
      <c r="E158"/>
      <c r="F158" s="8">
        <v>2766.53</v>
      </c>
      <c r="G158" s="7">
        <v>9.9978900000000006E-3</v>
      </c>
      <c r="H158"/>
      <c r="I158" s="8">
        <v>3116.34</v>
      </c>
      <c r="J158" s="7">
        <v>9.9987300000000008E-3</v>
      </c>
      <c r="K158"/>
      <c r="L158" s="8">
        <v>4831.6099999999997</v>
      </c>
      <c r="M158" s="7">
        <v>9.9969699999999991E-3</v>
      </c>
      <c r="N158"/>
      <c r="O158" s="8">
        <v>2925.88</v>
      </c>
      <c r="P158" s="7">
        <v>9.9963800000000009E-3</v>
      </c>
      <c r="Q158"/>
      <c r="R158" s="8">
        <v>5561.8864000000003</v>
      </c>
      <c r="S158" s="7">
        <v>0.01</v>
      </c>
      <c r="T158"/>
      <c r="U158" s="8">
        <v>5707.0123999999996</v>
      </c>
      <c r="V158" s="7">
        <v>0.01</v>
      </c>
      <c r="W158"/>
      <c r="X158" s="8">
        <v>5133.5585000000001</v>
      </c>
      <c r="Y158" s="7">
        <v>0.01</v>
      </c>
      <c r="Z158"/>
      <c r="AA158" s="8">
        <v>6349.9771000000001</v>
      </c>
      <c r="AB158" s="7">
        <v>0.01</v>
      </c>
      <c r="AC158"/>
      <c r="AD158" s="8">
        <v>7597.0465999999997</v>
      </c>
      <c r="AE158" s="7">
        <v>0.01</v>
      </c>
      <c r="AF158"/>
      <c r="AG158" s="8">
        <v>4769.4462000000003</v>
      </c>
      <c r="AH158" s="7">
        <v>0.01</v>
      </c>
      <c r="AI158"/>
      <c r="AJ158" s="8">
        <v>4121.8975</v>
      </c>
      <c r="AK158" s="7">
        <v>0.01</v>
      </c>
      <c r="AL158"/>
      <c r="AM158" s="8">
        <v>3057.0387999999998</v>
      </c>
      <c r="AN158" s="7">
        <v>0.01</v>
      </c>
    </row>
    <row r="159" spans="2:40" s="314" customFormat="1" ht="12.75" customHeight="1" x14ac:dyDescent="0.15">
      <c r="B159" s="5" t="s">
        <v>112</v>
      </c>
      <c r="C159" s="6">
        <v>67032.151700000002</v>
      </c>
      <c r="D159" s="7">
        <v>1.19825E-2</v>
      </c>
      <c r="E159"/>
      <c r="F159" s="8">
        <v>0</v>
      </c>
      <c r="G159" s="7">
        <v>0</v>
      </c>
      <c r="H159"/>
      <c r="I159" s="8">
        <v>-2569.4899999999998</v>
      </c>
      <c r="J159" s="7">
        <v>-8.2441700000000003E-3</v>
      </c>
      <c r="K159"/>
      <c r="L159" s="8">
        <v>1376.36</v>
      </c>
      <c r="M159" s="7">
        <v>2.8477899999999998E-3</v>
      </c>
      <c r="N159"/>
      <c r="O159" s="8">
        <v>548.70000000000005</v>
      </c>
      <c r="P159" s="7">
        <v>1.8746500000000001E-3</v>
      </c>
      <c r="Q159"/>
      <c r="R159" s="8">
        <v>8899.0182000000004</v>
      </c>
      <c r="S159" s="7">
        <v>1.6E-2</v>
      </c>
      <c r="T159"/>
      <c r="U159" s="8">
        <v>9131.2199000000001</v>
      </c>
      <c r="V159" s="7">
        <v>1.6E-2</v>
      </c>
      <c r="W159"/>
      <c r="X159" s="8">
        <v>8213.6936000000005</v>
      </c>
      <c r="Y159" s="7">
        <v>1.6E-2</v>
      </c>
      <c r="Z159"/>
      <c r="AA159" s="8">
        <v>10159.963400000001</v>
      </c>
      <c r="AB159" s="7">
        <v>1.6E-2</v>
      </c>
      <c r="AC159"/>
      <c r="AD159" s="8">
        <v>12155.274600000001</v>
      </c>
      <c r="AE159" s="7">
        <v>1.6E-2</v>
      </c>
      <c r="AF159"/>
      <c r="AG159" s="8">
        <v>7631.1139000000003</v>
      </c>
      <c r="AH159" s="7">
        <v>1.6E-2</v>
      </c>
      <c r="AI159"/>
      <c r="AJ159" s="8">
        <v>6595.0360000000001</v>
      </c>
      <c r="AK159" s="7">
        <v>1.6E-2</v>
      </c>
      <c r="AL159"/>
      <c r="AM159" s="8">
        <v>4891.2620999999999</v>
      </c>
      <c r="AN159" s="7">
        <v>1.6E-2</v>
      </c>
    </row>
    <row r="160" spans="2:40" s="314" customFormat="1" ht="12.75" customHeight="1" x14ac:dyDescent="0.15">
      <c r="B160" s="5" t="s">
        <v>113</v>
      </c>
      <c r="C160" s="6">
        <v>160057.20060000001</v>
      </c>
      <c r="D160" s="7">
        <v>2.8611419999999999E-2</v>
      </c>
      <c r="E160"/>
      <c r="F160" s="8">
        <v>8299.6</v>
      </c>
      <c r="G160" s="7">
        <v>2.9993720000000001E-2</v>
      </c>
      <c r="H160"/>
      <c r="I160" s="8">
        <v>9349.02</v>
      </c>
      <c r="J160" s="7">
        <v>2.9996200000000001E-2</v>
      </c>
      <c r="K160"/>
      <c r="L160" s="8">
        <v>9663.2199999999993</v>
      </c>
      <c r="M160" s="7">
        <v>1.999395E-2</v>
      </c>
      <c r="N160"/>
      <c r="O160" s="8">
        <v>5851.77</v>
      </c>
      <c r="P160" s="7">
        <v>1.9992800000000002E-2</v>
      </c>
      <c r="Q160"/>
      <c r="R160" s="8">
        <v>16685.659199999998</v>
      </c>
      <c r="S160" s="7">
        <v>0.03</v>
      </c>
      <c r="T160"/>
      <c r="U160" s="8">
        <v>17121.0373</v>
      </c>
      <c r="V160" s="7">
        <v>0.03</v>
      </c>
      <c r="W160"/>
      <c r="X160" s="8">
        <v>15400.6754</v>
      </c>
      <c r="Y160" s="7">
        <v>0.03</v>
      </c>
      <c r="Z160"/>
      <c r="AA160" s="8">
        <v>19049.9313</v>
      </c>
      <c r="AB160" s="7">
        <v>0.03</v>
      </c>
      <c r="AC160"/>
      <c r="AD160" s="8">
        <v>22791.139899999998</v>
      </c>
      <c r="AE160" s="7">
        <v>0.03</v>
      </c>
      <c r="AF160"/>
      <c r="AG160" s="8">
        <v>14308.3385</v>
      </c>
      <c r="AH160" s="7">
        <v>0.03</v>
      </c>
      <c r="AI160"/>
      <c r="AJ160" s="8">
        <v>12365.6926</v>
      </c>
      <c r="AK160" s="7">
        <v>0.03</v>
      </c>
      <c r="AL160"/>
      <c r="AM160" s="8">
        <v>9171.1164000000008</v>
      </c>
      <c r="AN160" s="7">
        <v>0.03</v>
      </c>
    </row>
    <row r="161" spans="2:40" s="314" customFormat="1" ht="12.75" customHeight="1" x14ac:dyDescent="0.15">
      <c r="B161" s="5" t="s">
        <v>114</v>
      </c>
      <c r="C161" s="6">
        <v>13640.36</v>
      </c>
      <c r="D161" s="7">
        <v>2.4383199999999999E-3</v>
      </c>
      <c r="E161"/>
      <c r="F161" s="8">
        <v>2766.53</v>
      </c>
      <c r="G161" s="7">
        <v>9.9978900000000006E-3</v>
      </c>
      <c r="H161"/>
      <c r="I161" s="8">
        <v>3116.34</v>
      </c>
      <c r="J161" s="7">
        <v>9.9987300000000008E-3</v>
      </c>
      <c r="K161"/>
      <c r="L161" s="8">
        <v>4831.6099999999997</v>
      </c>
      <c r="M161" s="7">
        <v>9.9969699999999991E-3</v>
      </c>
      <c r="N161"/>
      <c r="O161" s="8">
        <v>2925.88</v>
      </c>
      <c r="P161" s="7">
        <v>9.9963800000000009E-3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147351.63449999999</v>
      </c>
      <c r="D162" s="327">
        <v>2.6340200000000001E-2</v>
      </c>
      <c r="E162"/>
      <c r="F162" s="326">
        <v>946.85</v>
      </c>
      <c r="G162" s="327">
        <v>3.4218E-3</v>
      </c>
      <c r="H162"/>
      <c r="I162" s="326">
        <v>27071.72</v>
      </c>
      <c r="J162" s="327">
        <v>8.6859249999999999E-2</v>
      </c>
      <c r="K162"/>
      <c r="L162" s="326">
        <v>0</v>
      </c>
      <c r="M162" s="327">
        <v>0</v>
      </c>
      <c r="N162"/>
      <c r="O162" s="326">
        <v>12990.23</v>
      </c>
      <c r="P162" s="327">
        <v>4.4381619999999997E-2</v>
      </c>
      <c r="Q162"/>
      <c r="R162" s="326">
        <v>13848.4995</v>
      </c>
      <c r="S162" s="327">
        <v>2.489893E-2</v>
      </c>
      <c r="T162"/>
      <c r="U162" s="326">
        <v>12380.175499999999</v>
      </c>
      <c r="V162" s="327">
        <v>2.1692920000000001E-2</v>
      </c>
      <c r="W162"/>
      <c r="X162" s="326">
        <v>11093.052</v>
      </c>
      <c r="Y162" s="327">
        <v>2.1608889999999999E-2</v>
      </c>
      <c r="Z162"/>
      <c r="AA162" s="326">
        <v>14586.555</v>
      </c>
      <c r="AB162" s="327">
        <v>2.2971040000000002E-2</v>
      </c>
      <c r="AC162"/>
      <c r="AD162" s="326">
        <v>18659.39</v>
      </c>
      <c r="AE162" s="327">
        <v>2.4561369999999999E-2</v>
      </c>
      <c r="AF162"/>
      <c r="AG162" s="326">
        <v>12518.352500000001</v>
      </c>
      <c r="AH162" s="327">
        <v>2.6246970000000001E-2</v>
      </c>
      <c r="AI162"/>
      <c r="AJ162" s="326">
        <v>13126.525</v>
      </c>
      <c r="AK162" s="327">
        <v>3.1845829999999999E-2</v>
      </c>
      <c r="AL162"/>
      <c r="AM162" s="326">
        <v>10130.285</v>
      </c>
      <c r="AN162" s="327">
        <v>3.3137569999999998E-2</v>
      </c>
    </row>
    <row r="163" spans="2:40" s="314" customFormat="1" ht="12.75" customHeight="1" x14ac:dyDescent="0.15">
      <c r="B163" s="5" t="s">
        <v>116</v>
      </c>
      <c r="C163" s="6">
        <v>80310.105500000005</v>
      </c>
      <c r="D163" s="7">
        <v>1.4356030000000001E-2</v>
      </c>
      <c r="E163"/>
      <c r="F163" s="8">
        <v>0</v>
      </c>
      <c r="G163" s="7">
        <v>0</v>
      </c>
      <c r="H163"/>
      <c r="I163" s="8">
        <v>19080.18</v>
      </c>
      <c r="J163" s="7">
        <v>6.1218500000000002E-2</v>
      </c>
      <c r="K163"/>
      <c r="L163" s="8">
        <v>0</v>
      </c>
      <c r="M163" s="7">
        <v>0</v>
      </c>
      <c r="N163"/>
      <c r="O163" s="8">
        <v>7793.63</v>
      </c>
      <c r="P163" s="7">
        <v>2.662724E-2</v>
      </c>
      <c r="Q163"/>
      <c r="R163" s="8">
        <v>6978.7304999999997</v>
      </c>
      <c r="S163" s="7">
        <v>1.254742E-2</v>
      </c>
      <c r="T163"/>
      <c r="U163" s="8">
        <v>6188.0945000000002</v>
      </c>
      <c r="V163" s="7">
        <v>1.084297E-2</v>
      </c>
      <c r="W163"/>
      <c r="X163" s="8">
        <v>5495.0280000000002</v>
      </c>
      <c r="Y163" s="7">
        <v>1.0704129999999999E-2</v>
      </c>
      <c r="Z163"/>
      <c r="AA163" s="8">
        <v>7376.1450000000004</v>
      </c>
      <c r="AB163" s="7">
        <v>1.1616019999999999E-2</v>
      </c>
      <c r="AC163"/>
      <c r="AD163" s="8">
        <v>9569.2099999999991</v>
      </c>
      <c r="AE163" s="7">
        <v>1.259596E-2</v>
      </c>
      <c r="AF163"/>
      <c r="AG163" s="8">
        <v>6262.4975000000004</v>
      </c>
      <c r="AH163" s="7">
        <v>1.313045E-2</v>
      </c>
      <c r="AI163"/>
      <c r="AJ163" s="8">
        <v>6589.9750000000004</v>
      </c>
      <c r="AK163" s="7">
        <v>1.598772E-2</v>
      </c>
      <c r="AL163"/>
      <c r="AM163" s="8">
        <v>4976.6149999999998</v>
      </c>
      <c r="AN163" s="7">
        <v>1.6279200000000001E-2</v>
      </c>
    </row>
    <row r="164" spans="2:40" s="314" customFormat="1" ht="12.75" customHeight="1" x14ac:dyDescent="0.15">
      <c r="B164" s="5" t="s">
        <v>117</v>
      </c>
      <c r="C164" s="6">
        <v>48947.152499999997</v>
      </c>
      <c r="D164" s="7">
        <v>8.7496700000000011E-3</v>
      </c>
      <c r="E164"/>
      <c r="F164" s="8">
        <v>0</v>
      </c>
      <c r="G164" s="7">
        <v>0</v>
      </c>
      <c r="H164"/>
      <c r="I164" s="8">
        <v>6331.53</v>
      </c>
      <c r="J164" s="7">
        <v>2.031463E-2</v>
      </c>
      <c r="K164"/>
      <c r="L164" s="8">
        <v>0</v>
      </c>
      <c r="M164" s="7">
        <v>0</v>
      </c>
      <c r="N164"/>
      <c r="O164" s="8">
        <v>5046.84</v>
      </c>
      <c r="P164" s="7">
        <v>1.724272E-2</v>
      </c>
      <c r="Q164"/>
      <c r="R164" s="8">
        <v>4909.8074999999999</v>
      </c>
      <c r="S164" s="7">
        <v>8.8275899999999997E-3</v>
      </c>
      <c r="T164"/>
      <c r="U164" s="8">
        <v>4345.0675000000001</v>
      </c>
      <c r="V164" s="7">
        <v>7.6135600000000001E-3</v>
      </c>
      <c r="W164"/>
      <c r="X164" s="8">
        <v>3850.02</v>
      </c>
      <c r="Y164" s="7">
        <v>7.4997100000000006E-3</v>
      </c>
      <c r="Z164"/>
      <c r="AA164" s="8">
        <v>5193.6750000000002</v>
      </c>
      <c r="AB164" s="7">
        <v>8.1790500000000002E-3</v>
      </c>
      <c r="AC164"/>
      <c r="AD164" s="8">
        <v>6760.15</v>
      </c>
      <c r="AE164" s="7">
        <v>8.8983900000000008E-3</v>
      </c>
      <c r="AF164"/>
      <c r="AG164" s="8">
        <v>4398.2124999999996</v>
      </c>
      <c r="AH164" s="7">
        <v>9.2216399999999997E-3</v>
      </c>
      <c r="AI164"/>
      <c r="AJ164" s="8">
        <v>4632.125</v>
      </c>
      <c r="AK164" s="7">
        <v>1.1237850000000001E-2</v>
      </c>
      <c r="AL164"/>
      <c r="AM164" s="8">
        <v>3479.7249999999999</v>
      </c>
      <c r="AN164" s="7">
        <v>1.1382669999999999E-2</v>
      </c>
    </row>
    <row r="165" spans="2:40" s="314" customFormat="1" ht="12.75" customHeight="1" x14ac:dyDescent="0.15">
      <c r="B165" s="5" t="s">
        <v>118</v>
      </c>
      <c r="C165" s="6">
        <v>10580.62</v>
      </c>
      <c r="D165" s="7">
        <v>1.8913599999999999E-3</v>
      </c>
      <c r="E165"/>
      <c r="F165" s="8">
        <v>946.85</v>
      </c>
      <c r="G165" s="7">
        <v>3.4218E-3</v>
      </c>
      <c r="H165"/>
      <c r="I165" s="8">
        <v>1660.01</v>
      </c>
      <c r="J165" s="7">
        <v>5.3261200000000002E-3</v>
      </c>
      <c r="K165"/>
      <c r="L165" s="8">
        <v>0</v>
      </c>
      <c r="M165" s="7">
        <v>0</v>
      </c>
      <c r="N165"/>
      <c r="O165" s="8">
        <v>149.76</v>
      </c>
      <c r="P165" s="7">
        <v>5.1166000000000004E-4</v>
      </c>
      <c r="Q165"/>
      <c r="R165" s="8">
        <v>978</v>
      </c>
      <c r="S165" s="7">
        <v>1.7584E-3</v>
      </c>
      <c r="T165"/>
      <c r="U165" s="8">
        <v>978</v>
      </c>
      <c r="V165" s="7">
        <v>1.71368E-3</v>
      </c>
      <c r="W165"/>
      <c r="X165" s="8">
        <v>978</v>
      </c>
      <c r="Y165" s="7">
        <v>1.90511E-3</v>
      </c>
      <c r="Z165"/>
      <c r="AA165" s="8">
        <v>978</v>
      </c>
      <c r="AB165" s="7">
        <v>1.5401600000000001E-3</v>
      </c>
      <c r="AC165"/>
      <c r="AD165" s="8">
        <v>978</v>
      </c>
      <c r="AE165" s="7">
        <v>1.2873400000000001E-3</v>
      </c>
      <c r="AF165"/>
      <c r="AG165" s="8">
        <v>978</v>
      </c>
      <c r="AH165" s="7">
        <v>2.0505499999999999E-3</v>
      </c>
      <c r="AI165"/>
      <c r="AJ165" s="8">
        <v>978</v>
      </c>
      <c r="AK165" s="7">
        <v>2.3726900000000002E-3</v>
      </c>
      <c r="AL165"/>
      <c r="AM165" s="8">
        <v>978</v>
      </c>
      <c r="AN165" s="7">
        <v>3.1991699999999999E-3</v>
      </c>
    </row>
    <row r="166" spans="2:40" s="314" customFormat="1" ht="12.75" customHeight="1" x14ac:dyDescent="0.15">
      <c r="B166" s="5" t="s">
        <v>119</v>
      </c>
      <c r="C166" s="6">
        <v>7513.7565000000004</v>
      </c>
      <c r="D166" s="7">
        <v>1.34314E-3</v>
      </c>
      <c r="E166"/>
      <c r="F166" s="8">
        <v>0</v>
      </c>
      <c r="G166" s="7">
        <v>0</v>
      </c>
      <c r="H166"/>
      <c r="I166" s="8">
        <v>0</v>
      </c>
      <c r="J166" s="7">
        <v>0</v>
      </c>
      <c r="K166"/>
      <c r="L166" s="8">
        <v>0</v>
      </c>
      <c r="M166" s="7">
        <v>0</v>
      </c>
      <c r="N166"/>
      <c r="O166" s="8">
        <v>0</v>
      </c>
      <c r="P166" s="7">
        <v>0</v>
      </c>
      <c r="Q166"/>
      <c r="R166" s="8">
        <v>981.9615</v>
      </c>
      <c r="S166" s="7">
        <v>1.76552E-3</v>
      </c>
      <c r="T166"/>
      <c r="U166" s="8">
        <v>869.01350000000002</v>
      </c>
      <c r="V166" s="7">
        <v>1.52271E-3</v>
      </c>
      <c r="W166"/>
      <c r="X166" s="8">
        <v>770.00400000000002</v>
      </c>
      <c r="Y166" s="7">
        <v>1.49994E-3</v>
      </c>
      <c r="Z166"/>
      <c r="AA166" s="8">
        <v>1038.7349999999999</v>
      </c>
      <c r="AB166" s="7">
        <v>1.6358099999999999E-3</v>
      </c>
      <c r="AC166"/>
      <c r="AD166" s="8">
        <v>1352.03</v>
      </c>
      <c r="AE166" s="7">
        <v>1.7796800000000001E-3</v>
      </c>
      <c r="AF166"/>
      <c r="AG166" s="8">
        <v>879.64250000000004</v>
      </c>
      <c r="AH166" s="7">
        <v>1.8443299999999999E-3</v>
      </c>
      <c r="AI166"/>
      <c r="AJ166" s="8">
        <v>926.42499999999995</v>
      </c>
      <c r="AK166" s="7">
        <v>2.2475699999999999E-3</v>
      </c>
      <c r="AL166"/>
      <c r="AM166" s="8">
        <v>695.94500000000005</v>
      </c>
      <c r="AN166" s="7">
        <v>2.2765300000000001E-3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609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94C5-9F3B-48EF-AC6E-1BDC607419C6}">
  <sheetPr>
    <pageSetUpPr fitToPage="1"/>
  </sheetPr>
  <dimension ref="B2:AN168"/>
  <sheetViews>
    <sheetView workbookViewId="0">
      <pane xSplit="2" ySplit="10" topLeftCell="C11" activePane="bottomRight" state="frozen"/>
      <selection activeCell="A11" sqref="A11:XFD168"/>
      <selection pane="topRight" activeCell="A11" sqref="A11:XFD168"/>
      <selection pane="bottomLeft" activeCell="A11" sqref="A11:XFD16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155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3378565.5660000001</v>
      </c>
      <c r="D11" s="7">
        <v>1</v>
      </c>
      <c r="E11"/>
      <c r="F11" s="6">
        <v>99523.45</v>
      </c>
      <c r="G11" s="7">
        <v>1</v>
      </c>
      <c r="H11"/>
      <c r="I11" s="6">
        <v>117809.94</v>
      </c>
      <c r="J11" s="7">
        <v>1</v>
      </c>
      <c r="K11"/>
      <c r="L11" s="6">
        <v>186644.79</v>
      </c>
      <c r="M11" s="7">
        <v>1</v>
      </c>
      <c r="N11"/>
      <c r="O11" s="6">
        <v>265494.83</v>
      </c>
      <c r="P11" s="7">
        <v>1</v>
      </c>
      <c r="Q11"/>
      <c r="R11" s="6">
        <v>396994.24440000003</v>
      </c>
      <c r="S11" s="7">
        <v>1</v>
      </c>
      <c r="T11"/>
      <c r="U11" s="6">
        <v>512360.15600000002</v>
      </c>
      <c r="V11" s="7">
        <v>1</v>
      </c>
      <c r="W11"/>
      <c r="X11" s="6">
        <v>607943.47660000005</v>
      </c>
      <c r="Y11" s="7">
        <v>1</v>
      </c>
      <c r="Z11"/>
      <c r="AA11" s="6">
        <v>639069.5233</v>
      </c>
      <c r="AB11" s="7">
        <v>1</v>
      </c>
      <c r="AC11"/>
      <c r="AD11" s="6">
        <v>552725.1557</v>
      </c>
      <c r="AE11" s="7">
        <v>1</v>
      </c>
      <c r="AF11"/>
      <c r="AG11" s="6">
        <v>0</v>
      </c>
      <c r="AH11" s="7">
        <v>0</v>
      </c>
      <c r="AI11"/>
      <c r="AJ11" s="6">
        <v>0</v>
      </c>
      <c r="AK11" s="7">
        <v>0</v>
      </c>
      <c r="AL11"/>
      <c r="AM11" s="6">
        <v>0</v>
      </c>
      <c r="AN11" s="7">
        <v>0</v>
      </c>
    </row>
    <row r="12" spans="2:40" s="314" customFormat="1" ht="12.75" customHeight="1" x14ac:dyDescent="0.15">
      <c r="B12" s="5" t="s">
        <v>22</v>
      </c>
      <c r="C12" s="6">
        <v>1713631.5512000001</v>
      </c>
      <c r="D12" s="7">
        <v>0.50720683999999994</v>
      </c>
      <c r="E12"/>
      <c r="F12" s="6">
        <v>150274.35</v>
      </c>
      <c r="G12" s="7">
        <v>1.5099391099999999</v>
      </c>
      <c r="H12"/>
      <c r="I12" s="6">
        <v>107513.45</v>
      </c>
      <c r="J12" s="7">
        <v>0.91260084000000008</v>
      </c>
      <c r="K12"/>
      <c r="L12" s="6">
        <v>142927.76</v>
      </c>
      <c r="M12" s="7">
        <v>0.76577416999999992</v>
      </c>
      <c r="N12"/>
      <c r="O12" s="6">
        <v>132909.82</v>
      </c>
      <c r="P12" s="7">
        <v>0.50061171000000004</v>
      </c>
      <c r="Q12"/>
      <c r="R12" s="6">
        <v>138677.02179999999</v>
      </c>
      <c r="S12" s="7">
        <v>0.34931746000000002</v>
      </c>
      <c r="T12"/>
      <c r="U12" s="6">
        <v>188121.81940000001</v>
      </c>
      <c r="V12" s="7">
        <v>0.36716715</v>
      </c>
      <c r="W12"/>
      <c r="X12" s="6">
        <v>198911.88819999999</v>
      </c>
      <c r="Y12" s="7">
        <v>0.32718813000000002</v>
      </c>
      <c r="Z12"/>
      <c r="AA12" s="6">
        <v>182859.03779999999</v>
      </c>
      <c r="AB12" s="7">
        <v>0.28613325000000001</v>
      </c>
      <c r="AC12"/>
      <c r="AD12" s="6">
        <v>176482.8474</v>
      </c>
      <c r="AE12" s="7">
        <v>0.31929584999999999</v>
      </c>
      <c r="AF12"/>
      <c r="AG12" s="6">
        <v>122490.1525</v>
      </c>
      <c r="AH12" s="7">
        <v>0</v>
      </c>
      <c r="AI12"/>
      <c r="AJ12" s="6">
        <v>89177.913</v>
      </c>
      <c r="AK12" s="7">
        <v>0</v>
      </c>
      <c r="AL12"/>
      <c r="AM12" s="6">
        <v>83285.491099999999</v>
      </c>
      <c r="AN12" s="7">
        <v>0</v>
      </c>
    </row>
    <row r="13" spans="2:40" s="314" customFormat="1" ht="12.75" customHeight="1" x14ac:dyDescent="0.15">
      <c r="B13" s="5" t="s">
        <v>23</v>
      </c>
      <c r="C13" s="6">
        <v>283875.75410000002</v>
      </c>
      <c r="D13" s="7">
        <v>0</v>
      </c>
      <c r="E13"/>
      <c r="F13" s="6">
        <v>-153646.54</v>
      </c>
      <c r="G13" s="7">
        <v>0</v>
      </c>
      <c r="H13"/>
      <c r="I13" s="6">
        <v>-87274.49</v>
      </c>
      <c r="J13" s="7">
        <v>0</v>
      </c>
      <c r="K13"/>
      <c r="L13" s="6">
        <v>-32840.61</v>
      </c>
      <c r="M13" s="7">
        <v>0</v>
      </c>
      <c r="N13"/>
      <c r="O13" s="6">
        <v>16045.51</v>
      </c>
      <c r="P13" s="7">
        <v>0</v>
      </c>
      <c r="Q13"/>
      <c r="R13" s="6">
        <v>129895.7939</v>
      </c>
      <c r="S13" s="7">
        <v>0</v>
      </c>
      <c r="T13"/>
      <c r="U13" s="6">
        <v>141757.59080000001</v>
      </c>
      <c r="V13" s="7">
        <v>0</v>
      </c>
      <c r="W13"/>
      <c r="X13" s="6">
        <v>204242.13500000001</v>
      </c>
      <c r="Y13" s="7">
        <v>0</v>
      </c>
      <c r="Z13"/>
      <c r="AA13" s="6">
        <v>258703.0484</v>
      </c>
      <c r="AB13" s="7">
        <v>0</v>
      </c>
      <c r="AC13"/>
      <c r="AD13" s="6">
        <v>211657.2726</v>
      </c>
      <c r="AE13" s="7">
        <v>0</v>
      </c>
      <c r="AF13"/>
      <c r="AG13" s="6">
        <v>-163641.95250000001</v>
      </c>
      <c r="AH13" s="7">
        <v>0</v>
      </c>
      <c r="AI13"/>
      <c r="AJ13" s="6">
        <v>-125354.713</v>
      </c>
      <c r="AK13" s="7">
        <v>0</v>
      </c>
      <c r="AL13"/>
      <c r="AM13" s="6">
        <v>-115667.2911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33215</v>
      </c>
      <c r="D14" s="7">
        <v>0</v>
      </c>
      <c r="E14"/>
      <c r="F14" s="8">
        <v>2821</v>
      </c>
      <c r="G14" s="7">
        <v>0</v>
      </c>
      <c r="H14"/>
      <c r="I14" s="8">
        <v>2548</v>
      </c>
      <c r="J14" s="7">
        <v>0</v>
      </c>
      <c r="K14"/>
      <c r="L14" s="8">
        <v>2821</v>
      </c>
      <c r="M14" s="7">
        <v>0</v>
      </c>
      <c r="N14"/>
      <c r="O14" s="8">
        <v>2730</v>
      </c>
      <c r="P14" s="7">
        <v>0</v>
      </c>
      <c r="Q14"/>
      <c r="R14" s="8">
        <v>2821</v>
      </c>
      <c r="S14" s="7">
        <v>0</v>
      </c>
      <c r="T14"/>
      <c r="U14" s="8">
        <v>2730</v>
      </c>
      <c r="V14" s="7">
        <v>0</v>
      </c>
      <c r="W14"/>
      <c r="X14" s="8">
        <v>2821</v>
      </c>
      <c r="Y14" s="7">
        <v>0</v>
      </c>
      <c r="Z14"/>
      <c r="AA14" s="8">
        <v>2821</v>
      </c>
      <c r="AB14" s="7">
        <v>0</v>
      </c>
      <c r="AC14"/>
      <c r="AD14" s="8">
        <v>2730</v>
      </c>
      <c r="AE14" s="7">
        <v>0</v>
      </c>
      <c r="AF14"/>
      <c r="AG14" s="8">
        <v>2821</v>
      </c>
      <c r="AH14" s="7">
        <v>0</v>
      </c>
      <c r="AI14"/>
      <c r="AJ14" s="8">
        <v>2730</v>
      </c>
      <c r="AK14" s="7">
        <v>0</v>
      </c>
      <c r="AL14"/>
      <c r="AM14" s="8">
        <v>2821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14496</v>
      </c>
      <c r="D15" s="7">
        <v>0</v>
      </c>
      <c r="E15"/>
      <c r="F15" s="9">
        <v>588</v>
      </c>
      <c r="G15" s="7">
        <v>0</v>
      </c>
      <c r="H15"/>
      <c r="I15" s="9">
        <v>732</v>
      </c>
      <c r="J15" s="7">
        <v>0</v>
      </c>
      <c r="K15"/>
      <c r="L15" s="9">
        <v>1298</v>
      </c>
      <c r="M15" s="7">
        <v>0</v>
      </c>
      <c r="N15"/>
      <c r="O15" s="9">
        <v>1336</v>
      </c>
      <c r="P15" s="7">
        <v>0</v>
      </c>
      <c r="Q15"/>
      <c r="R15" s="9">
        <v>1609</v>
      </c>
      <c r="S15" s="7">
        <v>0</v>
      </c>
      <c r="T15"/>
      <c r="U15" s="9">
        <v>2136</v>
      </c>
      <c r="V15" s="7">
        <v>0</v>
      </c>
      <c r="W15"/>
      <c r="X15" s="9">
        <v>2320</v>
      </c>
      <c r="Y15" s="7">
        <v>0</v>
      </c>
      <c r="Z15"/>
      <c r="AA15" s="9">
        <v>2228</v>
      </c>
      <c r="AB15" s="7">
        <v>0</v>
      </c>
      <c r="AC15"/>
      <c r="AD15" s="9">
        <v>2249</v>
      </c>
      <c r="AE15" s="7">
        <v>0</v>
      </c>
      <c r="AF15"/>
      <c r="AG15" s="9">
        <v>0</v>
      </c>
      <c r="AH15" s="7">
        <v>0</v>
      </c>
      <c r="AI15"/>
      <c r="AJ15" s="9">
        <v>0</v>
      </c>
      <c r="AK15" s="7">
        <v>0</v>
      </c>
      <c r="AL15"/>
      <c r="AM15" s="9">
        <v>0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43.697124793015</v>
      </c>
      <c r="D16" s="7">
        <v>0</v>
      </c>
      <c r="E16"/>
      <c r="F16" s="8">
        <v>20.914569301665999</v>
      </c>
      <c r="G16" s="7">
        <v>0</v>
      </c>
      <c r="H16"/>
      <c r="I16" s="8">
        <v>28.767660910518</v>
      </c>
      <c r="J16" s="7">
        <v>0</v>
      </c>
      <c r="K16"/>
      <c r="L16" s="8">
        <v>46.189294576390999</v>
      </c>
      <c r="M16" s="7">
        <v>0</v>
      </c>
      <c r="N16"/>
      <c r="O16" s="8">
        <v>49.230769230768999</v>
      </c>
      <c r="P16" s="7">
        <v>0</v>
      </c>
      <c r="Q16"/>
      <c r="R16" s="8">
        <v>57.036511875221997</v>
      </c>
      <c r="S16" s="7">
        <v>0</v>
      </c>
      <c r="T16"/>
      <c r="U16" s="8">
        <v>78.241758241758006</v>
      </c>
      <c r="V16" s="7">
        <v>0</v>
      </c>
      <c r="W16"/>
      <c r="X16" s="8">
        <v>82.240340304856005</v>
      </c>
      <c r="Y16" s="7">
        <v>0</v>
      </c>
      <c r="Z16"/>
      <c r="AA16" s="8">
        <v>78.979085430698007</v>
      </c>
      <c r="AB16" s="7">
        <v>0</v>
      </c>
      <c r="AC16"/>
      <c r="AD16" s="8">
        <v>82.454212454211998</v>
      </c>
      <c r="AE16" s="7">
        <v>0</v>
      </c>
      <c r="AF16"/>
      <c r="AG16" s="8">
        <v>0</v>
      </c>
      <c r="AH16" s="7">
        <v>0</v>
      </c>
      <c r="AI16"/>
      <c r="AJ16" s="8">
        <v>0</v>
      </c>
      <c r="AK16" s="7">
        <v>0</v>
      </c>
      <c r="AL16"/>
      <c r="AM16" s="8">
        <v>0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201.72019798565</v>
      </c>
      <c r="D17" s="7">
        <v>0</v>
      </c>
      <c r="E17"/>
      <c r="F17" s="9">
        <v>137.08590136053999</v>
      </c>
      <c r="G17" s="7">
        <v>0</v>
      </c>
      <c r="H17"/>
      <c r="I17" s="9">
        <v>119.83889344262001</v>
      </c>
      <c r="J17" s="7">
        <v>0</v>
      </c>
      <c r="K17"/>
      <c r="L17" s="9">
        <v>115.60855161787001</v>
      </c>
      <c r="M17" s="7">
        <v>0</v>
      </c>
      <c r="N17"/>
      <c r="O17" s="9">
        <v>173.31674401198001</v>
      </c>
      <c r="P17" s="7">
        <v>0</v>
      </c>
      <c r="Q17"/>
      <c r="R17" s="9">
        <v>214.67005593536001</v>
      </c>
      <c r="S17" s="7">
        <v>0</v>
      </c>
      <c r="T17"/>
      <c r="U17" s="9">
        <v>211.72125468165001</v>
      </c>
      <c r="V17" s="7">
        <v>0</v>
      </c>
      <c r="W17"/>
      <c r="X17" s="9">
        <v>232.19469827585999</v>
      </c>
      <c r="Y17" s="7">
        <v>0</v>
      </c>
      <c r="Z17"/>
      <c r="AA17" s="9">
        <v>252.64246858169</v>
      </c>
      <c r="AB17" s="7">
        <v>0</v>
      </c>
      <c r="AC17"/>
      <c r="AD17" s="9">
        <v>211.19453090261999</v>
      </c>
      <c r="AE17" s="7">
        <v>0</v>
      </c>
      <c r="AF17"/>
      <c r="AG17" s="9">
        <v>0</v>
      </c>
      <c r="AH17" s="7">
        <v>0</v>
      </c>
      <c r="AI17"/>
      <c r="AJ17" s="9">
        <v>0</v>
      </c>
      <c r="AK17" s="7">
        <v>0</v>
      </c>
      <c r="AL17"/>
      <c r="AM17" s="9">
        <v>0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86.495369561944997</v>
      </c>
      <c r="D18" s="7">
        <v>0</v>
      </c>
      <c r="E18"/>
      <c r="F18" s="6">
        <v>27.779266217652999</v>
      </c>
      <c r="G18" s="7">
        <v>0</v>
      </c>
      <c r="H18"/>
      <c r="I18" s="6">
        <v>33.111624803768002</v>
      </c>
      <c r="J18" s="7">
        <v>0</v>
      </c>
      <c r="K18"/>
      <c r="L18" s="6">
        <v>52.362899680963999</v>
      </c>
      <c r="M18" s="7">
        <v>0</v>
      </c>
      <c r="N18"/>
      <c r="O18" s="6">
        <v>83.808750915751006</v>
      </c>
      <c r="P18" s="7">
        <v>0</v>
      </c>
      <c r="Q18"/>
      <c r="R18" s="6">
        <v>119.6044381425</v>
      </c>
      <c r="S18" s="7">
        <v>0</v>
      </c>
      <c r="T18"/>
      <c r="U18" s="6">
        <v>164.18923076922999</v>
      </c>
      <c r="V18" s="7">
        <v>0</v>
      </c>
      <c r="W18"/>
      <c r="X18" s="6">
        <v>188.29907834100999</v>
      </c>
      <c r="Y18" s="7">
        <v>0</v>
      </c>
      <c r="Z18"/>
      <c r="AA18" s="6">
        <v>195.28090038993</v>
      </c>
      <c r="AB18" s="7">
        <v>0</v>
      </c>
      <c r="AC18"/>
      <c r="AD18" s="6">
        <v>170.68736263736</v>
      </c>
      <c r="AE18" s="7">
        <v>0</v>
      </c>
      <c r="AF18"/>
      <c r="AG18" s="6">
        <v>0</v>
      </c>
      <c r="AH18" s="7">
        <v>0</v>
      </c>
      <c r="AI18"/>
      <c r="AJ18" s="6">
        <v>0</v>
      </c>
      <c r="AK18" s="7">
        <v>0</v>
      </c>
      <c r="AL18"/>
      <c r="AM18" s="6">
        <v>0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101.71806611471</v>
      </c>
      <c r="D19" s="7">
        <v>0</v>
      </c>
      <c r="E19"/>
      <c r="F19" s="9">
        <v>35.279493087558002</v>
      </c>
      <c r="G19" s="7">
        <v>0</v>
      </c>
      <c r="H19"/>
      <c r="I19" s="9">
        <v>46.236240188383</v>
      </c>
      <c r="J19" s="7">
        <v>0</v>
      </c>
      <c r="K19"/>
      <c r="L19" s="9">
        <v>66.162633817794998</v>
      </c>
      <c r="M19" s="7">
        <v>0</v>
      </c>
      <c r="N19"/>
      <c r="O19" s="9">
        <v>97.250853479853006</v>
      </c>
      <c r="P19" s="7">
        <v>0</v>
      </c>
      <c r="Q19"/>
      <c r="R19" s="9">
        <v>140.72819723501999</v>
      </c>
      <c r="S19" s="7">
        <v>0</v>
      </c>
      <c r="T19"/>
      <c r="U19" s="9">
        <v>187.67771282051001</v>
      </c>
      <c r="V19" s="7">
        <v>0</v>
      </c>
      <c r="W19"/>
      <c r="X19" s="9">
        <v>215.50637242113001</v>
      </c>
      <c r="Y19" s="7">
        <v>0</v>
      </c>
      <c r="Z19"/>
      <c r="AA19" s="9">
        <v>226.54006497696</v>
      </c>
      <c r="AB19" s="7">
        <v>0</v>
      </c>
      <c r="AC19"/>
      <c r="AD19" s="9">
        <v>202.46342699633999</v>
      </c>
      <c r="AE19" s="7">
        <v>0</v>
      </c>
      <c r="AF19"/>
      <c r="AG19" s="9">
        <v>0</v>
      </c>
      <c r="AH19" s="7">
        <v>0</v>
      </c>
      <c r="AI19"/>
      <c r="AJ19" s="9">
        <v>0</v>
      </c>
      <c r="AK19" s="7">
        <v>0</v>
      </c>
      <c r="AL19"/>
      <c r="AM19" s="9">
        <v>0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25474.95</v>
      </c>
      <c r="D20" s="7">
        <v>0</v>
      </c>
      <c r="E20"/>
      <c r="F20" s="8">
        <v>1069</v>
      </c>
      <c r="G20" s="7">
        <v>0</v>
      </c>
      <c r="H20"/>
      <c r="I20" s="8">
        <v>1308</v>
      </c>
      <c r="J20" s="7">
        <v>0</v>
      </c>
      <c r="K20"/>
      <c r="L20" s="8">
        <v>2268</v>
      </c>
      <c r="M20" s="7">
        <v>0</v>
      </c>
      <c r="N20"/>
      <c r="O20" s="8">
        <v>2338</v>
      </c>
      <c r="P20" s="7">
        <v>0</v>
      </c>
      <c r="Q20"/>
      <c r="R20" s="8">
        <v>2750.95</v>
      </c>
      <c r="S20" s="7">
        <v>0</v>
      </c>
      <c r="T20"/>
      <c r="U20" s="8">
        <v>3756.5</v>
      </c>
      <c r="V20" s="7">
        <v>0</v>
      </c>
      <c r="W20"/>
      <c r="X20" s="8">
        <v>4356.8999999999996</v>
      </c>
      <c r="Y20" s="7">
        <v>0</v>
      </c>
      <c r="Z20"/>
      <c r="AA20" s="8">
        <v>3905.65</v>
      </c>
      <c r="AB20" s="7">
        <v>0</v>
      </c>
      <c r="AC20"/>
      <c r="AD20" s="8">
        <v>3721.95</v>
      </c>
      <c r="AE20" s="7">
        <v>0</v>
      </c>
      <c r="AF20"/>
      <c r="AG20" s="8">
        <v>0</v>
      </c>
      <c r="AH20" s="7">
        <v>0</v>
      </c>
      <c r="AI20"/>
      <c r="AJ20" s="8">
        <v>0</v>
      </c>
      <c r="AK20" s="7">
        <v>0</v>
      </c>
      <c r="AL20"/>
      <c r="AM20" s="8">
        <v>0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1.7551984291028999</v>
      </c>
      <c r="D21" s="7">
        <v>0</v>
      </c>
      <c r="E21"/>
      <c r="F21" s="9">
        <v>1.8118644067797001</v>
      </c>
      <c r="G21" s="7">
        <v>0</v>
      </c>
      <c r="H21"/>
      <c r="I21" s="9">
        <v>1.7844474761255</v>
      </c>
      <c r="J21" s="7">
        <v>0</v>
      </c>
      <c r="K21"/>
      <c r="L21" s="9">
        <v>1.7405986185725</v>
      </c>
      <c r="M21" s="7">
        <v>0</v>
      </c>
      <c r="N21"/>
      <c r="O21" s="9">
        <v>1.7395833333333</v>
      </c>
      <c r="P21" s="7">
        <v>0</v>
      </c>
      <c r="Q21"/>
      <c r="R21" s="9">
        <v>1.7097265382225</v>
      </c>
      <c r="S21" s="7">
        <v>0</v>
      </c>
      <c r="T21"/>
      <c r="U21" s="9">
        <v>1.7586610486890999</v>
      </c>
      <c r="V21" s="7">
        <v>0</v>
      </c>
      <c r="W21"/>
      <c r="X21" s="9">
        <v>1.877974137931</v>
      </c>
      <c r="Y21" s="7">
        <v>0</v>
      </c>
      <c r="Z21"/>
      <c r="AA21" s="9">
        <v>1.7529847396767999</v>
      </c>
      <c r="AB21" s="7">
        <v>0</v>
      </c>
      <c r="AC21"/>
      <c r="AD21" s="9">
        <v>1.6534651266103999</v>
      </c>
      <c r="AE21" s="7">
        <v>0</v>
      </c>
      <c r="AF21"/>
      <c r="AG21" s="9">
        <v>0</v>
      </c>
      <c r="AH21" s="7">
        <v>0</v>
      </c>
      <c r="AI21"/>
      <c r="AJ21" s="9">
        <v>0</v>
      </c>
      <c r="AK21" s="7">
        <v>0</v>
      </c>
      <c r="AL21"/>
      <c r="AM21" s="9">
        <v>0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0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0</v>
      </c>
      <c r="S22" s="7">
        <v>0</v>
      </c>
      <c r="T22"/>
      <c r="U22" s="8">
        <v>0</v>
      </c>
      <c r="V22" s="7">
        <v>0</v>
      </c>
      <c r="W22"/>
      <c r="X22" s="8">
        <v>0</v>
      </c>
      <c r="Y22" s="7">
        <v>0</v>
      </c>
      <c r="Z22"/>
      <c r="AA22" s="8">
        <v>0</v>
      </c>
      <c r="AB22" s="7">
        <v>0</v>
      </c>
      <c r="AC22"/>
      <c r="AD22" s="8">
        <v>0</v>
      </c>
      <c r="AE22" s="7">
        <v>0</v>
      </c>
      <c r="AF22"/>
      <c r="AG22" s="8">
        <v>0</v>
      </c>
      <c r="AH22" s="7">
        <v>0</v>
      </c>
      <c r="AI22"/>
      <c r="AJ22" s="8">
        <v>0</v>
      </c>
      <c r="AK22" s="7">
        <v>0</v>
      </c>
      <c r="AL22"/>
      <c r="AM22" s="8">
        <v>0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16.1233</v>
      </c>
      <c r="D23" s="7">
        <v>0</v>
      </c>
      <c r="E23"/>
      <c r="F23" s="8">
        <v>15.12</v>
      </c>
      <c r="G23" s="7">
        <v>0</v>
      </c>
      <c r="H23"/>
      <c r="I23" s="8">
        <v>15.12</v>
      </c>
      <c r="J23" s="7">
        <v>0</v>
      </c>
      <c r="K23"/>
      <c r="L23" s="8">
        <v>15.12</v>
      </c>
      <c r="M23" s="7">
        <v>0</v>
      </c>
      <c r="N23"/>
      <c r="O23" s="8">
        <v>12.12</v>
      </c>
      <c r="P23" s="7">
        <v>0</v>
      </c>
      <c r="Q23"/>
      <c r="R23" s="8">
        <v>17</v>
      </c>
      <c r="S23" s="7">
        <v>0</v>
      </c>
      <c r="T23"/>
      <c r="U23" s="8">
        <v>17</v>
      </c>
      <c r="V23" s="7">
        <v>0</v>
      </c>
      <c r="W23"/>
      <c r="X23" s="8">
        <v>17</v>
      </c>
      <c r="Y23" s="7">
        <v>0</v>
      </c>
      <c r="Z23"/>
      <c r="AA23" s="8">
        <v>17</v>
      </c>
      <c r="AB23" s="7">
        <v>0</v>
      </c>
      <c r="AC23"/>
      <c r="AD23" s="8">
        <v>17</v>
      </c>
      <c r="AE23" s="7">
        <v>0</v>
      </c>
      <c r="AF23"/>
      <c r="AG23" s="8">
        <v>17</v>
      </c>
      <c r="AH23" s="7">
        <v>0</v>
      </c>
      <c r="AI23"/>
      <c r="AJ23" s="8">
        <v>17</v>
      </c>
      <c r="AK23" s="7">
        <v>0</v>
      </c>
      <c r="AL23"/>
      <c r="AM23" s="8">
        <v>17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3378565.5660000001</v>
      </c>
      <c r="D27" s="327">
        <v>1</v>
      </c>
      <c r="E27"/>
      <c r="F27" s="326">
        <v>99523.45</v>
      </c>
      <c r="G27" s="327">
        <v>1</v>
      </c>
      <c r="H27"/>
      <c r="I27" s="326">
        <v>117809.94</v>
      </c>
      <c r="J27" s="327">
        <v>1</v>
      </c>
      <c r="K27"/>
      <c r="L27" s="326">
        <v>186644.79</v>
      </c>
      <c r="M27" s="327">
        <v>1</v>
      </c>
      <c r="N27"/>
      <c r="O27" s="326">
        <v>265494.83</v>
      </c>
      <c r="P27" s="327">
        <v>1</v>
      </c>
      <c r="Q27"/>
      <c r="R27" s="326">
        <v>396994.24440000003</v>
      </c>
      <c r="S27" s="327">
        <v>1</v>
      </c>
      <c r="T27"/>
      <c r="U27" s="326">
        <v>512360.15600000002</v>
      </c>
      <c r="V27" s="327">
        <v>1</v>
      </c>
      <c r="W27"/>
      <c r="X27" s="326">
        <v>607943.47660000005</v>
      </c>
      <c r="Y27" s="327">
        <v>1</v>
      </c>
      <c r="Z27"/>
      <c r="AA27" s="326">
        <v>639069.5233</v>
      </c>
      <c r="AB27" s="327">
        <v>1</v>
      </c>
      <c r="AC27"/>
      <c r="AD27" s="326">
        <v>552725.1557</v>
      </c>
      <c r="AE27" s="327">
        <v>1</v>
      </c>
      <c r="AF27"/>
      <c r="AG27" s="326">
        <v>0</v>
      </c>
      <c r="AH27" s="327">
        <v>0</v>
      </c>
      <c r="AI27"/>
      <c r="AJ27" s="326">
        <v>0</v>
      </c>
      <c r="AK27" s="327">
        <v>0</v>
      </c>
      <c r="AL27"/>
      <c r="AM27" s="326">
        <v>0</v>
      </c>
      <c r="AN27" s="327">
        <v>0</v>
      </c>
    </row>
    <row r="28" spans="2:40" s="314" customFormat="1" ht="12.75" customHeight="1" x14ac:dyDescent="0.15">
      <c r="B28" s="5" t="s">
        <v>35</v>
      </c>
      <c r="C28" s="8">
        <v>2924135.99</v>
      </c>
      <c r="D28" s="7">
        <v>0.86549629999999989</v>
      </c>
      <c r="E28"/>
      <c r="F28" s="8">
        <v>80606.509999999995</v>
      </c>
      <c r="G28" s="7">
        <v>0.8099248</v>
      </c>
      <c r="H28"/>
      <c r="I28" s="8">
        <v>87722.07</v>
      </c>
      <c r="J28" s="7">
        <v>0.7446066899999999</v>
      </c>
      <c r="K28"/>
      <c r="L28" s="8">
        <v>150059.9</v>
      </c>
      <c r="M28" s="7">
        <v>0.80398655000000008</v>
      </c>
      <c r="N28"/>
      <c r="O28" s="8">
        <v>231551.17</v>
      </c>
      <c r="P28" s="7">
        <v>0.87214944999999999</v>
      </c>
      <c r="Q28"/>
      <c r="R28" s="8">
        <v>345404.12</v>
      </c>
      <c r="S28" s="7">
        <v>0.87004817999999995</v>
      </c>
      <c r="T28"/>
      <c r="U28" s="8">
        <v>452236.6</v>
      </c>
      <c r="V28" s="7">
        <v>0.88265371999999997</v>
      </c>
      <c r="W28"/>
      <c r="X28" s="8">
        <v>538691.69999999995</v>
      </c>
      <c r="Y28" s="7">
        <v>0.88608845999999997</v>
      </c>
      <c r="Z28"/>
      <c r="AA28" s="8">
        <v>562887.42000000004</v>
      </c>
      <c r="AB28" s="7">
        <v>0.88079215</v>
      </c>
      <c r="AC28"/>
      <c r="AD28" s="8">
        <v>474976.5</v>
      </c>
      <c r="AE28" s="7">
        <v>0.85933576999999994</v>
      </c>
      <c r="AF28"/>
      <c r="AG28" s="8">
        <v>0</v>
      </c>
      <c r="AH28" s="7">
        <v>0</v>
      </c>
      <c r="AI28"/>
      <c r="AJ28" s="8">
        <v>0</v>
      </c>
      <c r="AK28" s="7">
        <v>0</v>
      </c>
      <c r="AL28"/>
      <c r="AM28" s="8">
        <v>0</v>
      </c>
      <c r="AN28" s="7">
        <v>0</v>
      </c>
    </row>
    <row r="29" spans="2:40" s="314" customFormat="1" ht="12.75" customHeight="1" x14ac:dyDescent="0.15">
      <c r="B29" s="5" t="s">
        <v>36</v>
      </c>
      <c r="C29" s="8">
        <v>366934.0539</v>
      </c>
      <c r="D29" s="7">
        <v>0.10860646</v>
      </c>
      <c r="E29"/>
      <c r="F29" s="8">
        <v>15095.54</v>
      </c>
      <c r="G29" s="7">
        <v>0.15167822</v>
      </c>
      <c r="H29"/>
      <c r="I29" s="8">
        <v>23530.26</v>
      </c>
      <c r="J29" s="7">
        <v>0.19973067999999999</v>
      </c>
      <c r="K29"/>
      <c r="L29" s="8">
        <v>28378.19</v>
      </c>
      <c r="M29" s="7">
        <v>0.15204384000000001</v>
      </c>
      <c r="N29"/>
      <c r="O29" s="8">
        <v>29000.67</v>
      </c>
      <c r="P29" s="7">
        <v>0.10923252</v>
      </c>
      <c r="Q29"/>
      <c r="R29" s="8">
        <v>45892.043100000003</v>
      </c>
      <c r="S29" s="7">
        <v>0.11559875999999999</v>
      </c>
      <c r="T29"/>
      <c r="U29" s="8">
        <v>47894.308299999997</v>
      </c>
      <c r="V29" s="7">
        <v>9.3477820000000003E-2</v>
      </c>
      <c r="W29"/>
      <c r="X29" s="8">
        <v>54668.988299999997</v>
      </c>
      <c r="Y29" s="7">
        <v>8.9924459999999998E-2</v>
      </c>
      <c r="Z29"/>
      <c r="AA29" s="8">
        <v>65369.929400000001</v>
      </c>
      <c r="AB29" s="7">
        <v>0.10228922999999999</v>
      </c>
      <c r="AC29"/>
      <c r="AD29" s="8">
        <v>57104.124799999998</v>
      </c>
      <c r="AE29" s="7">
        <v>0.10331377999999999</v>
      </c>
      <c r="AF29"/>
      <c r="AG29" s="8">
        <v>0</v>
      </c>
      <c r="AH29" s="7">
        <v>0</v>
      </c>
      <c r="AI29"/>
      <c r="AJ29" s="8">
        <v>0</v>
      </c>
      <c r="AK29" s="7">
        <v>0</v>
      </c>
      <c r="AL29"/>
      <c r="AM29" s="8">
        <v>0</v>
      </c>
      <c r="AN29" s="7">
        <v>0</v>
      </c>
    </row>
    <row r="30" spans="2:40" s="314" customFormat="1" ht="12.75" customHeight="1" x14ac:dyDescent="0.15">
      <c r="B30" s="5" t="s">
        <v>37</v>
      </c>
      <c r="C30" s="8">
        <v>52340.0121</v>
      </c>
      <c r="D30" s="7">
        <v>1.549179E-2</v>
      </c>
      <c r="E30"/>
      <c r="F30" s="8">
        <v>3414.74</v>
      </c>
      <c r="G30" s="7">
        <v>3.431091E-2</v>
      </c>
      <c r="H30"/>
      <c r="I30" s="8">
        <v>3588.05</v>
      </c>
      <c r="J30" s="7">
        <v>3.0456259999999999E-2</v>
      </c>
      <c r="K30"/>
      <c r="L30" s="8">
        <v>7443.5</v>
      </c>
      <c r="M30" s="7">
        <v>3.9880569999999997E-2</v>
      </c>
      <c r="N30"/>
      <c r="O30" s="8">
        <v>4776.8999999999996</v>
      </c>
      <c r="P30" s="7">
        <v>1.7992439999999998E-2</v>
      </c>
      <c r="Q30"/>
      <c r="R30" s="8">
        <v>5448.0812999999998</v>
      </c>
      <c r="S30" s="7">
        <v>1.3723330000000001E-2</v>
      </c>
      <c r="T30"/>
      <c r="U30" s="8">
        <v>6229.2476999999999</v>
      </c>
      <c r="V30" s="7">
        <v>1.2157950000000001E-2</v>
      </c>
      <c r="W30"/>
      <c r="X30" s="8">
        <v>9982.7883000000002</v>
      </c>
      <c r="Y30" s="7">
        <v>1.6420589999999999E-2</v>
      </c>
      <c r="Z30"/>
      <c r="AA30" s="8">
        <v>5812.1738999999998</v>
      </c>
      <c r="AB30" s="7">
        <v>9.0947400000000005E-3</v>
      </c>
      <c r="AC30"/>
      <c r="AD30" s="8">
        <v>5644.5308999999997</v>
      </c>
      <c r="AE30" s="7">
        <v>1.021218E-2</v>
      </c>
      <c r="AF30"/>
      <c r="AG30" s="8">
        <v>0</v>
      </c>
      <c r="AH30" s="7">
        <v>0</v>
      </c>
      <c r="AI30"/>
      <c r="AJ30" s="8">
        <v>0</v>
      </c>
      <c r="AK30" s="7">
        <v>0</v>
      </c>
      <c r="AL30"/>
      <c r="AM30" s="8">
        <v>0</v>
      </c>
      <c r="AN30" s="7">
        <v>0</v>
      </c>
    </row>
    <row r="31" spans="2:40" s="314" customFormat="1" ht="12.75" customHeight="1" x14ac:dyDescent="0.15">
      <c r="B31" s="5" t="s">
        <v>38</v>
      </c>
      <c r="C31" s="8">
        <v>35155.51</v>
      </c>
      <c r="D31" s="7">
        <v>1.040545E-2</v>
      </c>
      <c r="E31"/>
      <c r="F31" s="8">
        <v>406.66</v>
      </c>
      <c r="G31" s="7">
        <v>4.0860699999999998E-3</v>
      </c>
      <c r="H31"/>
      <c r="I31" s="8">
        <v>2969.56</v>
      </c>
      <c r="J31" s="7">
        <v>2.5206360000000001E-2</v>
      </c>
      <c r="K31"/>
      <c r="L31" s="8">
        <v>763.2</v>
      </c>
      <c r="M31" s="7">
        <v>4.0890500000000003E-3</v>
      </c>
      <c r="N31"/>
      <c r="O31" s="8">
        <v>166.09</v>
      </c>
      <c r="P31" s="7">
        <v>6.2559000000000009E-4</v>
      </c>
      <c r="Q31"/>
      <c r="R31" s="8">
        <v>250</v>
      </c>
      <c r="S31" s="7">
        <v>6.2973E-4</v>
      </c>
      <c r="T31"/>
      <c r="U31" s="8">
        <v>6000</v>
      </c>
      <c r="V31" s="7">
        <v>1.171051E-2</v>
      </c>
      <c r="W31"/>
      <c r="X31" s="8">
        <v>4600</v>
      </c>
      <c r="Y31" s="7">
        <v>7.5664900000000004E-3</v>
      </c>
      <c r="Z31"/>
      <c r="AA31" s="8">
        <v>5000</v>
      </c>
      <c r="AB31" s="7">
        <v>7.8238700000000001E-3</v>
      </c>
      <c r="AC31"/>
      <c r="AD31" s="8">
        <v>15000</v>
      </c>
      <c r="AE31" s="7">
        <v>2.7138260000000001E-2</v>
      </c>
      <c r="AF31"/>
      <c r="AG31" s="8">
        <v>0</v>
      </c>
      <c r="AH31" s="7">
        <v>0</v>
      </c>
      <c r="AI31"/>
      <c r="AJ31" s="8">
        <v>0</v>
      </c>
      <c r="AK31" s="7">
        <v>0</v>
      </c>
      <c r="AL31"/>
      <c r="AM31" s="8">
        <v>0</v>
      </c>
      <c r="AN31" s="7">
        <v>0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2924135.99</v>
      </c>
      <c r="D34" s="327">
        <v>1</v>
      </c>
      <c r="E34"/>
      <c r="F34" s="326">
        <v>80606.509999999995</v>
      </c>
      <c r="G34" s="327">
        <v>1</v>
      </c>
      <c r="H34"/>
      <c r="I34" s="326">
        <v>87722.07</v>
      </c>
      <c r="J34" s="327">
        <v>1</v>
      </c>
      <c r="K34"/>
      <c r="L34" s="326">
        <v>150059.9</v>
      </c>
      <c r="M34" s="327">
        <v>1</v>
      </c>
      <c r="N34"/>
      <c r="O34" s="326">
        <v>231551.17</v>
      </c>
      <c r="P34" s="327">
        <v>1</v>
      </c>
      <c r="Q34"/>
      <c r="R34" s="326">
        <v>345404.12</v>
      </c>
      <c r="S34" s="327">
        <v>1</v>
      </c>
      <c r="T34"/>
      <c r="U34" s="326">
        <v>452236.6</v>
      </c>
      <c r="V34" s="327">
        <v>1</v>
      </c>
      <c r="W34"/>
      <c r="X34" s="326">
        <v>538691.69999999995</v>
      </c>
      <c r="Y34" s="327">
        <v>1</v>
      </c>
      <c r="Z34"/>
      <c r="AA34" s="326">
        <v>562887.42000000004</v>
      </c>
      <c r="AB34" s="327">
        <v>1</v>
      </c>
      <c r="AC34"/>
      <c r="AD34" s="326">
        <v>474976.5</v>
      </c>
      <c r="AE34" s="327">
        <v>1</v>
      </c>
      <c r="AF34"/>
      <c r="AG34" s="326">
        <v>0</v>
      </c>
      <c r="AH34" s="327">
        <v>0</v>
      </c>
      <c r="AI34"/>
      <c r="AJ34" s="326">
        <v>0</v>
      </c>
      <c r="AK34" s="327">
        <v>0</v>
      </c>
      <c r="AL34"/>
      <c r="AM34" s="326">
        <v>0</v>
      </c>
      <c r="AN34" s="327">
        <v>0</v>
      </c>
    </row>
    <row r="35" spans="2:40" s="314" customFormat="1" ht="12.75" customHeight="1" x14ac:dyDescent="0.15">
      <c r="B35" s="5" t="s">
        <v>22</v>
      </c>
      <c r="C35" s="8">
        <v>821891.97860000003</v>
      </c>
      <c r="D35" s="7">
        <v>0.28107174000000001</v>
      </c>
      <c r="E35"/>
      <c r="F35" s="8">
        <v>80809.919999999998</v>
      </c>
      <c r="G35" s="7">
        <v>1.00252349</v>
      </c>
      <c r="H35"/>
      <c r="I35" s="8">
        <v>46233.62</v>
      </c>
      <c r="J35" s="7">
        <v>0.52704660999999997</v>
      </c>
      <c r="K35"/>
      <c r="L35" s="8">
        <v>73175.77</v>
      </c>
      <c r="M35" s="7">
        <v>0.48764373</v>
      </c>
      <c r="N35"/>
      <c r="O35" s="8">
        <v>67748.67</v>
      </c>
      <c r="P35" s="7">
        <v>0.29258616999999998</v>
      </c>
      <c r="Q35"/>
      <c r="R35" s="8">
        <v>63452.278899999998</v>
      </c>
      <c r="S35" s="7">
        <v>0.18370446000000001</v>
      </c>
      <c r="T35"/>
      <c r="U35" s="8">
        <v>97718.030400000003</v>
      </c>
      <c r="V35" s="7">
        <v>0.21607723000000001</v>
      </c>
      <c r="W35"/>
      <c r="X35" s="8">
        <v>93478.931899999996</v>
      </c>
      <c r="Y35" s="7">
        <v>0.17352956</v>
      </c>
      <c r="Z35"/>
      <c r="AA35" s="8">
        <v>85656.837599999999</v>
      </c>
      <c r="AB35" s="7">
        <v>0.15217401</v>
      </c>
      <c r="AC35"/>
      <c r="AD35" s="8">
        <v>87567.383600000001</v>
      </c>
      <c r="AE35" s="7">
        <v>0.18436151000000001</v>
      </c>
      <c r="AF35"/>
      <c r="AG35" s="8">
        <v>46641.752899999999</v>
      </c>
      <c r="AH35" s="7">
        <v>0</v>
      </c>
      <c r="AI35"/>
      <c r="AJ35" s="8">
        <v>39244.234100000001</v>
      </c>
      <c r="AK35" s="7">
        <v>0</v>
      </c>
      <c r="AL35"/>
      <c r="AM35" s="8">
        <v>40164.549200000001</v>
      </c>
      <c r="AN35" s="7">
        <v>0</v>
      </c>
    </row>
    <row r="36" spans="2:40" s="314" customFormat="1" ht="12.75" customHeight="1" x14ac:dyDescent="0.15">
      <c r="B36" s="5" t="s">
        <v>40</v>
      </c>
      <c r="C36" s="8">
        <v>527449.92489999998</v>
      </c>
      <c r="D36" s="7">
        <v>0.18037803999999999</v>
      </c>
      <c r="E36"/>
      <c r="F36" s="8">
        <v>44899.35</v>
      </c>
      <c r="G36" s="7">
        <v>0.55701891000000003</v>
      </c>
      <c r="H36"/>
      <c r="I36" s="8">
        <v>16845.22</v>
      </c>
      <c r="J36" s="7">
        <v>0.19202944</v>
      </c>
      <c r="K36"/>
      <c r="L36" s="8">
        <v>33048.050000000003</v>
      </c>
      <c r="M36" s="7">
        <v>0.22023239</v>
      </c>
      <c r="N36"/>
      <c r="O36" s="8">
        <v>46904.81</v>
      </c>
      <c r="P36" s="7">
        <v>0.20256779999999999</v>
      </c>
      <c r="Q36"/>
      <c r="R36" s="8">
        <v>35394.1132</v>
      </c>
      <c r="S36" s="7">
        <v>0.1024716</v>
      </c>
      <c r="T36"/>
      <c r="U36" s="8">
        <v>90918.676500000001</v>
      </c>
      <c r="V36" s="7">
        <v>0.20104227999999999</v>
      </c>
      <c r="W36"/>
      <c r="X36" s="8">
        <v>89036.706399999995</v>
      </c>
      <c r="Y36" s="7">
        <v>0.16528323</v>
      </c>
      <c r="Z36"/>
      <c r="AA36" s="8">
        <v>88512.425199999998</v>
      </c>
      <c r="AB36" s="7">
        <v>0.15724711999999999</v>
      </c>
      <c r="AC36"/>
      <c r="AD36" s="8">
        <v>70105.173599999995</v>
      </c>
      <c r="AE36" s="7">
        <v>0.14759713999999999</v>
      </c>
      <c r="AF36"/>
      <c r="AG36" s="8">
        <v>4461.8</v>
      </c>
      <c r="AH36" s="7">
        <v>0</v>
      </c>
      <c r="AI36"/>
      <c r="AJ36" s="8">
        <v>3761.8</v>
      </c>
      <c r="AK36" s="7">
        <v>0</v>
      </c>
      <c r="AL36"/>
      <c r="AM36" s="8">
        <v>3561.8</v>
      </c>
      <c r="AN36" s="7">
        <v>0</v>
      </c>
    </row>
    <row r="37" spans="2:40" s="314" customFormat="1" ht="12.75" customHeight="1" x14ac:dyDescent="0.15">
      <c r="B37" s="325" t="s">
        <v>41</v>
      </c>
      <c r="C37" s="326">
        <v>1574794.0866</v>
      </c>
      <c r="D37" s="327">
        <v>0.53855021999999997</v>
      </c>
      <c r="E37"/>
      <c r="F37" s="326">
        <v>-45102.76</v>
      </c>
      <c r="G37" s="327">
        <v>-0.5595424</v>
      </c>
      <c r="H37"/>
      <c r="I37" s="326">
        <v>24643.23</v>
      </c>
      <c r="J37" s="327">
        <v>0.28092394999999998</v>
      </c>
      <c r="K37"/>
      <c r="L37" s="326">
        <v>43836.08</v>
      </c>
      <c r="M37" s="327">
        <v>0.29212388</v>
      </c>
      <c r="N37"/>
      <c r="O37" s="326">
        <v>116897.69</v>
      </c>
      <c r="P37" s="327">
        <v>0.50484602999999995</v>
      </c>
      <c r="Q37"/>
      <c r="R37" s="326">
        <v>246557.7279</v>
      </c>
      <c r="S37" s="327">
        <v>0.71382392999999988</v>
      </c>
      <c r="T37"/>
      <c r="U37" s="326">
        <v>263599.89319999999</v>
      </c>
      <c r="V37" s="327">
        <v>0.58288048999999997</v>
      </c>
      <c r="W37"/>
      <c r="X37" s="326">
        <v>356176.06170000002</v>
      </c>
      <c r="Y37" s="327">
        <v>0.66118720999999991</v>
      </c>
      <c r="Z37"/>
      <c r="AA37" s="326">
        <v>388718.15730000002</v>
      </c>
      <c r="AB37" s="327">
        <v>0.69057886999999996</v>
      </c>
      <c r="AC37"/>
      <c r="AD37" s="326">
        <v>317303.94270000001</v>
      </c>
      <c r="AE37" s="327">
        <v>0.66804134999999998</v>
      </c>
      <c r="AF37"/>
      <c r="AG37" s="326">
        <v>-51103.552900000002</v>
      </c>
      <c r="AH37" s="327">
        <v>0</v>
      </c>
      <c r="AI37"/>
      <c r="AJ37" s="326">
        <v>-43006.034099999997</v>
      </c>
      <c r="AK37" s="327">
        <v>0</v>
      </c>
      <c r="AL37"/>
      <c r="AM37" s="326">
        <v>-43726.349199999997</v>
      </c>
      <c r="AN37" s="327">
        <v>0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306799.04129999998</v>
      </c>
      <c r="D40" s="7">
        <v>0.83611492999999992</v>
      </c>
      <c r="E40"/>
      <c r="F40" s="8">
        <v>11987.7</v>
      </c>
      <c r="G40" s="7">
        <v>0.79412197000000007</v>
      </c>
      <c r="H40"/>
      <c r="I40" s="8">
        <v>18845.93</v>
      </c>
      <c r="J40" s="7">
        <v>0.80092315000000003</v>
      </c>
      <c r="K40"/>
      <c r="L40" s="8">
        <v>23291.360000000001</v>
      </c>
      <c r="M40" s="7">
        <v>0.82074860999999999</v>
      </c>
      <c r="N40"/>
      <c r="O40" s="8">
        <v>23657.42</v>
      </c>
      <c r="P40" s="7">
        <v>0.81575425999999995</v>
      </c>
      <c r="Q40"/>
      <c r="R40" s="8">
        <v>38123.776299999998</v>
      </c>
      <c r="S40" s="7">
        <v>0.83072737000000008</v>
      </c>
      <c r="T40"/>
      <c r="U40" s="8">
        <v>40187.595699999998</v>
      </c>
      <c r="V40" s="7">
        <v>0.83908917999999999</v>
      </c>
      <c r="W40"/>
      <c r="X40" s="8">
        <v>45262.014600000002</v>
      </c>
      <c r="Y40" s="7">
        <v>0.82792851999999995</v>
      </c>
      <c r="Z40"/>
      <c r="AA40" s="8">
        <v>55251.619700000003</v>
      </c>
      <c r="AB40" s="7">
        <v>0.84521460999999998</v>
      </c>
      <c r="AC40"/>
      <c r="AD40" s="8">
        <v>50191.625</v>
      </c>
      <c r="AE40" s="7">
        <v>0.87894919999999999</v>
      </c>
      <c r="AF40"/>
      <c r="AG40" s="8">
        <v>0</v>
      </c>
      <c r="AH40" s="7">
        <v>0</v>
      </c>
      <c r="AI40"/>
      <c r="AJ40" s="8">
        <v>0</v>
      </c>
      <c r="AK40" s="7">
        <v>0</v>
      </c>
      <c r="AL40"/>
      <c r="AM40" s="8">
        <v>0</v>
      </c>
      <c r="AN40" s="7">
        <v>0</v>
      </c>
    </row>
    <row r="41" spans="2:40" s="314" customFormat="1" ht="12.75" customHeight="1" x14ac:dyDescent="0.15">
      <c r="B41" s="5" t="s">
        <v>44</v>
      </c>
      <c r="C41" s="8">
        <v>60134.172599999998</v>
      </c>
      <c r="D41" s="7">
        <v>0.16388278000000001</v>
      </c>
      <c r="E41"/>
      <c r="F41" s="8">
        <v>3107.84</v>
      </c>
      <c r="G41" s="7">
        <v>0.20587802999999999</v>
      </c>
      <c r="H41"/>
      <c r="I41" s="8">
        <v>4684.33</v>
      </c>
      <c r="J41" s="7">
        <v>0.19907685</v>
      </c>
      <c r="K41"/>
      <c r="L41" s="8">
        <v>5085.99</v>
      </c>
      <c r="M41" s="7">
        <v>0.17922178999999999</v>
      </c>
      <c r="N41"/>
      <c r="O41" s="8">
        <v>5343.25</v>
      </c>
      <c r="P41" s="7">
        <v>0.18424573999999999</v>
      </c>
      <c r="Q41"/>
      <c r="R41" s="8">
        <v>7768.2668000000003</v>
      </c>
      <c r="S41" s="7">
        <v>0.16927263000000001</v>
      </c>
      <c r="T41"/>
      <c r="U41" s="8">
        <v>7706.7125999999998</v>
      </c>
      <c r="V41" s="7">
        <v>0.16091082000000001</v>
      </c>
      <c r="W41"/>
      <c r="X41" s="8">
        <v>9406.9737000000005</v>
      </c>
      <c r="Y41" s="7">
        <v>0.17207148</v>
      </c>
      <c r="Z41"/>
      <c r="AA41" s="8">
        <v>10118.3097</v>
      </c>
      <c r="AB41" s="7">
        <v>0.15478538999999999</v>
      </c>
      <c r="AC41"/>
      <c r="AD41" s="8">
        <v>6912.4997999999996</v>
      </c>
      <c r="AE41" s="7">
        <v>0.1210508</v>
      </c>
      <c r="AF41"/>
      <c r="AG41" s="8">
        <v>0</v>
      </c>
      <c r="AH41" s="7">
        <v>0</v>
      </c>
      <c r="AI41"/>
      <c r="AJ41" s="8">
        <v>0</v>
      </c>
      <c r="AK41" s="7">
        <v>0</v>
      </c>
      <c r="AL41"/>
      <c r="AM41" s="8">
        <v>0</v>
      </c>
      <c r="AN41" s="7">
        <v>0</v>
      </c>
    </row>
    <row r="42" spans="2:40" s="314" customFormat="1" ht="12.75" customHeight="1" x14ac:dyDescent="0.15">
      <c r="B42" s="5" t="s">
        <v>45</v>
      </c>
      <c r="C42" s="8">
        <v>0.84</v>
      </c>
      <c r="D42" s="7">
        <v>2.2900000000000001E-6</v>
      </c>
      <c r="E42"/>
      <c r="F42" s="8">
        <v>0</v>
      </c>
      <c r="G42" s="7">
        <v>0</v>
      </c>
      <c r="H42"/>
      <c r="I42" s="8">
        <v>0</v>
      </c>
      <c r="J42" s="7">
        <v>0</v>
      </c>
      <c r="K42"/>
      <c r="L42" s="8">
        <v>0.84</v>
      </c>
      <c r="M42" s="7">
        <v>2.9600000000000001E-5</v>
      </c>
      <c r="N42"/>
      <c r="O42" s="8">
        <v>0</v>
      </c>
      <c r="P42" s="7">
        <v>0</v>
      </c>
      <c r="Q42"/>
      <c r="R42" s="8">
        <v>0</v>
      </c>
      <c r="S42" s="7">
        <v>0</v>
      </c>
      <c r="T42"/>
      <c r="U42" s="8">
        <v>0</v>
      </c>
      <c r="V42" s="7">
        <v>0</v>
      </c>
      <c r="W42"/>
      <c r="X42" s="8">
        <v>0</v>
      </c>
      <c r="Y42" s="7">
        <v>0</v>
      </c>
      <c r="Z42"/>
      <c r="AA42" s="8">
        <v>0</v>
      </c>
      <c r="AB42" s="7">
        <v>0</v>
      </c>
      <c r="AC42"/>
      <c r="AD42" s="8">
        <v>0</v>
      </c>
      <c r="AE42" s="7">
        <v>0</v>
      </c>
      <c r="AF42"/>
      <c r="AG42" s="8">
        <v>0</v>
      </c>
      <c r="AH42" s="7">
        <v>0</v>
      </c>
      <c r="AI42"/>
      <c r="AJ42" s="8">
        <v>0</v>
      </c>
      <c r="AK42" s="7">
        <v>0</v>
      </c>
      <c r="AL42"/>
      <c r="AM42" s="8">
        <v>0</v>
      </c>
      <c r="AN42" s="7">
        <v>0</v>
      </c>
    </row>
    <row r="43" spans="2:40" s="314" customFormat="1" ht="12.75" customHeight="1" x14ac:dyDescent="0.15">
      <c r="B43" s="325" t="s">
        <v>36</v>
      </c>
      <c r="C43" s="326">
        <v>366934.0539</v>
      </c>
      <c r="D43" s="327">
        <v>1</v>
      </c>
      <c r="E43"/>
      <c r="F43" s="326">
        <v>15095.54</v>
      </c>
      <c r="G43" s="327">
        <v>1</v>
      </c>
      <c r="H43"/>
      <c r="I43" s="326">
        <v>23530.26</v>
      </c>
      <c r="J43" s="327">
        <v>1</v>
      </c>
      <c r="K43"/>
      <c r="L43" s="326">
        <v>28378.19</v>
      </c>
      <c r="M43" s="327">
        <v>1</v>
      </c>
      <c r="N43"/>
      <c r="O43" s="326">
        <v>29000.67</v>
      </c>
      <c r="P43" s="327">
        <v>1</v>
      </c>
      <c r="Q43"/>
      <c r="R43" s="326">
        <v>45892.043100000003</v>
      </c>
      <c r="S43" s="327">
        <v>1</v>
      </c>
      <c r="T43"/>
      <c r="U43" s="326">
        <v>47894.308299999997</v>
      </c>
      <c r="V43" s="327">
        <v>1</v>
      </c>
      <c r="W43"/>
      <c r="X43" s="326">
        <v>54668.988299999997</v>
      </c>
      <c r="Y43" s="327">
        <v>1</v>
      </c>
      <c r="Z43"/>
      <c r="AA43" s="326">
        <v>65369.929400000001</v>
      </c>
      <c r="AB43" s="327">
        <v>1</v>
      </c>
      <c r="AC43"/>
      <c r="AD43" s="326">
        <v>57104.124799999998</v>
      </c>
      <c r="AE43" s="327">
        <v>1</v>
      </c>
      <c r="AF43"/>
      <c r="AG43" s="326">
        <v>0</v>
      </c>
      <c r="AH43" s="327">
        <v>0</v>
      </c>
      <c r="AI43"/>
      <c r="AJ43" s="326">
        <v>0</v>
      </c>
      <c r="AK43" s="327">
        <v>0</v>
      </c>
      <c r="AL43"/>
      <c r="AM43" s="326">
        <v>0</v>
      </c>
      <c r="AN43" s="327">
        <v>0</v>
      </c>
    </row>
    <row r="44" spans="2:40" s="314" customFormat="1" ht="12.75" customHeight="1" x14ac:dyDescent="0.15">
      <c r="B44" s="5" t="s">
        <v>46</v>
      </c>
      <c r="C44" s="8">
        <v>135961.60999999999</v>
      </c>
      <c r="D44" s="7">
        <v>0.44316178000000001</v>
      </c>
      <c r="E44"/>
      <c r="F44" s="8">
        <v>3831.09</v>
      </c>
      <c r="G44" s="7">
        <v>0.31958507000000003</v>
      </c>
      <c r="H44"/>
      <c r="I44" s="8">
        <v>14691.34</v>
      </c>
      <c r="J44" s="7">
        <v>0.77954975000000004</v>
      </c>
      <c r="K44"/>
      <c r="L44" s="8">
        <v>12467.63</v>
      </c>
      <c r="M44" s="7">
        <v>0.53528990999999992</v>
      </c>
      <c r="N44"/>
      <c r="O44" s="8">
        <v>13087.55</v>
      </c>
      <c r="P44" s="7">
        <v>0.55321120999999995</v>
      </c>
      <c r="Q44"/>
      <c r="R44" s="8">
        <v>15124</v>
      </c>
      <c r="S44" s="7">
        <v>0.39670781999999999</v>
      </c>
      <c r="T44"/>
      <c r="U44" s="8">
        <v>16080</v>
      </c>
      <c r="V44" s="7">
        <v>0.40012345999999999</v>
      </c>
      <c r="W44"/>
      <c r="X44" s="8">
        <v>18450</v>
      </c>
      <c r="Y44" s="7">
        <v>0.40762658000000002</v>
      </c>
      <c r="Z44"/>
      <c r="AA44" s="8">
        <v>22330</v>
      </c>
      <c r="AB44" s="7">
        <v>0.40415105000000001</v>
      </c>
      <c r="AC44"/>
      <c r="AD44" s="8">
        <v>19900</v>
      </c>
      <c r="AE44" s="7">
        <v>0.39648049000000002</v>
      </c>
      <c r="AF44"/>
      <c r="AG44" s="8">
        <v>0</v>
      </c>
      <c r="AH44" s="7">
        <v>0</v>
      </c>
      <c r="AI44"/>
      <c r="AJ44" s="8">
        <v>0</v>
      </c>
      <c r="AK44" s="7">
        <v>0</v>
      </c>
      <c r="AL44"/>
      <c r="AM44" s="8">
        <v>0</v>
      </c>
      <c r="AN44" s="7">
        <v>0</v>
      </c>
    </row>
    <row r="45" spans="2:40" s="314" customFormat="1" ht="12.75" customHeight="1" x14ac:dyDescent="0.15">
      <c r="B45" s="5" t="s">
        <v>47</v>
      </c>
      <c r="C45" s="8">
        <v>8770</v>
      </c>
      <c r="D45" s="7">
        <v>0.14584053999999999</v>
      </c>
      <c r="E45"/>
      <c r="F45" s="8">
        <v>148.29</v>
      </c>
      <c r="G45" s="7">
        <v>4.7714810000000003E-2</v>
      </c>
      <c r="H45"/>
      <c r="I45" s="8">
        <v>-28.26</v>
      </c>
      <c r="J45" s="7">
        <v>-6.0328800000000009E-3</v>
      </c>
      <c r="K45"/>
      <c r="L45" s="8">
        <v>1707.02</v>
      </c>
      <c r="M45" s="7">
        <v>0.33563179999999998</v>
      </c>
      <c r="N45"/>
      <c r="O45" s="8">
        <v>-817.55</v>
      </c>
      <c r="P45" s="7">
        <v>-0.15300612999999999</v>
      </c>
      <c r="Q45"/>
      <c r="R45" s="8">
        <v>1470</v>
      </c>
      <c r="S45" s="7">
        <v>0.18923139999999999</v>
      </c>
      <c r="T45"/>
      <c r="U45" s="8">
        <v>1564</v>
      </c>
      <c r="V45" s="7">
        <v>0.20293997</v>
      </c>
      <c r="W45"/>
      <c r="X45" s="8">
        <v>1606.5</v>
      </c>
      <c r="Y45" s="7">
        <v>0.17077755999999999</v>
      </c>
      <c r="Z45"/>
      <c r="AA45" s="8">
        <v>1890</v>
      </c>
      <c r="AB45" s="7">
        <v>0.18679008999999999</v>
      </c>
      <c r="AC45"/>
      <c r="AD45" s="8">
        <v>1230</v>
      </c>
      <c r="AE45" s="7">
        <v>0.17793851999999999</v>
      </c>
      <c r="AF45"/>
      <c r="AG45" s="8">
        <v>0</v>
      </c>
      <c r="AH45" s="7">
        <v>0</v>
      </c>
      <c r="AI45"/>
      <c r="AJ45" s="8">
        <v>0</v>
      </c>
      <c r="AK45" s="7">
        <v>0</v>
      </c>
      <c r="AL45"/>
      <c r="AM45" s="8">
        <v>0</v>
      </c>
      <c r="AN45" s="7">
        <v>0</v>
      </c>
    </row>
    <row r="46" spans="2:40" s="314" customFormat="1" ht="12.75" customHeight="1" x14ac:dyDescent="0.15">
      <c r="B46" s="5" t="s">
        <v>48</v>
      </c>
      <c r="C46" s="8">
        <v>-2987.9</v>
      </c>
      <c r="D46" s="7">
        <v>-3557.0238095200002</v>
      </c>
      <c r="E46"/>
      <c r="F46" s="8">
        <v>-68.33</v>
      </c>
      <c r="G46" s="7">
        <v>0</v>
      </c>
      <c r="H46"/>
      <c r="I46" s="8">
        <v>-2697.02</v>
      </c>
      <c r="J46" s="7">
        <v>0</v>
      </c>
      <c r="K46"/>
      <c r="L46" s="8">
        <v>-317.27999999999997</v>
      </c>
      <c r="M46" s="7">
        <v>-377.71428571000001</v>
      </c>
      <c r="N46"/>
      <c r="O46" s="8">
        <v>94.73</v>
      </c>
      <c r="P46" s="7">
        <v>0</v>
      </c>
      <c r="Q46"/>
      <c r="R46" s="8">
        <v>0</v>
      </c>
      <c r="S46" s="7">
        <v>0</v>
      </c>
      <c r="T46"/>
      <c r="U46" s="8">
        <v>0</v>
      </c>
      <c r="V46" s="7">
        <v>0</v>
      </c>
      <c r="W46"/>
      <c r="X46" s="8">
        <v>0</v>
      </c>
      <c r="Y46" s="7">
        <v>0</v>
      </c>
      <c r="Z46"/>
      <c r="AA46" s="8">
        <v>0</v>
      </c>
      <c r="AB46" s="7">
        <v>0</v>
      </c>
      <c r="AC46"/>
      <c r="AD46" s="8">
        <v>0</v>
      </c>
      <c r="AE46" s="7">
        <v>0</v>
      </c>
      <c r="AF46"/>
      <c r="AG46" s="8">
        <v>0</v>
      </c>
      <c r="AH46" s="7">
        <v>0</v>
      </c>
      <c r="AI46"/>
      <c r="AJ46" s="8">
        <v>0</v>
      </c>
      <c r="AK46" s="7">
        <v>0</v>
      </c>
      <c r="AL46"/>
      <c r="AM46" s="8">
        <v>0</v>
      </c>
      <c r="AN46" s="7">
        <v>0</v>
      </c>
    </row>
    <row r="47" spans="2:40" s="314" customFormat="1" ht="12.75" customHeight="1" x14ac:dyDescent="0.15">
      <c r="B47" s="325" t="s">
        <v>49</v>
      </c>
      <c r="C47" s="326">
        <v>141743.71</v>
      </c>
      <c r="D47" s="327">
        <v>0.38629205999999999</v>
      </c>
      <c r="E47"/>
      <c r="F47" s="326">
        <v>3911.05</v>
      </c>
      <c r="G47" s="327">
        <v>0.25908646000000002</v>
      </c>
      <c r="H47"/>
      <c r="I47" s="326">
        <v>11966.06</v>
      </c>
      <c r="J47" s="327">
        <v>0.50853921999999996</v>
      </c>
      <c r="K47"/>
      <c r="L47" s="326">
        <v>13857.37</v>
      </c>
      <c r="M47" s="327">
        <v>0.48831057</v>
      </c>
      <c r="N47"/>
      <c r="O47" s="326">
        <v>12364.73</v>
      </c>
      <c r="P47" s="327">
        <v>0.42636014999999999</v>
      </c>
      <c r="Q47"/>
      <c r="R47" s="326">
        <v>16594</v>
      </c>
      <c r="S47" s="327">
        <v>0.36158773999999999</v>
      </c>
      <c r="T47"/>
      <c r="U47" s="326">
        <v>17644</v>
      </c>
      <c r="V47" s="327">
        <v>0.36839451000000001</v>
      </c>
      <c r="W47"/>
      <c r="X47" s="326">
        <v>20056.5</v>
      </c>
      <c r="Y47" s="327">
        <v>0.36687161000000001</v>
      </c>
      <c r="Z47"/>
      <c r="AA47" s="326">
        <v>24220</v>
      </c>
      <c r="AB47" s="327">
        <v>0.37050675</v>
      </c>
      <c r="AC47"/>
      <c r="AD47" s="326">
        <v>21130</v>
      </c>
      <c r="AE47" s="327">
        <v>0.37002581000000001</v>
      </c>
      <c r="AF47"/>
      <c r="AG47" s="326">
        <v>0</v>
      </c>
      <c r="AH47" s="327">
        <v>0</v>
      </c>
      <c r="AI47"/>
      <c r="AJ47" s="326">
        <v>0</v>
      </c>
      <c r="AK47" s="327">
        <v>0</v>
      </c>
      <c r="AL47"/>
      <c r="AM47" s="326">
        <v>0</v>
      </c>
      <c r="AN47" s="327">
        <v>0</v>
      </c>
    </row>
    <row r="48" spans="2:40" s="314" customFormat="1" ht="12.75" customHeight="1" x14ac:dyDescent="0.15">
      <c r="B48" s="5" t="s">
        <v>22</v>
      </c>
      <c r="C48" s="8">
        <v>613744.09719999996</v>
      </c>
      <c r="D48" s="7">
        <v>1.6726277899999999</v>
      </c>
      <c r="E48"/>
      <c r="F48" s="8">
        <v>52955.45</v>
      </c>
      <c r="G48" s="7">
        <v>3.50801959</v>
      </c>
      <c r="H48"/>
      <c r="I48" s="8">
        <v>41455.410000000003</v>
      </c>
      <c r="J48" s="7">
        <v>1.7617914100000001</v>
      </c>
      <c r="K48"/>
      <c r="L48" s="8">
        <v>46829.67</v>
      </c>
      <c r="M48" s="7">
        <v>1.65019933</v>
      </c>
      <c r="N48"/>
      <c r="O48" s="8">
        <v>43775.97</v>
      </c>
      <c r="P48" s="7">
        <v>1.5094813300000001</v>
      </c>
      <c r="Q48"/>
      <c r="R48" s="8">
        <v>50152.452299999997</v>
      </c>
      <c r="S48" s="7">
        <v>1.09283547</v>
      </c>
      <c r="T48"/>
      <c r="U48" s="8">
        <v>63930.007599999997</v>
      </c>
      <c r="V48" s="7">
        <v>1.3348142999999999</v>
      </c>
      <c r="W48"/>
      <c r="X48" s="8">
        <v>76263.083299999998</v>
      </c>
      <c r="Y48" s="7">
        <v>1.39499716</v>
      </c>
      <c r="Z48"/>
      <c r="AA48" s="8">
        <v>69478.005799999999</v>
      </c>
      <c r="AB48" s="7">
        <v>1.0628435199999999</v>
      </c>
      <c r="AC48"/>
      <c r="AD48" s="8">
        <v>64183.704100000003</v>
      </c>
      <c r="AE48" s="7">
        <v>1.12397667</v>
      </c>
      <c r="AF48"/>
      <c r="AG48" s="8">
        <v>51417.795899999997</v>
      </c>
      <c r="AH48" s="7">
        <v>0</v>
      </c>
      <c r="AI48"/>
      <c r="AJ48" s="8">
        <v>27587.064699999999</v>
      </c>
      <c r="AK48" s="7">
        <v>0</v>
      </c>
      <c r="AL48"/>
      <c r="AM48" s="8">
        <v>25715.483499999998</v>
      </c>
      <c r="AN48" s="7">
        <v>0</v>
      </c>
    </row>
    <row r="49" spans="2:40" s="314" customFormat="1" ht="12.75" customHeight="1" x14ac:dyDescent="0.15">
      <c r="B49" s="5" t="s">
        <v>40</v>
      </c>
      <c r="C49" s="8">
        <v>26669.48</v>
      </c>
      <c r="D49" s="7">
        <v>7.268194E-2</v>
      </c>
      <c r="E49"/>
      <c r="F49" s="8">
        <v>4460.66</v>
      </c>
      <c r="G49" s="7">
        <v>0.29549523</v>
      </c>
      <c r="H49"/>
      <c r="I49" s="8">
        <v>-1962.28</v>
      </c>
      <c r="J49" s="7">
        <v>-8.3393890000000012E-2</v>
      </c>
      <c r="K49"/>
      <c r="L49" s="8">
        <v>6079.15</v>
      </c>
      <c r="M49" s="7">
        <v>0.21421909</v>
      </c>
      <c r="N49"/>
      <c r="O49" s="8">
        <v>-2944.05</v>
      </c>
      <c r="P49" s="7">
        <v>-0.10151662</v>
      </c>
      <c r="Q49"/>
      <c r="R49" s="8">
        <v>3372</v>
      </c>
      <c r="S49" s="7">
        <v>7.347679E-2</v>
      </c>
      <c r="T49"/>
      <c r="U49" s="8">
        <v>2592</v>
      </c>
      <c r="V49" s="7">
        <v>5.4119170000000001E-2</v>
      </c>
      <c r="W49"/>
      <c r="X49" s="8">
        <v>4332</v>
      </c>
      <c r="Y49" s="7">
        <v>7.9240539999999998E-2</v>
      </c>
      <c r="Z49"/>
      <c r="AA49" s="8">
        <v>2952</v>
      </c>
      <c r="AB49" s="7">
        <v>4.5158379999999998E-2</v>
      </c>
      <c r="AC49"/>
      <c r="AD49" s="8">
        <v>2052</v>
      </c>
      <c r="AE49" s="7">
        <v>3.5934359999999999E-2</v>
      </c>
      <c r="AF49"/>
      <c r="AG49" s="8">
        <v>2402</v>
      </c>
      <c r="AH49" s="7">
        <v>0</v>
      </c>
      <c r="AI49"/>
      <c r="AJ49" s="8">
        <v>1802</v>
      </c>
      <c r="AK49" s="7">
        <v>0</v>
      </c>
      <c r="AL49"/>
      <c r="AM49" s="8">
        <v>1532</v>
      </c>
      <c r="AN49" s="7">
        <v>0</v>
      </c>
    </row>
    <row r="50" spans="2:40" s="314" customFormat="1" ht="12.75" customHeight="1" x14ac:dyDescent="0.15">
      <c r="B50" s="325" t="s">
        <v>41</v>
      </c>
      <c r="C50" s="326">
        <v>-415223.23330000002</v>
      </c>
      <c r="D50" s="327">
        <v>-1.1316017899999999</v>
      </c>
      <c r="E50"/>
      <c r="F50" s="326">
        <v>-46231.62</v>
      </c>
      <c r="G50" s="327">
        <v>-3.06260127</v>
      </c>
      <c r="H50"/>
      <c r="I50" s="326">
        <v>-27928.93</v>
      </c>
      <c r="J50" s="327">
        <v>-1.1869367399999999</v>
      </c>
      <c r="K50"/>
      <c r="L50" s="326">
        <v>-38388</v>
      </c>
      <c r="M50" s="327">
        <v>-1.35272898</v>
      </c>
      <c r="N50"/>
      <c r="O50" s="326">
        <v>-24195.98</v>
      </c>
      <c r="P50" s="327">
        <v>-0.83432485999999995</v>
      </c>
      <c r="Q50"/>
      <c r="R50" s="326">
        <v>-24226.409199999998</v>
      </c>
      <c r="S50" s="327">
        <v>-0.52789998999999999</v>
      </c>
      <c r="T50"/>
      <c r="U50" s="326">
        <v>-36271.699200000003</v>
      </c>
      <c r="V50" s="327">
        <v>-0.75732797000000007</v>
      </c>
      <c r="W50"/>
      <c r="X50" s="326">
        <v>-45982.595099999999</v>
      </c>
      <c r="Y50" s="327">
        <v>-0.84110930999999989</v>
      </c>
      <c r="Z50"/>
      <c r="AA50" s="326">
        <v>-31280.076400000002</v>
      </c>
      <c r="AB50" s="327">
        <v>-0.47850864999999998</v>
      </c>
      <c r="AC50"/>
      <c r="AD50" s="326">
        <v>-30261.579300000001</v>
      </c>
      <c r="AE50" s="327">
        <v>-0.52993683999999996</v>
      </c>
      <c r="AF50"/>
      <c r="AG50" s="326">
        <v>-53819.795899999997</v>
      </c>
      <c r="AH50" s="327">
        <v>0</v>
      </c>
      <c r="AI50"/>
      <c r="AJ50" s="326">
        <v>-29389.064699999999</v>
      </c>
      <c r="AK50" s="327">
        <v>0</v>
      </c>
      <c r="AL50"/>
      <c r="AM50" s="326">
        <v>-27247.483499999998</v>
      </c>
      <c r="AN50" s="327">
        <v>0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52340.0121</v>
      </c>
      <c r="D53" s="7">
        <v>1</v>
      </c>
      <c r="E53"/>
      <c r="F53" s="8">
        <v>3414.74</v>
      </c>
      <c r="G53" s="7">
        <v>1</v>
      </c>
      <c r="H53"/>
      <c r="I53" s="8">
        <v>3588.05</v>
      </c>
      <c r="J53" s="7">
        <v>1</v>
      </c>
      <c r="K53"/>
      <c r="L53" s="8">
        <v>7443.5</v>
      </c>
      <c r="M53" s="7">
        <v>1</v>
      </c>
      <c r="N53"/>
      <c r="O53" s="8">
        <v>4776.8999999999996</v>
      </c>
      <c r="P53" s="7">
        <v>1</v>
      </c>
      <c r="Q53"/>
      <c r="R53" s="8">
        <v>5448.0812999999998</v>
      </c>
      <c r="S53" s="7">
        <v>1</v>
      </c>
      <c r="T53"/>
      <c r="U53" s="8">
        <v>6229.2476999999999</v>
      </c>
      <c r="V53" s="7">
        <v>1</v>
      </c>
      <c r="W53"/>
      <c r="X53" s="8">
        <v>9982.7883000000002</v>
      </c>
      <c r="Y53" s="7">
        <v>1</v>
      </c>
      <c r="Z53"/>
      <c r="AA53" s="8">
        <v>5812.1738999999998</v>
      </c>
      <c r="AB53" s="7">
        <v>1</v>
      </c>
      <c r="AC53"/>
      <c r="AD53" s="8">
        <v>5644.5308999999997</v>
      </c>
      <c r="AE53" s="7">
        <v>1</v>
      </c>
      <c r="AF53"/>
      <c r="AG53" s="8">
        <v>0</v>
      </c>
      <c r="AH53" s="7">
        <v>0</v>
      </c>
      <c r="AI53"/>
      <c r="AJ53" s="8">
        <v>0</v>
      </c>
      <c r="AK53" s="7">
        <v>0</v>
      </c>
      <c r="AL53"/>
      <c r="AM53" s="8">
        <v>0</v>
      </c>
      <c r="AN53" s="7">
        <v>0</v>
      </c>
    </row>
    <row r="54" spans="2:40" s="314" customFormat="1" ht="12.75" customHeight="1" x14ac:dyDescent="0.15">
      <c r="B54" s="5" t="s">
        <v>49</v>
      </c>
      <c r="C54" s="8">
        <v>18070.36</v>
      </c>
      <c r="D54" s="7">
        <v>0.34524944000000002</v>
      </c>
      <c r="E54"/>
      <c r="F54" s="8">
        <v>107.14</v>
      </c>
      <c r="G54" s="7">
        <v>3.1375739999999999E-2</v>
      </c>
      <c r="H54"/>
      <c r="I54" s="8">
        <v>198</v>
      </c>
      <c r="J54" s="7">
        <v>5.5183179999999998E-2</v>
      </c>
      <c r="K54"/>
      <c r="L54" s="8">
        <v>1001.36</v>
      </c>
      <c r="M54" s="7">
        <v>0.13452811000000001</v>
      </c>
      <c r="N54"/>
      <c r="O54" s="8">
        <v>63.86</v>
      </c>
      <c r="P54" s="7">
        <v>1.33685E-2</v>
      </c>
      <c r="Q54"/>
      <c r="R54" s="8">
        <v>1400</v>
      </c>
      <c r="S54" s="7">
        <v>0.25697120000000001</v>
      </c>
      <c r="T54"/>
      <c r="U54" s="8">
        <v>1700</v>
      </c>
      <c r="V54" s="7">
        <v>0.27290615000000001</v>
      </c>
      <c r="W54"/>
      <c r="X54" s="8">
        <v>1800</v>
      </c>
      <c r="Y54" s="7">
        <v>0.18031034000000001</v>
      </c>
      <c r="Z54"/>
      <c r="AA54" s="8">
        <v>2800</v>
      </c>
      <c r="AB54" s="7">
        <v>0.48174746000000002</v>
      </c>
      <c r="AC54"/>
      <c r="AD54" s="8">
        <v>3000</v>
      </c>
      <c r="AE54" s="7">
        <v>0.53148792</v>
      </c>
      <c r="AF54"/>
      <c r="AG54" s="8">
        <v>3000</v>
      </c>
      <c r="AH54" s="7">
        <v>0</v>
      </c>
      <c r="AI54"/>
      <c r="AJ54" s="8">
        <v>1500</v>
      </c>
      <c r="AK54" s="7">
        <v>0</v>
      </c>
      <c r="AL54"/>
      <c r="AM54" s="8">
        <v>1500</v>
      </c>
      <c r="AN54" s="7">
        <v>0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3847.61</v>
      </c>
      <c r="D56" s="7">
        <v>7.351183E-2</v>
      </c>
      <c r="E56"/>
      <c r="F56" s="8">
        <v>729.41</v>
      </c>
      <c r="G56" s="7">
        <v>0.21360630999999999</v>
      </c>
      <c r="H56"/>
      <c r="I56" s="8">
        <v>-47.4</v>
      </c>
      <c r="J56" s="7">
        <v>-1.321052E-2</v>
      </c>
      <c r="K56"/>
      <c r="L56" s="8">
        <v>191.03</v>
      </c>
      <c r="M56" s="7">
        <v>2.5663999999999999E-2</v>
      </c>
      <c r="N56"/>
      <c r="O56" s="8">
        <v>454.57</v>
      </c>
      <c r="P56" s="7">
        <v>9.5160040000000001E-2</v>
      </c>
      <c r="Q56"/>
      <c r="R56" s="8">
        <v>315</v>
      </c>
      <c r="S56" s="7">
        <v>5.7818519999999998E-2</v>
      </c>
      <c r="T56"/>
      <c r="U56" s="8">
        <v>315</v>
      </c>
      <c r="V56" s="7">
        <v>5.0567900000000013E-2</v>
      </c>
      <c r="W56"/>
      <c r="X56" s="8">
        <v>315</v>
      </c>
      <c r="Y56" s="7">
        <v>3.1554310000000002E-2</v>
      </c>
      <c r="Z56"/>
      <c r="AA56" s="8">
        <v>315</v>
      </c>
      <c r="AB56" s="7">
        <v>5.4196590000000003E-2</v>
      </c>
      <c r="AC56"/>
      <c r="AD56" s="8">
        <v>315</v>
      </c>
      <c r="AE56" s="7">
        <v>5.5806229999999998E-2</v>
      </c>
      <c r="AF56"/>
      <c r="AG56" s="8">
        <v>315</v>
      </c>
      <c r="AH56" s="7">
        <v>0</v>
      </c>
      <c r="AI56"/>
      <c r="AJ56" s="8">
        <v>315</v>
      </c>
      <c r="AK56" s="7">
        <v>0</v>
      </c>
      <c r="AL56"/>
      <c r="AM56" s="8">
        <v>315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30422.042099999999</v>
      </c>
      <c r="D57" s="327">
        <v>0.58123873000000004</v>
      </c>
      <c r="E57"/>
      <c r="F57" s="326">
        <v>2578.19</v>
      </c>
      <c r="G57" s="327">
        <v>0.75501795000000005</v>
      </c>
      <c r="H57"/>
      <c r="I57" s="326">
        <v>3437.45</v>
      </c>
      <c r="J57" s="327">
        <v>0.95802734000000001</v>
      </c>
      <c r="K57"/>
      <c r="L57" s="326">
        <v>6251.11</v>
      </c>
      <c r="M57" s="327">
        <v>0.83980789</v>
      </c>
      <c r="N57"/>
      <c r="O57" s="326">
        <v>4258.47</v>
      </c>
      <c r="P57" s="327">
        <v>0.8914714600000001</v>
      </c>
      <c r="Q57"/>
      <c r="R57" s="326">
        <v>3733.0812999999998</v>
      </c>
      <c r="S57" s="327">
        <v>0.68521028000000006</v>
      </c>
      <c r="T57"/>
      <c r="U57" s="326">
        <v>4214.2476999999999</v>
      </c>
      <c r="V57" s="327">
        <v>0.67652595000000004</v>
      </c>
      <c r="W57"/>
      <c r="X57" s="326">
        <v>7867.7883000000002</v>
      </c>
      <c r="Y57" s="327">
        <v>0.78813534000000007</v>
      </c>
      <c r="Z57"/>
      <c r="AA57" s="326">
        <v>2697.1738999999998</v>
      </c>
      <c r="AB57" s="327">
        <v>0.46405594999999999</v>
      </c>
      <c r="AC57"/>
      <c r="AD57" s="326">
        <v>2329.5309000000002</v>
      </c>
      <c r="AE57" s="327">
        <v>0.41270584999999999</v>
      </c>
      <c r="AF57"/>
      <c r="AG57" s="326">
        <v>-3315</v>
      </c>
      <c r="AH57" s="327">
        <v>0</v>
      </c>
      <c r="AI57"/>
      <c r="AJ57" s="326">
        <v>-1815</v>
      </c>
      <c r="AK57" s="327">
        <v>0</v>
      </c>
      <c r="AL57"/>
      <c r="AM57" s="326">
        <v>-1815</v>
      </c>
      <c r="AN57" s="327">
        <v>0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35155.51</v>
      </c>
      <c r="D60" s="327">
        <v>0.67167562000000003</v>
      </c>
      <c r="E60"/>
      <c r="F60" s="326">
        <v>406.66</v>
      </c>
      <c r="G60" s="327">
        <v>0.11908959</v>
      </c>
      <c r="H60"/>
      <c r="I60" s="326">
        <v>2969.56</v>
      </c>
      <c r="J60" s="327">
        <v>0.82762502999999998</v>
      </c>
      <c r="K60"/>
      <c r="L60" s="326">
        <v>763.2</v>
      </c>
      <c r="M60" s="327">
        <v>0.10253241</v>
      </c>
      <c r="N60"/>
      <c r="O60" s="326">
        <v>166.09</v>
      </c>
      <c r="P60" s="327">
        <v>3.4769410000000001E-2</v>
      </c>
      <c r="Q60"/>
      <c r="R60" s="326">
        <v>250</v>
      </c>
      <c r="S60" s="327">
        <v>4.5887710000000012E-2</v>
      </c>
      <c r="T60"/>
      <c r="U60" s="326">
        <v>6000</v>
      </c>
      <c r="V60" s="327">
        <v>0.96319816999999996</v>
      </c>
      <c r="W60"/>
      <c r="X60" s="326">
        <v>4600</v>
      </c>
      <c r="Y60" s="327">
        <v>0.46079310000000001</v>
      </c>
      <c r="Z60"/>
      <c r="AA60" s="326">
        <v>5000</v>
      </c>
      <c r="AB60" s="327">
        <v>0.86026331999999994</v>
      </c>
      <c r="AC60"/>
      <c r="AD60" s="326">
        <v>15000</v>
      </c>
      <c r="AE60" s="327">
        <v>2.65743961</v>
      </c>
      <c r="AF60"/>
      <c r="AG60" s="326">
        <v>0</v>
      </c>
      <c r="AH60" s="327">
        <v>0</v>
      </c>
      <c r="AI60"/>
      <c r="AJ60" s="326">
        <v>0</v>
      </c>
      <c r="AK60" s="327">
        <v>0</v>
      </c>
      <c r="AL60"/>
      <c r="AM60" s="326">
        <v>0</v>
      </c>
      <c r="AN60" s="327">
        <v>0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1225148.4054</v>
      </c>
      <c r="D63" s="327">
        <v>0.36262383999999998</v>
      </c>
      <c r="E63"/>
      <c r="F63" s="326">
        <v>-88349.53</v>
      </c>
      <c r="G63" s="327">
        <v>-0.88772576000000003</v>
      </c>
      <c r="H63"/>
      <c r="I63" s="326">
        <v>3121.31</v>
      </c>
      <c r="J63" s="327">
        <v>2.6494449999999999E-2</v>
      </c>
      <c r="K63"/>
      <c r="L63" s="326">
        <v>12462.39</v>
      </c>
      <c r="M63" s="327">
        <v>6.6770629999999997E-2</v>
      </c>
      <c r="N63"/>
      <c r="O63" s="326">
        <v>97126.27</v>
      </c>
      <c r="P63" s="327">
        <v>0.36583112000000001</v>
      </c>
      <c r="Q63"/>
      <c r="R63" s="326">
        <v>226314.4</v>
      </c>
      <c r="S63" s="327">
        <v>0.57006973000000005</v>
      </c>
      <c r="T63"/>
      <c r="U63" s="326">
        <v>237542.44159999999</v>
      </c>
      <c r="V63" s="327">
        <v>0.46362395000000001</v>
      </c>
      <c r="W63"/>
      <c r="X63" s="326">
        <v>322661.255</v>
      </c>
      <c r="Y63" s="327">
        <v>0.53074219</v>
      </c>
      <c r="Z63"/>
      <c r="AA63" s="326">
        <v>365135.2548</v>
      </c>
      <c r="AB63" s="327">
        <v>0.57135451000000004</v>
      </c>
      <c r="AC63"/>
      <c r="AD63" s="326">
        <v>304371.89429999999</v>
      </c>
      <c r="AE63" s="327">
        <v>0.55067494000000006</v>
      </c>
      <c r="AF63"/>
      <c r="AG63" s="326">
        <v>-108238.34880000001</v>
      </c>
      <c r="AH63" s="327">
        <v>0</v>
      </c>
      <c r="AI63"/>
      <c r="AJ63" s="326">
        <v>-74210.098800000007</v>
      </c>
      <c r="AK63" s="327">
        <v>0</v>
      </c>
      <c r="AL63"/>
      <c r="AM63" s="326">
        <v>-72788.832699999999</v>
      </c>
      <c r="AN63" s="327">
        <v>0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151293.90229999999</v>
      </c>
      <c r="D66" s="7">
        <v>4.4780510000000003E-2</v>
      </c>
      <c r="E66"/>
      <c r="F66" s="8">
        <v>11054.82</v>
      </c>
      <c r="G66" s="7">
        <v>0.11107754</v>
      </c>
      <c r="H66"/>
      <c r="I66" s="8">
        <v>10304.11</v>
      </c>
      <c r="J66" s="7">
        <v>8.7463840000000015E-2</v>
      </c>
      <c r="K66"/>
      <c r="L66" s="8">
        <v>13843.06</v>
      </c>
      <c r="M66" s="7">
        <v>7.4167940000000002E-2</v>
      </c>
      <c r="N66"/>
      <c r="O66" s="8">
        <v>11136.63</v>
      </c>
      <c r="P66" s="7">
        <v>4.1946690000000002E-2</v>
      </c>
      <c r="Q66"/>
      <c r="R66" s="8">
        <v>14279.697200000001</v>
      </c>
      <c r="S66" s="7">
        <v>3.596953E-2</v>
      </c>
      <c r="T66"/>
      <c r="U66" s="8">
        <v>11882.7788</v>
      </c>
      <c r="V66" s="7">
        <v>2.3192239999999999E-2</v>
      </c>
      <c r="W66"/>
      <c r="X66" s="8">
        <v>15212.5278</v>
      </c>
      <c r="Y66" s="7">
        <v>2.5022929999999999E-2</v>
      </c>
      <c r="Z66"/>
      <c r="AA66" s="8">
        <v>13425.691800000001</v>
      </c>
      <c r="AB66" s="7">
        <v>2.100819E-2</v>
      </c>
      <c r="AC66"/>
      <c r="AD66" s="8">
        <v>9938.9269000000004</v>
      </c>
      <c r="AE66" s="7">
        <v>1.798168E-2</v>
      </c>
      <c r="AF66"/>
      <c r="AG66" s="8">
        <v>15165.022499999999</v>
      </c>
      <c r="AH66" s="7">
        <v>0</v>
      </c>
      <c r="AI66"/>
      <c r="AJ66" s="8">
        <v>14123.0278</v>
      </c>
      <c r="AK66" s="7">
        <v>0</v>
      </c>
      <c r="AL66"/>
      <c r="AM66" s="8">
        <v>10927.6095</v>
      </c>
      <c r="AN66" s="7">
        <v>0</v>
      </c>
    </row>
    <row r="67" spans="2:40" s="314" customFormat="1" ht="12.75" customHeight="1" x14ac:dyDescent="0.15">
      <c r="B67" s="5" t="s">
        <v>40</v>
      </c>
      <c r="C67" s="8">
        <v>126405.8711</v>
      </c>
      <c r="D67" s="7">
        <v>3.7414059999999999E-2</v>
      </c>
      <c r="E67"/>
      <c r="F67" s="8">
        <v>3337.64</v>
      </c>
      <c r="G67" s="7">
        <v>3.3536219999999999E-2</v>
      </c>
      <c r="H67"/>
      <c r="I67" s="8">
        <v>18982.45</v>
      </c>
      <c r="J67" s="7">
        <v>0.16112774999999999</v>
      </c>
      <c r="K67"/>
      <c r="L67" s="8">
        <v>6005.92</v>
      </c>
      <c r="M67" s="7">
        <v>3.217834E-2</v>
      </c>
      <c r="N67"/>
      <c r="O67" s="8">
        <v>9446.01</v>
      </c>
      <c r="P67" s="7">
        <v>3.557888E-2</v>
      </c>
      <c r="Q67"/>
      <c r="R67" s="8">
        <v>11958.884899999999</v>
      </c>
      <c r="S67" s="7">
        <v>3.0123569999999999E-2</v>
      </c>
      <c r="T67"/>
      <c r="U67" s="8">
        <v>14266.203100000001</v>
      </c>
      <c r="V67" s="7">
        <v>2.7844089999999998E-2</v>
      </c>
      <c r="W67"/>
      <c r="X67" s="8">
        <v>16177.869500000001</v>
      </c>
      <c r="Y67" s="7">
        <v>2.6610809999999999E-2</v>
      </c>
      <c r="Z67"/>
      <c r="AA67" s="8">
        <v>16800.390500000001</v>
      </c>
      <c r="AB67" s="7">
        <v>2.6288829999999999E-2</v>
      </c>
      <c r="AC67"/>
      <c r="AD67" s="8">
        <v>15073.5031</v>
      </c>
      <c r="AE67" s="7">
        <v>2.7271239999999999E-2</v>
      </c>
      <c r="AF67"/>
      <c r="AG67" s="8">
        <v>4019</v>
      </c>
      <c r="AH67" s="7">
        <v>0</v>
      </c>
      <c r="AI67"/>
      <c r="AJ67" s="8">
        <v>6319</v>
      </c>
      <c r="AK67" s="7">
        <v>0</v>
      </c>
      <c r="AL67"/>
      <c r="AM67" s="8">
        <v>4019</v>
      </c>
      <c r="AN67" s="7">
        <v>0</v>
      </c>
    </row>
    <row r="68" spans="2:40" s="314" customFormat="1" ht="12.75" customHeight="1" x14ac:dyDescent="0.15">
      <c r="B68" s="325" t="s">
        <v>41</v>
      </c>
      <c r="C68" s="326">
        <v>-277699.7733</v>
      </c>
      <c r="D68" s="327">
        <v>-8.2194579999999989E-2</v>
      </c>
      <c r="E68"/>
      <c r="F68" s="326">
        <v>-14392.46</v>
      </c>
      <c r="G68" s="327">
        <v>-0.14461376000000001</v>
      </c>
      <c r="H68"/>
      <c r="I68" s="326">
        <v>-29286.560000000001</v>
      </c>
      <c r="J68" s="327">
        <v>-0.24859159</v>
      </c>
      <c r="K68"/>
      <c r="L68" s="326">
        <v>-19848.98</v>
      </c>
      <c r="M68" s="327">
        <v>-0.10634628</v>
      </c>
      <c r="N68"/>
      <c r="O68" s="326">
        <v>-20582.64</v>
      </c>
      <c r="P68" s="327">
        <v>-7.7525579999999997E-2</v>
      </c>
      <c r="Q68"/>
      <c r="R68" s="326">
        <v>-26238.581999999999</v>
      </c>
      <c r="S68" s="327">
        <v>-6.6093100000000002E-2</v>
      </c>
      <c r="T68"/>
      <c r="U68" s="326">
        <v>-26148.981899999999</v>
      </c>
      <c r="V68" s="327">
        <v>-5.1036329999999998E-2</v>
      </c>
      <c r="W68"/>
      <c r="X68" s="326">
        <v>-31390.397300000001</v>
      </c>
      <c r="Y68" s="327">
        <v>-5.1633739999999997E-2</v>
      </c>
      <c r="Z68"/>
      <c r="AA68" s="326">
        <v>-30226.082299999998</v>
      </c>
      <c r="AB68" s="327">
        <v>-4.7297020000000002E-2</v>
      </c>
      <c r="AC68"/>
      <c r="AD68" s="326">
        <v>-25012.43</v>
      </c>
      <c r="AE68" s="327">
        <v>-4.5252920000000002E-2</v>
      </c>
      <c r="AF68"/>
      <c r="AG68" s="326">
        <v>-19184.022499999999</v>
      </c>
      <c r="AH68" s="327">
        <v>0</v>
      </c>
      <c r="AI68"/>
      <c r="AJ68" s="326">
        <v>-20442.0278</v>
      </c>
      <c r="AK68" s="327">
        <v>0</v>
      </c>
      <c r="AL68"/>
      <c r="AM68" s="326">
        <v>-14946.6095</v>
      </c>
      <c r="AN68" s="327">
        <v>0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17850.68</v>
      </c>
      <c r="D71" s="7">
        <v>5.2835099999999999E-3</v>
      </c>
      <c r="E71"/>
      <c r="F71" s="8">
        <v>1851.21</v>
      </c>
      <c r="G71" s="7">
        <v>1.8600740000000001E-2</v>
      </c>
      <c r="H71"/>
      <c r="I71" s="8">
        <v>4936.34</v>
      </c>
      <c r="J71" s="7">
        <v>4.1900880000000001E-2</v>
      </c>
      <c r="K71"/>
      <c r="L71" s="8">
        <v>552.6</v>
      </c>
      <c r="M71" s="7">
        <v>2.9607000000000001E-3</v>
      </c>
      <c r="N71"/>
      <c r="O71" s="8">
        <v>974.53</v>
      </c>
      <c r="P71" s="7">
        <v>3.6706199999999999E-3</v>
      </c>
      <c r="Q71"/>
      <c r="R71" s="8">
        <v>1192</v>
      </c>
      <c r="S71" s="7">
        <v>3.00256E-3</v>
      </c>
      <c r="T71"/>
      <c r="U71" s="8">
        <v>1192</v>
      </c>
      <c r="V71" s="7">
        <v>2.3264900000000001E-3</v>
      </c>
      <c r="W71"/>
      <c r="X71" s="8">
        <v>1192</v>
      </c>
      <c r="Y71" s="7">
        <v>1.9607100000000001E-3</v>
      </c>
      <c r="Z71"/>
      <c r="AA71" s="8">
        <v>1192</v>
      </c>
      <c r="AB71" s="7">
        <v>1.86521E-3</v>
      </c>
      <c r="AC71"/>
      <c r="AD71" s="8">
        <v>1192</v>
      </c>
      <c r="AE71" s="7">
        <v>2.1565899999999999E-3</v>
      </c>
      <c r="AF71"/>
      <c r="AG71" s="8">
        <v>1192</v>
      </c>
      <c r="AH71" s="7">
        <v>0</v>
      </c>
      <c r="AI71"/>
      <c r="AJ71" s="8">
        <v>1192</v>
      </c>
      <c r="AK71" s="7">
        <v>0</v>
      </c>
      <c r="AL71"/>
      <c r="AM71" s="8">
        <v>1192</v>
      </c>
      <c r="AN71" s="7">
        <v>0</v>
      </c>
    </row>
    <row r="72" spans="2:40" s="314" customFormat="1" ht="12.75" customHeight="1" x14ac:dyDescent="0.15">
      <c r="B72" s="5" t="s">
        <v>56</v>
      </c>
      <c r="C72" s="8">
        <v>57396.13</v>
      </c>
      <c r="D72" s="7">
        <v>1.698831E-2</v>
      </c>
      <c r="E72"/>
      <c r="F72" s="8">
        <v>1024.8800000000001</v>
      </c>
      <c r="G72" s="7">
        <v>1.0297870000000001E-2</v>
      </c>
      <c r="H72"/>
      <c r="I72" s="8">
        <v>7999.15</v>
      </c>
      <c r="J72" s="7">
        <v>6.7898769999999997E-2</v>
      </c>
      <c r="K72"/>
      <c r="L72" s="8">
        <v>4956.1000000000004</v>
      </c>
      <c r="M72" s="7">
        <v>2.6553650000000002E-2</v>
      </c>
      <c r="N72"/>
      <c r="O72" s="8">
        <v>4216</v>
      </c>
      <c r="P72" s="7">
        <v>1.587978E-2</v>
      </c>
      <c r="Q72"/>
      <c r="R72" s="8">
        <v>4900</v>
      </c>
      <c r="S72" s="7">
        <v>1.234275E-2</v>
      </c>
      <c r="T72"/>
      <c r="U72" s="8">
        <v>4900</v>
      </c>
      <c r="V72" s="7">
        <v>9.5635900000000003E-3</v>
      </c>
      <c r="W72"/>
      <c r="X72" s="8">
        <v>4900</v>
      </c>
      <c r="Y72" s="7">
        <v>8.0599599999999997E-3</v>
      </c>
      <c r="Z72"/>
      <c r="AA72" s="8">
        <v>4900</v>
      </c>
      <c r="AB72" s="7">
        <v>7.6674000000000004E-3</v>
      </c>
      <c r="AC72"/>
      <c r="AD72" s="8">
        <v>4900</v>
      </c>
      <c r="AE72" s="7">
        <v>8.8651700000000003E-3</v>
      </c>
      <c r="AF72"/>
      <c r="AG72" s="8">
        <v>4900</v>
      </c>
      <c r="AH72" s="7">
        <v>0</v>
      </c>
      <c r="AI72"/>
      <c r="AJ72" s="8">
        <v>4900</v>
      </c>
      <c r="AK72" s="7">
        <v>0</v>
      </c>
      <c r="AL72"/>
      <c r="AM72" s="8">
        <v>4900</v>
      </c>
      <c r="AN72" s="7">
        <v>0</v>
      </c>
    </row>
    <row r="73" spans="2:40" s="314" customFormat="1" ht="12.75" customHeight="1" x14ac:dyDescent="0.15">
      <c r="B73" s="5" t="s">
        <v>40</v>
      </c>
      <c r="C73" s="8">
        <v>2584</v>
      </c>
      <c r="D73" s="7">
        <v>7.6481999999999993E-4</v>
      </c>
      <c r="E73"/>
      <c r="F73" s="8">
        <v>0</v>
      </c>
      <c r="G73" s="7">
        <v>0</v>
      </c>
      <c r="H73"/>
      <c r="I73" s="8">
        <v>0</v>
      </c>
      <c r="J73" s="7">
        <v>0</v>
      </c>
      <c r="K73"/>
      <c r="L73" s="8">
        <v>0</v>
      </c>
      <c r="M73" s="7">
        <v>0</v>
      </c>
      <c r="N73"/>
      <c r="O73" s="8">
        <v>0</v>
      </c>
      <c r="P73" s="7">
        <v>0</v>
      </c>
      <c r="Q73"/>
      <c r="R73" s="8">
        <v>323</v>
      </c>
      <c r="S73" s="7">
        <v>8.1360999999999998E-4</v>
      </c>
      <c r="T73"/>
      <c r="U73" s="8">
        <v>323</v>
      </c>
      <c r="V73" s="7">
        <v>6.3042000000000003E-4</v>
      </c>
      <c r="W73"/>
      <c r="X73" s="8">
        <v>323</v>
      </c>
      <c r="Y73" s="7">
        <v>5.3129999999999996E-4</v>
      </c>
      <c r="Z73"/>
      <c r="AA73" s="8">
        <v>323</v>
      </c>
      <c r="AB73" s="7">
        <v>5.0541999999999991E-4</v>
      </c>
      <c r="AC73"/>
      <c r="AD73" s="8">
        <v>323</v>
      </c>
      <c r="AE73" s="7">
        <v>5.8438000000000001E-4</v>
      </c>
      <c r="AF73"/>
      <c r="AG73" s="8">
        <v>323</v>
      </c>
      <c r="AH73" s="7">
        <v>0</v>
      </c>
      <c r="AI73"/>
      <c r="AJ73" s="8">
        <v>323</v>
      </c>
      <c r="AK73" s="7">
        <v>0</v>
      </c>
      <c r="AL73"/>
      <c r="AM73" s="8">
        <v>323</v>
      </c>
      <c r="AN73" s="7">
        <v>0</v>
      </c>
    </row>
    <row r="74" spans="2:40" s="314" customFormat="1" ht="12.75" customHeight="1" x14ac:dyDescent="0.15">
      <c r="B74" s="325" t="s">
        <v>41</v>
      </c>
      <c r="C74" s="326">
        <v>-77830.81</v>
      </c>
      <c r="D74" s="327">
        <v>-2.3036640000000001E-2</v>
      </c>
      <c r="E74"/>
      <c r="F74" s="326">
        <v>-2876.09</v>
      </c>
      <c r="G74" s="327">
        <v>-2.889862E-2</v>
      </c>
      <c r="H74"/>
      <c r="I74" s="326">
        <v>-12935.49</v>
      </c>
      <c r="J74" s="327">
        <v>-0.10979965</v>
      </c>
      <c r="K74"/>
      <c r="L74" s="326">
        <v>-5508.7</v>
      </c>
      <c r="M74" s="327">
        <v>-2.9514350000000002E-2</v>
      </c>
      <c r="N74"/>
      <c r="O74" s="326">
        <v>-5190.53</v>
      </c>
      <c r="P74" s="327">
        <v>-1.9550399999999999E-2</v>
      </c>
      <c r="Q74"/>
      <c r="R74" s="326">
        <v>-6415</v>
      </c>
      <c r="S74" s="327">
        <v>-1.615892E-2</v>
      </c>
      <c r="T74"/>
      <c r="U74" s="326">
        <v>-6415</v>
      </c>
      <c r="V74" s="327">
        <v>-1.252049E-2</v>
      </c>
      <c r="W74"/>
      <c r="X74" s="326">
        <v>-6415</v>
      </c>
      <c r="Y74" s="327">
        <v>-1.0551970000000001E-2</v>
      </c>
      <c r="Z74"/>
      <c r="AA74" s="326">
        <v>-6415</v>
      </c>
      <c r="AB74" s="327">
        <v>-1.003803E-2</v>
      </c>
      <c r="AC74"/>
      <c r="AD74" s="326">
        <v>-6415</v>
      </c>
      <c r="AE74" s="327">
        <v>-1.1606129999999999E-2</v>
      </c>
      <c r="AF74"/>
      <c r="AG74" s="326">
        <v>-6415</v>
      </c>
      <c r="AH74" s="327">
        <v>0</v>
      </c>
      <c r="AI74"/>
      <c r="AJ74" s="326">
        <v>-6415</v>
      </c>
      <c r="AK74" s="327">
        <v>0</v>
      </c>
      <c r="AL74"/>
      <c r="AM74" s="326">
        <v>-6415</v>
      </c>
      <c r="AN74" s="327">
        <v>0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37129.9156</v>
      </c>
      <c r="D77" s="7">
        <v>1.0989850000000001E-2</v>
      </c>
      <c r="E77"/>
      <c r="F77" s="8">
        <v>0</v>
      </c>
      <c r="G77" s="7">
        <v>0</v>
      </c>
      <c r="H77"/>
      <c r="I77" s="8">
        <v>3256.56</v>
      </c>
      <c r="J77" s="7">
        <v>2.7642489999999999E-2</v>
      </c>
      <c r="K77"/>
      <c r="L77" s="8">
        <v>2802.5</v>
      </c>
      <c r="M77" s="7">
        <v>1.501515E-2</v>
      </c>
      <c r="N77"/>
      <c r="O77" s="8">
        <v>3979.93</v>
      </c>
      <c r="P77" s="7">
        <v>1.499061E-2</v>
      </c>
      <c r="Q77"/>
      <c r="R77" s="8">
        <v>3969.9423999999999</v>
      </c>
      <c r="S77" s="7">
        <v>0.01</v>
      </c>
      <c r="T77"/>
      <c r="U77" s="8">
        <v>5123.6016</v>
      </c>
      <c r="V77" s="7">
        <v>0.01</v>
      </c>
      <c r="W77"/>
      <c r="X77" s="8">
        <v>6079.4348</v>
      </c>
      <c r="Y77" s="7">
        <v>0.01</v>
      </c>
      <c r="Z77"/>
      <c r="AA77" s="8">
        <v>6390.6952000000001</v>
      </c>
      <c r="AB77" s="7">
        <v>0.01</v>
      </c>
      <c r="AC77"/>
      <c r="AD77" s="8">
        <v>5527.2515999999996</v>
      </c>
      <c r="AE77" s="7">
        <v>0.01</v>
      </c>
      <c r="AF77"/>
      <c r="AG77" s="8">
        <v>0</v>
      </c>
      <c r="AH77" s="7">
        <v>0</v>
      </c>
      <c r="AI77"/>
      <c r="AJ77" s="8">
        <v>0</v>
      </c>
      <c r="AK77" s="7">
        <v>0</v>
      </c>
      <c r="AL77"/>
      <c r="AM77" s="8">
        <v>0</v>
      </c>
      <c r="AN77" s="7">
        <v>0</v>
      </c>
    </row>
    <row r="78" spans="2:40" s="314" customFormat="1" ht="12.75" customHeight="1" x14ac:dyDescent="0.15">
      <c r="B78" s="5" t="s">
        <v>40</v>
      </c>
      <c r="C78" s="8">
        <v>135232.5747</v>
      </c>
      <c r="D78" s="7">
        <v>4.0026619999999999E-2</v>
      </c>
      <c r="E78"/>
      <c r="F78" s="8">
        <v>10637.94</v>
      </c>
      <c r="G78" s="7">
        <v>0.10688878</v>
      </c>
      <c r="H78"/>
      <c r="I78" s="8">
        <v>543.09</v>
      </c>
      <c r="J78" s="7">
        <v>4.6098800000000002E-3</v>
      </c>
      <c r="K78"/>
      <c r="L78" s="8">
        <v>7503.49</v>
      </c>
      <c r="M78" s="7">
        <v>4.0201979999999998E-2</v>
      </c>
      <c r="N78"/>
      <c r="O78" s="8">
        <v>9818.4</v>
      </c>
      <c r="P78" s="7">
        <v>3.6981510000000002E-2</v>
      </c>
      <c r="Q78"/>
      <c r="R78" s="8">
        <v>17210.4306</v>
      </c>
      <c r="S78" s="7">
        <v>4.3351840000000003E-2</v>
      </c>
      <c r="T78"/>
      <c r="U78" s="8">
        <v>17877.6662</v>
      </c>
      <c r="V78" s="7">
        <v>3.4892769999999997E-2</v>
      </c>
      <c r="W78"/>
      <c r="X78" s="8">
        <v>21394.377499999999</v>
      </c>
      <c r="Y78" s="7">
        <v>3.5191390000000003E-2</v>
      </c>
      <c r="Z78"/>
      <c r="AA78" s="8">
        <v>24528.821400000001</v>
      </c>
      <c r="AB78" s="7">
        <v>3.8382090000000001E-2</v>
      </c>
      <c r="AC78"/>
      <c r="AD78" s="8">
        <v>19256.359</v>
      </c>
      <c r="AE78" s="7">
        <v>3.4838939999999999E-2</v>
      </c>
      <c r="AF78"/>
      <c r="AG78" s="8">
        <v>2154</v>
      </c>
      <c r="AH78" s="7">
        <v>0</v>
      </c>
      <c r="AI78"/>
      <c r="AJ78" s="8">
        <v>2154</v>
      </c>
      <c r="AK78" s="7">
        <v>0</v>
      </c>
      <c r="AL78"/>
      <c r="AM78" s="8">
        <v>2154</v>
      </c>
      <c r="AN78" s="7">
        <v>0</v>
      </c>
    </row>
    <row r="79" spans="2:40" s="314" customFormat="1" ht="12.75" customHeight="1" x14ac:dyDescent="0.15">
      <c r="B79" s="325" t="s">
        <v>41</v>
      </c>
      <c r="C79" s="326">
        <v>-172362.4902</v>
      </c>
      <c r="D79" s="327">
        <v>-5.1016470000000001E-2</v>
      </c>
      <c r="E79"/>
      <c r="F79" s="326">
        <v>-10637.94</v>
      </c>
      <c r="G79" s="327">
        <v>-0.10688878</v>
      </c>
      <c r="H79"/>
      <c r="I79" s="326">
        <v>-3799.65</v>
      </c>
      <c r="J79" s="327">
        <v>-3.2252370000000002E-2</v>
      </c>
      <c r="K79"/>
      <c r="L79" s="326">
        <v>-10305.99</v>
      </c>
      <c r="M79" s="327">
        <v>-5.5217130000000003E-2</v>
      </c>
      <c r="N79"/>
      <c r="O79" s="326">
        <v>-13798.33</v>
      </c>
      <c r="P79" s="327">
        <v>-5.1972119999999997E-2</v>
      </c>
      <c r="Q79"/>
      <c r="R79" s="326">
        <v>-21180.373</v>
      </c>
      <c r="S79" s="327">
        <v>-5.3351839999999998E-2</v>
      </c>
      <c r="T79"/>
      <c r="U79" s="326">
        <v>-23001.2677</v>
      </c>
      <c r="V79" s="327">
        <v>-4.4892770000000012E-2</v>
      </c>
      <c r="W79"/>
      <c r="X79" s="326">
        <v>-27473.812300000001</v>
      </c>
      <c r="Y79" s="327">
        <v>-4.5191389999999998E-2</v>
      </c>
      <c r="Z79"/>
      <c r="AA79" s="326">
        <v>-30919.5167</v>
      </c>
      <c r="AB79" s="327">
        <v>-4.8382090000000003E-2</v>
      </c>
      <c r="AC79"/>
      <c r="AD79" s="326">
        <v>-24783.610499999999</v>
      </c>
      <c r="AE79" s="327">
        <v>-4.4838940000000001E-2</v>
      </c>
      <c r="AF79"/>
      <c r="AG79" s="326">
        <v>-2154</v>
      </c>
      <c r="AH79" s="327">
        <v>0</v>
      </c>
      <c r="AI79"/>
      <c r="AJ79" s="326">
        <v>-2154</v>
      </c>
      <c r="AK79" s="327">
        <v>0</v>
      </c>
      <c r="AL79"/>
      <c r="AM79" s="326">
        <v>-2154</v>
      </c>
      <c r="AN79" s="327">
        <v>0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89571.657800000001</v>
      </c>
      <c r="D82" s="7">
        <v>2.6511739999999999E-2</v>
      </c>
      <c r="E82"/>
      <c r="F82" s="8">
        <v>5454.16</v>
      </c>
      <c r="G82" s="7">
        <v>5.4802759999999999E-2</v>
      </c>
      <c r="H82"/>
      <c r="I82" s="8">
        <v>6263.75</v>
      </c>
      <c r="J82" s="7">
        <v>5.3168259999999988E-2</v>
      </c>
      <c r="K82"/>
      <c r="L82" s="8">
        <v>6276.76</v>
      </c>
      <c r="M82" s="7">
        <v>3.3629439999999997E-2</v>
      </c>
      <c r="N82"/>
      <c r="O82" s="8">
        <v>6268.62</v>
      </c>
      <c r="P82" s="7">
        <v>2.361108E-2</v>
      </c>
      <c r="Q82"/>
      <c r="R82" s="8">
        <v>6822.6509999999998</v>
      </c>
      <c r="S82" s="7">
        <v>1.718577E-2</v>
      </c>
      <c r="T82"/>
      <c r="U82" s="8">
        <v>9467.4012000000002</v>
      </c>
      <c r="V82" s="7">
        <v>1.8478020000000001E-2</v>
      </c>
      <c r="W82"/>
      <c r="X82" s="8">
        <v>7877.9103999999998</v>
      </c>
      <c r="Y82" s="7">
        <v>1.2958290000000001E-2</v>
      </c>
      <c r="Z82"/>
      <c r="AA82" s="8">
        <v>7907.8073999999997</v>
      </c>
      <c r="AB82" s="7">
        <v>1.237394E-2</v>
      </c>
      <c r="AC82"/>
      <c r="AD82" s="8">
        <v>9265.5812000000005</v>
      </c>
      <c r="AE82" s="7">
        <v>1.6763449999999999E-2</v>
      </c>
      <c r="AF82"/>
      <c r="AG82" s="8">
        <v>9265.5812000000005</v>
      </c>
      <c r="AH82" s="7">
        <v>0</v>
      </c>
      <c r="AI82"/>
      <c r="AJ82" s="8">
        <v>8223.5864999999994</v>
      </c>
      <c r="AK82" s="7">
        <v>0</v>
      </c>
      <c r="AL82"/>
      <c r="AM82" s="8">
        <v>6477.8489</v>
      </c>
      <c r="AN82" s="7">
        <v>0</v>
      </c>
    </row>
    <row r="83" spans="2:40" s="314" customFormat="1" ht="12.75" customHeight="1" x14ac:dyDescent="0.15">
      <c r="B83" s="5" t="s">
        <v>40</v>
      </c>
      <c r="C83" s="8">
        <v>81510.48</v>
      </c>
      <c r="D83" s="7">
        <v>2.4125770000000001E-2</v>
      </c>
      <c r="E83"/>
      <c r="F83" s="8">
        <v>2632.41</v>
      </c>
      <c r="G83" s="7">
        <v>2.6450149999999999E-2</v>
      </c>
      <c r="H83"/>
      <c r="I83" s="8">
        <v>8800.17</v>
      </c>
      <c r="J83" s="7">
        <v>7.4698029999999999E-2</v>
      </c>
      <c r="K83"/>
      <c r="L83" s="8">
        <v>9503.86</v>
      </c>
      <c r="M83" s="7">
        <v>5.0919499999999999E-2</v>
      </c>
      <c r="N83"/>
      <c r="O83" s="8">
        <v>15394.04</v>
      </c>
      <c r="P83" s="7">
        <v>5.7982449999999998E-2</v>
      </c>
      <c r="Q83"/>
      <c r="R83" s="8">
        <v>4935</v>
      </c>
      <c r="S83" s="7">
        <v>1.243091E-2</v>
      </c>
      <c r="T83"/>
      <c r="U83" s="8">
        <v>4985</v>
      </c>
      <c r="V83" s="7">
        <v>9.7294800000000004E-3</v>
      </c>
      <c r="W83"/>
      <c r="X83" s="8">
        <v>5310</v>
      </c>
      <c r="Y83" s="7">
        <v>8.73436E-3</v>
      </c>
      <c r="Z83"/>
      <c r="AA83" s="8">
        <v>6285</v>
      </c>
      <c r="AB83" s="7">
        <v>9.8346100000000006E-3</v>
      </c>
      <c r="AC83"/>
      <c r="AD83" s="8">
        <v>5485</v>
      </c>
      <c r="AE83" s="7">
        <v>9.9235599999999997E-3</v>
      </c>
      <c r="AF83"/>
      <c r="AG83" s="8">
        <v>5385</v>
      </c>
      <c r="AH83" s="7">
        <v>0</v>
      </c>
      <c r="AI83"/>
      <c r="AJ83" s="8">
        <v>4910</v>
      </c>
      <c r="AK83" s="7">
        <v>0</v>
      </c>
      <c r="AL83"/>
      <c r="AM83" s="8">
        <v>7885</v>
      </c>
      <c r="AN83" s="7">
        <v>0</v>
      </c>
    </row>
    <row r="84" spans="2:40" s="314" customFormat="1" ht="12.75" customHeight="1" x14ac:dyDescent="0.15">
      <c r="B84" s="325" t="s">
        <v>41</v>
      </c>
      <c r="C84" s="326">
        <v>-171082.1378</v>
      </c>
      <c r="D84" s="327">
        <v>-5.0637509999999997E-2</v>
      </c>
      <c r="E84"/>
      <c r="F84" s="326">
        <v>-8086.57</v>
      </c>
      <c r="G84" s="327">
        <v>-8.1252910000000012E-2</v>
      </c>
      <c r="H84"/>
      <c r="I84" s="326">
        <v>-15063.92</v>
      </c>
      <c r="J84" s="327">
        <v>-0.12786628999999999</v>
      </c>
      <c r="K84"/>
      <c r="L84" s="326">
        <v>-15780.62</v>
      </c>
      <c r="M84" s="327">
        <v>-8.4548939999999989E-2</v>
      </c>
      <c r="N84"/>
      <c r="O84" s="326">
        <v>-21662.66</v>
      </c>
      <c r="P84" s="327">
        <v>-8.1593529999999997E-2</v>
      </c>
      <c r="Q84"/>
      <c r="R84" s="326">
        <v>-11757.651</v>
      </c>
      <c r="S84" s="327">
        <v>-2.9616679999999999E-2</v>
      </c>
      <c r="T84"/>
      <c r="U84" s="326">
        <v>-14452.4012</v>
      </c>
      <c r="V84" s="327">
        <v>-2.82075E-2</v>
      </c>
      <c r="W84"/>
      <c r="X84" s="326">
        <v>-13187.910400000001</v>
      </c>
      <c r="Y84" s="327">
        <v>-2.1692659999999999E-2</v>
      </c>
      <c r="Z84"/>
      <c r="AA84" s="326">
        <v>-14192.8074</v>
      </c>
      <c r="AB84" s="327">
        <v>-2.2208550000000001E-2</v>
      </c>
      <c r="AC84"/>
      <c r="AD84" s="326">
        <v>-14750.581200000001</v>
      </c>
      <c r="AE84" s="327">
        <v>-2.6687010000000001E-2</v>
      </c>
      <c r="AF84"/>
      <c r="AG84" s="326">
        <v>-14650.581200000001</v>
      </c>
      <c r="AH84" s="327">
        <v>0</v>
      </c>
      <c r="AI84"/>
      <c r="AJ84" s="326">
        <v>-13133.586499999999</v>
      </c>
      <c r="AK84" s="327">
        <v>0</v>
      </c>
      <c r="AL84"/>
      <c r="AM84" s="326">
        <v>-14362.848900000001</v>
      </c>
      <c r="AN84" s="327">
        <v>0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-242297.44</v>
      </c>
      <c r="D87" s="327">
        <v>-7.1716069999999993E-2</v>
      </c>
      <c r="E87"/>
      <c r="F87" s="326">
        <v>-29303.95</v>
      </c>
      <c r="G87" s="327">
        <v>-0.29444267000000002</v>
      </c>
      <c r="H87"/>
      <c r="I87" s="326">
        <v>-29310.18</v>
      </c>
      <c r="J87" s="327">
        <v>-0.24879208</v>
      </c>
      <c r="K87"/>
      <c r="L87" s="326">
        <v>6141.29</v>
      </c>
      <c r="M87" s="327">
        <v>3.2903620000000001E-2</v>
      </c>
      <c r="N87"/>
      <c r="O87" s="326">
        <v>-19846.599999999999</v>
      </c>
      <c r="P87" s="327">
        <v>-7.4753239999999999E-2</v>
      </c>
      <c r="Q87"/>
      <c r="R87" s="326">
        <v>-30827</v>
      </c>
      <c r="S87" s="327">
        <v>-7.7650999999999998E-2</v>
      </c>
      <c r="T87"/>
      <c r="U87" s="326">
        <v>-25767.200000000001</v>
      </c>
      <c r="V87" s="327">
        <v>-5.029119E-2</v>
      </c>
      <c r="W87"/>
      <c r="X87" s="326">
        <v>-39952</v>
      </c>
      <c r="Y87" s="327">
        <v>-6.5716640000000007E-2</v>
      </c>
      <c r="Z87"/>
      <c r="AA87" s="326">
        <v>-24678.799999999999</v>
      </c>
      <c r="AB87" s="327">
        <v>-3.8616769999999988E-2</v>
      </c>
      <c r="AC87"/>
      <c r="AD87" s="326">
        <v>-21753</v>
      </c>
      <c r="AE87" s="327">
        <v>-3.9355910000000001E-2</v>
      </c>
      <c r="AF87"/>
      <c r="AG87" s="326">
        <v>-13000</v>
      </c>
      <c r="AH87" s="327">
        <v>0</v>
      </c>
      <c r="AI87"/>
      <c r="AJ87" s="326">
        <v>-9000</v>
      </c>
      <c r="AK87" s="327">
        <v>0</v>
      </c>
      <c r="AL87"/>
      <c r="AM87" s="326">
        <v>-5000</v>
      </c>
      <c r="AN87" s="327">
        <v>0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283875.75410000002</v>
      </c>
      <c r="D89" s="327">
        <v>8.4022570000000005E-2</v>
      </c>
      <c r="E89"/>
      <c r="F89" s="326">
        <v>-153646.54</v>
      </c>
      <c r="G89" s="327">
        <v>-1.5438224899999999</v>
      </c>
      <c r="H89"/>
      <c r="I89" s="326">
        <v>-87274.49</v>
      </c>
      <c r="J89" s="327">
        <v>-0.74080752000000005</v>
      </c>
      <c r="K89"/>
      <c r="L89" s="326">
        <v>-32840.61</v>
      </c>
      <c r="M89" s="327">
        <v>-0.17595246</v>
      </c>
      <c r="N89"/>
      <c r="O89" s="326">
        <v>16045.51</v>
      </c>
      <c r="P89" s="327">
        <v>6.0436240000000002E-2</v>
      </c>
      <c r="Q89"/>
      <c r="R89" s="326">
        <v>129895.7939</v>
      </c>
      <c r="S89" s="327">
        <v>0.32719817999999989</v>
      </c>
      <c r="T89"/>
      <c r="U89" s="326">
        <v>141757.59080000001</v>
      </c>
      <c r="V89" s="327">
        <v>0.27667566999999998</v>
      </c>
      <c r="W89"/>
      <c r="X89" s="326">
        <v>204242.13500000001</v>
      </c>
      <c r="Y89" s="327">
        <v>0.33595580000000003</v>
      </c>
      <c r="Z89"/>
      <c r="AA89" s="326">
        <v>258703.0484</v>
      </c>
      <c r="AB89" s="327">
        <v>0.40481205999999997</v>
      </c>
      <c r="AC89"/>
      <c r="AD89" s="326">
        <v>211657.2726</v>
      </c>
      <c r="AE89" s="327">
        <v>0.38293402999999998</v>
      </c>
      <c r="AF89"/>
      <c r="AG89" s="326">
        <v>-163641.95250000001</v>
      </c>
      <c r="AH89" s="327">
        <v>0</v>
      </c>
      <c r="AI89"/>
      <c r="AJ89" s="326">
        <v>-125354.713</v>
      </c>
      <c r="AK89" s="327">
        <v>0</v>
      </c>
      <c r="AL89"/>
      <c r="AM89" s="326">
        <v>-115667.2911</v>
      </c>
      <c r="AN89" s="327">
        <v>0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0</v>
      </c>
      <c r="D97" s="327">
        <v>0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0</v>
      </c>
      <c r="S97" s="327">
        <v>0</v>
      </c>
      <c r="T97"/>
      <c r="U97" s="326">
        <v>0</v>
      </c>
      <c r="V97" s="327">
        <v>0</v>
      </c>
      <c r="W97"/>
      <c r="X97" s="326">
        <v>0</v>
      </c>
      <c r="Y97" s="327">
        <v>0</v>
      </c>
      <c r="Z97"/>
      <c r="AA97" s="326">
        <v>0</v>
      </c>
      <c r="AB97" s="327">
        <v>0</v>
      </c>
      <c r="AC97"/>
      <c r="AD97" s="326">
        <v>0</v>
      </c>
      <c r="AE97" s="327">
        <v>0</v>
      </c>
      <c r="AF97"/>
      <c r="AG97" s="326">
        <v>0</v>
      </c>
      <c r="AH97" s="327">
        <v>0</v>
      </c>
      <c r="AI97"/>
      <c r="AJ97" s="326">
        <v>0</v>
      </c>
      <c r="AK97" s="327">
        <v>0</v>
      </c>
      <c r="AL97"/>
      <c r="AM97" s="326">
        <v>0</v>
      </c>
      <c r="AN97" s="327">
        <v>0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0</v>
      </c>
      <c r="D99" s="7">
        <v>0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0</v>
      </c>
      <c r="S99" s="7">
        <v>0</v>
      </c>
      <c r="T99"/>
      <c r="U99" s="8">
        <v>0</v>
      </c>
      <c r="V99" s="7">
        <v>0</v>
      </c>
      <c r="W99"/>
      <c r="X99" s="8">
        <v>0</v>
      </c>
      <c r="Y99" s="7">
        <v>0</v>
      </c>
      <c r="Z99"/>
      <c r="AA99" s="8">
        <v>0</v>
      </c>
      <c r="AB99" s="7">
        <v>0</v>
      </c>
      <c r="AC99"/>
      <c r="AD99" s="8">
        <v>0</v>
      </c>
      <c r="AE99" s="7">
        <v>0</v>
      </c>
      <c r="AF99"/>
      <c r="AG99" s="8">
        <v>0</v>
      </c>
      <c r="AH99" s="7">
        <v>0</v>
      </c>
      <c r="AI99"/>
      <c r="AJ99" s="8">
        <v>0</v>
      </c>
      <c r="AK99" s="7">
        <v>0</v>
      </c>
      <c r="AL99"/>
      <c r="AM99" s="8">
        <v>0</v>
      </c>
      <c r="AN99" s="7">
        <v>0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0</v>
      </c>
      <c r="D101" s="327">
        <v>0</v>
      </c>
      <c r="E101"/>
      <c r="F101" s="326">
        <v>0</v>
      </c>
      <c r="G101" s="327">
        <v>0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0</v>
      </c>
      <c r="S101" s="327">
        <v>0</v>
      </c>
      <c r="T101"/>
      <c r="U101" s="326">
        <v>0</v>
      </c>
      <c r="V101" s="327">
        <v>0</v>
      </c>
      <c r="W101"/>
      <c r="X101" s="326">
        <v>0</v>
      </c>
      <c r="Y101" s="327">
        <v>0</v>
      </c>
      <c r="Z101"/>
      <c r="AA101" s="326">
        <v>0</v>
      </c>
      <c r="AB101" s="327">
        <v>0</v>
      </c>
      <c r="AC101"/>
      <c r="AD101" s="326">
        <v>0</v>
      </c>
      <c r="AE101" s="327">
        <v>0</v>
      </c>
      <c r="AF101"/>
      <c r="AG101" s="326">
        <v>0</v>
      </c>
      <c r="AH101" s="327">
        <v>0</v>
      </c>
      <c r="AI101"/>
      <c r="AJ101" s="326">
        <v>0</v>
      </c>
      <c r="AK101" s="327">
        <v>0</v>
      </c>
      <c r="AL101"/>
      <c r="AM101" s="326">
        <v>0</v>
      </c>
      <c r="AN101" s="327">
        <v>0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283875.75410000002</v>
      </c>
      <c r="D103" s="327">
        <v>8.4022570000000005E-2</v>
      </c>
      <c r="E103"/>
      <c r="F103" s="326">
        <v>-153646.54</v>
      </c>
      <c r="G103" s="327">
        <v>-1.5438224899999999</v>
      </c>
      <c r="H103"/>
      <c r="I103" s="326">
        <v>-87274.49</v>
      </c>
      <c r="J103" s="327">
        <v>-0.74080752000000005</v>
      </c>
      <c r="K103"/>
      <c r="L103" s="326">
        <v>-32840.61</v>
      </c>
      <c r="M103" s="327">
        <v>-0.17595246</v>
      </c>
      <c r="N103"/>
      <c r="O103" s="326">
        <v>16045.51</v>
      </c>
      <c r="P103" s="327">
        <v>6.0436240000000002E-2</v>
      </c>
      <c r="Q103"/>
      <c r="R103" s="326">
        <v>129895.7939</v>
      </c>
      <c r="S103" s="327">
        <v>0.32719817999999989</v>
      </c>
      <c r="T103"/>
      <c r="U103" s="326">
        <v>141757.59080000001</v>
      </c>
      <c r="V103" s="327">
        <v>0.27667566999999998</v>
      </c>
      <c r="W103"/>
      <c r="X103" s="326">
        <v>204242.13500000001</v>
      </c>
      <c r="Y103" s="327">
        <v>0.33595580000000003</v>
      </c>
      <c r="Z103"/>
      <c r="AA103" s="326">
        <v>258703.0484</v>
      </c>
      <c r="AB103" s="327">
        <v>0.40481205999999997</v>
      </c>
      <c r="AC103"/>
      <c r="AD103" s="326">
        <v>211657.2726</v>
      </c>
      <c r="AE103" s="327">
        <v>0.38293402999999998</v>
      </c>
      <c r="AF103"/>
      <c r="AG103" s="326">
        <v>-163641.95250000001</v>
      </c>
      <c r="AH103" s="327">
        <v>0</v>
      </c>
      <c r="AI103"/>
      <c r="AJ103" s="326">
        <v>-125354.713</v>
      </c>
      <c r="AK103" s="327">
        <v>0</v>
      </c>
      <c r="AL103"/>
      <c r="AM103" s="326">
        <v>-115667.2911</v>
      </c>
      <c r="AN103" s="327">
        <v>0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57237.96</v>
      </c>
      <c r="D105" s="327">
        <v>1.6941500000000002E-2</v>
      </c>
      <c r="E105"/>
      <c r="F105" s="326">
        <v>5605.84</v>
      </c>
      <c r="G105" s="327">
        <v>5.6326830000000001E-2</v>
      </c>
      <c r="H105"/>
      <c r="I105" s="326">
        <v>2802.92</v>
      </c>
      <c r="J105" s="327">
        <v>2.3791880000000001E-2</v>
      </c>
      <c r="K105"/>
      <c r="L105" s="326">
        <v>2802.92</v>
      </c>
      <c r="M105" s="327">
        <v>1.50174E-2</v>
      </c>
      <c r="N105"/>
      <c r="O105" s="326">
        <v>2802.92</v>
      </c>
      <c r="P105" s="327">
        <v>1.055734E-2</v>
      </c>
      <c r="Q105"/>
      <c r="R105" s="326">
        <v>5402.92</v>
      </c>
      <c r="S105" s="327">
        <v>1.360957E-2</v>
      </c>
      <c r="T105"/>
      <c r="U105" s="326">
        <v>5402.92</v>
      </c>
      <c r="V105" s="327">
        <v>1.054516E-2</v>
      </c>
      <c r="W105"/>
      <c r="X105" s="326">
        <v>5402.92</v>
      </c>
      <c r="Y105" s="327">
        <v>8.8872099999999996E-3</v>
      </c>
      <c r="Z105"/>
      <c r="AA105" s="326">
        <v>5402.92</v>
      </c>
      <c r="AB105" s="327">
        <v>8.4543500000000011E-3</v>
      </c>
      <c r="AC105"/>
      <c r="AD105" s="326">
        <v>5402.92</v>
      </c>
      <c r="AE105" s="327">
        <v>9.7750600000000003E-3</v>
      </c>
      <c r="AF105"/>
      <c r="AG105" s="326">
        <v>5402.92</v>
      </c>
      <c r="AH105" s="327">
        <v>0</v>
      </c>
      <c r="AI105"/>
      <c r="AJ105" s="326">
        <v>5402.92</v>
      </c>
      <c r="AK105" s="327">
        <v>0</v>
      </c>
      <c r="AL105"/>
      <c r="AM105" s="326">
        <v>5402.92</v>
      </c>
      <c r="AN105" s="327">
        <v>0</v>
      </c>
    </row>
    <row r="106" spans="2:40" s="314" customFormat="1" ht="12.75" customHeight="1" x14ac:dyDescent="0.15">
      <c r="B106" s="5" t="s">
        <v>71</v>
      </c>
      <c r="C106" s="8">
        <v>27467.96</v>
      </c>
      <c r="D106" s="7">
        <v>8.1300699999999997E-3</v>
      </c>
      <c r="E106"/>
      <c r="F106" s="8">
        <v>4225.84</v>
      </c>
      <c r="G106" s="7">
        <v>4.2460750000000012E-2</v>
      </c>
      <c r="H106"/>
      <c r="I106" s="8">
        <v>2112.92</v>
      </c>
      <c r="J106" s="7">
        <v>1.7934990000000001E-2</v>
      </c>
      <c r="K106"/>
      <c r="L106" s="8">
        <v>2112.92</v>
      </c>
      <c r="M106" s="7">
        <v>1.132054E-2</v>
      </c>
      <c r="N106"/>
      <c r="O106" s="8">
        <v>2112.92</v>
      </c>
      <c r="P106" s="7">
        <v>7.9584200000000008E-3</v>
      </c>
      <c r="Q106"/>
      <c r="R106" s="8">
        <v>2112.92</v>
      </c>
      <c r="S106" s="7">
        <v>5.3222899999999986E-3</v>
      </c>
      <c r="T106"/>
      <c r="U106" s="8">
        <v>2112.92</v>
      </c>
      <c r="V106" s="7">
        <v>4.1238999999999998E-3</v>
      </c>
      <c r="W106"/>
      <c r="X106" s="8">
        <v>2112.92</v>
      </c>
      <c r="Y106" s="7">
        <v>3.4755200000000002E-3</v>
      </c>
      <c r="Z106"/>
      <c r="AA106" s="8">
        <v>2112.92</v>
      </c>
      <c r="AB106" s="7">
        <v>3.3062399999999998E-3</v>
      </c>
      <c r="AC106"/>
      <c r="AD106" s="8">
        <v>2112.92</v>
      </c>
      <c r="AE106" s="7">
        <v>3.8227299999999999E-3</v>
      </c>
      <c r="AF106"/>
      <c r="AG106" s="8">
        <v>2112.92</v>
      </c>
      <c r="AH106" s="7">
        <v>0</v>
      </c>
      <c r="AI106"/>
      <c r="AJ106" s="8">
        <v>2112.92</v>
      </c>
      <c r="AK106" s="7">
        <v>0</v>
      </c>
      <c r="AL106"/>
      <c r="AM106" s="8">
        <v>2112.92</v>
      </c>
      <c r="AN106" s="7">
        <v>0</v>
      </c>
    </row>
    <row r="107" spans="2:40" s="314" customFormat="1" ht="12.75" customHeight="1" x14ac:dyDescent="0.15">
      <c r="B107" s="5" t="s">
        <v>72</v>
      </c>
      <c r="C107" s="8">
        <v>12800</v>
      </c>
      <c r="D107" s="7">
        <v>3.7885900000000001E-3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1600</v>
      </c>
      <c r="S107" s="7">
        <v>4.0302900000000006E-3</v>
      </c>
      <c r="T107"/>
      <c r="U107" s="8">
        <v>1600</v>
      </c>
      <c r="V107" s="7">
        <v>3.1227999999999998E-3</v>
      </c>
      <c r="W107"/>
      <c r="X107" s="8">
        <v>1600</v>
      </c>
      <c r="Y107" s="7">
        <v>2.63182E-3</v>
      </c>
      <c r="Z107"/>
      <c r="AA107" s="8">
        <v>1600</v>
      </c>
      <c r="AB107" s="7">
        <v>2.5036400000000001E-3</v>
      </c>
      <c r="AC107"/>
      <c r="AD107" s="8">
        <v>1600</v>
      </c>
      <c r="AE107" s="7">
        <v>2.8947500000000002E-3</v>
      </c>
      <c r="AF107"/>
      <c r="AG107" s="8">
        <v>1600</v>
      </c>
      <c r="AH107" s="7">
        <v>0</v>
      </c>
      <c r="AI107"/>
      <c r="AJ107" s="8">
        <v>1600</v>
      </c>
      <c r="AK107" s="7">
        <v>0</v>
      </c>
      <c r="AL107"/>
      <c r="AM107" s="8">
        <v>1600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8000</v>
      </c>
      <c r="D108" s="7">
        <v>2.3678699999999998E-3</v>
      </c>
      <c r="E108"/>
      <c r="F108" s="8">
        <v>0</v>
      </c>
      <c r="G108" s="7">
        <v>0</v>
      </c>
      <c r="H108"/>
      <c r="I108" s="8">
        <v>0</v>
      </c>
      <c r="J108" s="7">
        <v>0</v>
      </c>
      <c r="K108"/>
      <c r="L108" s="8">
        <v>0</v>
      </c>
      <c r="M108" s="7">
        <v>0</v>
      </c>
      <c r="N108"/>
      <c r="O108" s="8">
        <v>0</v>
      </c>
      <c r="P108" s="7">
        <v>0</v>
      </c>
      <c r="Q108"/>
      <c r="R108" s="8">
        <v>1000</v>
      </c>
      <c r="S108" s="7">
        <v>2.51893E-3</v>
      </c>
      <c r="T108"/>
      <c r="U108" s="8">
        <v>1000</v>
      </c>
      <c r="V108" s="7">
        <v>1.9517499999999999E-3</v>
      </c>
      <c r="W108"/>
      <c r="X108" s="8">
        <v>1000</v>
      </c>
      <c r="Y108" s="7">
        <v>1.64489E-3</v>
      </c>
      <c r="Z108"/>
      <c r="AA108" s="8">
        <v>1000</v>
      </c>
      <c r="AB108" s="7">
        <v>1.56477E-3</v>
      </c>
      <c r="AC108"/>
      <c r="AD108" s="8">
        <v>1000</v>
      </c>
      <c r="AE108" s="7">
        <v>1.8092200000000001E-3</v>
      </c>
      <c r="AF108"/>
      <c r="AG108" s="8">
        <v>1000</v>
      </c>
      <c r="AH108" s="7">
        <v>0</v>
      </c>
      <c r="AI108"/>
      <c r="AJ108" s="8">
        <v>1000</v>
      </c>
      <c r="AK108" s="7">
        <v>0</v>
      </c>
      <c r="AL108"/>
      <c r="AM108" s="8">
        <v>1000</v>
      </c>
      <c r="AN108" s="7">
        <v>0</v>
      </c>
    </row>
    <row r="109" spans="2:40" s="314" customFormat="1" ht="12.75" customHeight="1" x14ac:dyDescent="0.15">
      <c r="B109" s="5" t="s">
        <v>74</v>
      </c>
      <c r="C109" s="8">
        <v>0</v>
      </c>
      <c r="D109" s="7">
        <v>0</v>
      </c>
      <c r="E109"/>
      <c r="F109" s="8">
        <v>0</v>
      </c>
      <c r="G109" s="7">
        <v>0</v>
      </c>
      <c r="H109"/>
      <c r="I109" s="8">
        <v>0</v>
      </c>
      <c r="J109" s="7">
        <v>0</v>
      </c>
      <c r="K109"/>
      <c r="L109" s="8">
        <v>0</v>
      </c>
      <c r="M109" s="7">
        <v>0</v>
      </c>
      <c r="N109"/>
      <c r="O109" s="8">
        <v>0</v>
      </c>
      <c r="P109" s="7">
        <v>0</v>
      </c>
      <c r="Q109"/>
      <c r="R109" s="8">
        <v>0</v>
      </c>
      <c r="S109" s="7">
        <v>0</v>
      </c>
      <c r="T109"/>
      <c r="U109" s="8">
        <v>0</v>
      </c>
      <c r="V109" s="7">
        <v>0</v>
      </c>
      <c r="W109"/>
      <c r="X109" s="8">
        <v>0</v>
      </c>
      <c r="Y109" s="7">
        <v>0</v>
      </c>
      <c r="Z109"/>
      <c r="AA109" s="8">
        <v>0</v>
      </c>
      <c r="AB109" s="7">
        <v>0</v>
      </c>
      <c r="AC109"/>
      <c r="AD109" s="8">
        <v>0</v>
      </c>
      <c r="AE109" s="7">
        <v>0</v>
      </c>
      <c r="AF109"/>
      <c r="AG109" s="8">
        <v>0</v>
      </c>
      <c r="AH109" s="7">
        <v>0</v>
      </c>
      <c r="AI109"/>
      <c r="AJ109" s="8">
        <v>0</v>
      </c>
      <c r="AK109" s="7">
        <v>0</v>
      </c>
      <c r="AL109"/>
      <c r="AM109" s="8">
        <v>0</v>
      </c>
      <c r="AN109" s="7">
        <v>0</v>
      </c>
    </row>
    <row r="110" spans="2:40" s="314" customFormat="1" ht="12.75" customHeight="1" x14ac:dyDescent="0.15">
      <c r="B110" s="5" t="s">
        <v>75</v>
      </c>
      <c r="C110" s="8">
        <v>8970</v>
      </c>
      <c r="D110" s="7">
        <v>2.65497E-3</v>
      </c>
      <c r="E110"/>
      <c r="F110" s="8">
        <v>1380</v>
      </c>
      <c r="G110" s="7">
        <v>1.3866079999999999E-2</v>
      </c>
      <c r="H110"/>
      <c r="I110" s="8">
        <v>690</v>
      </c>
      <c r="J110" s="7">
        <v>5.85689E-3</v>
      </c>
      <c r="K110"/>
      <c r="L110" s="8">
        <v>690</v>
      </c>
      <c r="M110" s="7">
        <v>3.6968600000000002E-3</v>
      </c>
      <c r="N110"/>
      <c r="O110" s="8">
        <v>690</v>
      </c>
      <c r="P110" s="7">
        <v>2.5989199999999998E-3</v>
      </c>
      <c r="Q110"/>
      <c r="R110" s="8">
        <v>690</v>
      </c>
      <c r="S110" s="7">
        <v>1.73806E-3</v>
      </c>
      <c r="T110"/>
      <c r="U110" s="8">
        <v>690</v>
      </c>
      <c r="V110" s="7">
        <v>1.3467100000000001E-3</v>
      </c>
      <c r="W110"/>
      <c r="X110" s="8">
        <v>690</v>
      </c>
      <c r="Y110" s="7">
        <v>1.1349699999999999E-3</v>
      </c>
      <c r="Z110"/>
      <c r="AA110" s="8">
        <v>690</v>
      </c>
      <c r="AB110" s="7">
        <v>1.0796899999999999E-3</v>
      </c>
      <c r="AC110"/>
      <c r="AD110" s="8">
        <v>690</v>
      </c>
      <c r="AE110" s="7">
        <v>1.24836E-3</v>
      </c>
      <c r="AF110"/>
      <c r="AG110" s="8">
        <v>690</v>
      </c>
      <c r="AH110" s="7">
        <v>0</v>
      </c>
      <c r="AI110"/>
      <c r="AJ110" s="8">
        <v>690</v>
      </c>
      <c r="AK110" s="7">
        <v>0</v>
      </c>
      <c r="AL110"/>
      <c r="AM110" s="8">
        <v>690</v>
      </c>
      <c r="AN110" s="7">
        <v>0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226637.7941</v>
      </c>
      <c r="D121" s="327">
        <v>6.7081070000000007E-2</v>
      </c>
      <c r="E121"/>
      <c r="F121" s="326">
        <v>-159252.38</v>
      </c>
      <c r="G121" s="327">
        <v>-1.6001493099999999</v>
      </c>
      <c r="H121"/>
      <c r="I121" s="326">
        <v>-90077.41</v>
      </c>
      <c r="J121" s="327">
        <v>-0.76459940000000004</v>
      </c>
      <c r="K121"/>
      <c r="L121" s="326">
        <v>-35643.53</v>
      </c>
      <c r="M121" s="327">
        <v>-0.19096985999999999</v>
      </c>
      <c r="N121"/>
      <c r="O121" s="326">
        <v>13242.59</v>
      </c>
      <c r="P121" s="327">
        <v>4.9878899999999997E-2</v>
      </c>
      <c r="Q121"/>
      <c r="R121" s="326">
        <v>124492.87390000001</v>
      </c>
      <c r="S121" s="327">
        <v>0.31358860999999999</v>
      </c>
      <c r="T121"/>
      <c r="U121" s="326">
        <v>136354.67079999999</v>
      </c>
      <c r="V121" s="327">
        <v>0.26613050999999999</v>
      </c>
      <c r="W121"/>
      <c r="X121" s="326">
        <v>198839.215</v>
      </c>
      <c r="Y121" s="327">
        <v>0.32706858999999999</v>
      </c>
      <c r="Z121"/>
      <c r="AA121" s="326">
        <v>253300.12839999999</v>
      </c>
      <c r="AB121" s="327">
        <v>0.39635769999999998</v>
      </c>
      <c r="AC121"/>
      <c r="AD121" s="326">
        <v>206254.35260000001</v>
      </c>
      <c r="AE121" s="327">
        <v>0.37315897999999997</v>
      </c>
      <c r="AF121"/>
      <c r="AG121" s="326">
        <v>-169044.8725</v>
      </c>
      <c r="AH121" s="327">
        <v>0</v>
      </c>
      <c r="AI121"/>
      <c r="AJ121" s="326">
        <v>-130757.633</v>
      </c>
      <c r="AK121" s="327">
        <v>0</v>
      </c>
      <c r="AL121"/>
      <c r="AM121" s="326">
        <v>-121070.2111</v>
      </c>
      <c r="AN121" s="327">
        <v>0</v>
      </c>
    </row>
    <row r="122" spans="2:40" s="314" customFormat="1" ht="12.75" customHeight="1" x14ac:dyDescent="0.15">
      <c r="B122" s="5" t="s">
        <v>85</v>
      </c>
      <c r="C122" s="8">
        <v>0</v>
      </c>
      <c r="D122" s="7">
        <v>0</v>
      </c>
      <c r="E122"/>
      <c r="F122" s="8">
        <v>0</v>
      </c>
      <c r="G122" s="7">
        <v>0</v>
      </c>
      <c r="H122"/>
      <c r="I122" s="8">
        <v>0</v>
      </c>
      <c r="J122" s="7">
        <v>0</v>
      </c>
      <c r="K122"/>
      <c r="L122" s="8">
        <v>0</v>
      </c>
      <c r="M122" s="7">
        <v>0</v>
      </c>
      <c r="N122"/>
      <c r="O122" s="8">
        <v>0</v>
      </c>
      <c r="P122" s="7">
        <v>0</v>
      </c>
      <c r="Q122"/>
      <c r="R122" s="8">
        <v>0</v>
      </c>
      <c r="S122" s="7">
        <v>0</v>
      </c>
      <c r="T122"/>
      <c r="U122" s="8">
        <v>0</v>
      </c>
      <c r="V122" s="7">
        <v>0</v>
      </c>
      <c r="W122"/>
      <c r="X122" s="8">
        <v>0</v>
      </c>
      <c r="Y122" s="7">
        <v>0</v>
      </c>
      <c r="Z122"/>
      <c r="AA122" s="8">
        <v>0</v>
      </c>
      <c r="AB122" s="7">
        <v>0</v>
      </c>
      <c r="AC122"/>
      <c r="AD122" s="8">
        <v>0</v>
      </c>
      <c r="AE122" s="7">
        <v>0</v>
      </c>
      <c r="AF122"/>
      <c r="AG122" s="8">
        <v>0</v>
      </c>
      <c r="AH122" s="7">
        <v>0</v>
      </c>
      <c r="AI122"/>
      <c r="AJ122" s="8">
        <v>0</v>
      </c>
      <c r="AK122" s="7">
        <v>0</v>
      </c>
      <c r="AL122"/>
      <c r="AM122" s="8">
        <v>0</v>
      </c>
      <c r="AN122" s="7">
        <v>0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226637.7941</v>
      </c>
      <c r="D124" s="327">
        <v>6.7081070000000007E-2</v>
      </c>
      <c r="E124"/>
      <c r="F124" s="326">
        <v>-159252.38</v>
      </c>
      <c r="G124" s="327">
        <v>-1.6001493099999999</v>
      </c>
      <c r="H124"/>
      <c r="I124" s="326">
        <v>-90077.41</v>
      </c>
      <c r="J124" s="327">
        <v>-0.76459940000000004</v>
      </c>
      <c r="K124"/>
      <c r="L124" s="326">
        <v>-35643.53</v>
      </c>
      <c r="M124" s="327">
        <v>-0.19096985999999999</v>
      </c>
      <c r="N124"/>
      <c r="O124" s="326">
        <v>13242.59</v>
      </c>
      <c r="P124" s="327">
        <v>4.9878899999999997E-2</v>
      </c>
      <c r="Q124"/>
      <c r="R124" s="326">
        <v>124492.87390000001</v>
      </c>
      <c r="S124" s="327">
        <v>0.31358860999999999</v>
      </c>
      <c r="T124"/>
      <c r="U124" s="326">
        <v>136354.67079999999</v>
      </c>
      <c r="V124" s="327">
        <v>0.26613050999999999</v>
      </c>
      <c r="W124"/>
      <c r="X124" s="326">
        <v>198839.215</v>
      </c>
      <c r="Y124" s="327">
        <v>0.32706858999999999</v>
      </c>
      <c r="Z124"/>
      <c r="AA124" s="326">
        <v>253300.12839999999</v>
      </c>
      <c r="AB124" s="327">
        <v>0.39635769999999998</v>
      </c>
      <c r="AC124"/>
      <c r="AD124" s="326">
        <v>206254.35260000001</v>
      </c>
      <c r="AE124" s="327">
        <v>0.37315897999999997</v>
      </c>
      <c r="AF124"/>
      <c r="AG124" s="326">
        <v>-169044.8725</v>
      </c>
      <c r="AH124" s="327">
        <v>0</v>
      </c>
      <c r="AI124"/>
      <c r="AJ124" s="326">
        <v>-130757.633</v>
      </c>
      <c r="AK124" s="327">
        <v>0</v>
      </c>
      <c r="AL124"/>
      <c r="AM124" s="326">
        <v>-121070.2111</v>
      </c>
      <c r="AN124" s="327">
        <v>0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226637.7941</v>
      </c>
      <c r="D127" s="327">
        <v>6.7081070000000007E-2</v>
      </c>
      <c r="E127"/>
      <c r="F127" s="326">
        <v>-159252.38</v>
      </c>
      <c r="G127" s="327">
        <v>-1.6001493099999999</v>
      </c>
      <c r="H127"/>
      <c r="I127" s="326">
        <v>-90077.41</v>
      </c>
      <c r="J127" s="327">
        <v>-0.76459940000000004</v>
      </c>
      <c r="K127"/>
      <c r="L127" s="326">
        <v>-35643.53</v>
      </c>
      <c r="M127" s="327">
        <v>-0.19096985999999999</v>
      </c>
      <c r="N127"/>
      <c r="O127" s="326">
        <v>13242.59</v>
      </c>
      <c r="P127" s="327">
        <v>4.9878899999999997E-2</v>
      </c>
      <c r="Q127"/>
      <c r="R127" s="326">
        <v>124492.87390000001</v>
      </c>
      <c r="S127" s="327">
        <v>0.31358860999999999</v>
      </c>
      <c r="T127"/>
      <c r="U127" s="326">
        <v>136354.67079999999</v>
      </c>
      <c r="V127" s="327">
        <v>0.26613050999999999</v>
      </c>
      <c r="W127"/>
      <c r="X127" s="326">
        <v>198839.215</v>
      </c>
      <c r="Y127" s="327">
        <v>0.32706858999999999</v>
      </c>
      <c r="Z127"/>
      <c r="AA127" s="326">
        <v>253300.12839999999</v>
      </c>
      <c r="AB127" s="327">
        <v>0.39635769999999998</v>
      </c>
      <c r="AC127"/>
      <c r="AD127" s="326">
        <v>206254.35260000001</v>
      </c>
      <c r="AE127" s="327">
        <v>0.37315897999999997</v>
      </c>
      <c r="AF127"/>
      <c r="AG127" s="326">
        <v>-169044.8725</v>
      </c>
      <c r="AH127" s="327">
        <v>0</v>
      </c>
      <c r="AI127"/>
      <c r="AJ127" s="326">
        <v>-130757.633</v>
      </c>
      <c r="AK127" s="327">
        <v>0</v>
      </c>
      <c r="AL127"/>
      <c r="AM127" s="326">
        <v>-121070.2111</v>
      </c>
      <c r="AN127" s="327">
        <v>0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101282.6967</v>
      </c>
      <c r="D129" s="327">
        <v>2.9978020000000001E-2</v>
      </c>
      <c r="E129"/>
      <c r="F129" s="326">
        <v>2917.64</v>
      </c>
      <c r="G129" s="327">
        <v>2.9316109999999999E-2</v>
      </c>
      <c r="H129"/>
      <c r="I129" s="326">
        <v>3527.42</v>
      </c>
      <c r="J129" s="327">
        <v>2.9941619999999999E-2</v>
      </c>
      <c r="K129"/>
      <c r="L129" s="326">
        <v>5605</v>
      </c>
      <c r="M129" s="327">
        <v>3.0030310000000001E-2</v>
      </c>
      <c r="N129"/>
      <c r="O129" s="326">
        <v>7959.86</v>
      </c>
      <c r="P129" s="327">
        <v>2.9981219999999999E-2</v>
      </c>
      <c r="Q129"/>
      <c r="R129" s="326">
        <v>11909.827300000001</v>
      </c>
      <c r="S129" s="327">
        <v>0.03</v>
      </c>
      <c r="T129"/>
      <c r="U129" s="326">
        <v>15370.804700000001</v>
      </c>
      <c r="V129" s="327">
        <v>0.03</v>
      </c>
      <c r="W129"/>
      <c r="X129" s="326">
        <v>18238.3043</v>
      </c>
      <c r="Y129" s="327">
        <v>0.03</v>
      </c>
      <c r="Z129"/>
      <c r="AA129" s="326">
        <v>19172.0857</v>
      </c>
      <c r="AB129" s="327">
        <v>0.03</v>
      </c>
      <c r="AC129"/>
      <c r="AD129" s="326">
        <v>16581.754700000001</v>
      </c>
      <c r="AE129" s="327">
        <v>0.03</v>
      </c>
      <c r="AF129"/>
      <c r="AG129" s="326">
        <v>0</v>
      </c>
      <c r="AH129" s="327">
        <v>0</v>
      </c>
      <c r="AI129"/>
      <c r="AJ129" s="326">
        <v>0</v>
      </c>
      <c r="AK129" s="327">
        <v>0</v>
      </c>
      <c r="AL129"/>
      <c r="AM129" s="326">
        <v>0</v>
      </c>
      <c r="AN129" s="327">
        <v>0</v>
      </c>
    </row>
    <row r="130" spans="2:40" s="314" customFormat="1" ht="12.75" customHeight="1" x14ac:dyDescent="0.15">
      <c r="B130" s="5" t="s">
        <v>90</v>
      </c>
      <c r="C130" s="8">
        <v>101282.6967</v>
      </c>
      <c r="D130" s="7">
        <v>2.9978020000000001E-2</v>
      </c>
      <c r="E130"/>
      <c r="F130" s="8">
        <v>2917.64</v>
      </c>
      <c r="G130" s="7">
        <v>2.9316109999999999E-2</v>
      </c>
      <c r="H130"/>
      <c r="I130" s="8">
        <v>3527.42</v>
      </c>
      <c r="J130" s="7">
        <v>2.9941619999999999E-2</v>
      </c>
      <c r="K130"/>
      <c r="L130" s="8">
        <v>5605</v>
      </c>
      <c r="M130" s="7">
        <v>3.0030310000000001E-2</v>
      </c>
      <c r="N130"/>
      <c r="O130" s="8">
        <v>7959.86</v>
      </c>
      <c r="P130" s="7">
        <v>2.9981219999999999E-2</v>
      </c>
      <c r="Q130"/>
      <c r="R130" s="8">
        <v>11909.827300000001</v>
      </c>
      <c r="S130" s="7">
        <v>0.03</v>
      </c>
      <c r="T130"/>
      <c r="U130" s="8">
        <v>15370.804700000001</v>
      </c>
      <c r="V130" s="7">
        <v>0.03</v>
      </c>
      <c r="W130"/>
      <c r="X130" s="8">
        <v>18238.3043</v>
      </c>
      <c r="Y130" s="7">
        <v>0.03</v>
      </c>
      <c r="Z130"/>
      <c r="AA130" s="8">
        <v>19172.0857</v>
      </c>
      <c r="AB130" s="7">
        <v>0.03</v>
      </c>
      <c r="AC130"/>
      <c r="AD130" s="8">
        <v>16581.754700000001</v>
      </c>
      <c r="AE130" s="7">
        <v>0.03</v>
      </c>
      <c r="AF130"/>
      <c r="AG130" s="8">
        <v>0</v>
      </c>
      <c r="AH130" s="7">
        <v>0</v>
      </c>
      <c r="AI130"/>
      <c r="AJ130" s="8">
        <v>0</v>
      </c>
      <c r="AK130" s="7">
        <v>0</v>
      </c>
      <c r="AL130"/>
      <c r="AM130" s="8">
        <v>0</v>
      </c>
      <c r="AN130" s="7">
        <v>0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125355.0974</v>
      </c>
      <c r="D134" s="327">
        <v>3.7103049999999999E-2</v>
      </c>
      <c r="E134"/>
      <c r="F134" s="326">
        <v>-162170.01999999999</v>
      </c>
      <c r="G134" s="327">
        <v>-1.6294654200000001</v>
      </c>
      <c r="H134"/>
      <c r="I134" s="326">
        <v>-93604.83</v>
      </c>
      <c r="J134" s="327">
        <v>-0.79454102000000004</v>
      </c>
      <c r="K134"/>
      <c r="L134" s="326">
        <v>-41248.53</v>
      </c>
      <c r="M134" s="327">
        <v>-0.22100017</v>
      </c>
      <c r="N134"/>
      <c r="O134" s="326">
        <v>5282.73</v>
      </c>
      <c r="P134" s="327">
        <v>1.9897680000000001E-2</v>
      </c>
      <c r="Q134"/>
      <c r="R134" s="326">
        <v>112583.0465</v>
      </c>
      <c r="S134" s="327">
        <v>0.28358861000000002</v>
      </c>
      <c r="T134"/>
      <c r="U134" s="326">
        <v>120983.8661</v>
      </c>
      <c r="V134" s="327">
        <v>0.23613050999999999</v>
      </c>
      <c r="W134"/>
      <c r="X134" s="326">
        <v>180600.91070000001</v>
      </c>
      <c r="Y134" s="327">
        <v>0.29706859000000002</v>
      </c>
      <c r="Z134"/>
      <c r="AA134" s="326">
        <v>234128.04269999999</v>
      </c>
      <c r="AB134" s="327">
        <v>0.36635770000000001</v>
      </c>
      <c r="AC134"/>
      <c r="AD134" s="326">
        <v>189672.598</v>
      </c>
      <c r="AE134" s="327">
        <v>0.34315897999999989</v>
      </c>
      <c r="AF134"/>
      <c r="AG134" s="326">
        <v>-169044.8725</v>
      </c>
      <c r="AH134" s="327">
        <v>0</v>
      </c>
      <c r="AI134"/>
      <c r="AJ134" s="326">
        <v>-130757.633</v>
      </c>
      <c r="AK134" s="327">
        <v>0</v>
      </c>
      <c r="AL134"/>
      <c r="AM134" s="326">
        <v>-121070.2111</v>
      </c>
      <c r="AN134" s="327">
        <v>0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466460.98</v>
      </c>
      <c r="D136" s="327">
        <v>0.13806479999999999</v>
      </c>
      <c r="E136"/>
      <c r="F136" s="326">
        <v>57198.58</v>
      </c>
      <c r="G136" s="327">
        <v>0.57472464999999995</v>
      </c>
      <c r="H136"/>
      <c r="I136" s="326">
        <v>58230.49</v>
      </c>
      <c r="J136" s="327">
        <v>0.49427484999999999</v>
      </c>
      <c r="K136"/>
      <c r="L136" s="326">
        <v>50225.65</v>
      </c>
      <c r="M136" s="327">
        <v>0.26909751999999998</v>
      </c>
      <c r="N136"/>
      <c r="O136" s="326">
        <v>50806.26</v>
      </c>
      <c r="P136" s="327">
        <v>0.19136439999999999</v>
      </c>
      <c r="Q136"/>
      <c r="R136" s="326">
        <v>50000</v>
      </c>
      <c r="S136" s="327">
        <v>0.12594641000000001</v>
      </c>
      <c r="T136"/>
      <c r="U136" s="326">
        <v>50000</v>
      </c>
      <c r="V136" s="327">
        <v>9.758760000000001E-2</v>
      </c>
      <c r="W136"/>
      <c r="X136" s="326">
        <v>50000</v>
      </c>
      <c r="Y136" s="327">
        <v>8.2244490000000003E-2</v>
      </c>
      <c r="Z136"/>
      <c r="AA136" s="326">
        <v>50000</v>
      </c>
      <c r="AB136" s="327">
        <v>7.8238749999999996E-2</v>
      </c>
      <c r="AC136"/>
      <c r="AD136" s="326">
        <v>50000</v>
      </c>
      <c r="AE136" s="327">
        <v>9.0460869999999999E-2</v>
      </c>
      <c r="AF136"/>
      <c r="AG136" s="326">
        <v>0</v>
      </c>
      <c r="AH136" s="327">
        <v>0</v>
      </c>
      <c r="AI136"/>
      <c r="AJ136" s="326">
        <v>0</v>
      </c>
      <c r="AK136" s="327">
        <v>0</v>
      </c>
      <c r="AL136"/>
      <c r="AM136" s="326">
        <v>0</v>
      </c>
      <c r="AN136" s="327">
        <v>0</v>
      </c>
    </row>
    <row r="137" spans="2:40" s="314" customFormat="1" ht="12.75" customHeight="1" x14ac:dyDescent="0.15">
      <c r="B137" s="5" t="s">
        <v>95</v>
      </c>
      <c r="C137" s="8">
        <v>466460.98</v>
      </c>
      <c r="D137" s="7">
        <v>0.13806479999999999</v>
      </c>
      <c r="E137"/>
      <c r="F137" s="8">
        <v>57198.58</v>
      </c>
      <c r="G137" s="7">
        <v>0.57472464999999995</v>
      </c>
      <c r="H137"/>
      <c r="I137" s="8">
        <v>58230.49</v>
      </c>
      <c r="J137" s="7">
        <v>0.49427484999999999</v>
      </c>
      <c r="K137"/>
      <c r="L137" s="8">
        <v>50225.65</v>
      </c>
      <c r="M137" s="7">
        <v>0.26909751999999998</v>
      </c>
      <c r="N137"/>
      <c r="O137" s="8">
        <v>50806.26</v>
      </c>
      <c r="P137" s="7">
        <v>0.19136439999999999</v>
      </c>
      <c r="Q137"/>
      <c r="R137" s="8">
        <v>50000</v>
      </c>
      <c r="S137" s="7">
        <v>0.12594641000000001</v>
      </c>
      <c r="T137"/>
      <c r="U137" s="8">
        <v>50000</v>
      </c>
      <c r="V137" s="7">
        <v>9.758760000000001E-2</v>
      </c>
      <c r="W137"/>
      <c r="X137" s="8">
        <v>50000</v>
      </c>
      <c r="Y137" s="7">
        <v>8.2244490000000003E-2</v>
      </c>
      <c r="Z137"/>
      <c r="AA137" s="8">
        <v>50000</v>
      </c>
      <c r="AB137" s="7">
        <v>7.8238749999999996E-2</v>
      </c>
      <c r="AC137"/>
      <c r="AD137" s="8">
        <v>50000</v>
      </c>
      <c r="AE137" s="7">
        <v>9.0460869999999999E-2</v>
      </c>
      <c r="AF137"/>
      <c r="AG137" s="8">
        <v>0</v>
      </c>
      <c r="AH137" s="7">
        <v>0</v>
      </c>
      <c r="AI137"/>
      <c r="AJ137" s="8">
        <v>0</v>
      </c>
      <c r="AK137" s="7">
        <v>0</v>
      </c>
      <c r="AL137"/>
      <c r="AM137" s="8">
        <v>0</v>
      </c>
      <c r="AN137" s="7">
        <v>0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-341105.88260000001</v>
      </c>
      <c r="D141" s="327">
        <v>-0.10096175</v>
      </c>
      <c r="E141"/>
      <c r="F141" s="326">
        <v>-219368.6</v>
      </c>
      <c r="G141" s="327">
        <v>-2.2041900700000001</v>
      </c>
      <c r="H141"/>
      <c r="I141" s="326">
        <v>-151835.32</v>
      </c>
      <c r="J141" s="327">
        <v>-1.2888158700000001</v>
      </c>
      <c r="K141"/>
      <c r="L141" s="326">
        <v>-91474.18</v>
      </c>
      <c r="M141" s="327">
        <v>-0.49009768999999997</v>
      </c>
      <c r="N141"/>
      <c r="O141" s="326">
        <v>-45523.53</v>
      </c>
      <c r="P141" s="327">
        <v>-0.17146673000000001</v>
      </c>
      <c r="Q141"/>
      <c r="R141" s="326">
        <v>62583.046499999997</v>
      </c>
      <c r="S141" s="327">
        <v>0.15764220000000001</v>
      </c>
      <c r="T141"/>
      <c r="U141" s="326">
        <v>70983.866099999999</v>
      </c>
      <c r="V141" s="327">
        <v>0.13854290999999999</v>
      </c>
      <c r="W141"/>
      <c r="X141" s="326">
        <v>130600.91069999999</v>
      </c>
      <c r="Y141" s="327">
        <v>0.21482409999999999</v>
      </c>
      <c r="Z141"/>
      <c r="AA141" s="326">
        <v>184128.04269999999</v>
      </c>
      <c r="AB141" s="327">
        <v>0.28811894999999998</v>
      </c>
      <c r="AC141"/>
      <c r="AD141" s="326">
        <v>139672.598</v>
      </c>
      <c r="AE141" s="327">
        <v>0.25269809999999998</v>
      </c>
      <c r="AF141"/>
      <c r="AG141" s="326">
        <v>-169044.8725</v>
      </c>
      <c r="AH141" s="327">
        <v>0</v>
      </c>
      <c r="AI141"/>
      <c r="AJ141" s="326">
        <v>-130757.633</v>
      </c>
      <c r="AK141" s="327">
        <v>0</v>
      </c>
      <c r="AL141"/>
      <c r="AM141" s="326">
        <v>-121070.2111</v>
      </c>
      <c r="AN141" s="327">
        <v>0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-341105.88260000001</v>
      </c>
      <c r="D144" s="327">
        <v>-0.10096175</v>
      </c>
      <c r="E144"/>
      <c r="F144" s="326">
        <v>-219368.6</v>
      </c>
      <c r="G144" s="327">
        <v>-2.2041900700000001</v>
      </c>
      <c r="H144"/>
      <c r="I144" s="326">
        <v>-151835.32</v>
      </c>
      <c r="J144" s="327">
        <v>-1.2888158700000001</v>
      </c>
      <c r="K144"/>
      <c r="L144" s="326">
        <v>-91474.18</v>
      </c>
      <c r="M144" s="327">
        <v>-0.49009768999999997</v>
      </c>
      <c r="N144"/>
      <c r="O144" s="326">
        <v>-45523.53</v>
      </c>
      <c r="P144" s="327">
        <v>-0.17146673000000001</v>
      </c>
      <c r="Q144"/>
      <c r="R144" s="326">
        <v>62583.046499999997</v>
      </c>
      <c r="S144" s="327">
        <v>0.15764220000000001</v>
      </c>
      <c r="T144"/>
      <c r="U144" s="326">
        <v>70983.866099999999</v>
      </c>
      <c r="V144" s="327">
        <v>0.13854290999999999</v>
      </c>
      <c r="W144"/>
      <c r="X144" s="326">
        <v>130600.91069999999</v>
      </c>
      <c r="Y144" s="327">
        <v>0.21482409999999999</v>
      </c>
      <c r="Z144"/>
      <c r="AA144" s="326">
        <v>184128.04269999999</v>
      </c>
      <c r="AB144" s="327">
        <v>0.28811894999999998</v>
      </c>
      <c r="AC144"/>
      <c r="AD144" s="326">
        <v>139672.598</v>
      </c>
      <c r="AE144" s="327">
        <v>0.25269809999999998</v>
      </c>
      <c r="AF144"/>
      <c r="AG144" s="326">
        <v>-169044.8725</v>
      </c>
      <c r="AH144" s="327">
        <v>0</v>
      </c>
      <c r="AI144"/>
      <c r="AJ144" s="326">
        <v>-130757.633</v>
      </c>
      <c r="AK144" s="327">
        <v>0</v>
      </c>
      <c r="AL144"/>
      <c r="AM144" s="326">
        <v>-121070.2111</v>
      </c>
      <c r="AN144" s="327">
        <v>0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-341105.88260000001</v>
      </c>
      <c r="D147" s="327">
        <v>-0.10096175</v>
      </c>
      <c r="E147"/>
      <c r="F147" s="326">
        <v>-219368.6</v>
      </c>
      <c r="G147" s="327">
        <v>-2.2041900700000001</v>
      </c>
      <c r="H147"/>
      <c r="I147" s="326">
        <v>-151835.32</v>
      </c>
      <c r="J147" s="327">
        <v>-1.2888158700000001</v>
      </c>
      <c r="K147"/>
      <c r="L147" s="326">
        <v>-91474.18</v>
      </c>
      <c r="M147" s="327">
        <v>-0.49009768999999997</v>
      </c>
      <c r="N147"/>
      <c r="O147" s="326">
        <v>-45523.53</v>
      </c>
      <c r="P147" s="327">
        <v>-0.17146673000000001</v>
      </c>
      <c r="Q147"/>
      <c r="R147" s="326">
        <v>62583.046499999997</v>
      </c>
      <c r="S147" s="327">
        <v>0.15764220000000001</v>
      </c>
      <c r="T147"/>
      <c r="U147" s="326">
        <v>70983.866099999999</v>
      </c>
      <c r="V147" s="327">
        <v>0.13854290999999999</v>
      </c>
      <c r="W147"/>
      <c r="X147" s="326">
        <v>130600.91069999999</v>
      </c>
      <c r="Y147" s="327">
        <v>0.21482409999999999</v>
      </c>
      <c r="Z147"/>
      <c r="AA147" s="326">
        <v>184128.04269999999</v>
      </c>
      <c r="AB147" s="327">
        <v>0.28811894999999998</v>
      </c>
      <c r="AC147"/>
      <c r="AD147" s="326">
        <v>139672.598</v>
      </c>
      <c r="AE147" s="327">
        <v>0.25269809999999998</v>
      </c>
      <c r="AF147"/>
      <c r="AG147" s="326">
        <v>-169044.8725</v>
      </c>
      <c r="AH147" s="327">
        <v>0</v>
      </c>
      <c r="AI147"/>
      <c r="AJ147" s="326">
        <v>-130757.633</v>
      </c>
      <c r="AK147" s="327">
        <v>0</v>
      </c>
      <c r="AL147"/>
      <c r="AM147" s="326">
        <v>-121070.2111</v>
      </c>
      <c r="AN147" s="327">
        <v>0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-341105.88260000001</v>
      </c>
      <c r="D150" s="327">
        <v>-0.10096175</v>
      </c>
      <c r="E150"/>
      <c r="F150" s="326">
        <v>-219368.6</v>
      </c>
      <c r="G150" s="327">
        <v>-2.2041900700000001</v>
      </c>
      <c r="H150"/>
      <c r="I150" s="326">
        <v>-151835.32</v>
      </c>
      <c r="J150" s="327">
        <v>-1.2888158700000001</v>
      </c>
      <c r="K150"/>
      <c r="L150" s="326">
        <v>-91474.18</v>
      </c>
      <c r="M150" s="327">
        <v>-0.49009768999999997</v>
      </c>
      <c r="N150"/>
      <c r="O150" s="326">
        <v>-45523.53</v>
      </c>
      <c r="P150" s="327">
        <v>-0.17146673000000001</v>
      </c>
      <c r="Q150"/>
      <c r="R150" s="326">
        <v>62583.046499999997</v>
      </c>
      <c r="S150" s="327">
        <v>0.15764220000000001</v>
      </c>
      <c r="T150"/>
      <c r="U150" s="326">
        <v>70983.866099999999</v>
      </c>
      <c r="V150" s="327">
        <v>0.13854290999999999</v>
      </c>
      <c r="W150"/>
      <c r="X150" s="326">
        <v>130600.91069999999</v>
      </c>
      <c r="Y150" s="327">
        <v>0.21482409999999999</v>
      </c>
      <c r="Z150"/>
      <c r="AA150" s="326">
        <v>184128.04269999999</v>
      </c>
      <c r="AB150" s="327">
        <v>0.28811894999999998</v>
      </c>
      <c r="AC150"/>
      <c r="AD150" s="326">
        <v>139672.598</v>
      </c>
      <c r="AE150" s="327">
        <v>0.25269809999999998</v>
      </c>
      <c r="AF150"/>
      <c r="AG150" s="326">
        <v>-169044.8725</v>
      </c>
      <c r="AH150" s="327">
        <v>0</v>
      </c>
      <c r="AI150"/>
      <c r="AJ150" s="326">
        <v>-130757.633</v>
      </c>
      <c r="AK150" s="327">
        <v>0</v>
      </c>
      <c r="AL150"/>
      <c r="AM150" s="326">
        <v>-121070.2111</v>
      </c>
      <c r="AN150" s="327">
        <v>0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-333105.88260000001</v>
      </c>
      <c r="D153" s="7">
        <v>-9.8593879999999995E-2</v>
      </c>
      <c r="E153"/>
      <c r="F153" s="8">
        <v>-219368.6</v>
      </c>
      <c r="G153" s="7">
        <v>-2.2041900700000001</v>
      </c>
      <c r="H153"/>
      <c r="I153" s="8">
        <v>-151835.32</v>
      </c>
      <c r="J153" s="7">
        <v>-1.2888158700000001</v>
      </c>
      <c r="K153"/>
      <c r="L153" s="8">
        <v>-91474.18</v>
      </c>
      <c r="M153" s="7">
        <v>-0.49009768999999997</v>
      </c>
      <c r="N153"/>
      <c r="O153" s="8">
        <v>-45523.53</v>
      </c>
      <c r="P153" s="7">
        <v>-0.17146673000000001</v>
      </c>
      <c r="Q153"/>
      <c r="R153" s="8">
        <v>63583.046499999997</v>
      </c>
      <c r="S153" s="7">
        <v>0.16016113000000001</v>
      </c>
      <c r="T153"/>
      <c r="U153" s="8">
        <v>71983.866099999999</v>
      </c>
      <c r="V153" s="7">
        <v>0.14049465999999999</v>
      </c>
      <c r="W153"/>
      <c r="X153" s="8">
        <v>131600.91070000001</v>
      </c>
      <c r="Y153" s="7">
        <v>0.21646899</v>
      </c>
      <c r="Z153"/>
      <c r="AA153" s="8">
        <v>185128.04269999999</v>
      </c>
      <c r="AB153" s="7">
        <v>0.28968372999999997</v>
      </c>
      <c r="AC153"/>
      <c r="AD153" s="8">
        <v>140672.598</v>
      </c>
      <c r="AE153" s="7">
        <v>0.25450731999999998</v>
      </c>
      <c r="AF153"/>
      <c r="AG153" s="8">
        <v>-168044.8725</v>
      </c>
      <c r="AH153" s="7">
        <v>0</v>
      </c>
      <c r="AI153"/>
      <c r="AJ153" s="8">
        <v>-129757.633</v>
      </c>
      <c r="AK153" s="7">
        <v>0</v>
      </c>
      <c r="AL153"/>
      <c r="AM153" s="8">
        <v>-120070.2111</v>
      </c>
      <c r="AN153" s="7">
        <v>0</v>
      </c>
    </row>
    <row r="154" spans="2:40" s="314" customFormat="1" ht="12.75" customHeight="1" x14ac:dyDescent="0.15">
      <c r="B154" s="5" t="s">
        <v>107</v>
      </c>
      <c r="C154" s="6">
        <v>-341105.88260000001</v>
      </c>
      <c r="D154" s="7">
        <v>-0.10096175</v>
      </c>
      <c r="E154"/>
      <c r="F154" s="8">
        <v>-219368.6</v>
      </c>
      <c r="G154" s="7">
        <v>-2.2041900700000001</v>
      </c>
      <c r="H154"/>
      <c r="I154" s="8">
        <v>-151835.32</v>
      </c>
      <c r="J154" s="7">
        <v>-1.2888158700000001</v>
      </c>
      <c r="K154"/>
      <c r="L154" s="8">
        <v>-91474.18</v>
      </c>
      <c r="M154" s="7">
        <v>-0.49009768999999997</v>
      </c>
      <c r="N154"/>
      <c r="O154" s="8">
        <v>-45523.53</v>
      </c>
      <c r="P154" s="7">
        <v>-0.17146673000000001</v>
      </c>
      <c r="Q154"/>
      <c r="R154" s="8">
        <v>62583.046499999997</v>
      </c>
      <c r="S154" s="7">
        <v>0.15764220000000001</v>
      </c>
      <c r="T154"/>
      <c r="U154" s="8">
        <v>70983.866099999999</v>
      </c>
      <c r="V154" s="7">
        <v>0.13854290999999999</v>
      </c>
      <c r="W154"/>
      <c r="X154" s="8">
        <v>130600.91069999999</v>
      </c>
      <c r="Y154" s="7">
        <v>0.21482409999999999</v>
      </c>
      <c r="Z154"/>
      <c r="AA154" s="8">
        <v>184128.04269999999</v>
      </c>
      <c r="AB154" s="7">
        <v>0.28811894999999998</v>
      </c>
      <c r="AC154"/>
      <c r="AD154" s="8">
        <v>139672.598</v>
      </c>
      <c r="AE154" s="7">
        <v>0.25269809999999998</v>
      </c>
      <c r="AF154"/>
      <c r="AG154" s="8">
        <v>-169044.8725</v>
      </c>
      <c r="AH154" s="7">
        <v>0</v>
      </c>
      <c r="AI154"/>
      <c r="AJ154" s="8">
        <v>-130757.633</v>
      </c>
      <c r="AK154" s="7">
        <v>0</v>
      </c>
      <c r="AL154"/>
      <c r="AM154" s="8">
        <v>-121070.2111</v>
      </c>
      <c r="AN154" s="7">
        <v>0</v>
      </c>
    </row>
    <row r="155" spans="2:40" s="314" customFormat="1" ht="12.75" customHeight="1" x14ac:dyDescent="0.15">
      <c r="B155" s="325" t="s">
        <v>108</v>
      </c>
      <c r="C155" s="330">
        <v>143153.5822</v>
      </c>
      <c r="D155" s="327">
        <v>4.2371109999999997E-2</v>
      </c>
      <c r="E155"/>
      <c r="F155" s="326">
        <v>4862.74</v>
      </c>
      <c r="G155" s="327">
        <v>4.8860239999999999E-2</v>
      </c>
      <c r="H155"/>
      <c r="I155" s="326">
        <v>5879.04</v>
      </c>
      <c r="J155" s="327">
        <v>4.9902750000000003E-2</v>
      </c>
      <c r="K155"/>
      <c r="L155" s="326">
        <v>9341.66</v>
      </c>
      <c r="M155" s="327">
        <v>5.005047E-2</v>
      </c>
      <c r="N155"/>
      <c r="O155" s="326">
        <v>13266.44</v>
      </c>
      <c r="P155" s="327">
        <v>4.9968730000000003E-2</v>
      </c>
      <c r="Q155"/>
      <c r="R155" s="326">
        <v>16059.7698</v>
      </c>
      <c r="S155" s="327">
        <v>4.0453410000000002E-2</v>
      </c>
      <c r="T155"/>
      <c r="U155" s="326">
        <v>20674.406200000001</v>
      </c>
      <c r="V155" s="327">
        <v>4.0351320000000003E-2</v>
      </c>
      <c r="W155"/>
      <c r="X155" s="326">
        <v>24497.739099999999</v>
      </c>
      <c r="Y155" s="327">
        <v>4.0296079999999998E-2</v>
      </c>
      <c r="Z155"/>
      <c r="AA155" s="326">
        <v>25742.780900000002</v>
      </c>
      <c r="AB155" s="327">
        <v>4.0281659999999997E-2</v>
      </c>
      <c r="AC155"/>
      <c r="AD155" s="326">
        <v>22289.0062</v>
      </c>
      <c r="AE155" s="327">
        <v>4.0325659999999999E-2</v>
      </c>
      <c r="AF155"/>
      <c r="AG155" s="326">
        <v>180</v>
      </c>
      <c r="AH155" s="327">
        <v>0</v>
      </c>
      <c r="AI155"/>
      <c r="AJ155" s="326">
        <v>180</v>
      </c>
      <c r="AK155" s="327">
        <v>0</v>
      </c>
      <c r="AL155"/>
      <c r="AM155" s="326">
        <v>180</v>
      </c>
      <c r="AN155" s="327">
        <v>0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35200.905599999998</v>
      </c>
      <c r="D158" s="7">
        <v>1.041889E-2</v>
      </c>
      <c r="E158"/>
      <c r="F158" s="8">
        <v>972.55</v>
      </c>
      <c r="G158" s="7">
        <v>9.7720700000000008E-3</v>
      </c>
      <c r="H158"/>
      <c r="I158" s="8">
        <v>1175.81</v>
      </c>
      <c r="J158" s="7">
        <v>9.9805699999999994E-3</v>
      </c>
      <c r="K158"/>
      <c r="L158" s="8">
        <v>1868.33</v>
      </c>
      <c r="M158" s="7">
        <v>1.0010079999999999E-2</v>
      </c>
      <c r="N158"/>
      <c r="O158" s="8">
        <v>2653.29</v>
      </c>
      <c r="P158" s="7">
        <v>9.9937500000000009E-3</v>
      </c>
      <c r="Q158"/>
      <c r="R158" s="8">
        <v>4149.9423999999999</v>
      </c>
      <c r="S158" s="7">
        <v>1.045341E-2</v>
      </c>
      <c r="T158"/>
      <c r="U158" s="8">
        <v>5303.6016</v>
      </c>
      <c r="V158" s="7">
        <v>1.0351320000000001E-2</v>
      </c>
      <c r="W158"/>
      <c r="X158" s="8">
        <v>6259.4348</v>
      </c>
      <c r="Y158" s="7">
        <v>1.0296080000000001E-2</v>
      </c>
      <c r="Z158"/>
      <c r="AA158" s="8">
        <v>6570.6952000000001</v>
      </c>
      <c r="AB158" s="7">
        <v>1.028166E-2</v>
      </c>
      <c r="AC158"/>
      <c r="AD158" s="8">
        <v>5707.2515999999996</v>
      </c>
      <c r="AE158" s="7">
        <v>1.032566E-2</v>
      </c>
      <c r="AF158"/>
      <c r="AG158" s="8">
        <v>180</v>
      </c>
      <c r="AH158" s="7">
        <v>0</v>
      </c>
      <c r="AI158"/>
      <c r="AJ158" s="8">
        <v>180</v>
      </c>
      <c r="AK158" s="7">
        <v>0</v>
      </c>
      <c r="AL158"/>
      <c r="AM158" s="8">
        <v>180</v>
      </c>
      <c r="AN158" s="7">
        <v>0</v>
      </c>
    </row>
    <row r="159" spans="2:40" s="314" customFormat="1" ht="12.75" customHeight="1" x14ac:dyDescent="0.15">
      <c r="B159" s="5" t="s">
        <v>112</v>
      </c>
      <c r="C159" s="6">
        <v>64220.841099999998</v>
      </c>
      <c r="D159" s="7">
        <v>1.9008319999999999E-2</v>
      </c>
      <c r="E159"/>
      <c r="F159" s="8">
        <v>0</v>
      </c>
      <c r="G159" s="7">
        <v>0</v>
      </c>
      <c r="H159"/>
      <c r="I159" s="8">
        <v>3256.56</v>
      </c>
      <c r="J159" s="7">
        <v>2.7642489999999999E-2</v>
      </c>
      <c r="K159"/>
      <c r="L159" s="8">
        <v>2802.5</v>
      </c>
      <c r="M159" s="7">
        <v>1.501515E-2</v>
      </c>
      <c r="N159"/>
      <c r="O159" s="8">
        <v>3979.93</v>
      </c>
      <c r="P159" s="7">
        <v>1.499061E-2</v>
      </c>
      <c r="Q159"/>
      <c r="R159" s="8">
        <v>7939.8849</v>
      </c>
      <c r="S159" s="7">
        <v>0.02</v>
      </c>
      <c r="T159"/>
      <c r="U159" s="8">
        <v>10247.203100000001</v>
      </c>
      <c r="V159" s="7">
        <v>0.02</v>
      </c>
      <c r="W159"/>
      <c r="X159" s="8">
        <v>12158.869500000001</v>
      </c>
      <c r="Y159" s="7">
        <v>0.02</v>
      </c>
      <c r="Z159"/>
      <c r="AA159" s="8">
        <v>12781.3905</v>
      </c>
      <c r="AB159" s="7">
        <v>0.02</v>
      </c>
      <c r="AC159"/>
      <c r="AD159" s="8">
        <v>11054.5031</v>
      </c>
      <c r="AE159" s="7">
        <v>0.02</v>
      </c>
      <c r="AF159"/>
      <c r="AG159" s="8">
        <v>0</v>
      </c>
      <c r="AH159" s="7">
        <v>0</v>
      </c>
      <c r="AI159"/>
      <c r="AJ159" s="8">
        <v>0</v>
      </c>
      <c r="AK159" s="7">
        <v>0</v>
      </c>
      <c r="AL159"/>
      <c r="AM159" s="8">
        <v>0</v>
      </c>
      <c r="AN159" s="7">
        <v>0</v>
      </c>
    </row>
    <row r="160" spans="2:40" s="314" customFormat="1" ht="12.75" customHeight="1" x14ac:dyDescent="0.15">
      <c r="B160" s="5" t="s">
        <v>113</v>
      </c>
      <c r="C160" s="6">
        <v>101282.6967</v>
      </c>
      <c r="D160" s="7">
        <v>2.9978020000000001E-2</v>
      </c>
      <c r="E160"/>
      <c r="F160" s="8">
        <v>2917.64</v>
      </c>
      <c r="G160" s="7">
        <v>2.9316109999999999E-2</v>
      </c>
      <c r="H160"/>
      <c r="I160" s="8">
        <v>3527.42</v>
      </c>
      <c r="J160" s="7">
        <v>2.9941619999999999E-2</v>
      </c>
      <c r="K160"/>
      <c r="L160" s="8">
        <v>5605</v>
      </c>
      <c r="M160" s="7">
        <v>3.0030310000000001E-2</v>
      </c>
      <c r="N160"/>
      <c r="O160" s="8">
        <v>7959.86</v>
      </c>
      <c r="P160" s="7">
        <v>2.9981219999999999E-2</v>
      </c>
      <c r="Q160"/>
      <c r="R160" s="8">
        <v>11909.827300000001</v>
      </c>
      <c r="S160" s="7">
        <v>0.03</v>
      </c>
      <c r="T160"/>
      <c r="U160" s="8">
        <v>15370.804700000001</v>
      </c>
      <c r="V160" s="7">
        <v>0.03</v>
      </c>
      <c r="W160"/>
      <c r="X160" s="8">
        <v>18238.3043</v>
      </c>
      <c r="Y160" s="7">
        <v>0.03</v>
      </c>
      <c r="Z160"/>
      <c r="AA160" s="8">
        <v>19172.0857</v>
      </c>
      <c r="AB160" s="7">
        <v>0.03</v>
      </c>
      <c r="AC160"/>
      <c r="AD160" s="8">
        <v>16581.754700000001</v>
      </c>
      <c r="AE160" s="7">
        <v>0.03</v>
      </c>
      <c r="AF160"/>
      <c r="AG160" s="8">
        <v>0</v>
      </c>
      <c r="AH160" s="7">
        <v>0</v>
      </c>
      <c r="AI160"/>
      <c r="AJ160" s="8">
        <v>0</v>
      </c>
      <c r="AK160" s="7">
        <v>0</v>
      </c>
      <c r="AL160"/>
      <c r="AM160" s="8">
        <v>0</v>
      </c>
      <c r="AN160" s="7">
        <v>0</v>
      </c>
    </row>
    <row r="161" spans="2:40" s="314" customFormat="1" ht="12.75" customHeight="1" x14ac:dyDescent="0.15">
      <c r="B161" s="5" t="s">
        <v>114</v>
      </c>
      <c r="C161" s="6">
        <v>6669.98</v>
      </c>
      <c r="D161" s="7">
        <v>1.9742000000000002E-3</v>
      </c>
      <c r="E161"/>
      <c r="F161" s="8">
        <v>972.55</v>
      </c>
      <c r="G161" s="7">
        <v>9.7720700000000008E-3</v>
      </c>
      <c r="H161"/>
      <c r="I161" s="8">
        <v>1175.81</v>
      </c>
      <c r="J161" s="7">
        <v>9.9805699999999994E-3</v>
      </c>
      <c r="K161"/>
      <c r="L161" s="8">
        <v>1868.33</v>
      </c>
      <c r="M161" s="7">
        <v>1.0010079999999999E-2</v>
      </c>
      <c r="N161"/>
      <c r="O161" s="8">
        <v>2653.29</v>
      </c>
      <c r="P161" s="7">
        <v>9.9937500000000009E-3</v>
      </c>
      <c r="Q161"/>
      <c r="R161" s="8">
        <v>0</v>
      </c>
      <c r="S161" s="7">
        <v>0</v>
      </c>
      <c r="T161"/>
      <c r="U161" s="8">
        <v>0</v>
      </c>
      <c r="V161" s="7">
        <v>0</v>
      </c>
      <c r="W161"/>
      <c r="X161" s="8">
        <v>0</v>
      </c>
      <c r="Y161" s="7">
        <v>0</v>
      </c>
      <c r="Z161"/>
      <c r="AA161" s="8">
        <v>0</v>
      </c>
      <c r="AB161" s="7">
        <v>0</v>
      </c>
      <c r="AC161"/>
      <c r="AD161" s="8">
        <v>0</v>
      </c>
      <c r="AE161" s="7">
        <v>0</v>
      </c>
      <c r="AF161"/>
      <c r="AG161" s="8">
        <v>0</v>
      </c>
      <c r="AH161" s="7">
        <v>0</v>
      </c>
      <c r="AI161"/>
      <c r="AJ161" s="8">
        <v>0</v>
      </c>
      <c r="AK161" s="7">
        <v>0</v>
      </c>
      <c r="AL161"/>
      <c r="AM161" s="8">
        <v>0</v>
      </c>
      <c r="AN161" s="7">
        <v>0</v>
      </c>
    </row>
    <row r="162" spans="2:40" s="314" customFormat="1" ht="12.75" customHeight="1" x14ac:dyDescent="0.15">
      <c r="B162" s="325" t="s">
        <v>115</v>
      </c>
      <c r="C162" s="330">
        <v>183802.4258</v>
      </c>
      <c r="D162" s="327">
        <v>5.4402499999999999E-2</v>
      </c>
      <c r="E162"/>
      <c r="F162" s="326">
        <v>15275.4</v>
      </c>
      <c r="G162" s="327">
        <v>0.15348543000000001</v>
      </c>
      <c r="H162"/>
      <c r="I162" s="326">
        <v>1361.91</v>
      </c>
      <c r="J162" s="327">
        <v>1.1560229999999999E-2</v>
      </c>
      <c r="K162"/>
      <c r="L162" s="326">
        <v>10405.540000000001</v>
      </c>
      <c r="M162" s="327">
        <v>5.5750500000000001E-2</v>
      </c>
      <c r="N162"/>
      <c r="O162" s="326">
        <v>14122.73</v>
      </c>
      <c r="P162" s="327">
        <v>5.3193989999999997E-2</v>
      </c>
      <c r="Q162"/>
      <c r="R162" s="326">
        <v>22655.867699999999</v>
      </c>
      <c r="S162" s="327">
        <v>5.7068500000000001E-2</v>
      </c>
      <c r="T162"/>
      <c r="U162" s="326">
        <v>26005.7899</v>
      </c>
      <c r="V162" s="327">
        <v>5.0756849999999999E-2</v>
      </c>
      <c r="W162"/>
      <c r="X162" s="326">
        <v>31431.4791</v>
      </c>
      <c r="Y162" s="327">
        <v>5.1701320000000002E-2</v>
      </c>
      <c r="Z162"/>
      <c r="AA162" s="326">
        <v>34940.676099999997</v>
      </c>
      <c r="AB162" s="327">
        <v>5.4674300000000002E-2</v>
      </c>
      <c r="AC162"/>
      <c r="AD162" s="326">
        <v>27603.032999999999</v>
      </c>
      <c r="AE162" s="327">
        <v>4.9939890000000001E-2</v>
      </c>
      <c r="AF162"/>
      <c r="AG162" s="326">
        <v>0</v>
      </c>
      <c r="AH162" s="327">
        <v>0</v>
      </c>
      <c r="AI162"/>
      <c r="AJ162" s="326">
        <v>0</v>
      </c>
      <c r="AK162" s="327">
        <v>0</v>
      </c>
      <c r="AL162"/>
      <c r="AM162" s="326">
        <v>0</v>
      </c>
      <c r="AN162" s="327">
        <v>0</v>
      </c>
    </row>
    <row r="163" spans="2:40" s="314" customFormat="1" ht="12.75" customHeight="1" x14ac:dyDescent="0.15">
      <c r="B163" s="5" t="s">
        <v>116</v>
      </c>
      <c r="C163" s="6">
        <v>102759.2268</v>
      </c>
      <c r="D163" s="7">
        <v>3.0415049999999999E-2</v>
      </c>
      <c r="E163"/>
      <c r="F163" s="8">
        <v>8657.7900000000009</v>
      </c>
      <c r="G163" s="7">
        <v>8.6992460000000008E-2</v>
      </c>
      <c r="H163"/>
      <c r="I163" s="8">
        <v>786.14</v>
      </c>
      <c r="J163" s="7">
        <v>6.6729500000000004E-3</v>
      </c>
      <c r="K163"/>
      <c r="L163" s="8">
        <v>5252.1</v>
      </c>
      <c r="M163" s="7">
        <v>2.8139549999999999E-2</v>
      </c>
      <c r="N163"/>
      <c r="O163" s="8">
        <v>7833.08</v>
      </c>
      <c r="P163" s="7">
        <v>2.9503700000000001E-2</v>
      </c>
      <c r="Q163"/>
      <c r="R163" s="8">
        <v>11569.3796</v>
      </c>
      <c r="S163" s="7">
        <v>2.9142439999999999E-2</v>
      </c>
      <c r="T163"/>
      <c r="U163" s="8">
        <v>15405.7253</v>
      </c>
      <c r="V163" s="7">
        <v>3.006816E-2</v>
      </c>
      <c r="W163"/>
      <c r="X163" s="8">
        <v>18270.536400000001</v>
      </c>
      <c r="Y163" s="7">
        <v>3.005302E-2</v>
      </c>
      <c r="Z163"/>
      <c r="AA163" s="8">
        <v>18956.549900000002</v>
      </c>
      <c r="AB163" s="7">
        <v>2.9662729999999998E-2</v>
      </c>
      <c r="AC163"/>
      <c r="AD163" s="8">
        <v>16027.9256</v>
      </c>
      <c r="AE163" s="7">
        <v>2.8997999999999999E-2</v>
      </c>
      <c r="AF163"/>
      <c r="AG163" s="8">
        <v>0</v>
      </c>
      <c r="AH163" s="7">
        <v>0</v>
      </c>
      <c r="AI163"/>
      <c r="AJ163" s="8">
        <v>0</v>
      </c>
      <c r="AK163" s="7">
        <v>0</v>
      </c>
      <c r="AL163"/>
      <c r="AM163" s="8">
        <v>0</v>
      </c>
      <c r="AN163" s="7">
        <v>0</v>
      </c>
    </row>
    <row r="164" spans="2:40" s="314" customFormat="1" ht="12.75" customHeight="1" x14ac:dyDescent="0.15">
      <c r="B164" s="5" t="s">
        <v>117</v>
      </c>
      <c r="C164" s="6">
        <v>48060.288699999997</v>
      </c>
      <c r="D164" s="7">
        <v>1.4225059999999999E-2</v>
      </c>
      <c r="E164"/>
      <c r="F164" s="8">
        <v>4747.6899999999996</v>
      </c>
      <c r="G164" s="7">
        <v>4.770423E-2</v>
      </c>
      <c r="H164"/>
      <c r="I164" s="8">
        <v>1198.01</v>
      </c>
      <c r="J164" s="7">
        <v>1.0169009999999999E-2</v>
      </c>
      <c r="K164"/>
      <c r="L164" s="8">
        <v>1500.6</v>
      </c>
      <c r="M164" s="7">
        <v>8.0398699999999993E-3</v>
      </c>
      <c r="N164"/>
      <c r="O164" s="8">
        <v>5053.09</v>
      </c>
      <c r="P164" s="7">
        <v>1.9032719999999999E-2</v>
      </c>
      <c r="Q164"/>
      <c r="R164" s="8">
        <v>5150.9969000000001</v>
      </c>
      <c r="S164" s="7">
        <v>1.297499E-2</v>
      </c>
      <c r="T164"/>
      <c r="U164" s="8">
        <v>6776.0535</v>
      </c>
      <c r="V164" s="7">
        <v>1.322518E-2</v>
      </c>
      <c r="W164"/>
      <c r="X164" s="8">
        <v>8080.8716000000004</v>
      </c>
      <c r="Y164" s="7">
        <v>1.3292139999999999E-2</v>
      </c>
      <c r="Z164"/>
      <c r="AA164" s="8">
        <v>8445.1460000000006</v>
      </c>
      <c r="AB164" s="7">
        <v>1.3214750000000001E-2</v>
      </c>
      <c r="AC164"/>
      <c r="AD164" s="8">
        <v>7107.8307000000004</v>
      </c>
      <c r="AE164" s="7">
        <v>1.285961E-2</v>
      </c>
      <c r="AF164"/>
      <c r="AG164" s="8">
        <v>0</v>
      </c>
      <c r="AH164" s="7">
        <v>0</v>
      </c>
      <c r="AI164"/>
      <c r="AJ164" s="8">
        <v>0</v>
      </c>
      <c r="AK164" s="7">
        <v>0</v>
      </c>
      <c r="AL164"/>
      <c r="AM164" s="8">
        <v>0</v>
      </c>
      <c r="AN164" s="7">
        <v>0</v>
      </c>
    </row>
    <row r="165" spans="2:40" s="314" customFormat="1" ht="12.75" customHeight="1" x14ac:dyDescent="0.15">
      <c r="B165" s="5" t="s">
        <v>118</v>
      </c>
      <c r="C165" s="6">
        <v>19406.368900000001</v>
      </c>
      <c r="D165" s="7">
        <v>5.7439700000000002E-3</v>
      </c>
      <c r="E165"/>
      <c r="F165" s="8">
        <v>1466.88</v>
      </c>
      <c r="G165" s="7">
        <v>1.473904E-2</v>
      </c>
      <c r="H165"/>
      <c r="I165" s="8">
        <v>-219.2</v>
      </c>
      <c r="J165" s="7">
        <v>-1.8606199999999999E-3</v>
      </c>
      <c r="K165"/>
      <c r="L165" s="8">
        <v>2902.54</v>
      </c>
      <c r="M165" s="7">
        <v>1.555114E-2</v>
      </c>
      <c r="N165"/>
      <c r="O165" s="8">
        <v>78.8</v>
      </c>
      <c r="P165" s="7">
        <v>2.968E-4</v>
      </c>
      <c r="Q165"/>
      <c r="R165" s="8">
        <v>4248.4706999999999</v>
      </c>
      <c r="S165" s="7">
        <v>1.070159E-2</v>
      </c>
      <c r="T165"/>
      <c r="U165" s="8">
        <v>1582.8280999999999</v>
      </c>
      <c r="V165" s="7">
        <v>3.0892900000000002E-3</v>
      </c>
      <c r="W165"/>
      <c r="X165" s="8">
        <v>2424.1127000000001</v>
      </c>
      <c r="Y165" s="7">
        <v>3.9873999999999986E-3</v>
      </c>
      <c r="Z165"/>
      <c r="AA165" s="8">
        <v>4784.5430999999999</v>
      </c>
      <c r="AB165" s="7">
        <v>7.4867299999999996E-3</v>
      </c>
      <c r="AC165"/>
      <c r="AD165" s="8">
        <v>2137.3942999999999</v>
      </c>
      <c r="AE165" s="7">
        <v>3.8670100000000002E-3</v>
      </c>
      <c r="AF165"/>
      <c r="AG165" s="8">
        <v>0</v>
      </c>
      <c r="AH165" s="7">
        <v>0</v>
      </c>
      <c r="AI165"/>
      <c r="AJ165" s="8">
        <v>0</v>
      </c>
      <c r="AK165" s="7">
        <v>0</v>
      </c>
      <c r="AL165"/>
      <c r="AM165" s="8">
        <v>0</v>
      </c>
      <c r="AN165" s="7">
        <v>0</v>
      </c>
    </row>
    <row r="166" spans="2:40" s="314" customFormat="1" ht="12.75" customHeight="1" x14ac:dyDescent="0.15">
      <c r="B166" s="5" t="s">
        <v>119</v>
      </c>
      <c r="C166" s="6">
        <v>13576.5417</v>
      </c>
      <c r="D166" s="7">
        <v>4.0184299999999999E-3</v>
      </c>
      <c r="E166"/>
      <c r="F166" s="8">
        <v>403.04</v>
      </c>
      <c r="G166" s="7">
        <v>4.0496999999999998E-3</v>
      </c>
      <c r="H166"/>
      <c r="I166" s="8">
        <v>-403.04</v>
      </c>
      <c r="J166" s="7">
        <v>-3.4210999999999998E-3</v>
      </c>
      <c r="K166"/>
      <c r="L166" s="8">
        <v>750.3</v>
      </c>
      <c r="M166" s="7">
        <v>4.0199399999999996E-3</v>
      </c>
      <c r="N166"/>
      <c r="O166" s="8">
        <v>1157.76</v>
      </c>
      <c r="P166" s="7">
        <v>4.36076E-3</v>
      </c>
      <c r="Q166"/>
      <c r="R166" s="8">
        <v>1687.0206000000001</v>
      </c>
      <c r="S166" s="7">
        <v>4.2494799999999999E-3</v>
      </c>
      <c r="T166"/>
      <c r="U166" s="8">
        <v>2241.183</v>
      </c>
      <c r="V166" s="7">
        <v>4.3742299999999998E-3</v>
      </c>
      <c r="W166"/>
      <c r="X166" s="8">
        <v>2655.9585000000002</v>
      </c>
      <c r="Y166" s="7">
        <v>4.3687600000000002E-3</v>
      </c>
      <c r="Z166"/>
      <c r="AA166" s="8">
        <v>2754.4371000000001</v>
      </c>
      <c r="AB166" s="7">
        <v>4.31007E-3</v>
      </c>
      <c r="AC166"/>
      <c r="AD166" s="8">
        <v>2329.8825000000002</v>
      </c>
      <c r="AE166" s="7">
        <v>4.2152600000000002E-3</v>
      </c>
      <c r="AF166"/>
      <c r="AG166" s="8">
        <v>0</v>
      </c>
      <c r="AH166" s="7">
        <v>0</v>
      </c>
      <c r="AI166"/>
      <c r="AJ166" s="8">
        <v>0</v>
      </c>
      <c r="AK166" s="7">
        <v>0</v>
      </c>
      <c r="AL166"/>
      <c r="AM166" s="8">
        <v>0</v>
      </c>
      <c r="AN166" s="7">
        <v>0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608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C018-CA6B-471F-A41B-48DACB1E7176}">
  <sheetPr>
    <pageSetUpPr fitToPage="1"/>
  </sheetPr>
  <dimension ref="B2:O177"/>
  <sheetViews>
    <sheetView zoomScale="90" zoomScaleNormal="90" workbookViewId="0">
      <pane xSplit="2" ySplit="10" topLeftCell="D148" activePane="bottomRight" state="frozen"/>
      <selection activeCell="J173" sqref="J173"/>
      <selection pane="topRight" activeCell="J173" sqref="J173"/>
      <selection pane="bottomLeft" activeCell="J173" sqref="J173"/>
      <selection pane="bottomRight" activeCell="J173" sqref="J173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157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Wiesensee'!C11</f>
        <v>5594172.2648</v>
      </c>
      <c r="D11" s="39">
        <f>'Data entry Wiesensee'!F11</f>
        <v>276711.28999999998</v>
      </c>
      <c r="E11" s="39">
        <f>'Data entry Wiesensee'!I11</f>
        <v>311673.43</v>
      </c>
      <c r="F11" s="39">
        <f>'Data entry Wiesensee'!L11</f>
        <v>483307.31</v>
      </c>
      <c r="G11" s="39">
        <f>'Data entry Wiesensee'!O11</f>
        <v>292693.88</v>
      </c>
      <c r="H11" s="39">
        <f>'Data entry Wiesensee'!R11</f>
        <v>556188.63959999999</v>
      </c>
      <c r="I11" s="39">
        <f>'Data entry Wiesensee'!U11</f>
        <v>570701.24320000003</v>
      </c>
      <c r="J11" s="39">
        <f>'Data entry Wiesensee'!X11</f>
        <v>513355.848</v>
      </c>
      <c r="K11" s="39">
        <f>'Data entry Wiesensee'!AA11</f>
        <v>634997.71</v>
      </c>
      <c r="L11" s="39">
        <f>'Data entry Wiesensee'!AD11</f>
        <v>759704.66399999999</v>
      </c>
      <c r="M11" s="39">
        <f>'Data entry Wiesensee'!AG11</f>
        <v>476944.61800000002</v>
      </c>
      <c r="N11" s="39">
        <f>'Data entry Wiesensee'!AJ11</f>
        <v>412189.75199999998</v>
      </c>
      <c r="O11" s="39">
        <f>'Data entry Wiesensee'!AM11</f>
        <v>305703.88</v>
      </c>
    </row>
    <row r="12" spans="2:15" ht="14" x14ac:dyDescent="0.15">
      <c r="B12" s="38" t="s">
        <v>22</v>
      </c>
      <c r="C12" s="39">
        <f>'Data entry Wiesensee'!C12</f>
        <v>2894507.4992999998</v>
      </c>
      <c r="D12" s="39">
        <f>'Data entry Wiesensee'!F12</f>
        <v>220441.31</v>
      </c>
      <c r="E12" s="39">
        <f>'Data entry Wiesensee'!I12</f>
        <v>197240.75</v>
      </c>
      <c r="F12" s="39">
        <f>'Data entry Wiesensee'!L12</f>
        <v>206609.12</v>
      </c>
      <c r="G12" s="39">
        <f>'Data entry Wiesensee'!O12</f>
        <v>235772.29</v>
      </c>
      <c r="H12" s="39">
        <f>'Data entry Wiesensee'!R12</f>
        <v>264782.30609999999</v>
      </c>
      <c r="I12" s="39">
        <f>'Data entry Wiesensee'!U12</f>
        <v>265060.40299999999</v>
      </c>
      <c r="J12" s="39">
        <f>'Data entry Wiesensee'!X12</f>
        <v>244551.83129999999</v>
      </c>
      <c r="K12" s="39">
        <f>'Data entry Wiesensee'!AA12</f>
        <v>261382.6569</v>
      </c>
      <c r="L12" s="39">
        <f>'Data entry Wiesensee'!AD12</f>
        <v>264339.11729999998</v>
      </c>
      <c r="M12" s="39">
        <f>'Data entry Wiesensee'!AG12</f>
        <v>253330.851</v>
      </c>
      <c r="N12" s="39">
        <f>'Data entry Wiesensee'!AJ12</f>
        <v>242832.62169999999</v>
      </c>
      <c r="O12" s="39">
        <f>'Data entry Wiesensee'!AM12</f>
        <v>238164.242</v>
      </c>
    </row>
    <row r="13" spans="2:15" ht="14" x14ac:dyDescent="0.15">
      <c r="B13" s="38" t="s">
        <v>23</v>
      </c>
      <c r="C13" s="39">
        <f>'Data entry Wiesensee'!C13</f>
        <v>120008.2077</v>
      </c>
      <c r="D13" s="39">
        <f>'Data entry Wiesensee'!F13</f>
        <v>-158854.84</v>
      </c>
      <c r="E13" s="39">
        <f>'Data entry Wiesensee'!I13</f>
        <v>-93163.13</v>
      </c>
      <c r="F13" s="39">
        <f>'Data entry Wiesensee'!L13</f>
        <v>55664.63</v>
      </c>
      <c r="G13" s="39">
        <f>'Data entry Wiesensee'!O13</f>
        <v>-127405.33</v>
      </c>
      <c r="H13" s="39">
        <f>'Data entry Wiesensee'!R13</f>
        <v>59799.731699999997</v>
      </c>
      <c r="I13" s="39">
        <f>'Data entry Wiesensee'!U13</f>
        <v>48790.780400000003</v>
      </c>
      <c r="J13" s="39">
        <f>'Data entry Wiesensee'!X13</f>
        <v>37286.643799999998</v>
      </c>
      <c r="K13" s="39">
        <f>'Data entry Wiesensee'!AA13</f>
        <v>146312.84849999999</v>
      </c>
      <c r="L13" s="39">
        <f>'Data entry Wiesensee'!AD13</f>
        <v>209292.24840000001</v>
      </c>
      <c r="M13" s="39">
        <f>'Data entry Wiesensee'!AG13</f>
        <v>4064.0747000000001</v>
      </c>
      <c r="N13" s="39">
        <f>'Data entry Wiesensee'!AJ13</f>
        <v>107.1705</v>
      </c>
      <c r="O13" s="39">
        <f>'Data entry Wiesensee'!AM13</f>
        <v>-61886.620300000002</v>
      </c>
    </row>
    <row r="14" spans="2:15" ht="14" x14ac:dyDescent="0.15">
      <c r="B14" s="38" t="s">
        <v>24</v>
      </c>
      <c r="C14" s="39">
        <f>'Data entry Wiesensee'!C14</f>
        <v>37595</v>
      </c>
      <c r="D14" s="39">
        <f>'Data entry Wiesensee'!F14</f>
        <v>3193</v>
      </c>
      <c r="E14" s="39">
        <f>'Data entry Wiesensee'!I14</f>
        <v>2884</v>
      </c>
      <c r="F14" s="39">
        <f>'Data entry Wiesensee'!L14</f>
        <v>3193</v>
      </c>
      <c r="G14" s="39">
        <f>'Data entry Wiesensee'!O14</f>
        <v>3090</v>
      </c>
      <c r="H14" s="39">
        <f>'Data entry Wiesensee'!R14</f>
        <v>3193</v>
      </c>
      <c r="I14" s="39">
        <f>'Data entry Wiesensee'!U14</f>
        <v>3090</v>
      </c>
      <c r="J14" s="39">
        <f>'Data entry Wiesensee'!X14</f>
        <v>3193</v>
      </c>
      <c r="K14" s="39">
        <f>'Data entry Wiesensee'!AA14</f>
        <v>3193</v>
      </c>
      <c r="L14" s="39">
        <f>'Data entry Wiesensee'!AD14</f>
        <v>3090</v>
      </c>
      <c r="M14" s="39">
        <f>'Data entry Wiesensee'!AG14</f>
        <v>3193</v>
      </c>
      <c r="N14" s="39">
        <f>'Data entry Wiesensee'!AJ14</f>
        <v>3090</v>
      </c>
      <c r="O14" s="39">
        <f>'Data entry Wiesensee'!AM14</f>
        <v>3193</v>
      </c>
    </row>
    <row r="15" spans="2:15" ht="14" x14ac:dyDescent="0.15">
      <c r="B15" s="38" t="s">
        <v>25</v>
      </c>
      <c r="C15" s="39">
        <f>'Data entry Wiesensee'!C15</f>
        <v>16784</v>
      </c>
      <c r="D15" s="39">
        <f>'Data entry Wiesensee'!F15</f>
        <v>1103</v>
      </c>
      <c r="E15" s="39">
        <f>'Data entry Wiesensee'!I15</f>
        <v>1075</v>
      </c>
      <c r="F15" s="39">
        <f>'Data entry Wiesensee'!L15</f>
        <v>1652</v>
      </c>
      <c r="G15" s="39">
        <f>'Data entry Wiesensee'!O15</f>
        <v>958</v>
      </c>
      <c r="H15" s="39">
        <f>'Data entry Wiesensee'!R15</f>
        <v>1588</v>
      </c>
      <c r="I15" s="39">
        <f>'Data entry Wiesensee'!U15</f>
        <v>1430</v>
      </c>
      <c r="J15" s="39">
        <f>'Data entry Wiesensee'!X15</f>
        <v>1285</v>
      </c>
      <c r="K15" s="39">
        <f>'Data entry Wiesensee'!AA15</f>
        <v>1822</v>
      </c>
      <c r="L15" s="39">
        <f>'Data entry Wiesensee'!AD15</f>
        <v>1973</v>
      </c>
      <c r="M15" s="39">
        <f>'Data entry Wiesensee'!AG15</f>
        <v>1330</v>
      </c>
      <c r="N15" s="39">
        <f>'Data entry Wiesensee'!AJ15</f>
        <v>1457</v>
      </c>
      <c r="O15" s="39">
        <f>'Data entry Wiesensee'!AM15</f>
        <v>1111</v>
      </c>
    </row>
    <row r="16" spans="2:15" ht="14" x14ac:dyDescent="0.15">
      <c r="B16" s="38" t="s">
        <v>26</v>
      </c>
      <c r="C16" s="39">
        <f>'Data entry Wiesensee'!C16</f>
        <v>44.942146562043</v>
      </c>
      <c r="D16" s="39">
        <f>'Data entry Wiesensee'!F16</f>
        <v>36.141559661759999</v>
      </c>
      <c r="E16" s="39">
        <f>'Data entry Wiesensee'!I16</f>
        <v>38.453536754508001</v>
      </c>
      <c r="F16" s="39">
        <f>'Data entry Wiesensee'!L16</f>
        <v>52.082680864391001</v>
      </c>
      <c r="G16" s="39">
        <f>'Data entry Wiesensee'!O16</f>
        <v>31.229773462783001</v>
      </c>
      <c r="H16" s="39">
        <f>'Data entry Wiesensee'!R16</f>
        <v>49.921703726902997</v>
      </c>
      <c r="I16" s="39">
        <f>'Data entry Wiesensee'!U16</f>
        <v>46.310679611650002</v>
      </c>
      <c r="J16" s="39">
        <f>'Data entry Wiesensee'!X16</f>
        <v>40.244284372064001</v>
      </c>
      <c r="K16" s="39">
        <f>'Data entry Wiesensee'!AA16</f>
        <v>57.124960851863001</v>
      </c>
      <c r="L16" s="39">
        <f>'Data entry Wiesensee'!AD16</f>
        <v>63.851132686084</v>
      </c>
      <c r="M16" s="39">
        <f>'Data entry Wiesensee'!AG16</f>
        <v>41.653617287816999</v>
      </c>
      <c r="N16" s="39">
        <f>'Data entry Wiesensee'!AJ16</f>
        <v>47.152103559871001</v>
      </c>
      <c r="O16" s="39">
        <f>'Data entry Wiesensee'!AM16</f>
        <v>34.794863764485001</v>
      </c>
    </row>
    <row r="17" spans="2:15" ht="14" x14ac:dyDescent="0.15">
      <c r="B17" s="38" t="s">
        <v>27</v>
      </c>
      <c r="C17" s="39">
        <f>'Data entry Wiesensee'!C17</f>
        <v>122.43785092946</v>
      </c>
      <c r="D17" s="39">
        <f>'Data entry Wiesensee'!F17</f>
        <v>100.89873980054</v>
      </c>
      <c r="E17" s="39">
        <f>'Data entry Wiesensee'!I17</f>
        <v>108.52234418605001</v>
      </c>
      <c r="F17" s="39">
        <f>'Data entry Wiesensee'!L17</f>
        <v>114.85392857143</v>
      </c>
      <c r="G17" s="39">
        <f>'Data entry Wiesensee'!O17</f>
        <v>115.40090814196</v>
      </c>
      <c r="H17" s="39">
        <f>'Data entry Wiesensee'!R17</f>
        <v>125.56190176322001</v>
      </c>
      <c r="I17" s="39">
        <f>'Data entry Wiesensee'!U17</f>
        <v>123.63825174825</v>
      </c>
      <c r="J17" s="39">
        <f>'Data entry Wiesensee'!X17</f>
        <v>122.17961089494</v>
      </c>
      <c r="K17" s="39">
        <f>'Data entry Wiesensee'!AA17</f>
        <v>115.66794731065001</v>
      </c>
      <c r="L17" s="39">
        <f>'Data entry Wiesensee'!AD17</f>
        <v>138.57374556513</v>
      </c>
      <c r="M17" s="39">
        <f>'Data entry Wiesensee'!AG17</f>
        <v>134.53270676692</v>
      </c>
      <c r="N17" s="39">
        <f>'Data entry Wiesensee'!AJ17</f>
        <v>129.22786547701</v>
      </c>
      <c r="O17" s="39">
        <f>'Data entry Wiesensee'!AM17</f>
        <v>127.98289828983</v>
      </c>
    </row>
    <row r="18" spans="2:15" ht="14" x14ac:dyDescent="0.15">
      <c r="B18" s="38" t="s">
        <v>28</v>
      </c>
      <c r="C18" s="39">
        <f>'Data entry Wiesensee'!C18</f>
        <v>53.776964223965997</v>
      </c>
      <c r="D18" s="39">
        <f>'Data entry Wiesensee'!F18</f>
        <v>34.313448167867001</v>
      </c>
      <c r="E18" s="39">
        <f>'Data entry Wiesensee'!I18</f>
        <v>39.891619278778997</v>
      </c>
      <c r="F18" s="39">
        <f>'Data entry Wiesensee'!L18</f>
        <v>57.966852489821001</v>
      </c>
      <c r="G18" s="39">
        <f>'Data entry Wiesensee'!O18</f>
        <v>35.370627831714998</v>
      </c>
      <c r="H18" s="39">
        <f>'Data entry Wiesensee'!R18</f>
        <v>61.507140620106</v>
      </c>
      <c r="I18" s="39">
        <f>'Data entry Wiesensee'!U18</f>
        <v>56.246828478963998</v>
      </c>
      <c r="J18" s="39">
        <f>'Data entry Wiesensee'!X18</f>
        <v>48.230754776072999</v>
      </c>
      <c r="K18" s="39">
        <f>'Data entry Wiesensee'!AA18</f>
        <v>65.063263388663003</v>
      </c>
      <c r="L18" s="39">
        <f>'Data entry Wiesensee'!AD18</f>
        <v>87.510032362459995</v>
      </c>
      <c r="M18" s="39">
        <f>'Data entry Wiesensee'!AG18</f>
        <v>55.098183526463998</v>
      </c>
      <c r="N18" s="39">
        <f>'Data entry Wiesensee'!AJ18</f>
        <v>59.962783171520996</v>
      </c>
      <c r="O18" s="39">
        <f>'Data entry Wiesensee'!AM18</f>
        <v>43.591919824615999</v>
      </c>
    </row>
    <row r="19" spans="2:15" ht="14" x14ac:dyDescent="0.15">
      <c r="B19" s="38" t="s">
        <v>29</v>
      </c>
      <c r="C19" s="39">
        <f>'Data entry Wiesensee'!C19</f>
        <v>148.80096461764001</v>
      </c>
      <c r="D19" s="39">
        <f>'Data entry Wiesensee'!F19</f>
        <v>86.661850923895997</v>
      </c>
      <c r="E19" s="39">
        <f>'Data entry Wiesensee'!I19</f>
        <v>108.06984396671</v>
      </c>
      <c r="F19" s="39">
        <f>'Data entry Wiesensee'!L19</f>
        <v>151.36464453491999</v>
      </c>
      <c r="G19" s="39">
        <f>'Data entry Wiesensee'!O19</f>
        <v>94.722938511327001</v>
      </c>
      <c r="H19" s="39">
        <f>'Data entry Wiesensee'!R19</f>
        <v>174.18999047917001</v>
      </c>
      <c r="I19" s="39">
        <f>'Data entry Wiesensee'!U19</f>
        <v>184.69295896439999</v>
      </c>
      <c r="J19" s="39">
        <f>'Data entry Wiesensee'!X19</f>
        <v>160.77539868462</v>
      </c>
      <c r="K19" s="39">
        <f>'Data entry Wiesensee'!AA19</f>
        <v>198.87181647354001</v>
      </c>
      <c r="L19" s="39">
        <f>'Data entry Wiesensee'!AD19</f>
        <v>245.85911456311001</v>
      </c>
      <c r="M19" s="39">
        <f>'Data entry Wiesensee'!AG19</f>
        <v>149.37194425305</v>
      </c>
      <c r="N19" s="39">
        <f>'Data entry Wiesensee'!AJ19</f>
        <v>133.39474174757001</v>
      </c>
      <c r="O19" s="39">
        <f>'Data entry Wiesensee'!AM19</f>
        <v>95.741897901659996</v>
      </c>
    </row>
    <row r="20" spans="2:15" ht="14" x14ac:dyDescent="0.15">
      <c r="B20" s="38" t="s">
        <v>30</v>
      </c>
      <c r="C20" s="39">
        <f>'Data entry Wiesensee'!C20</f>
        <v>24241.79</v>
      </c>
      <c r="D20" s="39">
        <f>'Data entry Wiesensee'!F20</f>
        <v>1893</v>
      </c>
      <c r="E20" s="39">
        <f>'Data entry Wiesensee'!I20</f>
        <v>1627</v>
      </c>
      <c r="F20" s="39">
        <f>'Data entry Wiesensee'!L20</f>
        <v>2347</v>
      </c>
      <c r="G20" s="39">
        <f>'Data entry Wiesensee'!O20</f>
        <v>1570</v>
      </c>
      <c r="H20" s="39">
        <f>'Data entry Wiesensee'!R20</f>
        <v>2194.83</v>
      </c>
      <c r="I20" s="39">
        <f>'Data entry Wiesensee'!U20</f>
        <v>1801.86</v>
      </c>
      <c r="J20" s="39">
        <f>'Data entry Wiesensee'!X20</f>
        <v>1835.4</v>
      </c>
      <c r="K20" s="39">
        <f>'Data entry Wiesensee'!AA20</f>
        <v>2414.25</v>
      </c>
      <c r="L20" s="39">
        <f>'Data entry Wiesensee'!AD20</f>
        <v>2602.1999999999998</v>
      </c>
      <c r="M20" s="39">
        <f>'Data entry Wiesensee'!AG20</f>
        <v>1852.65</v>
      </c>
      <c r="N20" s="39">
        <f>'Data entry Wiesensee'!AJ20</f>
        <v>2229.6</v>
      </c>
      <c r="O20" s="39">
        <f>'Data entry Wiesensee'!AM20</f>
        <v>1874</v>
      </c>
    </row>
    <row r="21" spans="2:15" ht="14" x14ac:dyDescent="0.15">
      <c r="B21" s="38" t="s">
        <v>31</v>
      </c>
      <c r="C21" s="39">
        <f>'Data entry Wiesensee'!C21</f>
        <v>1.4347650331438999</v>
      </c>
      <c r="D21" s="39">
        <f>'Data entry Wiesensee'!F21</f>
        <v>1.6403812824957</v>
      </c>
      <c r="E21" s="39">
        <f>'Data entry Wiesensee'!I21</f>
        <v>1.4670874661858</v>
      </c>
      <c r="F21" s="39">
        <f>'Data entry Wiesensee'!L21</f>
        <v>1.4113048707156</v>
      </c>
      <c r="G21" s="39">
        <f>'Data entry Wiesensee'!O21</f>
        <v>1.6269430051813001</v>
      </c>
      <c r="H21" s="39">
        <f>'Data entry Wiesensee'!R21</f>
        <v>1.3769322459222</v>
      </c>
      <c r="I21" s="39">
        <f>'Data entry Wiesensee'!U21</f>
        <v>1.2591614255765</v>
      </c>
      <c r="J21" s="39">
        <f>'Data entry Wiesensee'!X21</f>
        <v>1.4283268482489999</v>
      </c>
      <c r="K21" s="39">
        <f>'Data entry Wiesensee'!AA21</f>
        <v>1.3236019736842</v>
      </c>
      <c r="L21" s="39">
        <f>'Data entry Wiesensee'!AD21</f>
        <v>1.3189052204764</v>
      </c>
      <c r="M21" s="39">
        <f>'Data entry Wiesensee'!AG21</f>
        <v>1.392969924812</v>
      </c>
      <c r="N21" s="39">
        <f>'Data entry Wiesensee'!AJ21</f>
        <v>1.5302676733013001</v>
      </c>
      <c r="O21" s="39">
        <f>'Data entry Wiesensee'!AM21</f>
        <v>1.6867686768676999</v>
      </c>
    </row>
    <row r="22" spans="2:15" ht="14" x14ac:dyDescent="0.15">
      <c r="B22" s="38" t="s">
        <v>32</v>
      </c>
      <c r="C22" s="39">
        <f>'Data entry Wiesensee'!C22</f>
        <v>49461.79</v>
      </c>
      <c r="D22" s="39">
        <f>'Data entry Wiesensee'!F22</f>
        <v>0</v>
      </c>
      <c r="E22" s="39">
        <f>'Data entry Wiesensee'!I22</f>
        <v>0</v>
      </c>
      <c r="F22" s="39">
        <f>'Data entry Wiesensee'!L22</f>
        <v>0</v>
      </c>
      <c r="G22" s="39">
        <f>'Data entry Wiesensee'!O22</f>
        <v>0</v>
      </c>
      <c r="H22" s="39">
        <f>'Data entry Wiesensee'!R22</f>
        <v>6709.83</v>
      </c>
      <c r="I22" s="39">
        <f>'Data entry Wiesensee'!U22</f>
        <v>6671.86</v>
      </c>
      <c r="J22" s="39">
        <f>'Data entry Wiesensee'!X22</f>
        <v>5355.4</v>
      </c>
      <c r="K22" s="39">
        <f>'Data entry Wiesensee'!AA22</f>
        <v>7594.25</v>
      </c>
      <c r="L22" s="39">
        <f>'Data entry Wiesensee'!AD22</f>
        <v>9172.2000000000007</v>
      </c>
      <c r="M22" s="39">
        <f>'Data entry Wiesensee'!AG22</f>
        <v>5426.65</v>
      </c>
      <c r="N22" s="39">
        <f>'Data entry Wiesensee'!AJ22</f>
        <v>5073.6000000000004</v>
      </c>
      <c r="O22" s="39">
        <f>'Data entry Wiesensee'!AM22</f>
        <v>3458</v>
      </c>
    </row>
    <row r="23" spans="2:15" ht="14" x14ac:dyDescent="0.15">
      <c r="B23" s="38" t="s">
        <v>33</v>
      </c>
      <c r="C23" s="39">
        <f>'Data entry Wiesensee'!C23</f>
        <v>66.098299999999995</v>
      </c>
      <c r="D23" s="39">
        <f>'Data entry Wiesensee'!F23</f>
        <v>68.599999999999994</v>
      </c>
      <c r="E23" s="39">
        <f>'Data entry Wiesensee'!I23</f>
        <v>67.599999999999994</v>
      </c>
      <c r="F23" s="39">
        <f>'Data entry Wiesensee'!L23</f>
        <v>67.459999999999994</v>
      </c>
      <c r="G23" s="39">
        <f>'Data entry Wiesensee'!O23</f>
        <v>67.52</v>
      </c>
      <c r="H23" s="39">
        <f>'Data entry Wiesensee'!R23</f>
        <v>66.25</v>
      </c>
      <c r="I23" s="39">
        <f>'Data entry Wiesensee'!U23</f>
        <v>66.25</v>
      </c>
      <c r="J23" s="39">
        <f>'Data entry Wiesensee'!X23</f>
        <v>66.25</v>
      </c>
      <c r="K23" s="39">
        <f>'Data entry Wiesensee'!AA23</f>
        <v>66.25</v>
      </c>
      <c r="L23" s="39">
        <f>'Data entry Wiesensee'!AD23</f>
        <v>64.25</v>
      </c>
      <c r="M23" s="39">
        <f>'Data entry Wiesensee'!AG23</f>
        <v>64.25</v>
      </c>
      <c r="N23" s="39">
        <f>'Data entry Wiesensee'!AJ23</f>
        <v>64.25</v>
      </c>
      <c r="O23" s="39">
        <f>'Data entry Wiesensee'!AM23</f>
        <v>64.25</v>
      </c>
    </row>
    <row r="24" spans="2:15" x14ac:dyDescent="0.15">
      <c r="C24" s="39">
        <f>'Data entry Wiesensee'!C24</f>
        <v>0</v>
      </c>
      <c r="D24" s="39">
        <f>'Data entry Wiesensee'!F24</f>
        <v>0</v>
      </c>
      <c r="E24" s="39">
        <f>'Data entry Wiesensee'!I24</f>
        <v>0</v>
      </c>
      <c r="F24" s="39">
        <f>'Data entry Wiesensee'!L24</f>
        <v>0</v>
      </c>
      <c r="G24" s="39">
        <f>'Data entry Wiesensee'!O24</f>
        <v>0</v>
      </c>
      <c r="H24" s="39">
        <f>'Data entry Wiesensee'!R24</f>
        <v>0</v>
      </c>
      <c r="I24" s="39">
        <f>'Data entry Wiesensee'!U24</f>
        <v>0</v>
      </c>
      <c r="J24" s="39">
        <f>'Data entry Wiesensee'!X24</f>
        <v>0</v>
      </c>
      <c r="K24" s="39">
        <f>'Data entry Wiesensee'!AA24</f>
        <v>0</v>
      </c>
      <c r="L24" s="39">
        <f>'Data entry Wiesensee'!AD24</f>
        <v>0</v>
      </c>
      <c r="M24" s="39">
        <f>'Data entry Wiesensee'!AG24</f>
        <v>0</v>
      </c>
      <c r="N24" s="39">
        <f>'Data entry Wiesensee'!AJ24</f>
        <v>0</v>
      </c>
      <c r="O24" s="39">
        <f>'Data entry Wiesensee'!AM24</f>
        <v>0</v>
      </c>
    </row>
    <row r="25" spans="2:15" ht="14" x14ac:dyDescent="0.15">
      <c r="B25" s="38" t="s">
        <v>34</v>
      </c>
      <c r="C25" s="39">
        <f>'Data entry Wiesensee'!C25</f>
        <v>0</v>
      </c>
      <c r="D25" s="39">
        <f>'Data entry Wiesensee'!F25</f>
        <v>0</v>
      </c>
      <c r="E25" s="39">
        <f>'Data entry Wiesensee'!I25</f>
        <v>0</v>
      </c>
      <c r="F25" s="39">
        <f>'Data entry Wiesensee'!L25</f>
        <v>0</v>
      </c>
      <c r="G25" s="39">
        <f>'Data entry Wiesensee'!O25</f>
        <v>0</v>
      </c>
      <c r="H25" s="39">
        <f>'Data entry Wiesensee'!R25</f>
        <v>0</v>
      </c>
      <c r="I25" s="39">
        <f>'Data entry Wiesensee'!U25</f>
        <v>0</v>
      </c>
      <c r="J25" s="39">
        <f>'Data entry Wiesensee'!X25</f>
        <v>0</v>
      </c>
      <c r="K25" s="39">
        <f>'Data entry Wiesensee'!AA25</f>
        <v>0</v>
      </c>
      <c r="L25" s="39">
        <f>'Data entry Wiesensee'!AD25</f>
        <v>0</v>
      </c>
      <c r="M25" s="39">
        <f>'Data entry Wiesensee'!AG25</f>
        <v>0</v>
      </c>
      <c r="N25" s="39">
        <f>'Data entry Wiesensee'!AJ25</f>
        <v>0</v>
      </c>
      <c r="O25" s="39">
        <f>'Data entry Wiesensee'!AM25</f>
        <v>0</v>
      </c>
    </row>
    <row r="26" spans="2:15" x14ac:dyDescent="0.15">
      <c r="B26" s="40"/>
      <c r="C26" s="39">
        <f>'Data entry Wiesensee'!C26</f>
        <v>0</v>
      </c>
      <c r="D26" s="39">
        <f>'Data entry Wiesensee'!F26</f>
        <v>0</v>
      </c>
      <c r="E26" s="39">
        <f>'Data entry Wiesensee'!I26</f>
        <v>0</v>
      </c>
      <c r="F26" s="39">
        <f>'Data entry Wiesensee'!L26</f>
        <v>0</v>
      </c>
      <c r="G26" s="39">
        <f>'Data entry Wiesensee'!O26</f>
        <v>0</v>
      </c>
      <c r="H26" s="39">
        <f>'Data entry Wiesensee'!R26</f>
        <v>0</v>
      </c>
      <c r="I26" s="39">
        <f>'Data entry Wiesensee'!U26</f>
        <v>0</v>
      </c>
      <c r="J26" s="39">
        <f>'Data entry Wiesensee'!X26</f>
        <v>0</v>
      </c>
      <c r="K26" s="39">
        <f>'Data entry Wiesensee'!AA26</f>
        <v>0</v>
      </c>
      <c r="L26" s="39">
        <f>'Data entry Wiesensee'!AD26</f>
        <v>0</v>
      </c>
      <c r="M26" s="39">
        <f>'Data entry Wiesensee'!AG26</f>
        <v>0</v>
      </c>
      <c r="N26" s="39">
        <f>'Data entry Wiesensee'!AJ26</f>
        <v>0</v>
      </c>
      <c r="O26" s="39">
        <f>'Data entry Wiesensee'!AM26</f>
        <v>0</v>
      </c>
    </row>
    <row r="27" spans="2:15" ht="14" x14ac:dyDescent="0.15">
      <c r="B27" s="42" t="s">
        <v>21</v>
      </c>
      <c r="C27" s="39">
        <f>'Data entry Wiesensee'!C27</f>
        <v>5594172.2648</v>
      </c>
      <c r="D27" s="39">
        <f>'Data entry Wiesensee'!F27</f>
        <v>276711.28999999998</v>
      </c>
      <c r="E27" s="39">
        <f>'Data entry Wiesensee'!I27</f>
        <v>311673.43</v>
      </c>
      <c r="F27" s="39">
        <f>'Data entry Wiesensee'!L27</f>
        <v>483307.31</v>
      </c>
      <c r="G27" s="39">
        <f>'Data entry Wiesensee'!O27</f>
        <v>292693.88</v>
      </c>
      <c r="H27" s="39">
        <f>'Data entry Wiesensee'!R27</f>
        <v>556188.63959999999</v>
      </c>
      <c r="I27" s="39">
        <f>'Data entry Wiesensee'!U27</f>
        <v>570701.24320000003</v>
      </c>
      <c r="J27" s="39">
        <f>'Data entry Wiesensee'!X27</f>
        <v>513355.848</v>
      </c>
      <c r="K27" s="39">
        <f>'Data entry Wiesensee'!AA27</f>
        <v>634997.71</v>
      </c>
      <c r="L27" s="39">
        <f>'Data entry Wiesensee'!AD27</f>
        <v>759704.66399999999</v>
      </c>
      <c r="M27" s="39">
        <f>'Data entry Wiesensee'!AG27</f>
        <v>476944.61800000002</v>
      </c>
      <c r="N27" s="39">
        <f>'Data entry Wiesensee'!AJ27</f>
        <v>412189.75199999998</v>
      </c>
      <c r="O27" s="39">
        <f>'Data entry Wiesensee'!AM27</f>
        <v>305703.88</v>
      </c>
    </row>
    <row r="28" spans="2:15" ht="14" x14ac:dyDescent="0.15">
      <c r="B28" s="38" t="s">
        <v>35</v>
      </c>
      <c r="C28" s="39">
        <f>'Data entry Wiesensee'!C28</f>
        <v>2054996.89</v>
      </c>
      <c r="D28" s="39">
        <f>'Data entry Wiesensee'!F28</f>
        <v>111291.31</v>
      </c>
      <c r="E28" s="39">
        <f>'Data entry Wiesensee'!I28</f>
        <v>116661.52</v>
      </c>
      <c r="F28" s="39">
        <f>'Data entry Wiesensee'!L28</f>
        <v>189738.69</v>
      </c>
      <c r="G28" s="39">
        <f>'Data entry Wiesensee'!O28</f>
        <v>110554.07</v>
      </c>
      <c r="H28" s="39">
        <f>'Data entry Wiesensee'!R28</f>
        <v>199392.3</v>
      </c>
      <c r="I28" s="39">
        <f>'Data entry Wiesensee'!U28</f>
        <v>176802.7</v>
      </c>
      <c r="J28" s="39">
        <f>'Data entry Wiesensee'!X28</f>
        <v>157000.79999999999</v>
      </c>
      <c r="K28" s="39">
        <f>'Data entry Wiesensee'!AA28</f>
        <v>210747</v>
      </c>
      <c r="L28" s="39">
        <f>'Data entry Wiesensee'!AD28</f>
        <v>273406</v>
      </c>
      <c r="M28" s="39">
        <f>'Data entry Wiesensee'!AG28</f>
        <v>178928.5</v>
      </c>
      <c r="N28" s="39">
        <f>'Data entry Wiesensee'!AJ28</f>
        <v>188285</v>
      </c>
      <c r="O28" s="39">
        <f>'Data entry Wiesensee'!AM28</f>
        <v>142189</v>
      </c>
    </row>
    <row r="29" spans="2:15" ht="14" x14ac:dyDescent="0.15">
      <c r="B29" s="38" t="s">
        <v>36</v>
      </c>
      <c r="C29" s="39">
        <f>'Data entry Wiesensee'!C29</f>
        <v>2448499.2648</v>
      </c>
      <c r="D29" s="39">
        <f>'Data entry Wiesensee'!F29</f>
        <v>109622.39999999999</v>
      </c>
      <c r="E29" s="39">
        <f>'Data entry Wiesensee'!I29</f>
        <v>133584.6</v>
      </c>
      <c r="F29" s="39">
        <f>'Data entry Wiesensee'!L29</f>
        <v>232574.37</v>
      </c>
      <c r="G29" s="39">
        <f>'Data entry Wiesensee'!O29</f>
        <v>99122.84</v>
      </c>
      <c r="H29" s="39">
        <f>'Data entry Wiesensee'!R29</f>
        <v>232196.33960000001</v>
      </c>
      <c r="I29" s="39">
        <f>'Data entry Wiesensee'!U29</f>
        <v>266198.54320000001</v>
      </c>
      <c r="J29" s="39">
        <f>'Data entry Wiesensee'!X29</f>
        <v>224355.04800000001</v>
      </c>
      <c r="K29" s="39">
        <f>'Data entry Wiesensee'!AA29</f>
        <v>304650.71000000002</v>
      </c>
      <c r="L29" s="39">
        <f>'Data entry Wiesensee'!AD29</f>
        <v>373498.66399999999</v>
      </c>
      <c r="M29" s="39">
        <f>'Data entry Wiesensee'!AG29</f>
        <v>210576.11799999999</v>
      </c>
      <c r="N29" s="39">
        <f>'Data entry Wiesensee'!AJ29</f>
        <v>159854.75200000001</v>
      </c>
      <c r="O29" s="39">
        <f>'Data entry Wiesensee'!AM29</f>
        <v>102264.88</v>
      </c>
    </row>
    <row r="30" spans="2:15" ht="14" x14ac:dyDescent="0.15">
      <c r="B30" s="38" t="s">
        <v>37</v>
      </c>
      <c r="C30" s="39">
        <f>'Data entry Wiesensee'!C30</f>
        <v>1028963.35</v>
      </c>
      <c r="D30" s="39">
        <f>'Data entry Wiesensee'!F30</f>
        <v>55075.27</v>
      </c>
      <c r="E30" s="39">
        <f>'Data entry Wiesensee'!I30</f>
        <v>55914.77</v>
      </c>
      <c r="F30" s="39">
        <f>'Data entry Wiesensee'!L30</f>
        <v>56416.44</v>
      </c>
      <c r="G30" s="39">
        <f>'Data entry Wiesensee'!O30</f>
        <v>75116.87</v>
      </c>
      <c r="H30" s="39">
        <f>'Data entry Wiesensee'!R30</f>
        <v>118100</v>
      </c>
      <c r="I30" s="39">
        <f>'Data entry Wiesensee'!U30</f>
        <v>121200</v>
      </c>
      <c r="J30" s="39">
        <f>'Data entry Wiesensee'!X30</f>
        <v>125500</v>
      </c>
      <c r="K30" s="39">
        <f>'Data entry Wiesensee'!AA30</f>
        <v>113100</v>
      </c>
      <c r="L30" s="39">
        <f>'Data entry Wiesensee'!AD30</f>
        <v>106300</v>
      </c>
      <c r="M30" s="39">
        <f>'Data entry Wiesensee'!AG30</f>
        <v>82940</v>
      </c>
      <c r="N30" s="39">
        <f>'Data entry Wiesensee'!AJ30</f>
        <v>61050</v>
      </c>
      <c r="O30" s="39">
        <f>'Data entry Wiesensee'!AM30</f>
        <v>58250</v>
      </c>
    </row>
    <row r="31" spans="2:15" ht="14" x14ac:dyDescent="0.15">
      <c r="B31" s="38" t="s">
        <v>38</v>
      </c>
      <c r="C31" s="39">
        <f>'Data entry Wiesensee'!C31</f>
        <v>61712.76</v>
      </c>
      <c r="D31" s="39">
        <f>'Data entry Wiesensee'!F31</f>
        <v>722.31</v>
      </c>
      <c r="E31" s="39">
        <f>'Data entry Wiesensee'!I31</f>
        <v>5512.54</v>
      </c>
      <c r="F31" s="39">
        <f>'Data entry Wiesensee'!L31</f>
        <v>4577.8100000000004</v>
      </c>
      <c r="G31" s="39">
        <f>'Data entry Wiesensee'!O31</f>
        <v>7900.1</v>
      </c>
      <c r="H31" s="39">
        <f>'Data entry Wiesensee'!R31</f>
        <v>6500</v>
      </c>
      <c r="I31" s="39">
        <f>'Data entry Wiesensee'!U31</f>
        <v>6500</v>
      </c>
      <c r="J31" s="39">
        <f>'Data entry Wiesensee'!X31</f>
        <v>6500</v>
      </c>
      <c r="K31" s="39">
        <f>'Data entry Wiesensee'!AA31</f>
        <v>6500</v>
      </c>
      <c r="L31" s="39">
        <f>'Data entry Wiesensee'!AD31</f>
        <v>6500</v>
      </c>
      <c r="M31" s="39">
        <f>'Data entry Wiesensee'!AG31</f>
        <v>4500</v>
      </c>
      <c r="N31" s="39">
        <f>'Data entry Wiesensee'!AJ31</f>
        <v>3000</v>
      </c>
      <c r="O31" s="39">
        <f>'Data entry Wiesensee'!AM31</f>
        <v>3000</v>
      </c>
    </row>
    <row r="32" spans="2:15" x14ac:dyDescent="0.15">
      <c r="B32" s="40"/>
      <c r="C32" s="39">
        <f>'Data entry Wiesensee'!C32</f>
        <v>0</v>
      </c>
      <c r="D32" s="39">
        <f>'Data entry Wiesensee'!F32</f>
        <v>0</v>
      </c>
      <c r="E32" s="39">
        <f>'Data entry Wiesensee'!I32</f>
        <v>0</v>
      </c>
      <c r="F32" s="39">
        <f>'Data entry Wiesensee'!L32</f>
        <v>0</v>
      </c>
      <c r="G32" s="39">
        <f>'Data entry Wiesensee'!O32</f>
        <v>0</v>
      </c>
      <c r="H32" s="39">
        <f>'Data entry Wiesensee'!R32</f>
        <v>0</v>
      </c>
      <c r="I32" s="39">
        <f>'Data entry Wiesensee'!U32</f>
        <v>0</v>
      </c>
      <c r="J32" s="39">
        <f>'Data entry Wiesensee'!X32</f>
        <v>0</v>
      </c>
      <c r="K32" s="39">
        <f>'Data entry Wiesensee'!AA32</f>
        <v>0</v>
      </c>
      <c r="L32" s="39">
        <f>'Data entry Wiesensee'!AD32</f>
        <v>0</v>
      </c>
      <c r="M32" s="39">
        <f>'Data entry Wiesensee'!AG32</f>
        <v>0</v>
      </c>
      <c r="N32" s="39">
        <f>'Data entry Wiesensee'!AJ32</f>
        <v>0</v>
      </c>
      <c r="O32" s="39">
        <f>'Data entry Wiesensee'!AM32</f>
        <v>0</v>
      </c>
    </row>
    <row r="33" spans="2:15" ht="14" x14ac:dyDescent="0.15">
      <c r="B33" s="44" t="s">
        <v>39</v>
      </c>
      <c r="C33" s="39">
        <f>'Data entry Wiesensee'!C33</f>
        <v>0</v>
      </c>
      <c r="D33" s="39">
        <f>'Data entry Wiesensee'!F33</f>
        <v>0</v>
      </c>
      <c r="E33" s="39">
        <f>'Data entry Wiesensee'!I33</f>
        <v>0</v>
      </c>
      <c r="F33" s="39">
        <f>'Data entry Wiesensee'!L33</f>
        <v>0</v>
      </c>
      <c r="G33" s="39">
        <f>'Data entry Wiesensee'!O33</f>
        <v>0</v>
      </c>
      <c r="H33" s="39">
        <f>'Data entry Wiesensee'!R33</f>
        <v>0</v>
      </c>
      <c r="I33" s="39">
        <f>'Data entry Wiesensee'!U33</f>
        <v>0</v>
      </c>
      <c r="J33" s="39">
        <f>'Data entry Wiesensee'!X33</f>
        <v>0</v>
      </c>
      <c r="K33" s="39">
        <f>'Data entry Wiesensee'!AA33</f>
        <v>0</v>
      </c>
      <c r="L33" s="39">
        <f>'Data entry Wiesensee'!AD33</f>
        <v>0</v>
      </c>
      <c r="M33" s="39">
        <f>'Data entry Wiesensee'!AG33</f>
        <v>0</v>
      </c>
      <c r="N33" s="39">
        <f>'Data entry Wiesensee'!AJ33</f>
        <v>0</v>
      </c>
      <c r="O33" s="39">
        <f>'Data entry Wiesensee'!AM33</f>
        <v>0</v>
      </c>
    </row>
    <row r="34" spans="2:15" ht="14" x14ac:dyDescent="0.15">
      <c r="B34" s="42" t="s">
        <v>35</v>
      </c>
      <c r="C34" s="39">
        <f>'Data entry Wiesensee'!C34</f>
        <v>2054996.89</v>
      </c>
      <c r="D34" s="39">
        <f>'Data entry Wiesensee'!F34</f>
        <v>111291.31</v>
      </c>
      <c r="E34" s="39">
        <f>'Data entry Wiesensee'!I34</f>
        <v>116661.52</v>
      </c>
      <c r="F34" s="39">
        <f>'Data entry Wiesensee'!L34</f>
        <v>189738.69</v>
      </c>
      <c r="G34" s="39">
        <f>'Data entry Wiesensee'!O34</f>
        <v>110554.07</v>
      </c>
      <c r="H34" s="39">
        <f>'Data entry Wiesensee'!R34</f>
        <v>199392.3</v>
      </c>
      <c r="I34" s="39">
        <f>'Data entry Wiesensee'!U34</f>
        <v>176802.7</v>
      </c>
      <c r="J34" s="39">
        <f>'Data entry Wiesensee'!X34</f>
        <v>157000.79999999999</v>
      </c>
      <c r="K34" s="39">
        <f>'Data entry Wiesensee'!AA34</f>
        <v>210747</v>
      </c>
      <c r="L34" s="39">
        <f>'Data entry Wiesensee'!AD34</f>
        <v>273406</v>
      </c>
      <c r="M34" s="39">
        <f>'Data entry Wiesensee'!AG34</f>
        <v>178928.5</v>
      </c>
      <c r="N34" s="39">
        <f>'Data entry Wiesensee'!AJ34</f>
        <v>188285</v>
      </c>
      <c r="O34" s="39">
        <f>'Data entry Wiesensee'!AM34</f>
        <v>142189</v>
      </c>
    </row>
    <row r="35" spans="2:15" ht="14" x14ac:dyDescent="0.15">
      <c r="B35" s="38" t="s">
        <v>22</v>
      </c>
      <c r="C35" s="39">
        <f>'Data entry Wiesensee'!C35</f>
        <v>675553.59299999999</v>
      </c>
      <c r="D35" s="39">
        <f>'Data entry Wiesensee'!F35</f>
        <v>58999.360000000001</v>
      </c>
      <c r="E35" s="39">
        <f>'Data entry Wiesensee'!I35</f>
        <v>43795.94</v>
      </c>
      <c r="F35" s="39">
        <f>'Data entry Wiesensee'!L35</f>
        <v>54862.23</v>
      </c>
      <c r="G35" s="39">
        <f>'Data entry Wiesensee'!O35</f>
        <v>53802.36</v>
      </c>
      <c r="H35" s="39">
        <f>'Data entry Wiesensee'!R35</f>
        <v>60654.910100000001</v>
      </c>
      <c r="I35" s="39">
        <f>'Data entry Wiesensee'!U35</f>
        <v>59837.799099999997</v>
      </c>
      <c r="J35" s="39">
        <f>'Data entry Wiesensee'!X35</f>
        <v>56694.231699999997</v>
      </c>
      <c r="K35" s="39">
        <f>'Data entry Wiesensee'!AA35</f>
        <v>57771.164299999997</v>
      </c>
      <c r="L35" s="39">
        <f>'Data entry Wiesensee'!AD35</f>
        <v>59891.781799999997</v>
      </c>
      <c r="M35" s="39">
        <f>'Data entry Wiesensee'!AG35</f>
        <v>55280.788</v>
      </c>
      <c r="N35" s="39">
        <f>'Data entry Wiesensee'!AJ35</f>
        <v>55684.467700000001</v>
      </c>
      <c r="O35" s="39">
        <f>'Data entry Wiesensee'!AM35</f>
        <v>58278.560299999997</v>
      </c>
    </row>
    <row r="36" spans="2:15" ht="14" x14ac:dyDescent="0.15">
      <c r="B36" s="38" t="s">
        <v>40</v>
      </c>
      <c r="C36" s="39">
        <f>'Data entry Wiesensee'!C36</f>
        <v>368586.94380000001</v>
      </c>
      <c r="D36" s="39">
        <f>'Data entry Wiesensee'!F36</f>
        <v>49915.39</v>
      </c>
      <c r="E36" s="39">
        <f>'Data entry Wiesensee'!I36</f>
        <v>45785.09</v>
      </c>
      <c r="F36" s="39">
        <f>'Data entry Wiesensee'!L36</f>
        <v>29217.040000000001</v>
      </c>
      <c r="G36" s="39">
        <f>'Data entry Wiesensee'!O36</f>
        <v>33877.82</v>
      </c>
      <c r="H36" s="39">
        <f>'Data entry Wiesensee'!R36</f>
        <v>28068.304700000001</v>
      </c>
      <c r="I36" s="39">
        <f>'Data entry Wiesensee'!U36</f>
        <v>23852.3269</v>
      </c>
      <c r="J36" s="39">
        <f>'Data entry Wiesensee'!X36</f>
        <v>23954.216899999999</v>
      </c>
      <c r="K36" s="39">
        <f>'Data entry Wiesensee'!AA36</f>
        <v>28465.324100000002</v>
      </c>
      <c r="L36" s="39">
        <f>'Data entry Wiesensee'!AD36</f>
        <v>35082.0579</v>
      </c>
      <c r="M36" s="39">
        <f>'Data entry Wiesensee'!AG36</f>
        <v>25482.051200000002</v>
      </c>
      <c r="N36" s="39">
        <f>'Data entry Wiesensee'!AJ36</f>
        <v>25430.58</v>
      </c>
      <c r="O36" s="39">
        <f>'Data entry Wiesensee'!AM36</f>
        <v>19456.742099999999</v>
      </c>
    </row>
    <row r="37" spans="2:15" ht="14" x14ac:dyDescent="0.15">
      <c r="B37" s="42" t="s">
        <v>41</v>
      </c>
      <c r="C37" s="39">
        <f>'Data entry Wiesensee'!C37</f>
        <v>1010856.3532</v>
      </c>
      <c r="D37" s="39">
        <f>'Data entry Wiesensee'!F37</f>
        <v>2376.56</v>
      </c>
      <c r="E37" s="39">
        <f>'Data entry Wiesensee'!I37</f>
        <v>27080.49</v>
      </c>
      <c r="F37" s="39">
        <f>'Data entry Wiesensee'!L37</f>
        <v>105659.42</v>
      </c>
      <c r="G37" s="39">
        <f>'Data entry Wiesensee'!O37</f>
        <v>22873.89</v>
      </c>
      <c r="H37" s="39">
        <f>'Data entry Wiesensee'!R37</f>
        <v>110669.0852</v>
      </c>
      <c r="I37" s="39">
        <f>'Data entry Wiesensee'!U37</f>
        <v>93112.573999999993</v>
      </c>
      <c r="J37" s="39">
        <f>'Data entry Wiesensee'!X37</f>
        <v>76352.3514</v>
      </c>
      <c r="K37" s="39">
        <f>'Data entry Wiesensee'!AA37</f>
        <v>124510.5116</v>
      </c>
      <c r="L37" s="39">
        <f>'Data entry Wiesensee'!AD37</f>
        <v>178432.16029999999</v>
      </c>
      <c r="M37" s="39">
        <f>'Data entry Wiesensee'!AG37</f>
        <v>98165.660799999998</v>
      </c>
      <c r="N37" s="39">
        <f>'Data entry Wiesensee'!AJ37</f>
        <v>107169.9523</v>
      </c>
      <c r="O37" s="39">
        <f>'Data entry Wiesensee'!AM37</f>
        <v>64453.6976</v>
      </c>
    </row>
    <row r="38" spans="2:15" x14ac:dyDescent="0.15">
      <c r="B38" s="40"/>
      <c r="C38" s="39">
        <f>'Data entry Wiesensee'!C38</f>
        <v>0</v>
      </c>
      <c r="D38" s="39">
        <f>'Data entry Wiesensee'!F38</f>
        <v>0</v>
      </c>
      <c r="E38" s="39">
        <f>'Data entry Wiesensee'!I38</f>
        <v>0</v>
      </c>
      <c r="F38" s="39">
        <f>'Data entry Wiesensee'!L38</f>
        <v>0</v>
      </c>
      <c r="G38" s="39">
        <f>'Data entry Wiesensee'!O38</f>
        <v>0</v>
      </c>
      <c r="H38" s="39">
        <f>'Data entry Wiesensee'!R38</f>
        <v>0</v>
      </c>
      <c r="I38" s="39">
        <f>'Data entry Wiesensee'!U38</f>
        <v>0</v>
      </c>
      <c r="J38" s="39">
        <f>'Data entry Wiesensee'!X38</f>
        <v>0</v>
      </c>
      <c r="K38" s="39">
        <f>'Data entry Wiesensee'!AA38</f>
        <v>0</v>
      </c>
      <c r="L38" s="39">
        <f>'Data entry Wiesensee'!AD38</f>
        <v>0</v>
      </c>
      <c r="M38" s="39">
        <f>'Data entry Wiesensee'!AG38</f>
        <v>0</v>
      </c>
      <c r="N38" s="39">
        <f>'Data entry Wiesensee'!AJ38</f>
        <v>0</v>
      </c>
      <c r="O38" s="39">
        <f>'Data entry Wiesensee'!AM38</f>
        <v>0</v>
      </c>
    </row>
    <row r="39" spans="2:15" ht="14" x14ac:dyDescent="0.15">
      <c r="B39" s="44" t="s">
        <v>42</v>
      </c>
      <c r="C39" s="39">
        <f>'Data entry Wiesensee'!C39</f>
        <v>0</v>
      </c>
      <c r="D39" s="39">
        <f>'Data entry Wiesensee'!F39</f>
        <v>0</v>
      </c>
      <c r="E39" s="39">
        <f>'Data entry Wiesensee'!I39</f>
        <v>0</v>
      </c>
      <c r="F39" s="39">
        <f>'Data entry Wiesensee'!L39</f>
        <v>0</v>
      </c>
      <c r="G39" s="39">
        <f>'Data entry Wiesensee'!O39</f>
        <v>0</v>
      </c>
      <c r="H39" s="39">
        <f>'Data entry Wiesensee'!R39</f>
        <v>0</v>
      </c>
      <c r="I39" s="39">
        <f>'Data entry Wiesensee'!U39</f>
        <v>0</v>
      </c>
      <c r="J39" s="39">
        <f>'Data entry Wiesensee'!X39</f>
        <v>0</v>
      </c>
      <c r="K39" s="39">
        <f>'Data entry Wiesensee'!AA39</f>
        <v>0</v>
      </c>
      <c r="L39" s="39">
        <f>'Data entry Wiesensee'!AD39</f>
        <v>0</v>
      </c>
      <c r="M39" s="39">
        <f>'Data entry Wiesensee'!AG39</f>
        <v>0</v>
      </c>
      <c r="N39" s="39">
        <f>'Data entry Wiesensee'!AJ39</f>
        <v>0</v>
      </c>
      <c r="O39" s="39">
        <f>'Data entry Wiesensee'!AM39</f>
        <v>0</v>
      </c>
    </row>
    <row r="40" spans="2:15" ht="14" x14ac:dyDescent="0.15">
      <c r="B40" s="38" t="s">
        <v>43</v>
      </c>
      <c r="C40" s="39">
        <f>'Data entry Wiesensee'!C40</f>
        <v>1529704.26</v>
      </c>
      <c r="D40" s="39">
        <f>'Data entry Wiesensee'!F40</f>
        <v>70926.64</v>
      </c>
      <c r="E40" s="39">
        <f>'Data entry Wiesensee'!I40</f>
        <v>80100.960000000006</v>
      </c>
      <c r="F40" s="39">
        <f>'Data entry Wiesensee'!L40</f>
        <v>140668.17000000001</v>
      </c>
      <c r="G40" s="39">
        <f>'Data entry Wiesensee'!O40</f>
        <v>64680.59</v>
      </c>
      <c r="H40" s="39">
        <f>'Data entry Wiesensee'!R40</f>
        <v>146528.29999999999</v>
      </c>
      <c r="I40" s="39">
        <f>'Data entry Wiesensee'!U40</f>
        <v>150768.6</v>
      </c>
      <c r="J40" s="39">
        <f>'Data entry Wiesensee'!X40</f>
        <v>140054</v>
      </c>
      <c r="K40" s="39">
        <f>'Data entry Wiesensee'!AA40</f>
        <v>192452.5</v>
      </c>
      <c r="L40" s="39">
        <f>'Data entry Wiesensee'!AD40</f>
        <v>231822</v>
      </c>
      <c r="M40" s="39">
        <f>'Data entry Wiesensee'!AG40</f>
        <v>136506.5</v>
      </c>
      <c r="N40" s="39">
        <f>'Data entry Wiesensee'!AJ40</f>
        <v>106976</v>
      </c>
      <c r="O40" s="39">
        <f>'Data entry Wiesensee'!AM40</f>
        <v>68220</v>
      </c>
    </row>
    <row r="41" spans="2:15" ht="14" x14ac:dyDescent="0.15">
      <c r="B41" s="38" t="s">
        <v>44</v>
      </c>
      <c r="C41" s="39">
        <f>'Data entry Wiesensee'!C41</f>
        <v>657660.66480000003</v>
      </c>
      <c r="D41" s="39">
        <f>'Data entry Wiesensee'!F41</f>
        <v>25419.67</v>
      </c>
      <c r="E41" s="39">
        <f>'Data entry Wiesensee'!I41</f>
        <v>34839.94</v>
      </c>
      <c r="F41" s="39">
        <f>'Data entry Wiesensee'!L41</f>
        <v>57062.47</v>
      </c>
      <c r="G41" s="39">
        <f>'Data entry Wiesensee'!O41</f>
        <v>28071.43</v>
      </c>
      <c r="H41" s="39">
        <f>'Data entry Wiesensee'!R41</f>
        <v>68468.039600000004</v>
      </c>
      <c r="I41" s="39">
        <f>'Data entry Wiesensee'!U41</f>
        <v>80929.943199999994</v>
      </c>
      <c r="J41" s="39">
        <f>'Data entry Wiesensee'!X41</f>
        <v>71801.047999999995</v>
      </c>
      <c r="K41" s="39">
        <f>'Data entry Wiesensee'!AA41</f>
        <v>87398.21</v>
      </c>
      <c r="L41" s="39">
        <f>'Data entry Wiesensee'!AD41</f>
        <v>95176.664000000004</v>
      </c>
      <c r="M41" s="39">
        <f>'Data entry Wiesensee'!AG41</f>
        <v>51569.618000000002</v>
      </c>
      <c r="N41" s="39">
        <f>'Data entry Wiesensee'!AJ41</f>
        <v>34378.752</v>
      </c>
      <c r="O41" s="39">
        <f>'Data entry Wiesensee'!AM41</f>
        <v>22544.880000000001</v>
      </c>
    </row>
    <row r="42" spans="2:15" ht="14" x14ac:dyDescent="0.15">
      <c r="B42" s="38" t="s">
        <v>45</v>
      </c>
      <c r="C42" s="39">
        <f>'Data entry Wiesensee'!C42</f>
        <v>261134.34</v>
      </c>
      <c r="D42" s="39">
        <f>'Data entry Wiesensee'!F42</f>
        <v>13276.09</v>
      </c>
      <c r="E42" s="39">
        <f>'Data entry Wiesensee'!I42</f>
        <v>18643.7</v>
      </c>
      <c r="F42" s="39">
        <f>'Data entry Wiesensee'!L42</f>
        <v>34843.730000000003</v>
      </c>
      <c r="G42" s="39">
        <f>'Data entry Wiesensee'!O42</f>
        <v>6370.82</v>
      </c>
      <c r="H42" s="39">
        <f>'Data entry Wiesensee'!R42</f>
        <v>17200</v>
      </c>
      <c r="I42" s="39">
        <f>'Data entry Wiesensee'!U42</f>
        <v>34500</v>
      </c>
      <c r="J42" s="39">
        <f>'Data entry Wiesensee'!X42</f>
        <v>12500</v>
      </c>
      <c r="K42" s="39">
        <f>'Data entry Wiesensee'!AA42</f>
        <v>24800</v>
      </c>
      <c r="L42" s="39">
        <f>'Data entry Wiesensee'!AD42</f>
        <v>46500</v>
      </c>
      <c r="M42" s="39">
        <f>'Data entry Wiesensee'!AG42</f>
        <v>22500</v>
      </c>
      <c r="N42" s="39">
        <f>'Data entry Wiesensee'!AJ42</f>
        <v>18500</v>
      </c>
      <c r="O42" s="39">
        <f>'Data entry Wiesensee'!AM42</f>
        <v>11500</v>
      </c>
    </row>
    <row r="43" spans="2:15" ht="14" x14ac:dyDescent="0.15">
      <c r="B43" s="42" t="s">
        <v>36</v>
      </c>
      <c r="C43" s="39">
        <f>'Data entry Wiesensee'!C43</f>
        <v>2448499.2648</v>
      </c>
      <c r="D43" s="39">
        <f>'Data entry Wiesensee'!F43</f>
        <v>109622.39999999999</v>
      </c>
      <c r="E43" s="39">
        <f>'Data entry Wiesensee'!I43</f>
        <v>133584.6</v>
      </c>
      <c r="F43" s="39">
        <f>'Data entry Wiesensee'!L43</f>
        <v>232574.37</v>
      </c>
      <c r="G43" s="39">
        <f>'Data entry Wiesensee'!O43</f>
        <v>99122.84</v>
      </c>
      <c r="H43" s="39">
        <f>'Data entry Wiesensee'!R43</f>
        <v>232196.33960000001</v>
      </c>
      <c r="I43" s="39">
        <f>'Data entry Wiesensee'!U43</f>
        <v>266198.54320000001</v>
      </c>
      <c r="J43" s="39">
        <f>'Data entry Wiesensee'!X43</f>
        <v>224355.04800000001</v>
      </c>
      <c r="K43" s="39">
        <f>'Data entry Wiesensee'!AA43</f>
        <v>304650.71000000002</v>
      </c>
      <c r="L43" s="39">
        <f>'Data entry Wiesensee'!AD43</f>
        <v>373498.66399999999</v>
      </c>
      <c r="M43" s="39">
        <f>'Data entry Wiesensee'!AG43</f>
        <v>210576.11799999999</v>
      </c>
      <c r="N43" s="39">
        <f>'Data entry Wiesensee'!AJ43</f>
        <v>159854.75200000001</v>
      </c>
      <c r="O43" s="39">
        <f>'Data entry Wiesensee'!AM43</f>
        <v>102264.88</v>
      </c>
    </row>
    <row r="44" spans="2:15" ht="14" x14ac:dyDescent="0.15">
      <c r="B44" s="38" t="s">
        <v>46</v>
      </c>
      <c r="C44" s="39">
        <f>'Data entry Wiesensee'!C44</f>
        <v>464226.79100000003</v>
      </c>
      <c r="D44" s="39">
        <f>'Data entry Wiesensee'!F44</f>
        <v>28669.599999999999</v>
      </c>
      <c r="E44" s="39">
        <f>'Data entry Wiesensee'!I44</f>
        <v>43146.04</v>
      </c>
      <c r="F44" s="39">
        <f>'Data entry Wiesensee'!L44</f>
        <v>40647.769999999997</v>
      </c>
      <c r="G44" s="39">
        <f>'Data entry Wiesensee'!O44</f>
        <v>19031.04</v>
      </c>
      <c r="H44" s="39">
        <f>'Data entry Wiesensee'!R44</f>
        <v>41551.756999999998</v>
      </c>
      <c r="I44" s="39">
        <f>'Data entry Wiesensee'!U44</f>
        <v>42243.644</v>
      </c>
      <c r="J44" s="39">
        <f>'Data entry Wiesensee'!X44</f>
        <v>39191.660000000003</v>
      </c>
      <c r="K44" s="39">
        <f>'Data entry Wiesensee'!AA44</f>
        <v>54154.175000000003</v>
      </c>
      <c r="L44" s="39">
        <f>'Data entry Wiesensee'!AD44</f>
        <v>66105.38</v>
      </c>
      <c r="M44" s="39">
        <f>'Data entry Wiesensee'!AG44</f>
        <v>39088.885000000002</v>
      </c>
      <c r="N44" s="39">
        <f>'Data entry Wiesensee'!AJ44</f>
        <v>30736.04</v>
      </c>
      <c r="O44" s="39">
        <f>'Data entry Wiesensee'!AM44</f>
        <v>19660.8</v>
      </c>
    </row>
    <row r="45" spans="2:15" ht="14" x14ac:dyDescent="0.15">
      <c r="B45" s="38" t="s">
        <v>47</v>
      </c>
      <c r="C45" s="39">
        <f>'Data entry Wiesensee'!C45</f>
        <v>126973.1452</v>
      </c>
      <c r="D45" s="39">
        <f>'Data entry Wiesensee'!F45</f>
        <v>5976.16</v>
      </c>
      <c r="E45" s="39">
        <f>'Data entry Wiesensee'!I45</f>
        <v>9057.89</v>
      </c>
      <c r="F45" s="39">
        <f>'Data entry Wiesensee'!L45</f>
        <v>9886.9699999999993</v>
      </c>
      <c r="G45" s="39">
        <f>'Data entry Wiesensee'!O45</f>
        <v>8355.49</v>
      </c>
      <c r="H45" s="39">
        <f>'Data entry Wiesensee'!R45</f>
        <v>12761.8104</v>
      </c>
      <c r="I45" s="39">
        <f>'Data entry Wiesensee'!U45</f>
        <v>14835.3568</v>
      </c>
      <c r="J45" s="39">
        <f>'Data entry Wiesensee'!X45</f>
        <v>13284.102000000001</v>
      </c>
      <c r="K45" s="39">
        <f>'Data entry Wiesensee'!AA45</f>
        <v>15946.965</v>
      </c>
      <c r="L45" s="39">
        <f>'Data entry Wiesensee'!AD45</f>
        <v>17213.736000000001</v>
      </c>
      <c r="M45" s="39">
        <f>'Data entry Wiesensee'!AG45</f>
        <v>9432.7369999999992</v>
      </c>
      <c r="N45" s="39">
        <f>'Data entry Wiesensee'!AJ45</f>
        <v>6131.1279999999997</v>
      </c>
      <c r="O45" s="39">
        <f>'Data entry Wiesensee'!AM45</f>
        <v>4090.8</v>
      </c>
    </row>
    <row r="46" spans="2:15" ht="14" x14ac:dyDescent="0.15">
      <c r="B46" s="38" t="s">
        <v>48</v>
      </c>
      <c r="C46" s="39">
        <f>'Data entry Wiesensee'!C46</f>
        <v>7687.37</v>
      </c>
      <c r="D46" s="39">
        <f>'Data entry Wiesensee'!F46</f>
        <v>142.74</v>
      </c>
      <c r="E46" s="39">
        <f>'Data entry Wiesensee'!I46</f>
        <v>831.47</v>
      </c>
      <c r="F46" s="39">
        <f>'Data entry Wiesensee'!L46</f>
        <v>559.84</v>
      </c>
      <c r="G46" s="39">
        <f>'Data entry Wiesensee'!O46</f>
        <v>683.32</v>
      </c>
      <c r="H46" s="39">
        <f>'Data entry Wiesensee'!R46</f>
        <v>947</v>
      </c>
      <c r="I46" s="39">
        <f>'Data entry Wiesensee'!U46</f>
        <v>-160</v>
      </c>
      <c r="J46" s="39">
        <f>'Data entry Wiesensee'!X46</f>
        <v>940</v>
      </c>
      <c r="K46" s="39">
        <f>'Data entry Wiesensee'!AA46</f>
        <v>993</v>
      </c>
      <c r="L46" s="39">
        <f>'Data entry Wiesensee'!AD46</f>
        <v>-160</v>
      </c>
      <c r="M46" s="39">
        <f>'Data entry Wiesensee'!AG46</f>
        <v>1010</v>
      </c>
      <c r="N46" s="39">
        <f>'Data entry Wiesensee'!AJ46</f>
        <v>970</v>
      </c>
      <c r="O46" s="39">
        <f>'Data entry Wiesensee'!AM46</f>
        <v>930</v>
      </c>
    </row>
    <row r="47" spans="2:15" ht="14" x14ac:dyDescent="0.15">
      <c r="B47" s="42" t="s">
        <v>49</v>
      </c>
      <c r="C47" s="39">
        <f>'Data entry Wiesensee'!C47</f>
        <v>598887.30619999999</v>
      </c>
      <c r="D47" s="39">
        <f>'Data entry Wiesensee'!F47</f>
        <v>34788.5</v>
      </c>
      <c r="E47" s="39">
        <f>'Data entry Wiesensee'!I47</f>
        <v>53035.4</v>
      </c>
      <c r="F47" s="39">
        <f>'Data entry Wiesensee'!L47</f>
        <v>51094.58</v>
      </c>
      <c r="G47" s="39">
        <f>'Data entry Wiesensee'!O47</f>
        <v>28069.85</v>
      </c>
      <c r="H47" s="39">
        <f>'Data entry Wiesensee'!R47</f>
        <v>55260.5674</v>
      </c>
      <c r="I47" s="39">
        <f>'Data entry Wiesensee'!U47</f>
        <v>56919.000800000002</v>
      </c>
      <c r="J47" s="39">
        <f>'Data entry Wiesensee'!X47</f>
        <v>53415.762000000002</v>
      </c>
      <c r="K47" s="39">
        <f>'Data entry Wiesensee'!AA47</f>
        <v>71094.14</v>
      </c>
      <c r="L47" s="39">
        <f>'Data entry Wiesensee'!AD47</f>
        <v>83159.115999999995</v>
      </c>
      <c r="M47" s="39">
        <f>'Data entry Wiesensee'!AG47</f>
        <v>49531.622000000003</v>
      </c>
      <c r="N47" s="39">
        <f>'Data entry Wiesensee'!AJ47</f>
        <v>37837.167999999998</v>
      </c>
      <c r="O47" s="39">
        <f>'Data entry Wiesensee'!AM47</f>
        <v>24681.599999999999</v>
      </c>
    </row>
    <row r="48" spans="2:15" ht="14" x14ac:dyDescent="0.15">
      <c r="B48" s="38" t="s">
        <v>22</v>
      </c>
      <c r="C48" s="39">
        <f>'Data entry Wiesensee'!C48</f>
        <v>1195695.2089</v>
      </c>
      <c r="D48" s="39">
        <f>'Data entry Wiesensee'!F48</f>
        <v>95956.93</v>
      </c>
      <c r="E48" s="39">
        <f>'Data entry Wiesensee'!I48</f>
        <v>79280.13</v>
      </c>
      <c r="F48" s="39">
        <f>'Data entry Wiesensee'!L48</f>
        <v>78319.72</v>
      </c>
      <c r="G48" s="39">
        <f>'Data entry Wiesensee'!O48</f>
        <v>100422.39999999999</v>
      </c>
      <c r="H48" s="39">
        <f>'Data entry Wiesensee'!R48</f>
        <v>107972.2552</v>
      </c>
      <c r="I48" s="39">
        <f>'Data entry Wiesensee'!U48</f>
        <v>107039.56600000001</v>
      </c>
      <c r="J48" s="39">
        <f>'Data entry Wiesensee'!X48</f>
        <v>99713.936199999996</v>
      </c>
      <c r="K48" s="39">
        <f>'Data entry Wiesensee'!AA48</f>
        <v>107572.4522</v>
      </c>
      <c r="L48" s="39">
        <f>'Data entry Wiesensee'!AD48</f>
        <v>108535.36500000001</v>
      </c>
      <c r="M48" s="39">
        <f>'Data entry Wiesensee'!AG48</f>
        <v>103527.7007</v>
      </c>
      <c r="N48" s="39">
        <f>'Data entry Wiesensee'!AJ48</f>
        <v>106637.9194</v>
      </c>
      <c r="O48" s="39">
        <f>'Data entry Wiesensee'!AM48</f>
        <v>100716.8342</v>
      </c>
    </row>
    <row r="49" spans="2:15" ht="14" x14ac:dyDescent="0.15">
      <c r="B49" s="38" t="s">
        <v>40</v>
      </c>
      <c r="C49" s="39">
        <f>'Data entry Wiesensee'!C49</f>
        <v>95636.357000000004</v>
      </c>
      <c r="D49" s="39">
        <f>'Data entry Wiesensee'!F49</f>
        <v>4048.85</v>
      </c>
      <c r="E49" s="39">
        <f>'Data entry Wiesensee'!I49</f>
        <v>6912.73</v>
      </c>
      <c r="F49" s="39">
        <f>'Data entry Wiesensee'!L49</f>
        <v>8898.5400000000009</v>
      </c>
      <c r="G49" s="39">
        <f>'Data entry Wiesensee'!O49</f>
        <v>2457.1999999999998</v>
      </c>
      <c r="H49" s="39">
        <f>'Data entry Wiesensee'!R49</f>
        <v>7874.4489999999996</v>
      </c>
      <c r="I49" s="39">
        <f>'Data entry Wiesensee'!U49</f>
        <v>11553.558000000001</v>
      </c>
      <c r="J49" s="39">
        <f>'Data entry Wiesensee'!X49</f>
        <v>8569.6200000000008</v>
      </c>
      <c r="K49" s="39">
        <f>'Data entry Wiesensee'!AA49</f>
        <v>11981.275</v>
      </c>
      <c r="L49" s="39">
        <f>'Data entry Wiesensee'!AD49</f>
        <v>11313.66</v>
      </c>
      <c r="M49" s="39">
        <f>'Data entry Wiesensee'!AG49</f>
        <v>11058.995000000001</v>
      </c>
      <c r="N49" s="39">
        <f>'Data entry Wiesensee'!AJ49</f>
        <v>5922.08</v>
      </c>
      <c r="O49" s="39">
        <f>'Data entry Wiesensee'!AM49</f>
        <v>5045.3999999999996</v>
      </c>
    </row>
    <row r="50" spans="2:15" ht="14" x14ac:dyDescent="0.15">
      <c r="B50" s="42" t="s">
        <v>41</v>
      </c>
      <c r="C50" s="39">
        <f>'Data entry Wiesensee'!C50</f>
        <v>558280.39269999997</v>
      </c>
      <c r="D50" s="39">
        <f>'Data entry Wiesensee'!F50</f>
        <v>-25171.88</v>
      </c>
      <c r="E50" s="39">
        <f>'Data entry Wiesensee'!I50</f>
        <v>-5643.66</v>
      </c>
      <c r="F50" s="39">
        <f>'Data entry Wiesensee'!L50</f>
        <v>94261.53</v>
      </c>
      <c r="G50" s="39">
        <f>'Data entry Wiesensee'!O50</f>
        <v>-31826.61</v>
      </c>
      <c r="H50" s="39">
        <f>'Data entry Wiesensee'!R50</f>
        <v>61089.067999999999</v>
      </c>
      <c r="I50" s="39">
        <f>'Data entry Wiesensee'!U50</f>
        <v>90686.418399999995</v>
      </c>
      <c r="J50" s="39">
        <f>'Data entry Wiesensee'!X50</f>
        <v>62655.729800000001</v>
      </c>
      <c r="K50" s="39">
        <f>'Data entry Wiesensee'!AA50</f>
        <v>114002.8428</v>
      </c>
      <c r="L50" s="39">
        <f>'Data entry Wiesensee'!AD50</f>
        <v>170490.52299999999</v>
      </c>
      <c r="M50" s="39">
        <f>'Data entry Wiesensee'!AG50</f>
        <v>46457.800300000003</v>
      </c>
      <c r="N50" s="39">
        <f>'Data entry Wiesensee'!AJ50</f>
        <v>9457.5846000000001</v>
      </c>
      <c r="O50" s="39">
        <f>'Data entry Wiesensee'!AM50</f>
        <v>-28178.9542</v>
      </c>
    </row>
    <row r="51" spans="2:15" x14ac:dyDescent="0.15">
      <c r="B51" s="40"/>
      <c r="C51" s="39">
        <f>'Data entry Wiesensee'!C51</f>
        <v>0</v>
      </c>
      <c r="D51" s="39">
        <f>'Data entry Wiesensee'!F51</f>
        <v>0</v>
      </c>
      <c r="E51" s="39">
        <f>'Data entry Wiesensee'!I51</f>
        <v>0</v>
      </c>
      <c r="F51" s="39">
        <f>'Data entry Wiesensee'!L51</f>
        <v>0</v>
      </c>
      <c r="G51" s="39">
        <f>'Data entry Wiesensee'!O51</f>
        <v>0</v>
      </c>
      <c r="H51" s="39">
        <f>'Data entry Wiesensee'!R51</f>
        <v>0</v>
      </c>
      <c r="I51" s="39">
        <f>'Data entry Wiesensee'!U51</f>
        <v>0</v>
      </c>
      <c r="J51" s="39">
        <f>'Data entry Wiesensee'!X51</f>
        <v>0</v>
      </c>
      <c r="K51" s="39">
        <f>'Data entry Wiesensee'!AA51</f>
        <v>0</v>
      </c>
      <c r="L51" s="39">
        <f>'Data entry Wiesensee'!AD51</f>
        <v>0</v>
      </c>
      <c r="M51" s="39">
        <f>'Data entry Wiesensee'!AG51</f>
        <v>0</v>
      </c>
      <c r="N51" s="39">
        <f>'Data entry Wiesensee'!AJ51</f>
        <v>0</v>
      </c>
      <c r="O51" s="39">
        <f>'Data entry Wiesensee'!AM51</f>
        <v>0</v>
      </c>
    </row>
    <row r="52" spans="2:15" ht="14" x14ac:dyDescent="0.15">
      <c r="B52" s="44" t="s">
        <v>50</v>
      </c>
      <c r="C52" s="39">
        <f>'Data entry Wiesensee'!C52</f>
        <v>0</v>
      </c>
      <c r="D52" s="39">
        <f>'Data entry Wiesensee'!F52</f>
        <v>0</v>
      </c>
      <c r="E52" s="39">
        <f>'Data entry Wiesensee'!I52</f>
        <v>0</v>
      </c>
      <c r="F52" s="39">
        <f>'Data entry Wiesensee'!L52</f>
        <v>0</v>
      </c>
      <c r="G52" s="39">
        <f>'Data entry Wiesensee'!O52</f>
        <v>0</v>
      </c>
      <c r="H52" s="39">
        <f>'Data entry Wiesensee'!R52</f>
        <v>0</v>
      </c>
      <c r="I52" s="39">
        <f>'Data entry Wiesensee'!U52</f>
        <v>0</v>
      </c>
      <c r="J52" s="39">
        <f>'Data entry Wiesensee'!X52</f>
        <v>0</v>
      </c>
      <c r="K52" s="39">
        <f>'Data entry Wiesensee'!AA52</f>
        <v>0</v>
      </c>
      <c r="L52" s="39">
        <f>'Data entry Wiesensee'!AD52</f>
        <v>0</v>
      </c>
      <c r="M52" s="39">
        <f>'Data entry Wiesensee'!AG52</f>
        <v>0</v>
      </c>
      <c r="N52" s="39">
        <f>'Data entry Wiesensee'!AJ52</f>
        <v>0</v>
      </c>
      <c r="O52" s="39">
        <f>'Data entry Wiesensee'!AM52</f>
        <v>0</v>
      </c>
    </row>
    <row r="53" spans="2:15" ht="14" x14ac:dyDescent="0.15">
      <c r="B53" s="38" t="s">
        <v>37</v>
      </c>
      <c r="C53" s="39">
        <f>'Data entry Wiesensee'!C53</f>
        <v>1028963.35</v>
      </c>
      <c r="D53" s="39">
        <f>'Data entry Wiesensee'!F53</f>
        <v>55075.27</v>
      </c>
      <c r="E53" s="39">
        <f>'Data entry Wiesensee'!I53</f>
        <v>55914.77</v>
      </c>
      <c r="F53" s="39">
        <f>'Data entry Wiesensee'!L53</f>
        <v>56416.44</v>
      </c>
      <c r="G53" s="39">
        <f>'Data entry Wiesensee'!O53</f>
        <v>75116.87</v>
      </c>
      <c r="H53" s="39">
        <f>'Data entry Wiesensee'!R53</f>
        <v>118100</v>
      </c>
      <c r="I53" s="39">
        <f>'Data entry Wiesensee'!U53</f>
        <v>121200</v>
      </c>
      <c r="J53" s="39">
        <f>'Data entry Wiesensee'!X53</f>
        <v>125500</v>
      </c>
      <c r="K53" s="39">
        <f>'Data entry Wiesensee'!AA53</f>
        <v>113100</v>
      </c>
      <c r="L53" s="39">
        <f>'Data entry Wiesensee'!AD53</f>
        <v>106300</v>
      </c>
      <c r="M53" s="39">
        <f>'Data entry Wiesensee'!AG53</f>
        <v>82940</v>
      </c>
      <c r="N53" s="39">
        <f>'Data entry Wiesensee'!AJ53</f>
        <v>61050</v>
      </c>
      <c r="O53" s="39">
        <f>'Data entry Wiesensee'!AM53</f>
        <v>58250</v>
      </c>
    </row>
    <row r="54" spans="2:15" ht="14" x14ac:dyDescent="0.15">
      <c r="B54" s="38" t="s">
        <v>49</v>
      </c>
      <c r="C54" s="39">
        <f>'Data entry Wiesensee'!C54</f>
        <v>168761.73</v>
      </c>
      <c r="D54" s="39">
        <f>'Data entry Wiesensee'!F54</f>
        <v>0</v>
      </c>
      <c r="E54" s="39">
        <f>'Data entry Wiesensee'!I54</f>
        <v>24884.26</v>
      </c>
      <c r="F54" s="39">
        <f>'Data entry Wiesensee'!L54</f>
        <v>25149.759999999998</v>
      </c>
      <c r="G54" s="39">
        <f>'Data entry Wiesensee'!O54</f>
        <v>10578.21</v>
      </c>
      <c r="H54" s="39">
        <f>'Data entry Wiesensee'!R54</f>
        <v>18845</v>
      </c>
      <c r="I54" s="39">
        <f>'Data entry Wiesensee'!U54</f>
        <v>21727</v>
      </c>
      <c r="J54" s="39">
        <f>'Data entry Wiesensee'!X54</f>
        <v>17077</v>
      </c>
      <c r="K54" s="39">
        <f>'Data entry Wiesensee'!AA54</f>
        <v>13225.5</v>
      </c>
      <c r="L54" s="39">
        <f>'Data entry Wiesensee'!AD54</f>
        <v>16922.5</v>
      </c>
      <c r="M54" s="39">
        <f>'Data entry Wiesensee'!AG54</f>
        <v>15145</v>
      </c>
      <c r="N54" s="39">
        <f>'Data entry Wiesensee'!AJ54</f>
        <v>2622.5</v>
      </c>
      <c r="O54" s="39">
        <f>'Data entry Wiesensee'!AM54</f>
        <v>2585</v>
      </c>
    </row>
    <row r="55" spans="2:15" ht="14" x14ac:dyDescent="0.15">
      <c r="B55" s="38" t="s">
        <v>22</v>
      </c>
      <c r="C55" s="39">
        <f>'Data entry Wiesensee'!C55</f>
        <v>599152.54099999997</v>
      </c>
      <c r="D55" s="39">
        <f>'Data entry Wiesensee'!F55</f>
        <v>34645.97</v>
      </c>
      <c r="E55" s="39">
        <f>'Data entry Wiesensee'!I55</f>
        <v>42438.43</v>
      </c>
      <c r="F55" s="39">
        <f>'Data entry Wiesensee'!L55</f>
        <v>38856.93</v>
      </c>
      <c r="G55" s="39">
        <f>'Data entry Wiesensee'!O55</f>
        <v>49828.45</v>
      </c>
      <c r="H55" s="39">
        <f>'Data entry Wiesensee'!R55</f>
        <v>59911.189200000001</v>
      </c>
      <c r="I55" s="39">
        <f>'Data entry Wiesensee'!U55</f>
        <v>60459.207999999999</v>
      </c>
      <c r="J55" s="39">
        <f>'Data entry Wiesensee'!X55</f>
        <v>55553.932500000003</v>
      </c>
      <c r="K55" s="39">
        <f>'Data entry Wiesensee'!AA55</f>
        <v>57810.400199999996</v>
      </c>
      <c r="L55" s="39">
        <f>'Data entry Wiesensee'!AD55</f>
        <v>56712.7304</v>
      </c>
      <c r="M55" s="39">
        <f>'Data entry Wiesensee'!AG55</f>
        <v>56933.012000000002</v>
      </c>
      <c r="N55" s="39">
        <f>'Data entry Wiesensee'!AJ55</f>
        <v>44637.749900000003</v>
      </c>
      <c r="O55" s="39">
        <f>'Data entry Wiesensee'!AM55</f>
        <v>41364.538800000002</v>
      </c>
    </row>
    <row r="56" spans="2:15" ht="14" x14ac:dyDescent="0.15">
      <c r="B56" s="38" t="s">
        <v>40</v>
      </c>
      <c r="C56" s="39">
        <f>'Data entry Wiesensee'!C56</f>
        <v>165324.63</v>
      </c>
      <c r="D56" s="39">
        <f>'Data entry Wiesensee'!F56</f>
        <v>1478.64</v>
      </c>
      <c r="E56" s="39">
        <f>'Data entry Wiesensee'!I56</f>
        <v>2289.3200000000002</v>
      </c>
      <c r="F56" s="39">
        <f>'Data entry Wiesensee'!L56</f>
        <v>14540.56</v>
      </c>
      <c r="G56" s="39">
        <f>'Data entry Wiesensee'!O56</f>
        <v>18520.11</v>
      </c>
      <c r="H56" s="39">
        <f>'Data entry Wiesensee'!R56</f>
        <v>20200</v>
      </c>
      <c r="I56" s="39">
        <f>'Data entry Wiesensee'!U56</f>
        <v>22550</v>
      </c>
      <c r="J56" s="39">
        <f>'Data entry Wiesensee'!X56</f>
        <v>18923</v>
      </c>
      <c r="K56" s="39">
        <f>'Data entry Wiesensee'!AA56</f>
        <v>15350</v>
      </c>
      <c r="L56" s="39">
        <f>'Data entry Wiesensee'!AD56</f>
        <v>19100</v>
      </c>
      <c r="M56" s="39">
        <f>'Data entry Wiesensee'!AG56</f>
        <v>13650</v>
      </c>
      <c r="N56" s="39">
        <f>'Data entry Wiesensee'!AJ56</f>
        <v>12000</v>
      </c>
      <c r="O56" s="39">
        <f>'Data entry Wiesensee'!AM56</f>
        <v>6723</v>
      </c>
    </row>
    <row r="57" spans="2:15" ht="14" x14ac:dyDescent="0.15">
      <c r="B57" s="42" t="s">
        <v>41</v>
      </c>
      <c r="C57" s="39">
        <f>'Data entry Wiesensee'!C57</f>
        <v>95724.448999999993</v>
      </c>
      <c r="D57" s="39">
        <f>'Data entry Wiesensee'!F57</f>
        <v>18950.66</v>
      </c>
      <c r="E57" s="39">
        <f>'Data entry Wiesensee'!I57</f>
        <v>-13697.24</v>
      </c>
      <c r="F57" s="39">
        <f>'Data entry Wiesensee'!L57</f>
        <v>-22130.81</v>
      </c>
      <c r="G57" s="39">
        <f>'Data entry Wiesensee'!O57</f>
        <v>-3809.9</v>
      </c>
      <c r="H57" s="39">
        <f>'Data entry Wiesensee'!R57</f>
        <v>19143.810799999999</v>
      </c>
      <c r="I57" s="39">
        <f>'Data entry Wiesensee'!U57</f>
        <v>16463.792000000001</v>
      </c>
      <c r="J57" s="39">
        <f>'Data entry Wiesensee'!X57</f>
        <v>33946.067499999997</v>
      </c>
      <c r="K57" s="39">
        <f>'Data entry Wiesensee'!AA57</f>
        <v>26714.0998</v>
      </c>
      <c r="L57" s="39">
        <f>'Data entry Wiesensee'!AD57</f>
        <v>13564.7696</v>
      </c>
      <c r="M57" s="39">
        <f>'Data entry Wiesensee'!AG57</f>
        <v>-2788.0120000000002</v>
      </c>
      <c r="N57" s="39">
        <f>'Data entry Wiesensee'!AJ57</f>
        <v>1789.7501</v>
      </c>
      <c r="O57" s="39">
        <f>'Data entry Wiesensee'!AM57</f>
        <v>7577.4611999999997</v>
      </c>
    </row>
    <row r="58" spans="2:15" x14ac:dyDescent="0.15">
      <c r="B58" s="40"/>
      <c r="C58" s="39">
        <f>'Data entry Wiesensee'!C58</f>
        <v>0</v>
      </c>
      <c r="D58" s="39">
        <f>'Data entry Wiesensee'!F58</f>
        <v>0</v>
      </c>
      <c r="E58" s="39">
        <f>'Data entry Wiesensee'!I58</f>
        <v>0</v>
      </c>
      <c r="F58" s="39">
        <f>'Data entry Wiesensee'!L58</f>
        <v>0</v>
      </c>
      <c r="G58" s="39">
        <f>'Data entry Wiesensee'!O58</f>
        <v>0</v>
      </c>
      <c r="H58" s="39">
        <f>'Data entry Wiesensee'!R58</f>
        <v>0</v>
      </c>
      <c r="I58" s="39">
        <f>'Data entry Wiesensee'!U58</f>
        <v>0</v>
      </c>
      <c r="J58" s="39">
        <f>'Data entry Wiesensee'!X58</f>
        <v>0</v>
      </c>
      <c r="K58" s="39">
        <f>'Data entry Wiesensee'!AA58</f>
        <v>0</v>
      </c>
      <c r="L58" s="39">
        <f>'Data entry Wiesensee'!AD58</f>
        <v>0</v>
      </c>
      <c r="M58" s="39">
        <f>'Data entry Wiesensee'!AG58</f>
        <v>0</v>
      </c>
      <c r="N58" s="39">
        <f>'Data entry Wiesensee'!AJ58</f>
        <v>0</v>
      </c>
      <c r="O58" s="39">
        <f>'Data entry Wiesensee'!AM58</f>
        <v>0</v>
      </c>
    </row>
    <row r="59" spans="2:15" ht="14" x14ac:dyDescent="0.15">
      <c r="B59" s="44" t="s">
        <v>38</v>
      </c>
      <c r="C59" s="39">
        <f>'Data entry Wiesensee'!C59</f>
        <v>0</v>
      </c>
      <c r="D59" s="39">
        <f>'Data entry Wiesensee'!F59</f>
        <v>0</v>
      </c>
      <c r="E59" s="39">
        <f>'Data entry Wiesensee'!I59</f>
        <v>0</v>
      </c>
      <c r="F59" s="39">
        <f>'Data entry Wiesensee'!L59</f>
        <v>0</v>
      </c>
      <c r="G59" s="39">
        <f>'Data entry Wiesensee'!O59</f>
        <v>0</v>
      </c>
      <c r="H59" s="39">
        <f>'Data entry Wiesensee'!R59</f>
        <v>0</v>
      </c>
      <c r="I59" s="39">
        <f>'Data entry Wiesensee'!U59</f>
        <v>0</v>
      </c>
      <c r="J59" s="39">
        <f>'Data entry Wiesensee'!X59</f>
        <v>0</v>
      </c>
      <c r="K59" s="39">
        <f>'Data entry Wiesensee'!AA59</f>
        <v>0</v>
      </c>
      <c r="L59" s="39">
        <f>'Data entry Wiesensee'!AD59</f>
        <v>0</v>
      </c>
      <c r="M59" s="39">
        <f>'Data entry Wiesensee'!AG59</f>
        <v>0</v>
      </c>
      <c r="N59" s="39">
        <f>'Data entry Wiesensee'!AJ59</f>
        <v>0</v>
      </c>
      <c r="O59" s="39">
        <f>'Data entry Wiesensee'!AM59</f>
        <v>0</v>
      </c>
    </row>
    <row r="60" spans="2:15" ht="14" x14ac:dyDescent="0.15">
      <c r="B60" s="42" t="s">
        <v>38</v>
      </c>
      <c r="C60" s="39">
        <f>'Data entry Wiesensee'!C60</f>
        <v>61712.76</v>
      </c>
      <c r="D60" s="39">
        <f>'Data entry Wiesensee'!F60</f>
        <v>722.31</v>
      </c>
      <c r="E60" s="39">
        <f>'Data entry Wiesensee'!I60</f>
        <v>5512.54</v>
      </c>
      <c r="F60" s="39">
        <f>'Data entry Wiesensee'!L60</f>
        <v>4577.8100000000004</v>
      </c>
      <c r="G60" s="39">
        <f>'Data entry Wiesensee'!O60</f>
        <v>7900.1</v>
      </c>
      <c r="H60" s="39">
        <f>'Data entry Wiesensee'!R60</f>
        <v>6500</v>
      </c>
      <c r="I60" s="39">
        <f>'Data entry Wiesensee'!U60</f>
        <v>6500</v>
      </c>
      <c r="J60" s="39">
        <f>'Data entry Wiesensee'!X60</f>
        <v>6500</v>
      </c>
      <c r="K60" s="39">
        <f>'Data entry Wiesensee'!AA60</f>
        <v>6500</v>
      </c>
      <c r="L60" s="39">
        <f>'Data entry Wiesensee'!AD60</f>
        <v>6500</v>
      </c>
      <c r="M60" s="39">
        <f>'Data entry Wiesensee'!AG60</f>
        <v>4500</v>
      </c>
      <c r="N60" s="39">
        <f>'Data entry Wiesensee'!AJ60</f>
        <v>3000</v>
      </c>
      <c r="O60" s="39">
        <f>'Data entry Wiesensee'!AM60</f>
        <v>3000</v>
      </c>
    </row>
    <row r="61" spans="2:15" x14ac:dyDescent="0.15">
      <c r="B61" s="40"/>
      <c r="C61" s="39">
        <f>'Data entry Wiesensee'!C61</f>
        <v>0</v>
      </c>
      <c r="D61" s="39">
        <f>'Data entry Wiesensee'!F61</f>
        <v>0</v>
      </c>
      <c r="E61" s="39">
        <f>'Data entry Wiesensee'!I61</f>
        <v>0</v>
      </c>
      <c r="F61" s="39">
        <f>'Data entry Wiesensee'!L61</f>
        <v>0</v>
      </c>
      <c r="G61" s="39">
        <f>'Data entry Wiesensee'!O61</f>
        <v>0</v>
      </c>
      <c r="H61" s="39">
        <f>'Data entry Wiesensee'!R61</f>
        <v>0</v>
      </c>
      <c r="I61" s="39">
        <f>'Data entry Wiesensee'!U61</f>
        <v>0</v>
      </c>
      <c r="J61" s="39">
        <f>'Data entry Wiesensee'!X61</f>
        <v>0</v>
      </c>
      <c r="K61" s="39">
        <f>'Data entry Wiesensee'!AA61</f>
        <v>0</v>
      </c>
      <c r="L61" s="39">
        <f>'Data entry Wiesensee'!AD61</f>
        <v>0</v>
      </c>
      <c r="M61" s="39">
        <f>'Data entry Wiesensee'!AG61</f>
        <v>0</v>
      </c>
      <c r="N61" s="39">
        <f>'Data entry Wiesensee'!AJ61</f>
        <v>0</v>
      </c>
      <c r="O61" s="39">
        <f>'Data entry Wiesensee'!AM61</f>
        <v>0</v>
      </c>
    </row>
    <row r="62" spans="2:15" ht="14" x14ac:dyDescent="0.15">
      <c r="B62" s="44" t="s">
        <v>51</v>
      </c>
      <c r="C62" s="39">
        <f>'Data entry Wiesensee'!C62</f>
        <v>0</v>
      </c>
      <c r="D62" s="39">
        <f>'Data entry Wiesensee'!F62</f>
        <v>0</v>
      </c>
      <c r="E62" s="39">
        <f>'Data entry Wiesensee'!I62</f>
        <v>0</v>
      </c>
      <c r="F62" s="39">
        <f>'Data entry Wiesensee'!L62</f>
        <v>0</v>
      </c>
      <c r="G62" s="39">
        <f>'Data entry Wiesensee'!O62</f>
        <v>0</v>
      </c>
      <c r="H62" s="39">
        <f>'Data entry Wiesensee'!R62</f>
        <v>0</v>
      </c>
      <c r="I62" s="39">
        <f>'Data entry Wiesensee'!U62</f>
        <v>0</v>
      </c>
      <c r="J62" s="39">
        <f>'Data entry Wiesensee'!X62</f>
        <v>0</v>
      </c>
      <c r="K62" s="39">
        <f>'Data entry Wiesensee'!AA62</f>
        <v>0</v>
      </c>
      <c r="L62" s="39">
        <f>'Data entry Wiesensee'!AD62</f>
        <v>0</v>
      </c>
      <c r="M62" s="39">
        <f>'Data entry Wiesensee'!AG62</f>
        <v>0</v>
      </c>
      <c r="N62" s="39">
        <f>'Data entry Wiesensee'!AJ62</f>
        <v>0</v>
      </c>
      <c r="O62" s="39">
        <f>'Data entry Wiesensee'!AM62</f>
        <v>0</v>
      </c>
    </row>
    <row r="63" spans="2:15" ht="14" x14ac:dyDescent="0.15">
      <c r="B63" s="42" t="s">
        <v>52</v>
      </c>
      <c r="C63" s="39">
        <f>'Data entry Wiesensee'!C63</f>
        <v>1726573.9545</v>
      </c>
      <c r="D63" s="39">
        <f>'Data entry Wiesensee'!F63</f>
        <v>-3122.35</v>
      </c>
      <c r="E63" s="39">
        <f>'Data entry Wiesensee'!I63</f>
        <v>13252.13</v>
      </c>
      <c r="F63" s="39">
        <f>'Data entry Wiesensee'!L63</f>
        <v>182367.95</v>
      </c>
      <c r="G63" s="39">
        <f>'Data entry Wiesensee'!O63</f>
        <v>-4862.5200000000004</v>
      </c>
      <c r="H63" s="39">
        <f>'Data entry Wiesensee'!R63</f>
        <v>197401.96400000001</v>
      </c>
      <c r="I63" s="39">
        <f>'Data entry Wiesensee'!U63</f>
        <v>206762.7843</v>
      </c>
      <c r="J63" s="39">
        <f>'Data entry Wiesensee'!X63</f>
        <v>179454.14869999999</v>
      </c>
      <c r="K63" s="39">
        <f>'Data entry Wiesensee'!AA63</f>
        <v>271727.45419999998</v>
      </c>
      <c r="L63" s="39">
        <f>'Data entry Wiesensee'!AD63</f>
        <v>368987.45280000003</v>
      </c>
      <c r="M63" s="39">
        <f>'Data entry Wiesensee'!AG63</f>
        <v>146335.4491</v>
      </c>
      <c r="N63" s="39">
        <f>'Data entry Wiesensee'!AJ63</f>
        <v>121417.28690000001</v>
      </c>
      <c r="O63" s="39">
        <f>'Data entry Wiesensee'!AM63</f>
        <v>46852.2045</v>
      </c>
    </row>
    <row r="64" spans="2:15" x14ac:dyDescent="0.15">
      <c r="B64" s="40"/>
      <c r="C64" s="39">
        <f>'Data entry Wiesensee'!C64</f>
        <v>0</v>
      </c>
      <c r="D64" s="39">
        <f>'Data entry Wiesensee'!F64</f>
        <v>0</v>
      </c>
      <c r="E64" s="39">
        <f>'Data entry Wiesensee'!I64</f>
        <v>0</v>
      </c>
      <c r="F64" s="39">
        <f>'Data entry Wiesensee'!L64</f>
        <v>0</v>
      </c>
      <c r="G64" s="39">
        <f>'Data entry Wiesensee'!O64</f>
        <v>0</v>
      </c>
      <c r="H64" s="39">
        <f>'Data entry Wiesensee'!R64</f>
        <v>0</v>
      </c>
      <c r="I64" s="39">
        <f>'Data entry Wiesensee'!U64</f>
        <v>0</v>
      </c>
      <c r="J64" s="39">
        <f>'Data entry Wiesensee'!X64</f>
        <v>0</v>
      </c>
      <c r="K64" s="39">
        <f>'Data entry Wiesensee'!AA64</f>
        <v>0</v>
      </c>
      <c r="L64" s="39">
        <f>'Data entry Wiesensee'!AD64</f>
        <v>0</v>
      </c>
      <c r="M64" s="39">
        <f>'Data entry Wiesensee'!AG64</f>
        <v>0</v>
      </c>
      <c r="N64" s="39">
        <f>'Data entry Wiesensee'!AJ64</f>
        <v>0</v>
      </c>
      <c r="O64" s="39">
        <f>'Data entry Wiesensee'!AM64</f>
        <v>0</v>
      </c>
    </row>
    <row r="65" spans="2:15" ht="14" x14ac:dyDescent="0.15">
      <c r="B65" s="44" t="s">
        <v>53</v>
      </c>
      <c r="C65" s="39">
        <f>'Data entry Wiesensee'!C65</f>
        <v>0</v>
      </c>
      <c r="D65" s="39">
        <f>'Data entry Wiesensee'!F65</f>
        <v>0</v>
      </c>
      <c r="E65" s="39">
        <f>'Data entry Wiesensee'!I65</f>
        <v>0</v>
      </c>
      <c r="F65" s="39">
        <f>'Data entry Wiesensee'!L65</f>
        <v>0</v>
      </c>
      <c r="G65" s="39">
        <f>'Data entry Wiesensee'!O65</f>
        <v>0</v>
      </c>
      <c r="H65" s="39">
        <f>'Data entry Wiesensee'!R65</f>
        <v>0</v>
      </c>
      <c r="I65" s="39">
        <f>'Data entry Wiesensee'!U65</f>
        <v>0</v>
      </c>
      <c r="J65" s="39">
        <f>'Data entry Wiesensee'!X65</f>
        <v>0</v>
      </c>
      <c r="K65" s="39">
        <f>'Data entry Wiesensee'!AA65</f>
        <v>0</v>
      </c>
      <c r="L65" s="39">
        <f>'Data entry Wiesensee'!AD65</f>
        <v>0</v>
      </c>
      <c r="M65" s="39">
        <f>'Data entry Wiesensee'!AG65</f>
        <v>0</v>
      </c>
      <c r="N65" s="39">
        <f>'Data entry Wiesensee'!AJ65</f>
        <v>0</v>
      </c>
      <c r="O65" s="39">
        <f>'Data entry Wiesensee'!AM65</f>
        <v>0</v>
      </c>
    </row>
    <row r="66" spans="2:15" ht="14" x14ac:dyDescent="0.15">
      <c r="B66" s="38" t="s">
        <v>22</v>
      </c>
      <c r="C66" s="39">
        <f>'Data entry Wiesensee'!C66</f>
        <v>228759.87359999999</v>
      </c>
      <c r="D66" s="39">
        <f>'Data entry Wiesensee'!F66</f>
        <v>19607.669999999998</v>
      </c>
      <c r="E66" s="39">
        <f>'Data entry Wiesensee'!I66</f>
        <v>19314.5</v>
      </c>
      <c r="F66" s="39">
        <f>'Data entry Wiesensee'!L66</f>
        <v>20558.400000000001</v>
      </c>
      <c r="G66" s="39">
        <f>'Data entry Wiesensee'!O66</f>
        <v>21442.17</v>
      </c>
      <c r="H66" s="39">
        <f>'Data entry Wiesensee'!R66</f>
        <v>17485.969000000001</v>
      </c>
      <c r="I66" s="39">
        <f>'Data entry Wiesensee'!U66</f>
        <v>20540.249800000001</v>
      </c>
      <c r="J66" s="39">
        <f>'Data entry Wiesensee'!X66</f>
        <v>15760.835300000001</v>
      </c>
      <c r="K66" s="39">
        <f>'Data entry Wiesensee'!AA66</f>
        <v>20527.087599999999</v>
      </c>
      <c r="L66" s="39">
        <f>'Data entry Wiesensee'!AD66</f>
        <v>20374.010399999999</v>
      </c>
      <c r="M66" s="39">
        <f>'Data entry Wiesensee'!AG66</f>
        <v>19910.479599999999</v>
      </c>
      <c r="N66" s="39">
        <f>'Data entry Wiesensee'!AJ66</f>
        <v>16212.637000000001</v>
      </c>
      <c r="O66" s="39">
        <f>'Data entry Wiesensee'!AM66</f>
        <v>17025.8649</v>
      </c>
    </row>
    <row r="67" spans="2:15" ht="14" x14ac:dyDescent="0.15">
      <c r="B67" s="38" t="s">
        <v>40</v>
      </c>
      <c r="C67" s="39">
        <f>'Data entry Wiesensee'!C67</f>
        <v>132057.378</v>
      </c>
      <c r="D67" s="39">
        <f>'Data entry Wiesensee'!F67</f>
        <v>19492.310000000001</v>
      </c>
      <c r="E67" s="39">
        <f>'Data entry Wiesensee'!I67</f>
        <v>12653.96</v>
      </c>
      <c r="F67" s="39">
        <f>'Data entry Wiesensee'!L67</f>
        <v>10303.81</v>
      </c>
      <c r="G67" s="39">
        <f>'Data entry Wiesensee'!O67</f>
        <v>6577.46</v>
      </c>
      <c r="H67" s="39">
        <f>'Data entry Wiesensee'!R67</f>
        <v>10557.591899999999</v>
      </c>
      <c r="I67" s="39">
        <f>'Data entry Wiesensee'!U67</f>
        <v>13235.3784</v>
      </c>
      <c r="J67" s="39">
        <f>'Data entry Wiesensee'!X67</f>
        <v>10816.6666</v>
      </c>
      <c r="K67" s="39">
        <f>'Data entry Wiesensee'!AA67</f>
        <v>10517.9661</v>
      </c>
      <c r="L67" s="39">
        <f>'Data entry Wiesensee'!AD67</f>
        <v>13178.629000000001</v>
      </c>
      <c r="M67" s="39">
        <f>'Data entry Wiesensee'!AG67</f>
        <v>8808.7803000000004</v>
      </c>
      <c r="N67" s="39">
        <f>'Data entry Wiesensee'!AJ67</f>
        <v>9970.4082999999991</v>
      </c>
      <c r="O67" s="39">
        <f>'Data entry Wiesensee'!AM67</f>
        <v>5944.4174000000003</v>
      </c>
    </row>
    <row r="68" spans="2:15" ht="14" x14ac:dyDescent="0.15">
      <c r="B68" s="42" t="s">
        <v>41</v>
      </c>
      <c r="C68" s="39">
        <f>'Data entry Wiesensee'!C68</f>
        <v>-360817.25160000002</v>
      </c>
      <c r="D68" s="39">
        <f>'Data entry Wiesensee'!F68</f>
        <v>-39099.980000000003</v>
      </c>
      <c r="E68" s="39">
        <f>'Data entry Wiesensee'!I68</f>
        <v>-31968.46</v>
      </c>
      <c r="F68" s="39">
        <f>'Data entry Wiesensee'!L68</f>
        <v>-30862.21</v>
      </c>
      <c r="G68" s="39">
        <f>'Data entry Wiesensee'!O68</f>
        <v>-28019.63</v>
      </c>
      <c r="H68" s="39">
        <f>'Data entry Wiesensee'!R68</f>
        <v>-28043.5609</v>
      </c>
      <c r="I68" s="39">
        <f>'Data entry Wiesensee'!U68</f>
        <v>-33775.628199999999</v>
      </c>
      <c r="J68" s="39">
        <f>'Data entry Wiesensee'!X68</f>
        <v>-26577.501899999999</v>
      </c>
      <c r="K68" s="39">
        <f>'Data entry Wiesensee'!AA68</f>
        <v>-31045.0537</v>
      </c>
      <c r="L68" s="39">
        <f>'Data entry Wiesensee'!AD68</f>
        <v>-33552.6394</v>
      </c>
      <c r="M68" s="39">
        <f>'Data entry Wiesensee'!AG68</f>
        <v>-28719.259900000001</v>
      </c>
      <c r="N68" s="39">
        <f>'Data entry Wiesensee'!AJ68</f>
        <v>-26183.045300000002</v>
      </c>
      <c r="O68" s="39">
        <f>'Data entry Wiesensee'!AM68</f>
        <v>-22970.282299999999</v>
      </c>
    </row>
    <row r="69" spans="2:15" x14ac:dyDescent="0.15">
      <c r="B69" s="40"/>
      <c r="C69" s="39">
        <f>'Data entry Wiesensee'!C69</f>
        <v>0</v>
      </c>
      <c r="D69" s="39">
        <f>'Data entry Wiesensee'!F69</f>
        <v>0</v>
      </c>
      <c r="E69" s="39">
        <f>'Data entry Wiesensee'!I69</f>
        <v>0</v>
      </c>
      <c r="F69" s="39">
        <f>'Data entry Wiesensee'!L69</f>
        <v>0</v>
      </c>
      <c r="G69" s="39">
        <f>'Data entry Wiesensee'!O69</f>
        <v>0</v>
      </c>
      <c r="H69" s="39">
        <f>'Data entry Wiesensee'!R69</f>
        <v>0</v>
      </c>
      <c r="I69" s="39">
        <f>'Data entry Wiesensee'!U69</f>
        <v>0</v>
      </c>
      <c r="J69" s="39">
        <f>'Data entry Wiesensee'!X69</f>
        <v>0</v>
      </c>
      <c r="K69" s="39">
        <f>'Data entry Wiesensee'!AA69</f>
        <v>0</v>
      </c>
      <c r="L69" s="39">
        <f>'Data entry Wiesensee'!AD69</f>
        <v>0</v>
      </c>
      <c r="M69" s="39">
        <f>'Data entry Wiesensee'!AG69</f>
        <v>0</v>
      </c>
      <c r="N69" s="39">
        <f>'Data entry Wiesensee'!AJ69</f>
        <v>0</v>
      </c>
      <c r="O69" s="39">
        <f>'Data entry Wiesensee'!AM69</f>
        <v>0</v>
      </c>
    </row>
    <row r="70" spans="2:15" ht="14" x14ac:dyDescent="0.15">
      <c r="B70" s="44" t="s">
        <v>54</v>
      </c>
      <c r="C70" s="39">
        <f>'Data entry Wiesensee'!C70</f>
        <v>0</v>
      </c>
      <c r="D70" s="39">
        <f>'Data entry Wiesensee'!F70</f>
        <v>0</v>
      </c>
      <c r="E70" s="39">
        <f>'Data entry Wiesensee'!I70</f>
        <v>0</v>
      </c>
      <c r="F70" s="39">
        <f>'Data entry Wiesensee'!L70</f>
        <v>0</v>
      </c>
      <c r="G70" s="39">
        <f>'Data entry Wiesensee'!O70</f>
        <v>0</v>
      </c>
      <c r="H70" s="39">
        <f>'Data entry Wiesensee'!R70</f>
        <v>0</v>
      </c>
      <c r="I70" s="39">
        <f>'Data entry Wiesensee'!U70</f>
        <v>0</v>
      </c>
      <c r="J70" s="39">
        <f>'Data entry Wiesensee'!X70</f>
        <v>0</v>
      </c>
      <c r="K70" s="39">
        <f>'Data entry Wiesensee'!AA70</f>
        <v>0</v>
      </c>
      <c r="L70" s="39">
        <f>'Data entry Wiesensee'!AD70</f>
        <v>0</v>
      </c>
      <c r="M70" s="39">
        <f>'Data entry Wiesensee'!AG70</f>
        <v>0</v>
      </c>
      <c r="N70" s="39">
        <f>'Data entry Wiesensee'!AJ70</f>
        <v>0</v>
      </c>
      <c r="O70" s="39">
        <f>'Data entry Wiesensee'!AM70</f>
        <v>0</v>
      </c>
    </row>
    <row r="71" spans="2:15" ht="14" x14ac:dyDescent="0.15">
      <c r="B71" s="38" t="s">
        <v>55</v>
      </c>
      <c r="C71" s="39">
        <f>'Data entry Wiesensee'!C71</f>
        <v>7881.55</v>
      </c>
      <c r="D71" s="39">
        <f>'Data entry Wiesensee'!F71</f>
        <v>0</v>
      </c>
      <c r="E71" s="39">
        <f>'Data entry Wiesensee'!I71</f>
        <v>1533.47</v>
      </c>
      <c r="F71" s="39">
        <f>'Data entry Wiesensee'!L71</f>
        <v>799</v>
      </c>
      <c r="G71" s="39">
        <f>'Data entry Wiesensee'!O71</f>
        <v>789.08</v>
      </c>
      <c r="H71" s="39">
        <f>'Data entry Wiesensee'!R71</f>
        <v>595</v>
      </c>
      <c r="I71" s="39">
        <f>'Data entry Wiesensee'!U71</f>
        <v>595</v>
      </c>
      <c r="J71" s="39">
        <f>'Data entry Wiesensee'!X71</f>
        <v>595</v>
      </c>
      <c r="K71" s="39">
        <f>'Data entry Wiesensee'!AA71</f>
        <v>595</v>
      </c>
      <c r="L71" s="39">
        <f>'Data entry Wiesensee'!AD71</f>
        <v>595</v>
      </c>
      <c r="M71" s="39">
        <f>'Data entry Wiesensee'!AG71</f>
        <v>595</v>
      </c>
      <c r="N71" s="39">
        <f>'Data entry Wiesensee'!AJ71</f>
        <v>595</v>
      </c>
      <c r="O71" s="39">
        <f>'Data entry Wiesensee'!AM71</f>
        <v>595</v>
      </c>
    </row>
    <row r="72" spans="2:15" ht="14" x14ac:dyDescent="0.15">
      <c r="B72" s="38" t="s">
        <v>56</v>
      </c>
      <c r="C72" s="39">
        <f>'Data entry Wiesensee'!C72</f>
        <v>98493.2</v>
      </c>
      <c r="D72" s="39">
        <f>'Data entry Wiesensee'!F72</f>
        <v>11386.96</v>
      </c>
      <c r="E72" s="39">
        <f>'Data entry Wiesensee'!I72</f>
        <v>6369.11</v>
      </c>
      <c r="F72" s="39">
        <f>'Data entry Wiesensee'!L72</f>
        <v>4330.84</v>
      </c>
      <c r="G72" s="39">
        <f>'Data entry Wiesensee'!O72</f>
        <v>4209.17</v>
      </c>
      <c r="H72" s="39">
        <f>'Data entry Wiesensee'!R72</f>
        <v>7895.39</v>
      </c>
      <c r="I72" s="39">
        <f>'Data entry Wiesensee'!U72</f>
        <v>7895.39</v>
      </c>
      <c r="J72" s="39">
        <f>'Data entry Wiesensee'!X72</f>
        <v>13264.39</v>
      </c>
      <c r="K72" s="39">
        <f>'Data entry Wiesensee'!AA72</f>
        <v>7895.39</v>
      </c>
      <c r="L72" s="39">
        <f>'Data entry Wiesensee'!AD72</f>
        <v>7895.39</v>
      </c>
      <c r="M72" s="39">
        <f>'Data entry Wiesensee'!AG72</f>
        <v>12010.39</v>
      </c>
      <c r="N72" s="39">
        <f>'Data entry Wiesensee'!AJ72</f>
        <v>7645.39</v>
      </c>
      <c r="O72" s="39">
        <f>'Data entry Wiesensee'!AM72</f>
        <v>7695.39</v>
      </c>
    </row>
    <row r="73" spans="2:15" ht="14" x14ac:dyDescent="0.15">
      <c r="B73" s="38" t="s">
        <v>40</v>
      </c>
      <c r="C73" s="39">
        <f>'Data entry Wiesensee'!C73</f>
        <v>8456.5</v>
      </c>
      <c r="D73" s="39">
        <f>'Data entry Wiesensee'!F73</f>
        <v>811.5</v>
      </c>
      <c r="E73" s="39">
        <f>'Data entry Wiesensee'!I73</f>
        <v>811.5</v>
      </c>
      <c r="F73" s="39">
        <f>'Data entry Wiesensee'!L73</f>
        <v>811.5</v>
      </c>
      <c r="G73" s="39">
        <f>'Data entry Wiesensee'!O73</f>
        <v>0</v>
      </c>
      <c r="H73" s="39">
        <f>'Data entry Wiesensee'!R73</f>
        <v>679</v>
      </c>
      <c r="I73" s="39">
        <f>'Data entry Wiesensee'!U73</f>
        <v>679</v>
      </c>
      <c r="J73" s="39">
        <f>'Data entry Wiesensee'!X73</f>
        <v>974</v>
      </c>
      <c r="K73" s="39">
        <f>'Data entry Wiesensee'!AA73</f>
        <v>679</v>
      </c>
      <c r="L73" s="39">
        <f>'Data entry Wiesensee'!AD73</f>
        <v>679</v>
      </c>
      <c r="M73" s="39">
        <f>'Data entry Wiesensee'!AG73</f>
        <v>974</v>
      </c>
      <c r="N73" s="39">
        <f>'Data entry Wiesensee'!AJ73</f>
        <v>679</v>
      </c>
      <c r="O73" s="39">
        <f>'Data entry Wiesensee'!AM73</f>
        <v>679</v>
      </c>
    </row>
    <row r="74" spans="2:15" ht="14" x14ac:dyDescent="0.15">
      <c r="B74" s="42" t="s">
        <v>41</v>
      </c>
      <c r="C74" s="39">
        <f>'Data entry Wiesensee'!C74</f>
        <v>-114831.25</v>
      </c>
      <c r="D74" s="39">
        <f>'Data entry Wiesensee'!F74</f>
        <v>-12198.46</v>
      </c>
      <c r="E74" s="39">
        <f>'Data entry Wiesensee'!I74</f>
        <v>-8714.08</v>
      </c>
      <c r="F74" s="39">
        <f>'Data entry Wiesensee'!L74</f>
        <v>-5941.34</v>
      </c>
      <c r="G74" s="39">
        <f>'Data entry Wiesensee'!O74</f>
        <v>-4998.25</v>
      </c>
      <c r="H74" s="39">
        <f>'Data entry Wiesensee'!R74</f>
        <v>-9169.39</v>
      </c>
      <c r="I74" s="39">
        <f>'Data entry Wiesensee'!U74</f>
        <v>-9169.39</v>
      </c>
      <c r="J74" s="39">
        <f>'Data entry Wiesensee'!X74</f>
        <v>-14833.39</v>
      </c>
      <c r="K74" s="39">
        <f>'Data entry Wiesensee'!AA74</f>
        <v>-9169.39</v>
      </c>
      <c r="L74" s="39">
        <f>'Data entry Wiesensee'!AD74</f>
        <v>-9169.39</v>
      </c>
      <c r="M74" s="39">
        <f>'Data entry Wiesensee'!AG74</f>
        <v>-13579.39</v>
      </c>
      <c r="N74" s="39">
        <f>'Data entry Wiesensee'!AJ74</f>
        <v>-8919.39</v>
      </c>
      <c r="O74" s="39">
        <f>'Data entry Wiesensee'!AM74</f>
        <v>-8969.39</v>
      </c>
    </row>
    <row r="75" spans="2:15" x14ac:dyDescent="0.15">
      <c r="B75" s="40"/>
      <c r="C75" s="39">
        <f>'Data entry Wiesensee'!C75</f>
        <v>0</v>
      </c>
      <c r="D75" s="39">
        <f>'Data entry Wiesensee'!F75</f>
        <v>0</v>
      </c>
      <c r="E75" s="39">
        <f>'Data entry Wiesensee'!I75</f>
        <v>0</v>
      </c>
      <c r="F75" s="39">
        <f>'Data entry Wiesensee'!L75</f>
        <v>0</v>
      </c>
      <c r="G75" s="39">
        <f>'Data entry Wiesensee'!O75</f>
        <v>0</v>
      </c>
      <c r="H75" s="39">
        <f>'Data entry Wiesensee'!R75</f>
        <v>0</v>
      </c>
      <c r="I75" s="39">
        <f>'Data entry Wiesensee'!U75</f>
        <v>0</v>
      </c>
      <c r="J75" s="39">
        <f>'Data entry Wiesensee'!X75</f>
        <v>0</v>
      </c>
      <c r="K75" s="39">
        <f>'Data entry Wiesensee'!AA75</f>
        <v>0</v>
      </c>
      <c r="L75" s="39">
        <f>'Data entry Wiesensee'!AD75</f>
        <v>0</v>
      </c>
      <c r="M75" s="39">
        <f>'Data entry Wiesensee'!AG75</f>
        <v>0</v>
      </c>
      <c r="N75" s="39">
        <f>'Data entry Wiesensee'!AJ75</f>
        <v>0</v>
      </c>
      <c r="O75" s="39">
        <f>'Data entry Wiesensee'!AM75</f>
        <v>0</v>
      </c>
    </row>
    <row r="76" spans="2:15" ht="14" x14ac:dyDescent="0.15">
      <c r="B76" s="44" t="s">
        <v>57</v>
      </c>
      <c r="C76" s="39">
        <f>'Data entry Wiesensee'!C76</f>
        <v>0</v>
      </c>
      <c r="D76" s="39">
        <f>'Data entry Wiesensee'!F76</f>
        <v>0</v>
      </c>
      <c r="E76" s="39">
        <f>'Data entry Wiesensee'!I76</f>
        <v>0</v>
      </c>
      <c r="F76" s="39">
        <f>'Data entry Wiesensee'!L76</f>
        <v>0</v>
      </c>
      <c r="G76" s="39">
        <f>'Data entry Wiesensee'!O76</f>
        <v>0</v>
      </c>
      <c r="H76" s="39">
        <f>'Data entry Wiesensee'!R76</f>
        <v>0</v>
      </c>
      <c r="I76" s="39">
        <f>'Data entry Wiesensee'!U76</f>
        <v>0</v>
      </c>
      <c r="J76" s="39">
        <f>'Data entry Wiesensee'!X76</f>
        <v>0</v>
      </c>
      <c r="K76" s="39">
        <f>'Data entry Wiesensee'!AA76</f>
        <v>0</v>
      </c>
      <c r="L76" s="39">
        <f>'Data entry Wiesensee'!AD76</f>
        <v>0</v>
      </c>
      <c r="M76" s="39">
        <f>'Data entry Wiesensee'!AG76</f>
        <v>0</v>
      </c>
      <c r="N76" s="39">
        <f>'Data entry Wiesensee'!AJ76</f>
        <v>0</v>
      </c>
      <c r="O76" s="39">
        <f>'Data entry Wiesensee'!AM76</f>
        <v>0</v>
      </c>
    </row>
    <row r="77" spans="2:15" ht="14" x14ac:dyDescent="0.15">
      <c r="B77" s="38" t="s">
        <v>22</v>
      </c>
      <c r="C77" s="39">
        <f>'Data entry Wiesensee'!C77</f>
        <v>89402.134600000005</v>
      </c>
      <c r="D77" s="39">
        <f>'Data entry Wiesensee'!F77</f>
        <v>2557.7600000000002</v>
      </c>
      <c r="E77" s="39">
        <f>'Data entry Wiesensee'!I77</f>
        <v>6267.84</v>
      </c>
      <c r="F77" s="39">
        <f>'Data entry Wiesensee'!L77</f>
        <v>4831.6099999999997</v>
      </c>
      <c r="G77" s="39">
        <f>'Data entry Wiesensee'!O77</f>
        <v>2925.88</v>
      </c>
      <c r="H77" s="39">
        <f>'Data entry Wiesensee'!R77</f>
        <v>9404.2723999999998</v>
      </c>
      <c r="I77" s="39">
        <f>'Data entry Wiesensee'!U77</f>
        <v>9500.3970000000008</v>
      </c>
      <c r="J77" s="39">
        <f>'Data entry Wiesensee'!X77</f>
        <v>8943.1722000000009</v>
      </c>
      <c r="K77" s="39">
        <f>'Data entry Wiesensee'!AA77</f>
        <v>9290.9573999999993</v>
      </c>
      <c r="L77" s="39">
        <f>'Data entry Wiesensee'!AD77</f>
        <v>10413.2012</v>
      </c>
      <c r="M77" s="39">
        <f>'Data entry Wiesensee'!AG77</f>
        <v>8929.7934999999998</v>
      </c>
      <c r="N77" s="39">
        <f>'Data entry Wiesensee'!AJ77</f>
        <v>8541.2643000000007</v>
      </c>
      <c r="O77" s="39">
        <f>'Data entry Wiesensee'!AM77</f>
        <v>7795.9866000000002</v>
      </c>
    </row>
    <row r="78" spans="2:15" ht="14" x14ac:dyDescent="0.15">
      <c r="B78" s="38" t="s">
        <v>40</v>
      </c>
      <c r="C78" s="39">
        <f>'Data entry Wiesensee'!C78</f>
        <v>186207.91250000001</v>
      </c>
      <c r="D78" s="39">
        <f>'Data entry Wiesensee'!F78</f>
        <v>6845.27</v>
      </c>
      <c r="E78" s="39">
        <f>'Data entry Wiesensee'!I78</f>
        <v>11633.71</v>
      </c>
      <c r="F78" s="39">
        <f>'Data entry Wiesensee'!L78</f>
        <v>5409.94</v>
      </c>
      <c r="G78" s="39">
        <f>'Data entry Wiesensee'!O78</f>
        <v>9649.59</v>
      </c>
      <c r="H78" s="39">
        <f>'Data entry Wiesensee'!R78</f>
        <v>17906.6554</v>
      </c>
      <c r="I78" s="39">
        <f>'Data entry Wiesensee'!U78</f>
        <v>20174.093400000002</v>
      </c>
      <c r="J78" s="39">
        <f>'Data entry Wiesensee'!X78</f>
        <v>20356.5825</v>
      </c>
      <c r="K78" s="39">
        <f>'Data entry Wiesensee'!AA78</f>
        <v>19035.3871</v>
      </c>
      <c r="L78" s="39">
        <f>'Data entry Wiesensee'!AD78</f>
        <v>24612.226600000002</v>
      </c>
      <c r="M78" s="39">
        <f>'Data entry Wiesensee'!AG78</f>
        <v>17500.301200000002</v>
      </c>
      <c r="N78" s="39">
        <f>'Data entry Wiesensee'!AJ78</f>
        <v>17633.447499999998</v>
      </c>
      <c r="O78" s="39">
        <f>'Data entry Wiesensee'!AM78</f>
        <v>15450.7088</v>
      </c>
    </row>
    <row r="79" spans="2:15" ht="14" x14ac:dyDescent="0.15">
      <c r="B79" s="42" t="s">
        <v>41</v>
      </c>
      <c r="C79" s="39">
        <f>'Data entry Wiesensee'!C79</f>
        <v>-275610.04719999997</v>
      </c>
      <c r="D79" s="39">
        <f>'Data entry Wiesensee'!F79</f>
        <v>-9403.0300000000007</v>
      </c>
      <c r="E79" s="39">
        <f>'Data entry Wiesensee'!I79</f>
        <v>-17901.55</v>
      </c>
      <c r="F79" s="39">
        <f>'Data entry Wiesensee'!L79</f>
        <v>-10241.549999999999</v>
      </c>
      <c r="G79" s="39">
        <f>'Data entry Wiesensee'!O79</f>
        <v>-12575.47</v>
      </c>
      <c r="H79" s="39">
        <f>'Data entry Wiesensee'!R79</f>
        <v>-27310.927800000001</v>
      </c>
      <c r="I79" s="39">
        <f>'Data entry Wiesensee'!U79</f>
        <v>-29674.4905</v>
      </c>
      <c r="J79" s="39">
        <f>'Data entry Wiesensee'!X79</f>
        <v>-29299.7546</v>
      </c>
      <c r="K79" s="39">
        <f>'Data entry Wiesensee'!AA79</f>
        <v>-28326.344499999999</v>
      </c>
      <c r="L79" s="39">
        <f>'Data entry Wiesensee'!AD79</f>
        <v>-35025.427900000002</v>
      </c>
      <c r="M79" s="39">
        <f>'Data entry Wiesensee'!AG79</f>
        <v>-26430.094700000001</v>
      </c>
      <c r="N79" s="39">
        <f>'Data entry Wiesensee'!AJ79</f>
        <v>-26174.711800000001</v>
      </c>
      <c r="O79" s="39">
        <f>'Data entry Wiesensee'!AM79</f>
        <v>-23246.695400000001</v>
      </c>
    </row>
    <row r="80" spans="2:15" x14ac:dyDescent="0.15">
      <c r="B80" s="40"/>
      <c r="C80" s="39">
        <f>'Data entry Wiesensee'!C80</f>
        <v>0</v>
      </c>
      <c r="D80" s="39">
        <f>'Data entry Wiesensee'!F80</f>
        <v>0</v>
      </c>
      <c r="E80" s="39">
        <f>'Data entry Wiesensee'!I80</f>
        <v>0</v>
      </c>
      <c r="F80" s="39">
        <f>'Data entry Wiesensee'!L80</f>
        <v>0</v>
      </c>
      <c r="G80" s="39">
        <f>'Data entry Wiesensee'!O80</f>
        <v>0</v>
      </c>
      <c r="H80" s="39">
        <f>'Data entry Wiesensee'!R80</f>
        <v>0</v>
      </c>
      <c r="I80" s="39">
        <f>'Data entry Wiesensee'!U80</f>
        <v>0</v>
      </c>
      <c r="J80" s="39">
        <f>'Data entry Wiesensee'!X80</f>
        <v>0</v>
      </c>
      <c r="K80" s="39">
        <f>'Data entry Wiesensee'!AA80</f>
        <v>0</v>
      </c>
      <c r="L80" s="39">
        <f>'Data entry Wiesensee'!AD80</f>
        <v>0</v>
      </c>
      <c r="M80" s="39">
        <f>'Data entry Wiesensee'!AG80</f>
        <v>0</v>
      </c>
      <c r="N80" s="39">
        <f>'Data entry Wiesensee'!AJ80</f>
        <v>0</v>
      </c>
      <c r="O80" s="39">
        <f>'Data entry Wiesensee'!AM80</f>
        <v>0</v>
      </c>
    </row>
    <row r="81" spans="2:15" ht="14" x14ac:dyDescent="0.15">
      <c r="B81" s="44" t="s">
        <v>58</v>
      </c>
      <c r="C81" s="39">
        <f>'Data entry Wiesensee'!C81</f>
        <v>0</v>
      </c>
      <c r="D81" s="39">
        <f>'Data entry Wiesensee'!F81</f>
        <v>0</v>
      </c>
      <c r="E81" s="39">
        <f>'Data entry Wiesensee'!I81</f>
        <v>0</v>
      </c>
      <c r="F81" s="39">
        <f>'Data entry Wiesensee'!L81</f>
        <v>0</v>
      </c>
      <c r="G81" s="39">
        <f>'Data entry Wiesensee'!O81</f>
        <v>0</v>
      </c>
      <c r="H81" s="39">
        <f>'Data entry Wiesensee'!R81</f>
        <v>0</v>
      </c>
      <c r="I81" s="39">
        <f>'Data entry Wiesensee'!U81</f>
        <v>0</v>
      </c>
      <c r="J81" s="39">
        <f>'Data entry Wiesensee'!X81</f>
        <v>0</v>
      </c>
      <c r="K81" s="39">
        <f>'Data entry Wiesensee'!AA81</f>
        <v>0</v>
      </c>
      <c r="L81" s="39">
        <f>'Data entry Wiesensee'!AD81</f>
        <v>0</v>
      </c>
      <c r="M81" s="39">
        <f>'Data entry Wiesensee'!AG81</f>
        <v>0</v>
      </c>
      <c r="N81" s="39">
        <f>'Data entry Wiesensee'!AJ81</f>
        <v>0</v>
      </c>
      <c r="O81" s="39">
        <f>'Data entry Wiesensee'!AM81</f>
        <v>0</v>
      </c>
    </row>
    <row r="82" spans="2:15" ht="14" x14ac:dyDescent="0.15">
      <c r="B82" s="38" t="s">
        <v>22</v>
      </c>
      <c r="C82" s="39">
        <f>'Data entry Wiesensee'!C82</f>
        <v>105944.148</v>
      </c>
      <c r="D82" s="39">
        <f>'Data entry Wiesensee'!F82</f>
        <v>8673.6200000000008</v>
      </c>
      <c r="E82" s="39">
        <f>'Data entry Wiesensee'!I82</f>
        <v>6143.91</v>
      </c>
      <c r="F82" s="39">
        <f>'Data entry Wiesensee'!L82</f>
        <v>9180.23</v>
      </c>
      <c r="G82" s="39">
        <f>'Data entry Wiesensee'!O82</f>
        <v>7351.03</v>
      </c>
      <c r="H82" s="39">
        <f>'Data entry Wiesensee'!R82</f>
        <v>9353.7101999999995</v>
      </c>
      <c r="I82" s="39">
        <f>'Data entry Wiesensee'!U82</f>
        <v>7683.183</v>
      </c>
      <c r="J82" s="39">
        <f>'Data entry Wiesensee'!X82</f>
        <v>7885.7233999999999</v>
      </c>
      <c r="K82" s="39">
        <f>'Data entry Wiesensee'!AA82</f>
        <v>8410.5953000000009</v>
      </c>
      <c r="L82" s="39">
        <f>'Data entry Wiesensee'!AD82</f>
        <v>8412.0282999999999</v>
      </c>
      <c r="M82" s="39">
        <f>'Data entry Wiesensee'!AG82</f>
        <v>8749.0773000000008</v>
      </c>
      <c r="N82" s="39">
        <f>'Data entry Wiesensee'!AJ82</f>
        <v>11118.5833</v>
      </c>
      <c r="O82" s="39">
        <f>'Data entry Wiesensee'!AM82</f>
        <v>12982.457200000001</v>
      </c>
    </row>
    <row r="83" spans="2:15" ht="14" x14ac:dyDescent="0.15">
      <c r="B83" s="38" t="s">
        <v>40</v>
      </c>
      <c r="C83" s="39">
        <f>'Data entry Wiesensee'!C83</f>
        <v>397916.81</v>
      </c>
      <c r="D83" s="39">
        <f>'Data entry Wiesensee'!F83</f>
        <v>33752.32</v>
      </c>
      <c r="E83" s="39">
        <f>'Data entry Wiesensee'!I83</f>
        <v>27490.47</v>
      </c>
      <c r="F83" s="39">
        <f>'Data entry Wiesensee'!L83</f>
        <v>35331.589999999997</v>
      </c>
      <c r="G83" s="39">
        <f>'Data entry Wiesensee'!O83</f>
        <v>40394.43</v>
      </c>
      <c r="H83" s="39">
        <f>'Data entry Wiesensee'!R83</f>
        <v>32446</v>
      </c>
      <c r="I83" s="39">
        <f>'Data entry Wiesensee'!U83</f>
        <v>46316</v>
      </c>
      <c r="J83" s="39">
        <f>'Data entry Wiesensee'!X83</f>
        <v>38216</v>
      </c>
      <c r="K83" s="39">
        <f>'Data entry Wiesensee'!AA83</f>
        <v>21866</v>
      </c>
      <c r="L83" s="39">
        <f>'Data entry Wiesensee'!AD83</f>
        <v>48956</v>
      </c>
      <c r="M83" s="39">
        <f>'Data entry Wiesensee'!AG83</f>
        <v>36866</v>
      </c>
      <c r="N83" s="39">
        <f>'Data entry Wiesensee'!AJ83</f>
        <v>24266</v>
      </c>
      <c r="O83" s="39">
        <f>'Data entry Wiesensee'!AM83</f>
        <v>12016</v>
      </c>
    </row>
    <row r="84" spans="2:15" ht="14" x14ac:dyDescent="0.15">
      <c r="B84" s="42" t="s">
        <v>41</v>
      </c>
      <c r="C84" s="39">
        <f>'Data entry Wiesensee'!C84</f>
        <v>-503860.95799999998</v>
      </c>
      <c r="D84" s="39">
        <f>'Data entry Wiesensee'!F84</f>
        <v>-42425.94</v>
      </c>
      <c r="E84" s="39">
        <f>'Data entry Wiesensee'!I84</f>
        <v>-33634.379999999997</v>
      </c>
      <c r="F84" s="39">
        <f>'Data entry Wiesensee'!L84</f>
        <v>-44511.82</v>
      </c>
      <c r="G84" s="39">
        <f>'Data entry Wiesensee'!O84</f>
        <v>-47745.46</v>
      </c>
      <c r="H84" s="39">
        <f>'Data entry Wiesensee'!R84</f>
        <v>-41799.710200000001</v>
      </c>
      <c r="I84" s="39">
        <f>'Data entry Wiesensee'!U84</f>
        <v>-53999.182999999997</v>
      </c>
      <c r="J84" s="39">
        <f>'Data entry Wiesensee'!X84</f>
        <v>-46101.723400000003</v>
      </c>
      <c r="K84" s="39">
        <f>'Data entry Wiesensee'!AA84</f>
        <v>-30276.595300000001</v>
      </c>
      <c r="L84" s="39">
        <f>'Data entry Wiesensee'!AD84</f>
        <v>-57368.028299999998</v>
      </c>
      <c r="M84" s="39">
        <f>'Data entry Wiesensee'!AG84</f>
        <v>-45615.077299999997</v>
      </c>
      <c r="N84" s="39">
        <f>'Data entry Wiesensee'!AJ84</f>
        <v>-35384.583299999998</v>
      </c>
      <c r="O84" s="39">
        <f>'Data entry Wiesensee'!AM84</f>
        <v>-24998.457200000001</v>
      </c>
    </row>
    <row r="85" spans="2:15" x14ac:dyDescent="0.15">
      <c r="B85" s="40"/>
      <c r="C85" s="39">
        <f>'Data entry Wiesensee'!C85</f>
        <v>0</v>
      </c>
      <c r="D85" s="39">
        <f>'Data entry Wiesensee'!F85</f>
        <v>0</v>
      </c>
      <c r="E85" s="39">
        <f>'Data entry Wiesensee'!I85</f>
        <v>0</v>
      </c>
      <c r="F85" s="39">
        <f>'Data entry Wiesensee'!L85</f>
        <v>0</v>
      </c>
      <c r="G85" s="39">
        <f>'Data entry Wiesensee'!O85</f>
        <v>0</v>
      </c>
      <c r="H85" s="39">
        <f>'Data entry Wiesensee'!R85</f>
        <v>0</v>
      </c>
      <c r="I85" s="39">
        <f>'Data entry Wiesensee'!U85</f>
        <v>0</v>
      </c>
      <c r="J85" s="39">
        <f>'Data entry Wiesensee'!X85</f>
        <v>0</v>
      </c>
      <c r="K85" s="39">
        <f>'Data entry Wiesensee'!AA85</f>
        <v>0</v>
      </c>
      <c r="L85" s="39">
        <f>'Data entry Wiesensee'!AD85</f>
        <v>0</v>
      </c>
      <c r="M85" s="39">
        <f>'Data entry Wiesensee'!AG85</f>
        <v>0</v>
      </c>
      <c r="N85" s="39">
        <f>'Data entry Wiesensee'!AJ85</f>
        <v>0</v>
      </c>
      <c r="O85" s="39">
        <f>'Data entry Wiesensee'!AM85</f>
        <v>0</v>
      </c>
    </row>
    <row r="86" spans="2:15" ht="14" x14ac:dyDescent="0.15">
      <c r="B86" s="44" t="s">
        <v>59</v>
      </c>
      <c r="C86" s="39">
        <f>'Data entry Wiesensee'!C86</f>
        <v>0</v>
      </c>
      <c r="D86" s="39">
        <f>'Data entry Wiesensee'!F86</f>
        <v>0</v>
      </c>
      <c r="E86" s="39">
        <f>'Data entry Wiesensee'!I86</f>
        <v>0</v>
      </c>
      <c r="F86" s="39">
        <f>'Data entry Wiesensee'!L86</f>
        <v>0</v>
      </c>
      <c r="G86" s="39">
        <f>'Data entry Wiesensee'!O86</f>
        <v>0</v>
      </c>
      <c r="H86" s="39">
        <f>'Data entry Wiesensee'!R86</f>
        <v>0</v>
      </c>
      <c r="I86" s="39">
        <f>'Data entry Wiesensee'!U86</f>
        <v>0</v>
      </c>
      <c r="J86" s="39">
        <f>'Data entry Wiesensee'!X86</f>
        <v>0</v>
      </c>
      <c r="K86" s="39">
        <f>'Data entry Wiesensee'!AA86</f>
        <v>0</v>
      </c>
      <c r="L86" s="39">
        <f>'Data entry Wiesensee'!AD86</f>
        <v>0</v>
      </c>
      <c r="M86" s="39">
        <f>'Data entry Wiesensee'!AG86</f>
        <v>0</v>
      </c>
      <c r="N86" s="39">
        <f>'Data entry Wiesensee'!AJ86</f>
        <v>0</v>
      </c>
      <c r="O86" s="39">
        <f>'Data entry Wiesensee'!AM86</f>
        <v>0</v>
      </c>
    </row>
    <row r="87" spans="2:15" ht="14" x14ac:dyDescent="0.15">
      <c r="B87" s="42" t="s">
        <v>41</v>
      </c>
      <c r="C87" s="39">
        <f>'Data entry Wiesensee'!C87</f>
        <v>-351446.2402</v>
      </c>
      <c r="D87" s="39">
        <f>'Data entry Wiesensee'!F87</f>
        <v>-52605.08</v>
      </c>
      <c r="E87" s="39">
        <f>'Data entry Wiesensee'!I87</f>
        <v>-14196.79</v>
      </c>
      <c r="F87" s="39">
        <f>'Data entry Wiesensee'!L87</f>
        <v>-35146.400000000001</v>
      </c>
      <c r="G87" s="39">
        <f>'Data entry Wiesensee'!O87</f>
        <v>-29204</v>
      </c>
      <c r="H87" s="39">
        <f>'Data entry Wiesensee'!R87</f>
        <v>-31278.643499999998</v>
      </c>
      <c r="I87" s="39">
        <f>'Data entry Wiesensee'!U87</f>
        <v>-31353.3122</v>
      </c>
      <c r="J87" s="39">
        <f>'Data entry Wiesensee'!X87</f>
        <v>-25355.134900000001</v>
      </c>
      <c r="K87" s="39">
        <f>'Data entry Wiesensee'!AA87</f>
        <v>-26597.2222</v>
      </c>
      <c r="L87" s="39">
        <f>'Data entry Wiesensee'!AD87</f>
        <v>-24579.718799999999</v>
      </c>
      <c r="M87" s="39">
        <f>'Data entry Wiesensee'!AG87</f>
        <v>-27927.552599999999</v>
      </c>
      <c r="N87" s="39">
        <f>'Data entry Wiesensee'!AJ87</f>
        <v>-24648.385999999999</v>
      </c>
      <c r="O87" s="39">
        <f>'Data entry Wiesensee'!AM87</f>
        <v>-28554</v>
      </c>
    </row>
    <row r="88" spans="2:15" x14ac:dyDescent="0.15">
      <c r="B88" s="40"/>
      <c r="C88" s="39">
        <f>'Data entry Wiesensee'!C88</f>
        <v>0</v>
      </c>
      <c r="D88" s="39">
        <f>'Data entry Wiesensee'!F88</f>
        <v>0</v>
      </c>
      <c r="E88" s="39">
        <f>'Data entry Wiesensee'!I88</f>
        <v>0</v>
      </c>
      <c r="F88" s="39">
        <f>'Data entry Wiesensee'!L88</f>
        <v>0</v>
      </c>
      <c r="G88" s="39">
        <f>'Data entry Wiesensee'!O88</f>
        <v>0</v>
      </c>
      <c r="H88" s="39">
        <f>'Data entry Wiesensee'!R88</f>
        <v>0</v>
      </c>
      <c r="I88" s="39">
        <f>'Data entry Wiesensee'!U88</f>
        <v>0</v>
      </c>
      <c r="J88" s="39">
        <f>'Data entry Wiesensee'!X88</f>
        <v>0</v>
      </c>
      <c r="K88" s="39">
        <f>'Data entry Wiesensee'!AA88</f>
        <v>0</v>
      </c>
      <c r="L88" s="39">
        <f>'Data entry Wiesensee'!AD88</f>
        <v>0</v>
      </c>
      <c r="M88" s="39">
        <f>'Data entry Wiesensee'!AG88</f>
        <v>0</v>
      </c>
      <c r="N88" s="39">
        <f>'Data entry Wiesensee'!AJ88</f>
        <v>0</v>
      </c>
      <c r="O88" s="39">
        <f>'Data entry Wiesensee'!AM88</f>
        <v>0</v>
      </c>
    </row>
    <row r="89" spans="2:15" ht="14" x14ac:dyDescent="0.15">
      <c r="B89" s="42" t="s">
        <v>23</v>
      </c>
      <c r="C89" s="39">
        <f>'Data entry Wiesensee'!C89</f>
        <v>120008.2077</v>
      </c>
      <c r="D89" s="39">
        <f>'Data entry Wiesensee'!F89</f>
        <v>-158854.84</v>
      </c>
      <c r="E89" s="39">
        <f>'Data entry Wiesensee'!I89</f>
        <v>-93163.13</v>
      </c>
      <c r="F89" s="39">
        <f>'Data entry Wiesensee'!L89</f>
        <v>55664.63</v>
      </c>
      <c r="G89" s="39">
        <f>'Data entry Wiesensee'!O89</f>
        <v>-127405.33</v>
      </c>
      <c r="H89" s="39">
        <f>'Data entry Wiesensee'!R89</f>
        <v>59799.731699999997</v>
      </c>
      <c r="I89" s="39">
        <f>'Data entry Wiesensee'!U89</f>
        <v>48790.780400000003</v>
      </c>
      <c r="J89" s="39">
        <f>'Data entry Wiesensee'!X89</f>
        <v>37286.643799999998</v>
      </c>
      <c r="K89" s="39">
        <f>'Data entry Wiesensee'!AA89</f>
        <v>146312.84849999999</v>
      </c>
      <c r="L89" s="39">
        <f>'Data entry Wiesensee'!AD89</f>
        <v>209292.24840000001</v>
      </c>
      <c r="M89" s="39">
        <f>'Data entry Wiesensee'!AG89</f>
        <v>4064.0747000000001</v>
      </c>
      <c r="N89" s="39">
        <f>'Data entry Wiesensee'!AJ89</f>
        <v>107.1705</v>
      </c>
      <c r="O89" s="39">
        <f>'Data entry Wiesensee'!AM89</f>
        <v>-61886.620300000002</v>
      </c>
    </row>
    <row r="90" spans="2:15" x14ac:dyDescent="0.15">
      <c r="B90" s="40"/>
      <c r="C90" s="39">
        <f>'Data entry Wiesensee'!C90</f>
        <v>0</v>
      </c>
      <c r="D90" s="39">
        <f>'Data entry Wiesensee'!F90</f>
        <v>0</v>
      </c>
      <c r="E90" s="39">
        <f>'Data entry Wiesensee'!I90</f>
        <v>0</v>
      </c>
      <c r="F90" s="39">
        <f>'Data entry Wiesensee'!L90</f>
        <v>0</v>
      </c>
      <c r="G90" s="39">
        <f>'Data entry Wiesensee'!O90</f>
        <v>0</v>
      </c>
      <c r="H90" s="39">
        <f>'Data entry Wiesensee'!R90</f>
        <v>0</v>
      </c>
      <c r="I90" s="39">
        <f>'Data entry Wiesensee'!U90</f>
        <v>0</v>
      </c>
      <c r="J90" s="39">
        <f>'Data entry Wiesensee'!X90</f>
        <v>0</v>
      </c>
      <c r="K90" s="39">
        <f>'Data entry Wiesensee'!AA90</f>
        <v>0</v>
      </c>
      <c r="L90" s="39">
        <f>'Data entry Wiesensee'!AD90</f>
        <v>0</v>
      </c>
      <c r="M90" s="39">
        <f>'Data entry Wiesensee'!AG90</f>
        <v>0</v>
      </c>
      <c r="N90" s="39">
        <f>'Data entry Wiesensee'!AJ90</f>
        <v>0</v>
      </c>
      <c r="O90" s="39">
        <f>'Data entry Wiesensee'!AM90</f>
        <v>0</v>
      </c>
    </row>
    <row r="91" spans="2:15" ht="14" x14ac:dyDescent="0.15">
      <c r="B91" s="42" t="s">
        <v>60</v>
      </c>
      <c r="C91" s="39">
        <f>'Data entry Wiesensee'!C91</f>
        <v>151177.09</v>
      </c>
      <c r="D91" s="39">
        <f>'Data entry Wiesensee'!F91</f>
        <v>0</v>
      </c>
      <c r="E91" s="39">
        <f>'Data entry Wiesensee'!I91</f>
        <v>166.67</v>
      </c>
      <c r="F91" s="39">
        <f>'Data entry Wiesensee'!L91</f>
        <v>0</v>
      </c>
      <c r="G91" s="39">
        <f>'Data entry Wiesensee'!O91</f>
        <v>50.42</v>
      </c>
      <c r="H91" s="39">
        <f>'Data entry Wiesensee'!R91</f>
        <v>120</v>
      </c>
      <c r="I91" s="39">
        <f>'Data entry Wiesensee'!U91</f>
        <v>120</v>
      </c>
      <c r="J91" s="39">
        <f>'Data entry Wiesensee'!X91</f>
        <v>150120</v>
      </c>
      <c r="K91" s="39">
        <f>'Data entry Wiesensee'!AA91</f>
        <v>120</v>
      </c>
      <c r="L91" s="39">
        <f>'Data entry Wiesensee'!AD91</f>
        <v>120</v>
      </c>
      <c r="M91" s="39">
        <f>'Data entry Wiesensee'!AG91</f>
        <v>120</v>
      </c>
      <c r="N91" s="39">
        <f>'Data entry Wiesensee'!AJ91</f>
        <v>120</v>
      </c>
      <c r="O91" s="39">
        <f>'Data entry Wiesensee'!AM91</f>
        <v>120</v>
      </c>
    </row>
    <row r="92" spans="2:15" ht="14" x14ac:dyDescent="0.15">
      <c r="B92" s="38" t="s">
        <v>61</v>
      </c>
      <c r="C92" s="39">
        <f>'Data entry Wiesensee'!C92</f>
        <v>1177.0899999999999</v>
      </c>
      <c r="D92" s="39">
        <f>'Data entry Wiesensee'!F92</f>
        <v>0</v>
      </c>
      <c r="E92" s="39">
        <f>'Data entry Wiesensee'!I92</f>
        <v>166.67</v>
      </c>
      <c r="F92" s="39">
        <f>'Data entry Wiesensee'!L92</f>
        <v>0</v>
      </c>
      <c r="G92" s="39">
        <f>'Data entry Wiesensee'!O92</f>
        <v>50.42</v>
      </c>
      <c r="H92" s="39">
        <f>'Data entry Wiesensee'!R92</f>
        <v>120</v>
      </c>
      <c r="I92" s="39">
        <f>'Data entry Wiesensee'!U92</f>
        <v>120</v>
      </c>
      <c r="J92" s="39">
        <f>'Data entry Wiesensee'!X92</f>
        <v>120</v>
      </c>
      <c r="K92" s="39">
        <f>'Data entry Wiesensee'!AA92</f>
        <v>120</v>
      </c>
      <c r="L92" s="39">
        <f>'Data entry Wiesensee'!AD92</f>
        <v>120</v>
      </c>
      <c r="M92" s="39">
        <f>'Data entry Wiesensee'!AG92</f>
        <v>120</v>
      </c>
      <c r="N92" s="39">
        <f>'Data entry Wiesensee'!AJ92</f>
        <v>120</v>
      </c>
      <c r="O92" s="39">
        <f>'Data entry Wiesensee'!AM92</f>
        <v>120</v>
      </c>
    </row>
    <row r="93" spans="2:15" ht="14" x14ac:dyDescent="0.15">
      <c r="B93" s="38" t="s">
        <v>62</v>
      </c>
      <c r="C93" s="39">
        <f>'Data entry Wiesensee'!C93</f>
        <v>150000</v>
      </c>
      <c r="D93" s="39">
        <f>'Data entry Wiesensee'!F93</f>
        <v>0</v>
      </c>
      <c r="E93" s="39">
        <f>'Data entry Wiesensee'!I93</f>
        <v>0</v>
      </c>
      <c r="F93" s="39">
        <f>'Data entry Wiesensee'!L93</f>
        <v>0</v>
      </c>
      <c r="G93" s="39">
        <f>'Data entry Wiesensee'!O93</f>
        <v>0</v>
      </c>
      <c r="H93" s="39">
        <f>'Data entry Wiesensee'!R93</f>
        <v>0</v>
      </c>
      <c r="I93" s="39">
        <f>'Data entry Wiesensee'!U93</f>
        <v>0</v>
      </c>
      <c r="J93" s="39">
        <f>'Data entry Wiesensee'!X93</f>
        <v>150000</v>
      </c>
      <c r="K93" s="39">
        <f>'Data entry Wiesensee'!AA93</f>
        <v>0</v>
      </c>
      <c r="L93" s="39">
        <f>'Data entry Wiesensee'!AD93</f>
        <v>0</v>
      </c>
      <c r="M93" s="39">
        <f>'Data entry Wiesensee'!AG93</f>
        <v>0</v>
      </c>
      <c r="N93" s="39">
        <f>'Data entry Wiesensee'!AJ93</f>
        <v>0</v>
      </c>
      <c r="O93" s="39">
        <f>'Data entry Wiesensee'!AM93</f>
        <v>0</v>
      </c>
    </row>
    <row r="94" spans="2:15" ht="14" x14ac:dyDescent="0.15">
      <c r="B94" s="38" t="s">
        <v>63</v>
      </c>
      <c r="C94" s="39">
        <f>'Data entry Wiesensee'!C94</f>
        <v>0</v>
      </c>
      <c r="D94" s="39">
        <f>'Data entry Wiesensee'!F94</f>
        <v>0</v>
      </c>
      <c r="E94" s="39">
        <f>'Data entry Wiesensee'!I94</f>
        <v>0</v>
      </c>
      <c r="F94" s="39">
        <f>'Data entry Wiesensee'!L94</f>
        <v>0</v>
      </c>
      <c r="G94" s="39">
        <f>'Data entry Wiesensee'!O94</f>
        <v>0</v>
      </c>
      <c r="H94" s="39">
        <f>'Data entry Wiesensee'!R94</f>
        <v>0</v>
      </c>
      <c r="I94" s="39">
        <f>'Data entry Wiesensee'!U94</f>
        <v>0</v>
      </c>
      <c r="J94" s="39">
        <f>'Data entry Wiesensee'!X94</f>
        <v>0</v>
      </c>
      <c r="K94" s="39">
        <f>'Data entry Wiesensee'!AA94</f>
        <v>0</v>
      </c>
      <c r="L94" s="39">
        <f>'Data entry Wiesensee'!AD94</f>
        <v>0</v>
      </c>
      <c r="M94" s="39">
        <f>'Data entry Wiesensee'!AG94</f>
        <v>0</v>
      </c>
      <c r="N94" s="39">
        <f>'Data entry Wiesensee'!AJ94</f>
        <v>0</v>
      </c>
      <c r="O94" s="39">
        <f>'Data entry Wiesensee'!AM94</f>
        <v>0</v>
      </c>
    </row>
    <row r="95" spans="2:15" ht="14" x14ac:dyDescent="0.15">
      <c r="B95" s="38" t="s">
        <v>64</v>
      </c>
      <c r="C95" s="39">
        <f>'Data entry Wiesensee'!C95</f>
        <v>0</v>
      </c>
      <c r="D95" s="39">
        <f>'Data entry Wiesensee'!F95</f>
        <v>0</v>
      </c>
      <c r="E95" s="39">
        <f>'Data entry Wiesensee'!I95</f>
        <v>0</v>
      </c>
      <c r="F95" s="39">
        <f>'Data entry Wiesensee'!L95</f>
        <v>0</v>
      </c>
      <c r="G95" s="39">
        <f>'Data entry Wiesensee'!O95</f>
        <v>0</v>
      </c>
      <c r="H95" s="39">
        <f>'Data entry Wiesensee'!R95</f>
        <v>0</v>
      </c>
      <c r="I95" s="39">
        <f>'Data entry Wiesensee'!U95</f>
        <v>0</v>
      </c>
      <c r="J95" s="39">
        <f>'Data entry Wiesensee'!X95</f>
        <v>0</v>
      </c>
      <c r="K95" s="39">
        <f>'Data entry Wiesensee'!AA95</f>
        <v>0</v>
      </c>
      <c r="L95" s="39">
        <f>'Data entry Wiesensee'!AD95</f>
        <v>0</v>
      </c>
      <c r="M95" s="39">
        <f>'Data entry Wiesensee'!AG95</f>
        <v>0</v>
      </c>
      <c r="N95" s="39">
        <f>'Data entry Wiesensee'!AJ95</f>
        <v>0</v>
      </c>
      <c r="O95" s="39">
        <f>'Data entry Wiesensee'!AM95</f>
        <v>0</v>
      </c>
    </row>
    <row r="96" spans="2:15" x14ac:dyDescent="0.15">
      <c r="B96" s="40"/>
      <c r="C96" s="39">
        <f>'Data entry Wiesensee'!C96</f>
        <v>0</v>
      </c>
      <c r="D96" s="39">
        <f>'Data entry Wiesensee'!F96</f>
        <v>0</v>
      </c>
      <c r="E96" s="39">
        <f>'Data entry Wiesensee'!I96</f>
        <v>0</v>
      </c>
      <c r="F96" s="39">
        <f>'Data entry Wiesensee'!L96</f>
        <v>0</v>
      </c>
      <c r="G96" s="39">
        <f>'Data entry Wiesensee'!O96</f>
        <v>0</v>
      </c>
      <c r="H96" s="39">
        <f>'Data entry Wiesensee'!R96</f>
        <v>0</v>
      </c>
      <c r="I96" s="39">
        <f>'Data entry Wiesensee'!U96</f>
        <v>0</v>
      </c>
      <c r="J96" s="39">
        <f>'Data entry Wiesensee'!X96</f>
        <v>0</v>
      </c>
      <c r="K96" s="39">
        <f>'Data entry Wiesensee'!AA96</f>
        <v>0</v>
      </c>
      <c r="L96" s="39">
        <f>'Data entry Wiesensee'!AD96</f>
        <v>0</v>
      </c>
      <c r="M96" s="39">
        <f>'Data entry Wiesensee'!AG96</f>
        <v>0</v>
      </c>
      <c r="N96" s="39">
        <f>'Data entry Wiesensee'!AJ96</f>
        <v>0</v>
      </c>
      <c r="O96" s="39">
        <f>'Data entry Wiesensee'!AM96</f>
        <v>0</v>
      </c>
    </row>
    <row r="97" spans="2:15" ht="14" x14ac:dyDescent="0.15">
      <c r="B97" s="42" t="s">
        <v>65</v>
      </c>
      <c r="C97" s="39">
        <f>'Data entry Wiesensee'!C97</f>
        <v>274000</v>
      </c>
      <c r="D97" s="39">
        <f>'Data entry Wiesensee'!F97</f>
        <v>0</v>
      </c>
      <c r="E97" s="39">
        <f>'Data entry Wiesensee'!I97</f>
        <v>0</v>
      </c>
      <c r="F97" s="39">
        <f>'Data entry Wiesensee'!L97</f>
        <v>0</v>
      </c>
      <c r="G97" s="39">
        <f>'Data entry Wiesensee'!O97</f>
        <v>0</v>
      </c>
      <c r="H97" s="39">
        <f>'Data entry Wiesensee'!R97</f>
        <v>15000</v>
      </c>
      <c r="I97" s="39">
        <f>'Data entry Wiesensee'!U97</f>
        <v>15000</v>
      </c>
      <c r="J97" s="39">
        <f>'Data entry Wiesensee'!X97</f>
        <v>169000</v>
      </c>
      <c r="K97" s="39">
        <f>'Data entry Wiesensee'!AA97</f>
        <v>15000</v>
      </c>
      <c r="L97" s="39">
        <f>'Data entry Wiesensee'!AD97</f>
        <v>15000</v>
      </c>
      <c r="M97" s="39">
        <f>'Data entry Wiesensee'!AG97</f>
        <v>15000</v>
      </c>
      <c r="N97" s="39">
        <f>'Data entry Wiesensee'!AJ97</f>
        <v>15000</v>
      </c>
      <c r="O97" s="39">
        <f>'Data entry Wiesensee'!AM97</f>
        <v>15000</v>
      </c>
    </row>
    <row r="98" spans="2:15" ht="14" x14ac:dyDescent="0.15">
      <c r="B98" s="38" t="s">
        <v>66</v>
      </c>
      <c r="C98" s="39">
        <f>'Data entry Wiesensee'!C98</f>
        <v>0</v>
      </c>
      <c r="D98" s="39">
        <f>'Data entry Wiesensee'!F98</f>
        <v>0</v>
      </c>
      <c r="E98" s="39">
        <f>'Data entry Wiesensee'!I98</f>
        <v>0</v>
      </c>
      <c r="F98" s="39">
        <f>'Data entry Wiesensee'!L98</f>
        <v>0</v>
      </c>
      <c r="G98" s="39">
        <f>'Data entry Wiesensee'!O98</f>
        <v>0</v>
      </c>
      <c r="H98" s="39">
        <f>'Data entry Wiesensee'!R98</f>
        <v>0</v>
      </c>
      <c r="I98" s="39">
        <f>'Data entry Wiesensee'!U98</f>
        <v>0</v>
      </c>
      <c r="J98" s="39">
        <f>'Data entry Wiesensee'!X98</f>
        <v>0</v>
      </c>
      <c r="K98" s="39">
        <f>'Data entry Wiesensee'!AA98</f>
        <v>0</v>
      </c>
      <c r="L98" s="39">
        <f>'Data entry Wiesensee'!AD98</f>
        <v>0</v>
      </c>
      <c r="M98" s="39">
        <f>'Data entry Wiesensee'!AG98</f>
        <v>0</v>
      </c>
      <c r="N98" s="39">
        <f>'Data entry Wiesensee'!AJ98</f>
        <v>0</v>
      </c>
      <c r="O98" s="39">
        <f>'Data entry Wiesensee'!AM98</f>
        <v>0</v>
      </c>
    </row>
    <row r="99" spans="2:15" ht="14" x14ac:dyDescent="0.15">
      <c r="B99" s="38" t="s">
        <v>67</v>
      </c>
      <c r="C99" s="39">
        <f>'Data entry Wiesensee'!C99</f>
        <v>274000</v>
      </c>
      <c r="D99" s="39">
        <f>'Data entry Wiesensee'!F99</f>
        <v>0</v>
      </c>
      <c r="E99" s="39">
        <f>'Data entry Wiesensee'!I99</f>
        <v>0</v>
      </c>
      <c r="F99" s="39">
        <f>'Data entry Wiesensee'!L99</f>
        <v>0</v>
      </c>
      <c r="G99" s="39">
        <f>'Data entry Wiesensee'!O99</f>
        <v>0</v>
      </c>
      <c r="H99" s="39">
        <f>'Data entry Wiesensee'!R99</f>
        <v>15000</v>
      </c>
      <c r="I99" s="39">
        <f>'Data entry Wiesensee'!U99</f>
        <v>15000</v>
      </c>
      <c r="J99" s="39">
        <f>'Data entry Wiesensee'!X99</f>
        <v>169000</v>
      </c>
      <c r="K99" s="39">
        <f>'Data entry Wiesensee'!AA99</f>
        <v>15000</v>
      </c>
      <c r="L99" s="39">
        <f>'Data entry Wiesensee'!AD99</f>
        <v>15000</v>
      </c>
      <c r="M99" s="39">
        <f>'Data entry Wiesensee'!AG99</f>
        <v>15000</v>
      </c>
      <c r="N99" s="39">
        <f>'Data entry Wiesensee'!AJ99</f>
        <v>15000</v>
      </c>
      <c r="O99" s="39">
        <f>'Data entry Wiesensee'!AM99</f>
        <v>15000</v>
      </c>
    </row>
    <row r="100" spans="2:15" x14ac:dyDescent="0.15">
      <c r="B100" s="40"/>
      <c r="C100" s="39">
        <f>'Data entry Wiesensee'!C100</f>
        <v>0</v>
      </c>
      <c r="D100" s="39">
        <f>'Data entry Wiesensee'!F100</f>
        <v>0</v>
      </c>
      <c r="E100" s="39">
        <f>'Data entry Wiesensee'!I100</f>
        <v>0</v>
      </c>
      <c r="F100" s="39">
        <f>'Data entry Wiesensee'!L100</f>
        <v>0</v>
      </c>
      <c r="G100" s="39">
        <f>'Data entry Wiesensee'!O100</f>
        <v>0</v>
      </c>
      <c r="H100" s="39">
        <f>'Data entry Wiesensee'!R100</f>
        <v>0</v>
      </c>
      <c r="I100" s="39">
        <f>'Data entry Wiesensee'!U100</f>
        <v>0</v>
      </c>
      <c r="J100" s="39">
        <f>'Data entry Wiesensee'!X100</f>
        <v>0</v>
      </c>
      <c r="K100" s="39">
        <f>'Data entry Wiesensee'!AA100</f>
        <v>0</v>
      </c>
      <c r="L100" s="39">
        <f>'Data entry Wiesensee'!AD100</f>
        <v>0</v>
      </c>
      <c r="M100" s="39">
        <f>'Data entry Wiesensee'!AG100</f>
        <v>0</v>
      </c>
      <c r="N100" s="39">
        <f>'Data entry Wiesensee'!AJ100</f>
        <v>0</v>
      </c>
      <c r="O100" s="39">
        <f>'Data entry Wiesensee'!AM100</f>
        <v>0</v>
      </c>
    </row>
    <row r="101" spans="2:15" ht="28" x14ac:dyDescent="0.15">
      <c r="B101" s="42" t="s">
        <v>68</v>
      </c>
      <c r="C101" s="39">
        <f>'Data entry Wiesensee'!C101</f>
        <v>-122822.91</v>
      </c>
      <c r="D101" s="39">
        <f>'Data entry Wiesensee'!F101</f>
        <v>0</v>
      </c>
      <c r="E101" s="39">
        <f>'Data entry Wiesensee'!I101</f>
        <v>166.67</v>
      </c>
      <c r="F101" s="39">
        <f>'Data entry Wiesensee'!L101</f>
        <v>0</v>
      </c>
      <c r="G101" s="39">
        <f>'Data entry Wiesensee'!O101</f>
        <v>50.42</v>
      </c>
      <c r="H101" s="39">
        <f>'Data entry Wiesensee'!R101</f>
        <v>-14880</v>
      </c>
      <c r="I101" s="39">
        <f>'Data entry Wiesensee'!U101</f>
        <v>-14880</v>
      </c>
      <c r="J101" s="39">
        <f>'Data entry Wiesensee'!X101</f>
        <v>-18880</v>
      </c>
      <c r="K101" s="39">
        <f>'Data entry Wiesensee'!AA101</f>
        <v>-14880</v>
      </c>
      <c r="L101" s="39">
        <f>'Data entry Wiesensee'!AD101</f>
        <v>-14880</v>
      </c>
      <c r="M101" s="39">
        <f>'Data entry Wiesensee'!AG101</f>
        <v>-14880</v>
      </c>
      <c r="N101" s="39">
        <f>'Data entry Wiesensee'!AJ101</f>
        <v>-14880</v>
      </c>
      <c r="O101" s="39">
        <f>'Data entry Wiesensee'!AM101</f>
        <v>-14880</v>
      </c>
    </row>
    <row r="102" spans="2:15" x14ac:dyDescent="0.15">
      <c r="B102" s="40"/>
      <c r="C102" s="39">
        <f>'Data entry Wiesensee'!C102</f>
        <v>0</v>
      </c>
      <c r="D102" s="39">
        <f>'Data entry Wiesensee'!F102</f>
        <v>0</v>
      </c>
      <c r="E102" s="39">
        <f>'Data entry Wiesensee'!I102</f>
        <v>0</v>
      </c>
      <c r="F102" s="39">
        <f>'Data entry Wiesensee'!L102</f>
        <v>0</v>
      </c>
      <c r="G102" s="39">
        <f>'Data entry Wiesensee'!O102</f>
        <v>0</v>
      </c>
      <c r="H102" s="39">
        <f>'Data entry Wiesensee'!R102</f>
        <v>0</v>
      </c>
      <c r="I102" s="39">
        <f>'Data entry Wiesensee'!U102</f>
        <v>0</v>
      </c>
      <c r="J102" s="39">
        <f>'Data entry Wiesensee'!X102</f>
        <v>0</v>
      </c>
      <c r="K102" s="39">
        <f>'Data entry Wiesensee'!AA102</f>
        <v>0</v>
      </c>
      <c r="L102" s="39">
        <f>'Data entry Wiesensee'!AD102</f>
        <v>0</v>
      </c>
      <c r="M102" s="39">
        <f>'Data entry Wiesensee'!AG102</f>
        <v>0</v>
      </c>
      <c r="N102" s="39">
        <f>'Data entry Wiesensee'!AJ102</f>
        <v>0</v>
      </c>
      <c r="O102" s="39">
        <f>'Data entry Wiesensee'!AM102</f>
        <v>0</v>
      </c>
    </row>
    <row r="103" spans="2:15" ht="14" x14ac:dyDescent="0.15">
      <c r="B103" s="42" t="s">
        <v>69</v>
      </c>
      <c r="C103" s="39">
        <f>'Data entry Wiesensee'!C103</f>
        <v>-2814.7022999999999</v>
      </c>
      <c r="D103" s="39">
        <f>'Data entry Wiesensee'!F103</f>
        <v>-158854.84</v>
      </c>
      <c r="E103" s="39">
        <f>'Data entry Wiesensee'!I103</f>
        <v>-92996.46</v>
      </c>
      <c r="F103" s="39">
        <f>'Data entry Wiesensee'!L103</f>
        <v>55664.63</v>
      </c>
      <c r="G103" s="39">
        <f>'Data entry Wiesensee'!O103</f>
        <v>-127354.91</v>
      </c>
      <c r="H103" s="39">
        <f>'Data entry Wiesensee'!R103</f>
        <v>44919.731699999997</v>
      </c>
      <c r="I103" s="39">
        <f>'Data entry Wiesensee'!U103</f>
        <v>33910.780400000003</v>
      </c>
      <c r="J103" s="39">
        <f>'Data entry Wiesensee'!X103</f>
        <v>18406.643800000002</v>
      </c>
      <c r="K103" s="39">
        <f>'Data entry Wiesensee'!AA103</f>
        <v>131432.84849999999</v>
      </c>
      <c r="L103" s="39">
        <f>'Data entry Wiesensee'!AD103</f>
        <v>194412.24840000001</v>
      </c>
      <c r="M103" s="39">
        <f>'Data entry Wiesensee'!AG103</f>
        <v>-10815.925300000001</v>
      </c>
      <c r="N103" s="39">
        <f>'Data entry Wiesensee'!AJ103</f>
        <v>-14772.8295</v>
      </c>
      <c r="O103" s="39">
        <f>'Data entry Wiesensee'!AM103</f>
        <v>-76766.620299999995</v>
      </c>
    </row>
    <row r="104" spans="2:15" x14ac:dyDescent="0.15">
      <c r="B104" s="40"/>
      <c r="C104" s="39">
        <f>'Data entry Wiesensee'!C104</f>
        <v>0</v>
      </c>
      <c r="D104" s="39">
        <f>'Data entry Wiesensee'!F104</f>
        <v>0</v>
      </c>
      <c r="E104" s="39">
        <f>'Data entry Wiesensee'!I104</f>
        <v>0</v>
      </c>
      <c r="F104" s="39">
        <f>'Data entry Wiesensee'!L104</f>
        <v>0</v>
      </c>
      <c r="G104" s="39">
        <f>'Data entry Wiesensee'!O104</f>
        <v>0</v>
      </c>
      <c r="H104" s="39">
        <f>'Data entry Wiesensee'!R104</f>
        <v>0</v>
      </c>
      <c r="I104" s="39">
        <f>'Data entry Wiesensee'!U104</f>
        <v>0</v>
      </c>
      <c r="J104" s="39">
        <f>'Data entry Wiesensee'!X104</f>
        <v>0</v>
      </c>
      <c r="K104" s="39">
        <f>'Data entry Wiesensee'!AA104</f>
        <v>0</v>
      </c>
      <c r="L104" s="39">
        <f>'Data entry Wiesensee'!AD104</f>
        <v>0</v>
      </c>
      <c r="M104" s="39">
        <f>'Data entry Wiesensee'!AG104</f>
        <v>0</v>
      </c>
      <c r="N104" s="39">
        <f>'Data entry Wiesensee'!AJ104</f>
        <v>0</v>
      </c>
      <c r="O104" s="39">
        <f>'Data entry Wiesensee'!AM104</f>
        <v>0</v>
      </c>
    </row>
    <row r="105" spans="2:15" ht="14" x14ac:dyDescent="0.15">
      <c r="B105" s="42" t="s">
        <v>70</v>
      </c>
      <c r="C105" s="39">
        <f>'Data entry Wiesensee'!C105</f>
        <v>147050.95000000001</v>
      </c>
      <c r="D105" s="39">
        <f>'Data entry Wiesensee'!F105</f>
        <v>8647.14</v>
      </c>
      <c r="E105" s="39">
        <f>'Data entry Wiesensee'!I105</f>
        <v>7312.14</v>
      </c>
      <c r="F105" s="39">
        <f>'Data entry Wiesensee'!L105</f>
        <v>11627.61</v>
      </c>
      <c r="G105" s="39">
        <f>'Data entry Wiesensee'!O105</f>
        <v>33464.06</v>
      </c>
      <c r="H105" s="39">
        <f>'Data entry Wiesensee'!R105</f>
        <v>10750</v>
      </c>
      <c r="I105" s="39">
        <f>'Data entry Wiesensee'!U105</f>
        <v>10750</v>
      </c>
      <c r="J105" s="39">
        <f>'Data entry Wiesensee'!X105</f>
        <v>10750</v>
      </c>
      <c r="K105" s="39">
        <f>'Data entry Wiesensee'!AA105</f>
        <v>10750</v>
      </c>
      <c r="L105" s="39">
        <f>'Data entry Wiesensee'!AD105</f>
        <v>10750</v>
      </c>
      <c r="M105" s="39">
        <f>'Data entry Wiesensee'!AG105</f>
        <v>10750</v>
      </c>
      <c r="N105" s="39">
        <f>'Data entry Wiesensee'!AJ105</f>
        <v>10750</v>
      </c>
      <c r="O105" s="39">
        <f>'Data entry Wiesensee'!AM105</f>
        <v>10750</v>
      </c>
    </row>
    <row r="106" spans="2:15" ht="14" x14ac:dyDescent="0.15">
      <c r="B106" s="38" t="s">
        <v>71</v>
      </c>
      <c r="C106" s="39">
        <f>'Data entry Wiesensee'!C106</f>
        <v>21836.45</v>
      </c>
      <c r="D106" s="39">
        <f>'Data entry Wiesensee'!F106</f>
        <v>0</v>
      </c>
      <c r="E106" s="39">
        <f>'Data entry Wiesensee'!I106</f>
        <v>0</v>
      </c>
      <c r="F106" s="39">
        <f>'Data entry Wiesensee'!L106</f>
        <v>0</v>
      </c>
      <c r="G106" s="39">
        <f>'Data entry Wiesensee'!O106</f>
        <v>21836.45</v>
      </c>
      <c r="H106" s="39">
        <f>'Data entry Wiesensee'!R106</f>
        <v>0</v>
      </c>
      <c r="I106" s="39">
        <f>'Data entry Wiesensee'!U106</f>
        <v>0</v>
      </c>
      <c r="J106" s="39">
        <f>'Data entry Wiesensee'!X106</f>
        <v>0</v>
      </c>
      <c r="K106" s="39">
        <f>'Data entry Wiesensee'!AA106</f>
        <v>0</v>
      </c>
      <c r="L106" s="39">
        <f>'Data entry Wiesensee'!AD106</f>
        <v>0</v>
      </c>
      <c r="M106" s="39">
        <f>'Data entry Wiesensee'!AG106</f>
        <v>0</v>
      </c>
      <c r="N106" s="39">
        <f>'Data entry Wiesensee'!AJ106</f>
        <v>0</v>
      </c>
      <c r="O106" s="39">
        <f>'Data entry Wiesensee'!AM106</f>
        <v>0</v>
      </c>
    </row>
    <row r="107" spans="2:15" ht="14" x14ac:dyDescent="0.15">
      <c r="B107" s="38" t="s">
        <v>72</v>
      </c>
      <c r="C107" s="39">
        <f>'Data entry Wiesensee'!C107</f>
        <v>0</v>
      </c>
      <c r="D107" s="39">
        <f>'Data entry Wiesensee'!F107</f>
        <v>0</v>
      </c>
      <c r="E107" s="39">
        <f>'Data entry Wiesensee'!I107</f>
        <v>0</v>
      </c>
      <c r="F107" s="39">
        <f>'Data entry Wiesensee'!L107</f>
        <v>0</v>
      </c>
      <c r="G107" s="39">
        <f>'Data entry Wiesensee'!O107</f>
        <v>0</v>
      </c>
      <c r="H107" s="39">
        <f>'Data entry Wiesensee'!R107</f>
        <v>0</v>
      </c>
      <c r="I107" s="39">
        <f>'Data entry Wiesensee'!U107</f>
        <v>0</v>
      </c>
      <c r="J107" s="39">
        <f>'Data entry Wiesensee'!X107</f>
        <v>0</v>
      </c>
      <c r="K107" s="39">
        <f>'Data entry Wiesensee'!AA107</f>
        <v>0</v>
      </c>
      <c r="L107" s="39">
        <f>'Data entry Wiesensee'!AD107</f>
        <v>0</v>
      </c>
      <c r="M107" s="39">
        <f>'Data entry Wiesensee'!AG107</f>
        <v>0</v>
      </c>
      <c r="N107" s="39">
        <f>'Data entry Wiesensee'!AJ107</f>
        <v>0</v>
      </c>
      <c r="O107" s="39">
        <f>'Data entry Wiesensee'!AM107</f>
        <v>0</v>
      </c>
    </row>
    <row r="108" spans="2:15" ht="14" x14ac:dyDescent="0.15">
      <c r="B108" s="38" t="s">
        <v>73</v>
      </c>
      <c r="C108" s="39">
        <f>'Data entry Wiesensee'!C108</f>
        <v>55200</v>
      </c>
      <c r="D108" s="39">
        <f>'Data entry Wiesensee'!F108</f>
        <v>3000</v>
      </c>
      <c r="E108" s="39">
        <f>'Data entry Wiesensee'!I108</f>
        <v>3000</v>
      </c>
      <c r="F108" s="39">
        <f>'Data entry Wiesensee'!L108</f>
        <v>3000</v>
      </c>
      <c r="G108" s="39">
        <f>'Data entry Wiesensee'!O108</f>
        <v>3000</v>
      </c>
      <c r="H108" s="39">
        <f>'Data entry Wiesensee'!R108</f>
        <v>5400</v>
      </c>
      <c r="I108" s="39">
        <f>'Data entry Wiesensee'!U108</f>
        <v>5400</v>
      </c>
      <c r="J108" s="39">
        <f>'Data entry Wiesensee'!X108</f>
        <v>5400</v>
      </c>
      <c r="K108" s="39">
        <f>'Data entry Wiesensee'!AA108</f>
        <v>5400</v>
      </c>
      <c r="L108" s="39">
        <f>'Data entry Wiesensee'!AD108</f>
        <v>5400</v>
      </c>
      <c r="M108" s="39">
        <f>'Data entry Wiesensee'!AG108</f>
        <v>5400</v>
      </c>
      <c r="N108" s="39">
        <f>'Data entry Wiesensee'!AJ108</f>
        <v>5400</v>
      </c>
      <c r="O108" s="39">
        <f>'Data entry Wiesensee'!AM108</f>
        <v>5400</v>
      </c>
    </row>
    <row r="109" spans="2:15" ht="14" x14ac:dyDescent="0.15">
      <c r="B109" s="38" t="s">
        <v>74</v>
      </c>
      <c r="C109" s="39">
        <f>'Data entry Wiesensee'!C109</f>
        <v>37347.82</v>
      </c>
      <c r="D109" s="39">
        <f>'Data entry Wiesensee'!F109</f>
        <v>2980.47</v>
      </c>
      <c r="E109" s="39">
        <f>'Data entry Wiesensee'!I109</f>
        <v>1645.47</v>
      </c>
      <c r="F109" s="39">
        <f>'Data entry Wiesensee'!L109</f>
        <v>5960.94</v>
      </c>
      <c r="G109" s="39">
        <f>'Data entry Wiesensee'!O109</f>
        <v>5960.94</v>
      </c>
      <c r="H109" s="39">
        <f>'Data entry Wiesensee'!R109</f>
        <v>2600</v>
      </c>
      <c r="I109" s="39">
        <f>'Data entry Wiesensee'!U109</f>
        <v>2600</v>
      </c>
      <c r="J109" s="39">
        <f>'Data entry Wiesensee'!X109</f>
        <v>2600</v>
      </c>
      <c r="K109" s="39">
        <f>'Data entry Wiesensee'!AA109</f>
        <v>2600</v>
      </c>
      <c r="L109" s="39">
        <f>'Data entry Wiesensee'!AD109</f>
        <v>2600</v>
      </c>
      <c r="M109" s="39">
        <f>'Data entry Wiesensee'!AG109</f>
        <v>2600</v>
      </c>
      <c r="N109" s="39">
        <f>'Data entry Wiesensee'!AJ109</f>
        <v>2600</v>
      </c>
      <c r="O109" s="39">
        <f>'Data entry Wiesensee'!AM109</f>
        <v>2600</v>
      </c>
    </row>
    <row r="110" spans="2:15" ht="14" x14ac:dyDescent="0.15">
      <c r="B110" s="38" t="s">
        <v>75</v>
      </c>
      <c r="C110" s="39">
        <f>'Data entry Wiesensee'!C110</f>
        <v>32666.68</v>
      </c>
      <c r="D110" s="39">
        <f>'Data entry Wiesensee'!F110</f>
        <v>2666.67</v>
      </c>
      <c r="E110" s="39">
        <f>'Data entry Wiesensee'!I110</f>
        <v>2666.67</v>
      </c>
      <c r="F110" s="39">
        <f>'Data entry Wiesensee'!L110</f>
        <v>2666.67</v>
      </c>
      <c r="G110" s="39">
        <f>'Data entry Wiesensee'!O110</f>
        <v>2666.67</v>
      </c>
      <c r="H110" s="39">
        <f>'Data entry Wiesensee'!R110</f>
        <v>2750</v>
      </c>
      <c r="I110" s="39">
        <f>'Data entry Wiesensee'!U110</f>
        <v>2750</v>
      </c>
      <c r="J110" s="39">
        <f>'Data entry Wiesensee'!X110</f>
        <v>2750</v>
      </c>
      <c r="K110" s="39">
        <f>'Data entry Wiesensee'!AA110</f>
        <v>2750</v>
      </c>
      <c r="L110" s="39">
        <f>'Data entry Wiesensee'!AD110</f>
        <v>2750</v>
      </c>
      <c r="M110" s="39">
        <f>'Data entry Wiesensee'!AG110</f>
        <v>2750</v>
      </c>
      <c r="N110" s="39">
        <f>'Data entry Wiesensee'!AJ110</f>
        <v>2750</v>
      </c>
      <c r="O110" s="39">
        <f>'Data entry Wiesensee'!AM110</f>
        <v>2750</v>
      </c>
    </row>
    <row r="111" spans="2:15" ht="14" x14ac:dyDescent="0.15">
      <c r="B111" s="38" t="s">
        <v>76</v>
      </c>
      <c r="C111" s="39">
        <f>'Data entry Wiesensee'!C111</f>
        <v>0</v>
      </c>
      <c r="D111" s="39">
        <f>'Data entry Wiesensee'!F111</f>
        <v>0</v>
      </c>
      <c r="E111" s="39">
        <f>'Data entry Wiesensee'!I111</f>
        <v>0</v>
      </c>
      <c r="F111" s="39">
        <f>'Data entry Wiesensee'!L111</f>
        <v>0</v>
      </c>
      <c r="G111" s="39">
        <f>'Data entry Wiesensee'!O111</f>
        <v>0</v>
      </c>
      <c r="H111" s="39">
        <f>'Data entry Wiesensee'!R111</f>
        <v>0</v>
      </c>
      <c r="I111" s="39">
        <f>'Data entry Wiesensee'!U111</f>
        <v>0</v>
      </c>
      <c r="J111" s="39">
        <f>'Data entry Wiesensee'!X111</f>
        <v>0</v>
      </c>
      <c r="K111" s="39">
        <f>'Data entry Wiesensee'!AA111</f>
        <v>0</v>
      </c>
      <c r="L111" s="39">
        <f>'Data entry Wiesensee'!AD111</f>
        <v>0</v>
      </c>
      <c r="M111" s="39">
        <f>'Data entry Wiesensee'!AG111</f>
        <v>0</v>
      </c>
      <c r="N111" s="39">
        <f>'Data entry Wiesensee'!AJ111</f>
        <v>0</v>
      </c>
      <c r="O111" s="39">
        <f>'Data entry Wiesensee'!AM111</f>
        <v>0</v>
      </c>
    </row>
    <row r="112" spans="2:15" ht="14" x14ac:dyDescent="0.15">
      <c r="B112" s="38" t="s">
        <v>77</v>
      </c>
      <c r="C112" s="39">
        <f>'Data entry Wiesensee'!C112</f>
        <v>0</v>
      </c>
      <c r="D112" s="39">
        <f>'Data entry Wiesensee'!F112</f>
        <v>0</v>
      </c>
      <c r="E112" s="39">
        <f>'Data entry Wiesensee'!I112</f>
        <v>0</v>
      </c>
      <c r="F112" s="39">
        <f>'Data entry Wiesensee'!L112</f>
        <v>0</v>
      </c>
      <c r="G112" s="39">
        <f>'Data entry Wiesensee'!O112</f>
        <v>0</v>
      </c>
      <c r="H112" s="39">
        <f>'Data entry Wiesensee'!R112</f>
        <v>0</v>
      </c>
      <c r="I112" s="39">
        <f>'Data entry Wiesensee'!U112</f>
        <v>0</v>
      </c>
      <c r="J112" s="39">
        <f>'Data entry Wiesensee'!X112</f>
        <v>0</v>
      </c>
      <c r="K112" s="39">
        <f>'Data entry Wiesensee'!AA112</f>
        <v>0</v>
      </c>
      <c r="L112" s="39">
        <f>'Data entry Wiesensee'!AD112</f>
        <v>0</v>
      </c>
      <c r="M112" s="39">
        <f>'Data entry Wiesensee'!AG112</f>
        <v>0</v>
      </c>
      <c r="N112" s="39">
        <f>'Data entry Wiesensee'!AJ112</f>
        <v>0</v>
      </c>
      <c r="O112" s="39">
        <f>'Data entry Wiesensee'!AM112</f>
        <v>0</v>
      </c>
    </row>
    <row r="113" spans="2:15" ht="14" x14ac:dyDescent="0.15">
      <c r="B113" s="38" t="s">
        <v>78</v>
      </c>
      <c r="C113" s="39">
        <f>'Data entry Wiesensee'!C113</f>
        <v>0</v>
      </c>
      <c r="D113" s="39">
        <f>'Data entry Wiesensee'!F113</f>
        <v>0</v>
      </c>
      <c r="E113" s="39">
        <f>'Data entry Wiesensee'!I113</f>
        <v>0</v>
      </c>
      <c r="F113" s="39">
        <f>'Data entry Wiesensee'!L113</f>
        <v>0</v>
      </c>
      <c r="G113" s="39">
        <f>'Data entry Wiesensee'!O113</f>
        <v>0</v>
      </c>
      <c r="H113" s="39">
        <f>'Data entry Wiesensee'!R113</f>
        <v>0</v>
      </c>
      <c r="I113" s="39">
        <f>'Data entry Wiesensee'!U113</f>
        <v>0</v>
      </c>
      <c r="J113" s="39">
        <f>'Data entry Wiesensee'!X113</f>
        <v>0</v>
      </c>
      <c r="K113" s="39">
        <f>'Data entry Wiesensee'!AA113</f>
        <v>0</v>
      </c>
      <c r="L113" s="39">
        <f>'Data entry Wiesensee'!AD113</f>
        <v>0</v>
      </c>
      <c r="M113" s="39">
        <f>'Data entry Wiesensee'!AG113</f>
        <v>0</v>
      </c>
      <c r="N113" s="39">
        <f>'Data entry Wiesensee'!AJ113</f>
        <v>0</v>
      </c>
      <c r="O113" s="39">
        <f>'Data entry Wiesensee'!AM113</f>
        <v>0</v>
      </c>
    </row>
    <row r="114" spans="2:15" ht="14" x14ac:dyDescent="0.15">
      <c r="B114" s="38" t="s">
        <v>79</v>
      </c>
      <c r="C114" s="39">
        <f>'Data entry Wiesensee'!C114</f>
        <v>0</v>
      </c>
      <c r="D114" s="39">
        <f>'Data entry Wiesensee'!F114</f>
        <v>0</v>
      </c>
      <c r="E114" s="39">
        <f>'Data entry Wiesensee'!I114</f>
        <v>0</v>
      </c>
      <c r="F114" s="39">
        <f>'Data entry Wiesensee'!L114</f>
        <v>0</v>
      </c>
      <c r="G114" s="39">
        <f>'Data entry Wiesensee'!O114</f>
        <v>0</v>
      </c>
      <c r="H114" s="39">
        <f>'Data entry Wiesensee'!R114</f>
        <v>0</v>
      </c>
      <c r="I114" s="39">
        <f>'Data entry Wiesensee'!U114</f>
        <v>0</v>
      </c>
      <c r="J114" s="39">
        <f>'Data entry Wiesensee'!X114</f>
        <v>0</v>
      </c>
      <c r="K114" s="39">
        <f>'Data entry Wiesensee'!AA114</f>
        <v>0</v>
      </c>
      <c r="L114" s="39">
        <f>'Data entry Wiesensee'!AD114</f>
        <v>0</v>
      </c>
      <c r="M114" s="39">
        <f>'Data entry Wiesensee'!AG114</f>
        <v>0</v>
      </c>
      <c r="N114" s="39">
        <f>'Data entry Wiesensee'!AJ114</f>
        <v>0</v>
      </c>
      <c r="O114" s="39">
        <f>'Data entry Wiesensee'!AM114</f>
        <v>0</v>
      </c>
    </row>
    <row r="115" spans="2:15" ht="14" x14ac:dyDescent="0.15">
      <c r="B115" s="38" t="s">
        <v>80</v>
      </c>
      <c r="C115" s="39">
        <f>'Data entry Wiesensee'!C115</f>
        <v>0</v>
      </c>
      <c r="D115" s="39">
        <f>'Data entry Wiesensee'!F115</f>
        <v>0</v>
      </c>
      <c r="E115" s="39">
        <f>'Data entry Wiesensee'!I115</f>
        <v>0</v>
      </c>
      <c r="F115" s="39">
        <f>'Data entry Wiesensee'!L115</f>
        <v>0</v>
      </c>
      <c r="G115" s="39">
        <f>'Data entry Wiesensee'!O115</f>
        <v>0</v>
      </c>
      <c r="H115" s="39">
        <f>'Data entry Wiesensee'!R115</f>
        <v>0</v>
      </c>
      <c r="I115" s="39">
        <f>'Data entry Wiesensee'!U115</f>
        <v>0</v>
      </c>
      <c r="J115" s="39">
        <f>'Data entry Wiesensee'!X115</f>
        <v>0</v>
      </c>
      <c r="K115" s="39">
        <f>'Data entry Wiesensee'!AA115</f>
        <v>0</v>
      </c>
      <c r="L115" s="39">
        <f>'Data entry Wiesensee'!AD115</f>
        <v>0</v>
      </c>
      <c r="M115" s="39">
        <f>'Data entry Wiesensee'!AG115</f>
        <v>0</v>
      </c>
      <c r="N115" s="39">
        <f>'Data entry Wiesensee'!AJ115</f>
        <v>0</v>
      </c>
      <c r="O115" s="39">
        <f>'Data entry Wiesensee'!AM115</f>
        <v>0</v>
      </c>
    </row>
    <row r="116" spans="2:15" x14ac:dyDescent="0.15">
      <c r="B116" s="40"/>
      <c r="C116" s="39">
        <f>'Data entry Wiesensee'!C116</f>
        <v>0</v>
      </c>
      <c r="D116" s="39">
        <f>'Data entry Wiesensee'!F116</f>
        <v>0</v>
      </c>
      <c r="E116" s="39">
        <f>'Data entry Wiesensee'!I116</f>
        <v>0</v>
      </c>
      <c r="F116" s="39">
        <f>'Data entry Wiesensee'!L116</f>
        <v>0</v>
      </c>
      <c r="G116" s="39">
        <f>'Data entry Wiesensee'!O116</f>
        <v>0</v>
      </c>
      <c r="H116" s="39">
        <f>'Data entry Wiesensee'!R116</f>
        <v>0</v>
      </c>
      <c r="I116" s="39">
        <f>'Data entry Wiesensee'!U116</f>
        <v>0</v>
      </c>
      <c r="J116" s="39">
        <f>'Data entry Wiesensee'!X116</f>
        <v>0</v>
      </c>
      <c r="K116" s="39">
        <f>'Data entry Wiesensee'!AA116</f>
        <v>0</v>
      </c>
      <c r="L116" s="39">
        <f>'Data entry Wiesensee'!AD116</f>
        <v>0</v>
      </c>
      <c r="M116" s="39">
        <f>'Data entry Wiesensee'!AG116</f>
        <v>0</v>
      </c>
      <c r="N116" s="39">
        <f>'Data entry Wiesensee'!AJ116</f>
        <v>0</v>
      </c>
      <c r="O116" s="39">
        <f>'Data entry Wiesensee'!AM116</f>
        <v>0</v>
      </c>
    </row>
    <row r="117" spans="2:15" ht="14" x14ac:dyDescent="0.15">
      <c r="B117" s="42" t="s">
        <v>81</v>
      </c>
      <c r="C117" s="39">
        <f>'Data entry Wiesensee'!C117</f>
        <v>0</v>
      </c>
      <c r="D117" s="39">
        <f>'Data entry Wiesensee'!F117</f>
        <v>0</v>
      </c>
      <c r="E117" s="39">
        <f>'Data entry Wiesensee'!I117</f>
        <v>0</v>
      </c>
      <c r="F117" s="39">
        <f>'Data entry Wiesensee'!L117</f>
        <v>0</v>
      </c>
      <c r="G117" s="39">
        <f>'Data entry Wiesensee'!O117</f>
        <v>0</v>
      </c>
      <c r="H117" s="39">
        <f>'Data entry Wiesensee'!R117</f>
        <v>0</v>
      </c>
      <c r="I117" s="39">
        <f>'Data entry Wiesensee'!U117</f>
        <v>0</v>
      </c>
      <c r="J117" s="39">
        <f>'Data entry Wiesensee'!X117</f>
        <v>0</v>
      </c>
      <c r="K117" s="39">
        <f>'Data entry Wiesensee'!AA117</f>
        <v>0</v>
      </c>
      <c r="L117" s="39">
        <f>'Data entry Wiesensee'!AD117</f>
        <v>0</v>
      </c>
      <c r="M117" s="39">
        <f>'Data entry Wiesensee'!AG117</f>
        <v>0</v>
      </c>
      <c r="N117" s="39">
        <f>'Data entry Wiesensee'!AJ117</f>
        <v>0</v>
      </c>
      <c r="O117" s="39">
        <f>'Data entry Wiesensee'!AM117</f>
        <v>0</v>
      </c>
    </row>
    <row r="118" spans="2:15" ht="14" x14ac:dyDescent="0.15">
      <c r="B118" s="38" t="s">
        <v>82</v>
      </c>
      <c r="C118" s="39">
        <f>'Data entry Wiesensee'!C118</f>
        <v>0</v>
      </c>
      <c r="D118" s="39">
        <f>'Data entry Wiesensee'!F118</f>
        <v>0</v>
      </c>
      <c r="E118" s="39">
        <f>'Data entry Wiesensee'!I118</f>
        <v>0</v>
      </c>
      <c r="F118" s="39">
        <f>'Data entry Wiesensee'!L118</f>
        <v>0</v>
      </c>
      <c r="G118" s="39">
        <f>'Data entry Wiesensee'!O118</f>
        <v>0</v>
      </c>
      <c r="H118" s="39">
        <f>'Data entry Wiesensee'!R118</f>
        <v>0</v>
      </c>
      <c r="I118" s="39">
        <f>'Data entry Wiesensee'!U118</f>
        <v>0</v>
      </c>
      <c r="J118" s="39">
        <f>'Data entry Wiesensee'!X118</f>
        <v>0</v>
      </c>
      <c r="K118" s="39">
        <f>'Data entry Wiesensee'!AA118</f>
        <v>0</v>
      </c>
      <c r="L118" s="39">
        <f>'Data entry Wiesensee'!AD118</f>
        <v>0</v>
      </c>
      <c r="M118" s="39">
        <f>'Data entry Wiesensee'!AG118</f>
        <v>0</v>
      </c>
      <c r="N118" s="39">
        <f>'Data entry Wiesensee'!AJ118</f>
        <v>0</v>
      </c>
      <c r="O118" s="39">
        <f>'Data entry Wiesensee'!AM118</f>
        <v>0</v>
      </c>
    </row>
    <row r="119" spans="2:15" ht="14" x14ac:dyDescent="0.15">
      <c r="B119" s="38" t="s">
        <v>83</v>
      </c>
      <c r="C119" s="39">
        <f>'Data entry Wiesensee'!C119</f>
        <v>0</v>
      </c>
      <c r="D119" s="39">
        <f>'Data entry Wiesensee'!F119</f>
        <v>0</v>
      </c>
      <c r="E119" s="39">
        <f>'Data entry Wiesensee'!I119</f>
        <v>0</v>
      </c>
      <c r="F119" s="39">
        <f>'Data entry Wiesensee'!L119</f>
        <v>0</v>
      </c>
      <c r="G119" s="39">
        <f>'Data entry Wiesensee'!O119</f>
        <v>0</v>
      </c>
      <c r="H119" s="39">
        <f>'Data entry Wiesensee'!R119</f>
        <v>0</v>
      </c>
      <c r="I119" s="39">
        <f>'Data entry Wiesensee'!U119</f>
        <v>0</v>
      </c>
      <c r="J119" s="39">
        <f>'Data entry Wiesensee'!X119</f>
        <v>0</v>
      </c>
      <c r="K119" s="39">
        <f>'Data entry Wiesensee'!AA119</f>
        <v>0</v>
      </c>
      <c r="L119" s="39">
        <f>'Data entry Wiesensee'!AD119</f>
        <v>0</v>
      </c>
      <c r="M119" s="39">
        <f>'Data entry Wiesensee'!AG119</f>
        <v>0</v>
      </c>
      <c r="N119" s="39">
        <f>'Data entry Wiesensee'!AJ119</f>
        <v>0</v>
      </c>
      <c r="O119" s="39">
        <f>'Data entry Wiesensee'!AM119</f>
        <v>0</v>
      </c>
    </row>
    <row r="120" spans="2:15" x14ac:dyDescent="0.15">
      <c r="B120" s="40"/>
      <c r="C120" s="39">
        <f>'Data entry Wiesensee'!C120</f>
        <v>0</v>
      </c>
      <c r="D120" s="39">
        <f>'Data entry Wiesensee'!F120</f>
        <v>0</v>
      </c>
      <c r="E120" s="39">
        <f>'Data entry Wiesensee'!I120</f>
        <v>0</v>
      </c>
      <c r="F120" s="39">
        <f>'Data entry Wiesensee'!L120</f>
        <v>0</v>
      </c>
      <c r="G120" s="39">
        <f>'Data entry Wiesensee'!O120</f>
        <v>0</v>
      </c>
      <c r="H120" s="39">
        <f>'Data entry Wiesensee'!R120</f>
        <v>0</v>
      </c>
      <c r="I120" s="39">
        <f>'Data entry Wiesensee'!U120</f>
        <v>0</v>
      </c>
      <c r="J120" s="39">
        <f>'Data entry Wiesensee'!X120</f>
        <v>0</v>
      </c>
      <c r="K120" s="39">
        <f>'Data entry Wiesensee'!AA120</f>
        <v>0</v>
      </c>
      <c r="L120" s="39">
        <f>'Data entry Wiesensee'!AD120</f>
        <v>0</v>
      </c>
      <c r="M120" s="39">
        <f>'Data entry Wiesensee'!AG120</f>
        <v>0</v>
      </c>
      <c r="N120" s="39">
        <f>'Data entry Wiesensee'!AJ120</f>
        <v>0</v>
      </c>
      <c r="O120" s="39">
        <f>'Data entry Wiesensee'!AM120</f>
        <v>0</v>
      </c>
    </row>
    <row r="121" spans="2:15" ht="14" x14ac:dyDescent="0.15">
      <c r="B121" s="42" t="s">
        <v>84</v>
      </c>
      <c r="C121" s="39">
        <f>'Data entry Wiesensee'!C121</f>
        <v>-149865.65229999999</v>
      </c>
      <c r="D121" s="39">
        <f>'Data entry Wiesensee'!F121</f>
        <v>-167501.98000000001</v>
      </c>
      <c r="E121" s="39">
        <f>'Data entry Wiesensee'!I121</f>
        <v>-100308.6</v>
      </c>
      <c r="F121" s="39">
        <f>'Data entry Wiesensee'!L121</f>
        <v>44037.02</v>
      </c>
      <c r="G121" s="39">
        <f>'Data entry Wiesensee'!O121</f>
        <v>-160818.97</v>
      </c>
      <c r="H121" s="39">
        <f>'Data entry Wiesensee'!R121</f>
        <v>34169.731699999997</v>
      </c>
      <c r="I121" s="39">
        <f>'Data entry Wiesensee'!U121</f>
        <v>23160.7804</v>
      </c>
      <c r="J121" s="39">
        <f>'Data entry Wiesensee'!X121</f>
        <v>7656.6437999999998</v>
      </c>
      <c r="K121" s="39">
        <f>'Data entry Wiesensee'!AA121</f>
        <v>120682.84849999999</v>
      </c>
      <c r="L121" s="39">
        <f>'Data entry Wiesensee'!AD121</f>
        <v>183662.24840000001</v>
      </c>
      <c r="M121" s="39">
        <f>'Data entry Wiesensee'!AG121</f>
        <v>-21565.925299999999</v>
      </c>
      <c r="N121" s="39">
        <f>'Data entry Wiesensee'!AJ121</f>
        <v>-25522.8295</v>
      </c>
      <c r="O121" s="39">
        <f>'Data entry Wiesensee'!AM121</f>
        <v>-87516.620299999995</v>
      </c>
    </row>
    <row r="122" spans="2:15" ht="14" x14ac:dyDescent="0.15">
      <c r="B122" s="38" t="s">
        <v>85</v>
      </c>
      <c r="C122" s="39">
        <f>'Data entry Wiesensee'!C122</f>
        <v>167814.6906</v>
      </c>
      <c r="D122" s="39">
        <f>'Data entry Wiesensee'!F122</f>
        <v>8299.6</v>
      </c>
      <c r="E122" s="39">
        <f>'Data entry Wiesensee'!I122</f>
        <v>9349.02</v>
      </c>
      <c r="F122" s="39">
        <f>'Data entry Wiesensee'!L122</f>
        <v>0</v>
      </c>
      <c r="G122" s="39">
        <f>'Data entry Wiesensee'!O122</f>
        <v>23272.48</v>
      </c>
      <c r="H122" s="39">
        <f>'Data entry Wiesensee'!R122</f>
        <v>16685.659199999998</v>
      </c>
      <c r="I122" s="39">
        <f>'Data entry Wiesensee'!U122</f>
        <v>17121.0373</v>
      </c>
      <c r="J122" s="39">
        <f>'Data entry Wiesensee'!X122</f>
        <v>15400.6754</v>
      </c>
      <c r="K122" s="39">
        <f>'Data entry Wiesensee'!AA122</f>
        <v>19049.9313</v>
      </c>
      <c r="L122" s="39">
        <f>'Data entry Wiesensee'!AD122</f>
        <v>22791.139899999998</v>
      </c>
      <c r="M122" s="39">
        <f>'Data entry Wiesensee'!AG122</f>
        <v>14308.3385</v>
      </c>
      <c r="N122" s="39">
        <f>'Data entry Wiesensee'!AJ122</f>
        <v>12365.6926</v>
      </c>
      <c r="O122" s="39">
        <f>'Data entry Wiesensee'!AM122</f>
        <v>9171.1164000000008</v>
      </c>
    </row>
    <row r="123" spans="2:15" x14ac:dyDescent="0.15">
      <c r="B123" s="40"/>
      <c r="C123" s="39">
        <f>'Data entry Wiesensee'!C123</f>
        <v>0</v>
      </c>
      <c r="D123" s="39">
        <f>'Data entry Wiesensee'!F123</f>
        <v>0</v>
      </c>
      <c r="E123" s="39">
        <f>'Data entry Wiesensee'!I123</f>
        <v>0</v>
      </c>
      <c r="F123" s="39">
        <f>'Data entry Wiesensee'!L123</f>
        <v>0</v>
      </c>
      <c r="G123" s="39">
        <f>'Data entry Wiesensee'!O123</f>
        <v>0</v>
      </c>
      <c r="H123" s="39">
        <f>'Data entry Wiesensee'!R123</f>
        <v>0</v>
      </c>
      <c r="I123" s="39">
        <f>'Data entry Wiesensee'!U123</f>
        <v>0</v>
      </c>
      <c r="J123" s="39">
        <f>'Data entry Wiesensee'!X123</f>
        <v>0</v>
      </c>
      <c r="K123" s="39">
        <f>'Data entry Wiesensee'!AA123</f>
        <v>0</v>
      </c>
      <c r="L123" s="39">
        <f>'Data entry Wiesensee'!AD123</f>
        <v>0</v>
      </c>
      <c r="M123" s="39">
        <f>'Data entry Wiesensee'!AG123</f>
        <v>0</v>
      </c>
      <c r="N123" s="39">
        <f>'Data entry Wiesensee'!AJ123</f>
        <v>0</v>
      </c>
      <c r="O123" s="39">
        <f>'Data entry Wiesensee'!AM123</f>
        <v>0</v>
      </c>
    </row>
    <row r="124" spans="2:15" ht="14" x14ac:dyDescent="0.15">
      <c r="B124" s="42" t="s">
        <v>86</v>
      </c>
      <c r="C124" s="39">
        <f>'Data entry Wiesensee'!C124</f>
        <v>-317680.34289999999</v>
      </c>
      <c r="D124" s="39">
        <f>'Data entry Wiesensee'!F124</f>
        <v>-175801.58</v>
      </c>
      <c r="E124" s="39">
        <f>'Data entry Wiesensee'!I124</f>
        <v>-109657.62</v>
      </c>
      <c r="F124" s="39">
        <f>'Data entry Wiesensee'!L124</f>
        <v>44037.02</v>
      </c>
      <c r="G124" s="39">
        <f>'Data entry Wiesensee'!O124</f>
        <v>-184091.45</v>
      </c>
      <c r="H124" s="39">
        <f>'Data entry Wiesensee'!R124</f>
        <v>17484.072499999998</v>
      </c>
      <c r="I124" s="39">
        <f>'Data entry Wiesensee'!U124</f>
        <v>6039.7430999999997</v>
      </c>
      <c r="J124" s="39">
        <f>'Data entry Wiesensee'!X124</f>
        <v>-7744.0316000000003</v>
      </c>
      <c r="K124" s="39">
        <f>'Data entry Wiesensee'!AA124</f>
        <v>101632.9172</v>
      </c>
      <c r="L124" s="39">
        <f>'Data entry Wiesensee'!AD124</f>
        <v>160871.1085</v>
      </c>
      <c r="M124" s="39">
        <f>'Data entry Wiesensee'!AG124</f>
        <v>-35874.263800000001</v>
      </c>
      <c r="N124" s="39">
        <f>'Data entry Wiesensee'!AJ124</f>
        <v>-37888.522100000002</v>
      </c>
      <c r="O124" s="39">
        <f>'Data entry Wiesensee'!AM124</f>
        <v>-96687.736699999994</v>
      </c>
    </row>
    <row r="125" spans="2:15" ht="14" x14ac:dyDescent="0.15">
      <c r="B125" s="38" t="s">
        <v>87</v>
      </c>
      <c r="C125" s="39">
        <f>'Data entry Wiesensee'!C125</f>
        <v>0</v>
      </c>
      <c r="D125" s="39">
        <f>'Data entry Wiesensee'!F125</f>
        <v>0</v>
      </c>
      <c r="E125" s="39">
        <f>'Data entry Wiesensee'!I125</f>
        <v>0</v>
      </c>
      <c r="F125" s="39">
        <f>'Data entry Wiesensee'!L125</f>
        <v>0</v>
      </c>
      <c r="G125" s="39">
        <f>'Data entry Wiesensee'!O125</f>
        <v>0</v>
      </c>
      <c r="H125" s="39">
        <f>'Data entry Wiesensee'!R125</f>
        <v>0</v>
      </c>
      <c r="I125" s="39">
        <f>'Data entry Wiesensee'!U125</f>
        <v>0</v>
      </c>
      <c r="J125" s="39">
        <f>'Data entry Wiesensee'!X125</f>
        <v>0</v>
      </c>
      <c r="K125" s="39">
        <f>'Data entry Wiesensee'!AA125</f>
        <v>0</v>
      </c>
      <c r="L125" s="39">
        <f>'Data entry Wiesensee'!AD125</f>
        <v>0</v>
      </c>
      <c r="M125" s="39">
        <f>'Data entry Wiesensee'!AG125</f>
        <v>0</v>
      </c>
      <c r="N125" s="39">
        <f>'Data entry Wiesensee'!AJ125</f>
        <v>0</v>
      </c>
      <c r="O125" s="39">
        <f>'Data entry Wiesensee'!AM125</f>
        <v>0</v>
      </c>
    </row>
    <row r="126" spans="2:15" x14ac:dyDescent="0.15">
      <c r="B126" s="40"/>
      <c r="C126" s="39">
        <f>'Data entry Wiesensee'!C126</f>
        <v>0</v>
      </c>
      <c r="D126" s="39">
        <f>'Data entry Wiesensee'!F126</f>
        <v>0</v>
      </c>
      <c r="E126" s="39">
        <f>'Data entry Wiesensee'!I126</f>
        <v>0</v>
      </c>
      <c r="F126" s="39">
        <f>'Data entry Wiesensee'!L126</f>
        <v>0</v>
      </c>
      <c r="G126" s="39">
        <f>'Data entry Wiesensee'!O126</f>
        <v>0</v>
      </c>
      <c r="H126" s="39">
        <f>'Data entry Wiesensee'!R126</f>
        <v>0</v>
      </c>
      <c r="I126" s="39">
        <f>'Data entry Wiesensee'!U126</f>
        <v>0</v>
      </c>
      <c r="J126" s="39">
        <f>'Data entry Wiesensee'!X126</f>
        <v>0</v>
      </c>
      <c r="K126" s="39">
        <f>'Data entry Wiesensee'!AA126</f>
        <v>0</v>
      </c>
      <c r="L126" s="39">
        <f>'Data entry Wiesensee'!AD126</f>
        <v>0</v>
      </c>
      <c r="M126" s="39">
        <f>'Data entry Wiesensee'!AG126</f>
        <v>0</v>
      </c>
      <c r="N126" s="39">
        <f>'Data entry Wiesensee'!AJ126</f>
        <v>0</v>
      </c>
      <c r="O126" s="39">
        <f>'Data entry Wiesensee'!AM126</f>
        <v>0</v>
      </c>
    </row>
    <row r="127" spans="2:15" ht="14" x14ac:dyDescent="0.15">
      <c r="B127" s="42" t="s">
        <v>88</v>
      </c>
      <c r="C127" s="39">
        <f>'Data entry Wiesensee'!C127</f>
        <v>-317680.34289999999</v>
      </c>
      <c r="D127" s="39">
        <f>'Data entry Wiesensee'!F127</f>
        <v>-175801.58</v>
      </c>
      <c r="E127" s="39">
        <f>'Data entry Wiesensee'!I127</f>
        <v>-109657.62</v>
      </c>
      <c r="F127" s="39">
        <f>'Data entry Wiesensee'!L127</f>
        <v>44037.02</v>
      </c>
      <c r="G127" s="39">
        <f>'Data entry Wiesensee'!O127</f>
        <v>-184091.45</v>
      </c>
      <c r="H127" s="39">
        <f>'Data entry Wiesensee'!R127</f>
        <v>17484.072499999998</v>
      </c>
      <c r="I127" s="39">
        <f>'Data entry Wiesensee'!U127</f>
        <v>6039.7430999999997</v>
      </c>
      <c r="J127" s="39">
        <f>'Data entry Wiesensee'!X127</f>
        <v>-7744.0316000000003</v>
      </c>
      <c r="K127" s="39">
        <f>'Data entry Wiesensee'!AA127</f>
        <v>101632.9172</v>
      </c>
      <c r="L127" s="39">
        <f>'Data entry Wiesensee'!AD127</f>
        <v>160871.1085</v>
      </c>
      <c r="M127" s="39">
        <f>'Data entry Wiesensee'!AG127</f>
        <v>-35874.263800000001</v>
      </c>
      <c r="N127" s="39">
        <f>'Data entry Wiesensee'!AJ127</f>
        <v>-37888.522100000002</v>
      </c>
      <c r="O127" s="39">
        <f>'Data entry Wiesensee'!AM127</f>
        <v>-96687.736699999994</v>
      </c>
    </row>
    <row r="128" spans="2:15" x14ac:dyDescent="0.15">
      <c r="B128" s="40"/>
      <c r="C128" s="39">
        <f>'Data entry Wiesensee'!C128</f>
        <v>0</v>
      </c>
      <c r="D128" s="39">
        <f>'Data entry Wiesensee'!F128</f>
        <v>0</v>
      </c>
      <c r="E128" s="39">
        <f>'Data entry Wiesensee'!I128</f>
        <v>0</v>
      </c>
      <c r="F128" s="39">
        <f>'Data entry Wiesensee'!L128</f>
        <v>0</v>
      </c>
      <c r="G128" s="39">
        <f>'Data entry Wiesensee'!O128</f>
        <v>0</v>
      </c>
      <c r="H128" s="39">
        <f>'Data entry Wiesensee'!R128</f>
        <v>0</v>
      </c>
      <c r="I128" s="39">
        <f>'Data entry Wiesensee'!U128</f>
        <v>0</v>
      </c>
      <c r="J128" s="39">
        <f>'Data entry Wiesensee'!X128</f>
        <v>0</v>
      </c>
      <c r="K128" s="39">
        <f>'Data entry Wiesensee'!AA128</f>
        <v>0</v>
      </c>
      <c r="L128" s="39">
        <f>'Data entry Wiesensee'!AD128</f>
        <v>0</v>
      </c>
      <c r="M128" s="39">
        <f>'Data entry Wiesensee'!AG128</f>
        <v>0</v>
      </c>
      <c r="N128" s="39">
        <f>'Data entry Wiesensee'!AJ128</f>
        <v>0</v>
      </c>
      <c r="O128" s="39">
        <f>'Data entry Wiesensee'!AM128</f>
        <v>0</v>
      </c>
    </row>
    <row r="129" spans="2:15" ht="14" x14ac:dyDescent="0.15">
      <c r="B129" s="42" t="s">
        <v>89</v>
      </c>
      <c r="C129" s="39">
        <f>'Data entry Wiesensee'!C129</f>
        <v>160057.20060000001</v>
      </c>
      <c r="D129" s="39">
        <f>'Data entry Wiesensee'!F129</f>
        <v>8299.6</v>
      </c>
      <c r="E129" s="39">
        <f>'Data entry Wiesensee'!I129</f>
        <v>9349.02</v>
      </c>
      <c r="F129" s="39">
        <f>'Data entry Wiesensee'!L129</f>
        <v>9663.2199999999993</v>
      </c>
      <c r="G129" s="39">
        <f>'Data entry Wiesensee'!O129</f>
        <v>5851.77</v>
      </c>
      <c r="H129" s="39">
        <f>'Data entry Wiesensee'!R129</f>
        <v>16685.659199999998</v>
      </c>
      <c r="I129" s="39">
        <f>'Data entry Wiesensee'!U129</f>
        <v>17121.0373</v>
      </c>
      <c r="J129" s="39">
        <f>'Data entry Wiesensee'!X129</f>
        <v>15400.6754</v>
      </c>
      <c r="K129" s="39">
        <f>'Data entry Wiesensee'!AA129</f>
        <v>19049.9313</v>
      </c>
      <c r="L129" s="39">
        <f>'Data entry Wiesensee'!AD129</f>
        <v>22791.139899999998</v>
      </c>
      <c r="M129" s="39">
        <f>'Data entry Wiesensee'!AG129</f>
        <v>14308.3385</v>
      </c>
      <c r="N129" s="39">
        <f>'Data entry Wiesensee'!AJ129</f>
        <v>12365.6926</v>
      </c>
      <c r="O129" s="39">
        <f>'Data entry Wiesensee'!AM129</f>
        <v>9171.1164000000008</v>
      </c>
    </row>
    <row r="130" spans="2:15" ht="14" x14ac:dyDescent="0.15">
      <c r="B130" s="38" t="s">
        <v>90</v>
      </c>
      <c r="C130" s="39">
        <f>'Data entry Wiesensee'!C130</f>
        <v>160057.20060000001</v>
      </c>
      <c r="D130" s="39">
        <f>'Data entry Wiesensee'!F130</f>
        <v>8299.6</v>
      </c>
      <c r="E130" s="39">
        <f>'Data entry Wiesensee'!I130</f>
        <v>9349.02</v>
      </c>
      <c r="F130" s="39">
        <f>'Data entry Wiesensee'!L130</f>
        <v>9663.2199999999993</v>
      </c>
      <c r="G130" s="39">
        <f>'Data entry Wiesensee'!O130</f>
        <v>5851.77</v>
      </c>
      <c r="H130" s="39">
        <f>'Data entry Wiesensee'!R130</f>
        <v>16685.659199999998</v>
      </c>
      <c r="I130" s="39">
        <f>'Data entry Wiesensee'!U130</f>
        <v>17121.0373</v>
      </c>
      <c r="J130" s="39">
        <f>'Data entry Wiesensee'!X130</f>
        <v>15400.6754</v>
      </c>
      <c r="K130" s="39">
        <f>'Data entry Wiesensee'!AA130</f>
        <v>19049.9313</v>
      </c>
      <c r="L130" s="39">
        <f>'Data entry Wiesensee'!AD130</f>
        <v>22791.139899999998</v>
      </c>
      <c r="M130" s="39">
        <f>'Data entry Wiesensee'!AG130</f>
        <v>14308.3385</v>
      </c>
      <c r="N130" s="39">
        <f>'Data entry Wiesensee'!AJ130</f>
        <v>12365.6926</v>
      </c>
      <c r="O130" s="39">
        <f>'Data entry Wiesensee'!AM130</f>
        <v>9171.1164000000008</v>
      </c>
    </row>
    <row r="131" spans="2:15" ht="14" x14ac:dyDescent="0.15">
      <c r="B131" s="38" t="s">
        <v>91</v>
      </c>
      <c r="C131" s="39">
        <f>'Data entry Wiesensee'!C131</f>
        <v>0</v>
      </c>
      <c r="D131" s="39">
        <f>'Data entry Wiesensee'!F131</f>
        <v>0</v>
      </c>
      <c r="E131" s="39">
        <f>'Data entry Wiesensee'!I131</f>
        <v>0</v>
      </c>
      <c r="F131" s="39">
        <f>'Data entry Wiesensee'!L131</f>
        <v>0</v>
      </c>
      <c r="G131" s="39">
        <f>'Data entry Wiesensee'!O131</f>
        <v>0</v>
      </c>
      <c r="H131" s="39">
        <f>'Data entry Wiesensee'!R131</f>
        <v>0</v>
      </c>
      <c r="I131" s="39">
        <f>'Data entry Wiesensee'!U131</f>
        <v>0</v>
      </c>
      <c r="J131" s="39">
        <f>'Data entry Wiesensee'!X131</f>
        <v>0</v>
      </c>
      <c r="K131" s="39">
        <f>'Data entry Wiesensee'!AA131</f>
        <v>0</v>
      </c>
      <c r="L131" s="39">
        <f>'Data entry Wiesensee'!AD131</f>
        <v>0</v>
      </c>
      <c r="M131" s="39">
        <f>'Data entry Wiesensee'!AG131</f>
        <v>0</v>
      </c>
      <c r="N131" s="39">
        <f>'Data entry Wiesensee'!AJ131</f>
        <v>0</v>
      </c>
      <c r="O131" s="39">
        <f>'Data entry Wiesensee'!AM131</f>
        <v>0</v>
      </c>
    </row>
    <row r="132" spans="2:15" ht="14" x14ac:dyDescent="0.15">
      <c r="B132" s="38" t="s">
        <v>92</v>
      </c>
      <c r="C132" s="39">
        <f>'Data entry Wiesensee'!C132</f>
        <v>0</v>
      </c>
      <c r="D132" s="39">
        <f>'Data entry Wiesensee'!F132</f>
        <v>0</v>
      </c>
      <c r="E132" s="39">
        <f>'Data entry Wiesensee'!I132</f>
        <v>0</v>
      </c>
      <c r="F132" s="39">
        <f>'Data entry Wiesensee'!L132</f>
        <v>0</v>
      </c>
      <c r="G132" s="39">
        <f>'Data entry Wiesensee'!O132</f>
        <v>0</v>
      </c>
      <c r="H132" s="39">
        <f>'Data entry Wiesensee'!R132</f>
        <v>0</v>
      </c>
      <c r="I132" s="39">
        <f>'Data entry Wiesensee'!U132</f>
        <v>0</v>
      </c>
      <c r="J132" s="39">
        <f>'Data entry Wiesensee'!X132</f>
        <v>0</v>
      </c>
      <c r="K132" s="39">
        <f>'Data entry Wiesensee'!AA132</f>
        <v>0</v>
      </c>
      <c r="L132" s="39">
        <f>'Data entry Wiesensee'!AD132</f>
        <v>0</v>
      </c>
      <c r="M132" s="39">
        <f>'Data entry Wiesensee'!AG132</f>
        <v>0</v>
      </c>
      <c r="N132" s="39">
        <f>'Data entry Wiesensee'!AJ132</f>
        <v>0</v>
      </c>
      <c r="O132" s="39">
        <f>'Data entry Wiesensee'!AM132</f>
        <v>0</v>
      </c>
    </row>
    <row r="133" spans="2:15" x14ac:dyDescent="0.15">
      <c r="B133" s="40"/>
      <c r="C133" s="39">
        <f>'Data entry Wiesensee'!C133</f>
        <v>0</v>
      </c>
      <c r="D133" s="39">
        <f>'Data entry Wiesensee'!F133</f>
        <v>0</v>
      </c>
      <c r="E133" s="39">
        <f>'Data entry Wiesensee'!I133</f>
        <v>0</v>
      </c>
      <c r="F133" s="39">
        <f>'Data entry Wiesensee'!L133</f>
        <v>0</v>
      </c>
      <c r="G133" s="39">
        <f>'Data entry Wiesensee'!O133</f>
        <v>0</v>
      </c>
      <c r="H133" s="39">
        <f>'Data entry Wiesensee'!R133</f>
        <v>0</v>
      </c>
      <c r="I133" s="39">
        <f>'Data entry Wiesensee'!U133</f>
        <v>0</v>
      </c>
      <c r="J133" s="39">
        <f>'Data entry Wiesensee'!X133</f>
        <v>0</v>
      </c>
      <c r="K133" s="39">
        <f>'Data entry Wiesensee'!AA133</f>
        <v>0</v>
      </c>
      <c r="L133" s="39">
        <f>'Data entry Wiesensee'!AD133</f>
        <v>0</v>
      </c>
      <c r="M133" s="39">
        <f>'Data entry Wiesensee'!AG133</f>
        <v>0</v>
      </c>
      <c r="N133" s="39">
        <f>'Data entry Wiesensee'!AJ133</f>
        <v>0</v>
      </c>
      <c r="O133" s="39">
        <f>'Data entry Wiesensee'!AM133</f>
        <v>0</v>
      </c>
    </row>
    <row r="134" spans="2:15" ht="14" x14ac:dyDescent="0.15">
      <c r="B134" s="42" t="s">
        <v>93</v>
      </c>
      <c r="C134" s="39">
        <f>'Data entry Wiesensee'!C134</f>
        <v>-477737.54369999998</v>
      </c>
      <c r="D134" s="39">
        <f>'Data entry Wiesensee'!F134</f>
        <v>-184101.18</v>
      </c>
      <c r="E134" s="39">
        <f>'Data entry Wiesensee'!I134</f>
        <v>-119006.64</v>
      </c>
      <c r="F134" s="39">
        <f>'Data entry Wiesensee'!L134</f>
        <v>34373.800000000003</v>
      </c>
      <c r="G134" s="39">
        <f>'Data entry Wiesensee'!O134</f>
        <v>-189943.22</v>
      </c>
      <c r="H134" s="39">
        <f>'Data entry Wiesensee'!R134</f>
        <v>798.41330000000005</v>
      </c>
      <c r="I134" s="39">
        <f>'Data entry Wiesensee'!U134</f>
        <v>-11081.2942</v>
      </c>
      <c r="J134" s="39">
        <f>'Data entry Wiesensee'!X134</f>
        <v>-23144.706999999999</v>
      </c>
      <c r="K134" s="39">
        <f>'Data entry Wiesensee'!AA134</f>
        <v>82582.9859</v>
      </c>
      <c r="L134" s="39">
        <f>'Data entry Wiesensee'!AD134</f>
        <v>138079.96849999999</v>
      </c>
      <c r="M134" s="39">
        <f>'Data entry Wiesensee'!AG134</f>
        <v>-50182.602400000003</v>
      </c>
      <c r="N134" s="39">
        <f>'Data entry Wiesensee'!AJ134</f>
        <v>-50254.214699999997</v>
      </c>
      <c r="O134" s="39">
        <f>'Data entry Wiesensee'!AM134</f>
        <v>-105858.85309999999</v>
      </c>
    </row>
    <row r="135" spans="2:15" x14ac:dyDescent="0.15">
      <c r="B135" s="40"/>
      <c r="C135" s="39">
        <f>'Data entry Wiesensee'!C135</f>
        <v>0</v>
      </c>
      <c r="D135" s="39">
        <f>'Data entry Wiesensee'!F135</f>
        <v>0</v>
      </c>
      <c r="E135" s="39">
        <f>'Data entry Wiesensee'!I135</f>
        <v>0</v>
      </c>
      <c r="F135" s="39">
        <f>'Data entry Wiesensee'!L135</f>
        <v>0</v>
      </c>
      <c r="G135" s="39">
        <f>'Data entry Wiesensee'!O135</f>
        <v>0</v>
      </c>
      <c r="H135" s="39">
        <f>'Data entry Wiesensee'!R135</f>
        <v>0</v>
      </c>
      <c r="I135" s="39">
        <f>'Data entry Wiesensee'!U135</f>
        <v>0</v>
      </c>
      <c r="J135" s="39">
        <f>'Data entry Wiesensee'!X135</f>
        <v>0</v>
      </c>
      <c r="K135" s="39">
        <f>'Data entry Wiesensee'!AA135</f>
        <v>0</v>
      </c>
      <c r="L135" s="39">
        <f>'Data entry Wiesensee'!AD135</f>
        <v>0</v>
      </c>
      <c r="M135" s="39">
        <f>'Data entry Wiesensee'!AG135</f>
        <v>0</v>
      </c>
      <c r="N135" s="39">
        <f>'Data entry Wiesensee'!AJ135</f>
        <v>0</v>
      </c>
      <c r="O135" s="39">
        <f>'Data entry Wiesensee'!AM135</f>
        <v>0</v>
      </c>
    </row>
    <row r="136" spans="2:15" ht="14" x14ac:dyDescent="0.15">
      <c r="B136" s="42" t="s">
        <v>94</v>
      </c>
      <c r="C136" s="39">
        <f>'Data entry Wiesensee'!C136</f>
        <v>868360</v>
      </c>
      <c r="D136" s="39">
        <f>'Data entry Wiesensee'!F136</f>
        <v>100848</v>
      </c>
      <c r="E136" s="39">
        <f>'Data entry Wiesensee'!I136</f>
        <v>100848</v>
      </c>
      <c r="F136" s="39">
        <f>'Data entry Wiesensee'!L136</f>
        <v>0</v>
      </c>
      <c r="G136" s="39">
        <f>'Data entry Wiesensee'!O136</f>
        <v>0</v>
      </c>
      <c r="H136" s="39">
        <f>'Data entry Wiesensee'!R136</f>
        <v>83333</v>
      </c>
      <c r="I136" s="39">
        <f>'Data entry Wiesensee'!U136</f>
        <v>83333</v>
      </c>
      <c r="J136" s="39">
        <f>'Data entry Wiesensee'!X136</f>
        <v>83333</v>
      </c>
      <c r="K136" s="39">
        <f>'Data entry Wiesensee'!AA136</f>
        <v>83333</v>
      </c>
      <c r="L136" s="39">
        <f>'Data entry Wiesensee'!AD136</f>
        <v>83333</v>
      </c>
      <c r="M136" s="39">
        <f>'Data entry Wiesensee'!AG136</f>
        <v>83333</v>
      </c>
      <c r="N136" s="39">
        <f>'Data entry Wiesensee'!AJ136</f>
        <v>83333</v>
      </c>
      <c r="O136" s="39">
        <f>'Data entry Wiesensee'!AM136</f>
        <v>83333</v>
      </c>
    </row>
    <row r="137" spans="2:15" ht="14" x14ac:dyDescent="0.15">
      <c r="B137" s="38" t="s">
        <v>95</v>
      </c>
      <c r="C137" s="39">
        <f>'Data entry Wiesensee'!C137</f>
        <v>868360</v>
      </c>
      <c r="D137" s="39">
        <f>'Data entry Wiesensee'!F137</f>
        <v>100848</v>
      </c>
      <c r="E137" s="39">
        <f>'Data entry Wiesensee'!I137</f>
        <v>100848</v>
      </c>
      <c r="F137" s="39">
        <f>'Data entry Wiesensee'!L137</f>
        <v>0</v>
      </c>
      <c r="G137" s="39">
        <f>'Data entry Wiesensee'!O137</f>
        <v>0</v>
      </c>
      <c r="H137" s="39">
        <f>'Data entry Wiesensee'!R137</f>
        <v>83333</v>
      </c>
      <c r="I137" s="39">
        <f>'Data entry Wiesensee'!U137</f>
        <v>83333</v>
      </c>
      <c r="J137" s="39">
        <f>'Data entry Wiesensee'!X137</f>
        <v>83333</v>
      </c>
      <c r="K137" s="39">
        <f>'Data entry Wiesensee'!AA137</f>
        <v>83333</v>
      </c>
      <c r="L137" s="39">
        <f>'Data entry Wiesensee'!AD137</f>
        <v>83333</v>
      </c>
      <c r="M137" s="39">
        <f>'Data entry Wiesensee'!AG137</f>
        <v>83333</v>
      </c>
      <c r="N137" s="39">
        <f>'Data entry Wiesensee'!AJ137</f>
        <v>83333</v>
      </c>
      <c r="O137" s="39">
        <f>'Data entry Wiesensee'!AM137</f>
        <v>83333</v>
      </c>
    </row>
    <row r="138" spans="2:15" ht="14" x14ac:dyDescent="0.15">
      <c r="B138" s="38" t="s">
        <v>96</v>
      </c>
      <c r="C138" s="39">
        <f>'Data entry Wiesensee'!C138</f>
        <v>0</v>
      </c>
      <c r="D138" s="39">
        <f>'Data entry Wiesensee'!F138</f>
        <v>0</v>
      </c>
      <c r="E138" s="39">
        <f>'Data entry Wiesensee'!I138</f>
        <v>0</v>
      </c>
      <c r="F138" s="39">
        <f>'Data entry Wiesensee'!L138</f>
        <v>0</v>
      </c>
      <c r="G138" s="39">
        <f>'Data entry Wiesensee'!O138</f>
        <v>0</v>
      </c>
      <c r="H138" s="39">
        <f>'Data entry Wiesensee'!R138</f>
        <v>0</v>
      </c>
      <c r="I138" s="39">
        <f>'Data entry Wiesensee'!U138</f>
        <v>0</v>
      </c>
      <c r="J138" s="39">
        <f>'Data entry Wiesensee'!X138</f>
        <v>0</v>
      </c>
      <c r="K138" s="39">
        <f>'Data entry Wiesensee'!AA138</f>
        <v>0</v>
      </c>
      <c r="L138" s="39">
        <f>'Data entry Wiesensee'!AD138</f>
        <v>0</v>
      </c>
      <c r="M138" s="39">
        <f>'Data entry Wiesensee'!AG138</f>
        <v>0</v>
      </c>
      <c r="N138" s="39">
        <f>'Data entry Wiesensee'!AJ138</f>
        <v>0</v>
      </c>
      <c r="O138" s="39">
        <f>'Data entry Wiesensee'!AM138</f>
        <v>0</v>
      </c>
    </row>
    <row r="139" spans="2:15" ht="14" x14ac:dyDescent="0.15">
      <c r="B139" s="38" t="s">
        <v>97</v>
      </c>
      <c r="C139" s="39">
        <f>'Data entry Wiesensee'!C139</f>
        <v>0</v>
      </c>
      <c r="D139" s="39">
        <f>'Data entry Wiesensee'!F139</f>
        <v>0</v>
      </c>
      <c r="E139" s="39">
        <f>'Data entry Wiesensee'!I139</f>
        <v>0</v>
      </c>
      <c r="F139" s="39">
        <f>'Data entry Wiesensee'!L139</f>
        <v>0</v>
      </c>
      <c r="G139" s="39">
        <f>'Data entry Wiesensee'!O139</f>
        <v>0</v>
      </c>
      <c r="H139" s="39">
        <f>'Data entry Wiesensee'!R139</f>
        <v>0</v>
      </c>
      <c r="I139" s="39">
        <f>'Data entry Wiesensee'!U139</f>
        <v>0</v>
      </c>
      <c r="J139" s="39">
        <f>'Data entry Wiesensee'!X139</f>
        <v>0</v>
      </c>
      <c r="K139" s="39">
        <f>'Data entry Wiesensee'!AA139</f>
        <v>0</v>
      </c>
      <c r="L139" s="39">
        <f>'Data entry Wiesensee'!AD139</f>
        <v>0</v>
      </c>
      <c r="M139" s="39">
        <f>'Data entry Wiesensee'!AG139</f>
        <v>0</v>
      </c>
      <c r="N139" s="39">
        <f>'Data entry Wiesensee'!AJ139</f>
        <v>0</v>
      </c>
      <c r="O139" s="39">
        <f>'Data entry Wiesensee'!AM139</f>
        <v>0</v>
      </c>
    </row>
    <row r="140" spans="2:15" x14ac:dyDescent="0.15">
      <c r="B140" s="40"/>
      <c r="C140" s="39">
        <f>'Data entry Wiesensee'!C140</f>
        <v>0</v>
      </c>
      <c r="D140" s="39">
        <f>'Data entry Wiesensee'!F140</f>
        <v>0</v>
      </c>
      <c r="E140" s="39">
        <f>'Data entry Wiesensee'!I140</f>
        <v>0</v>
      </c>
      <c r="F140" s="39">
        <f>'Data entry Wiesensee'!L140</f>
        <v>0</v>
      </c>
      <c r="G140" s="39">
        <f>'Data entry Wiesensee'!O140</f>
        <v>0</v>
      </c>
      <c r="H140" s="39">
        <f>'Data entry Wiesensee'!R140</f>
        <v>0</v>
      </c>
      <c r="I140" s="39">
        <f>'Data entry Wiesensee'!U140</f>
        <v>0</v>
      </c>
      <c r="J140" s="39">
        <f>'Data entry Wiesensee'!X140</f>
        <v>0</v>
      </c>
      <c r="K140" s="39">
        <f>'Data entry Wiesensee'!AA140</f>
        <v>0</v>
      </c>
      <c r="L140" s="39">
        <f>'Data entry Wiesensee'!AD140</f>
        <v>0</v>
      </c>
      <c r="M140" s="39">
        <f>'Data entry Wiesensee'!AG140</f>
        <v>0</v>
      </c>
      <c r="N140" s="39">
        <f>'Data entry Wiesensee'!AJ140</f>
        <v>0</v>
      </c>
      <c r="O140" s="39">
        <f>'Data entry Wiesensee'!AM140</f>
        <v>0</v>
      </c>
    </row>
    <row r="141" spans="2:15" ht="28" x14ac:dyDescent="0.15">
      <c r="B141" s="42" t="s">
        <v>98</v>
      </c>
      <c r="C141" s="39">
        <f>'Data entry Wiesensee'!C141</f>
        <v>-1346097.5437</v>
      </c>
      <c r="D141" s="39">
        <f>'Data entry Wiesensee'!F141</f>
        <v>-284949.18</v>
      </c>
      <c r="E141" s="39">
        <f>'Data entry Wiesensee'!I141</f>
        <v>-219854.64</v>
      </c>
      <c r="F141" s="39">
        <f>'Data entry Wiesensee'!L141</f>
        <v>34373.800000000003</v>
      </c>
      <c r="G141" s="39">
        <f>'Data entry Wiesensee'!O141</f>
        <v>-189943.22</v>
      </c>
      <c r="H141" s="39">
        <f>'Data entry Wiesensee'!R141</f>
        <v>-82534.5867</v>
      </c>
      <c r="I141" s="39">
        <f>'Data entry Wiesensee'!U141</f>
        <v>-94414.294200000004</v>
      </c>
      <c r="J141" s="39">
        <f>'Data entry Wiesensee'!X141</f>
        <v>-106477.70699999999</v>
      </c>
      <c r="K141" s="39">
        <f>'Data entry Wiesensee'!AA141</f>
        <v>-750.01409999999998</v>
      </c>
      <c r="L141" s="39">
        <f>'Data entry Wiesensee'!AD141</f>
        <v>54746.968500000003</v>
      </c>
      <c r="M141" s="39">
        <f>'Data entry Wiesensee'!AG141</f>
        <v>-133515.6024</v>
      </c>
      <c r="N141" s="39">
        <f>'Data entry Wiesensee'!AJ141</f>
        <v>-133587.21470000001</v>
      </c>
      <c r="O141" s="39">
        <f>'Data entry Wiesensee'!AM141</f>
        <v>-189191.85310000001</v>
      </c>
    </row>
    <row r="142" spans="2:15" ht="14" x14ac:dyDescent="0.15">
      <c r="B142" s="38" t="s">
        <v>99</v>
      </c>
      <c r="C142" s="39">
        <f>'Data entry Wiesensee'!C142</f>
        <v>0</v>
      </c>
      <c r="D142" s="39">
        <f>'Data entry Wiesensee'!F142</f>
        <v>0</v>
      </c>
      <c r="E142" s="39">
        <f>'Data entry Wiesensee'!I142</f>
        <v>0</v>
      </c>
      <c r="F142" s="39">
        <f>'Data entry Wiesensee'!L142</f>
        <v>0</v>
      </c>
      <c r="G142" s="39">
        <f>'Data entry Wiesensee'!O142</f>
        <v>0</v>
      </c>
      <c r="H142" s="39">
        <f>'Data entry Wiesensee'!R142</f>
        <v>0</v>
      </c>
      <c r="I142" s="39">
        <f>'Data entry Wiesensee'!U142</f>
        <v>0</v>
      </c>
      <c r="J142" s="39">
        <f>'Data entry Wiesensee'!X142</f>
        <v>0</v>
      </c>
      <c r="K142" s="39">
        <f>'Data entry Wiesensee'!AA142</f>
        <v>0</v>
      </c>
      <c r="L142" s="39">
        <f>'Data entry Wiesensee'!AD142</f>
        <v>0</v>
      </c>
      <c r="M142" s="39">
        <f>'Data entry Wiesensee'!AG142</f>
        <v>0</v>
      </c>
      <c r="N142" s="39">
        <f>'Data entry Wiesensee'!AJ142</f>
        <v>0</v>
      </c>
      <c r="O142" s="39">
        <f>'Data entry Wiesensee'!AM142</f>
        <v>0</v>
      </c>
    </row>
    <row r="143" spans="2:15" x14ac:dyDescent="0.15">
      <c r="B143" s="40"/>
      <c r="C143" s="39">
        <f>'Data entry Wiesensee'!C143</f>
        <v>0</v>
      </c>
      <c r="D143" s="39">
        <f>'Data entry Wiesensee'!F143</f>
        <v>0</v>
      </c>
      <c r="E143" s="39">
        <f>'Data entry Wiesensee'!I143</f>
        <v>0</v>
      </c>
      <c r="F143" s="39">
        <f>'Data entry Wiesensee'!L143</f>
        <v>0</v>
      </c>
      <c r="G143" s="39">
        <f>'Data entry Wiesensee'!O143</f>
        <v>0</v>
      </c>
      <c r="H143" s="39">
        <f>'Data entry Wiesensee'!R143</f>
        <v>0</v>
      </c>
      <c r="I143" s="39">
        <f>'Data entry Wiesensee'!U143</f>
        <v>0</v>
      </c>
      <c r="J143" s="39">
        <f>'Data entry Wiesensee'!X143</f>
        <v>0</v>
      </c>
      <c r="K143" s="39">
        <f>'Data entry Wiesensee'!AA143</f>
        <v>0</v>
      </c>
      <c r="L143" s="39">
        <f>'Data entry Wiesensee'!AD143</f>
        <v>0</v>
      </c>
      <c r="M143" s="39">
        <f>'Data entry Wiesensee'!AG143</f>
        <v>0</v>
      </c>
      <c r="N143" s="39">
        <f>'Data entry Wiesensee'!AJ143</f>
        <v>0</v>
      </c>
      <c r="O143" s="39">
        <f>'Data entry Wiesensee'!AM143</f>
        <v>0</v>
      </c>
    </row>
    <row r="144" spans="2:15" ht="14" x14ac:dyDescent="0.15">
      <c r="B144" s="42" t="s">
        <v>100</v>
      </c>
      <c r="C144" s="39">
        <f>'Data entry Wiesensee'!C144</f>
        <v>-1346097.5437</v>
      </c>
      <c r="D144" s="39">
        <f>'Data entry Wiesensee'!F144</f>
        <v>-284949.18</v>
      </c>
      <c r="E144" s="39">
        <f>'Data entry Wiesensee'!I144</f>
        <v>-219854.64</v>
      </c>
      <c r="F144" s="39">
        <f>'Data entry Wiesensee'!L144</f>
        <v>34373.800000000003</v>
      </c>
      <c r="G144" s="39">
        <f>'Data entry Wiesensee'!O144</f>
        <v>-189943.22</v>
      </c>
      <c r="H144" s="39">
        <f>'Data entry Wiesensee'!R144</f>
        <v>-82534.5867</v>
      </c>
      <c r="I144" s="39">
        <f>'Data entry Wiesensee'!U144</f>
        <v>-94414.294200000004</v>
      </c>
      <c r="J144" s="39">
        <f>'Data entry Wiesensee'!X144</f>
        <v>-106477.70699999999</v>
      </c>
      <c r="K144" s="39">
        <f>'Data entry Wiesensee'!AA144</f>
        <v>-750.01409999999998</v>
      </c>
      <c r="L144" s="39">
        <f>'Data entry Wiesensee'!AD144</f>
        <v>54746.968500000003</v>
      </c>
      <c r="M144" s="39">
        <f>'Data entry Wiesensee'!AG144</f>
        <v>-133515.6024</v>
      </c>
      <c r="N144" s="39">
        <f>'Data entry Wiesensee'!AJ144</f>
        <v>-133587.21470000001</v>
      </c>
      <c r="O144" s="39">
        <f>'Data entry Wiesensee'!AM144</f>
        <v>-189191.85310000001</v>
      </c>
    </row>
    <row r="145" spans="2:15" ht="14" x14ac:dyDescent="0.15">
      <c r="B145" s="38" t="s">
        <v>101</v>
      </c>
      <c r="C145" s="39">
        <f>'Data entry Wiesensee'!C145</f>
        <v>0</v>
      </c>
      <c r="D145" s="39">
        <f>'Data entry Wiesensee'!F145</f>
        <v>0</v>
      </c>
      <c r="E145" s="39">
        <f>'Data entry Wiesensee'!I145</f>
        <v>0</v>
      </c>
      <c r="F145" s="39">
        <f>'Data entry Wiesensee'!L145</f>
        <v>0</v>
      </c>
      <c r="G145" s="39">
        <f>'Data entry Wiesensee'!O145</f>
        <v>0</v>
      </c>
      <c r="H145" s="39">
        <f>'Data entry Wiesensee'!R145</f>
        <v>0</v>
      </c>
      <c r="I145" s="39">
        <f>'Data entry Wiesensee'!U145</f>
        <v>0</v>
      </c>
      <c r="J145" s="39">
        <f>'Data entry Wiesensee'!X145</f>
        <v>0</v>
      </c>
      <c r="K145" s="39">
        <f>'Data entry Wiesensee'!AA145</f>
        <v>0</v>
      </c>
      <c r="L145" s="39">
        <f>'Data entry Wiesensee'!AD145</f>
        <v>0</v>
      </c>
      <c r="M145" s="39">
        <f>'Data entry Wiesensee'!AG145</f>
        <v>0</v>
      </c>
      <c r="N145" s="39">
        <f>'Data entry Wiesensee'!AJ145</f>
        <v>0</v>
      </c>
      <c r="O145" s="39">
        <f>'Data entry Wiesensee'!AM145</f>
        <v>0</v>
      </c>
    </row>
    <row r="146" spans="2:15" x14ac:dyDescent="0.15">
      <c r="B146" s="40"/>
      <c r="C146" s="39">
        <f>'Data entry Wiesensee'!C146</f>
        <v>0</v>
      </c>
      <c r="D146" s="39">
        <f>'Data entry Wiesensee'!F146</f>
        <v>0</v>
      </c>
      <c r="E146" s="39">
        <f>'Data entry Wiesensee'!I146</f>
        <v>0</v>
      </c>
      <c r="F146" s="39">
        <f>'Data entry Wiesensee'!L146</f>
        <v>0</v>
      </c>
      <c r="G146" s="39">
        <f>'Data entry Wiesensee'!O146</f>
        <v>0</v>
      </c>
      <c r="H146" s="39">
        <f>'Data entry Wiesensee'!R146</f>
        <v>0</v>
      </c>
      <c r="I146" s="39">
        <f>'Data entry Wiesensee'!U146</f>
        <v>0</v>
      </c>
      <c r="J146" s="39">
        <f>'Data entry Wiesensee'!X146</f>
        <v>0</v>
      </c>
      <c r="K146" s="39">
        <f>'Data entry Wiesensee'!AA146</f>
        <v>0</v>
      </c>
      <c r="L146" s="39">
        <f>'Data entry Wiesensee'!AD146</f>
        <v>0</v>
      </c>
      <c r="M146" s="39">
        <f>'Data entry Wiesensee'!AG146</f>
        <v>0</v>
      </c>
      <c r="N146" s="39">
        <f>'Data entry Wiesensee'!AJ146</f>
        <v>0</v>
      </c>
      <c r="O146" s="39">
        <f>'Data entry Wiesensee'!AM146</f>
        <v>0</v>
      </c>
    </row>
    <row r="147" spans="2:15" ht="28" x14ac:dyDescent="0.15">
      <c r="B147" s="42" t="s">
        <v>102</v>
      </c>
      <c r="C147" s="39">
        <f>'Data entry Wiesensee'!C147</f>
        <v>-1346097.5437</v>
      </c>
      <c r="D147" s="39">
        <f>'Data entry Wiesensee'!F147</f>
        <v>-284949.18</v>
      </c>
      <c r="E147" s="39">
        <f>'Data entry Wiesensee'!I147</f>
        <v>-219854.64</v>
      </c>
      <c r="F147" s="39">
        <f>'Data entry Wiesensee'!L147</f>
        <v>34373.800000000003</v>
      </c>
      <c r="G147" s="39">
        <f>'Data entry Wiesensee'!O147</f>
        <v>-189943.22</v>
      </c>
      <c r="H147" s="39">
        <f>'Data entry Wiesensee'!R147</f>
        <v>-82534.5867</v>
      </c>
      <c r="I147" s="39">
        <f>'Data entry Wiesensee'!U147</f>
        <v>-94414.294200000004</v>
      </c>
      <c r="J147" s="39">
        <f>'Data entry Wiesensee'!X147</f>
        <v>-106477.70699999999</v>
      </c>
      <c r="K147" s="39">
        <f>'Data entry Wiesensee'!AA147</f>
        <v>-750.01409999999998</v>
      </c>
      <c r="L147" s="39">
        <f>'Data entry Wiesensee'!AD147</f>
        <v>54746.968500000003</v>
      </c>
      <c r="M147" s="39">
        <f>'Data entry Wiesensee'!AG147</f>
        <v>-133515.6024</v>
      </c>
      <c r="N147" s="39">
        <f>'Data entry Wiesensee'!AJ147</f>
        <v>-133587.21470000001</v>
      </c>
      <c r="O147" s="39">
        <f>'Data entry Wiesensee'!AM147</f>
        <v>-189191.85310000001</v>
      </c>
    </row>
    <row r="148" spans="2:15" ht="14" x14ac:dyDescent="0.15">
      <c r="B148" s="38" t="s">
        <v>103</v>
      </c>
      <c r="C148" s="39">
        <f>'Data entry Wiesensee'!C148</f>
        <v>0</v>
      </c>
      <c r="D148" s="39">
        <f>'Data entry Wiesensee'!F148</f>
        <v>0</v>
      </c>
      <c r="E148" s="39">
        <f>'Data entry Wiesensee'!I148</f>
        <v>0</v>
      </c>
      <c r="F148" s="39">
        <f>'Data entry Wiesensee'!L148</f>
        <v>0</v>
      </c>
      <c r="G148" s="39">
        <f>'Data entry Wiesensee'!O148</f>
        <v>0</v>
      </c>
      <c r="H148" s="39">
        <f>'Data entry Wiesensee'!R148</f>
        <v>0</v>
      </c>
      <c r="I148" s="39">
        <f>'Data entry Wiesensee'!U148</f>
        <v>0</v>
      </c>
      <c r="J148" s="39">
        <f>'Data entry Wiesensee'!X148</f>
        <v>0</v>
      </c>
      <c r="K148" s="39">
        <f>'Data entry Wiesensee'!AA148</f>
        <v>0</v>
      </c>
      <c r="L148" s="39">
        <f>'Data entry Wiesensee'!AD148</f>
        <v>0</v>
      </c>
      <c r="M148" s="39">
        <f>'Data entry Wiesensee'!AG148</f>
        <v>0</v>
      </c>
      <c r="N148" s="39">
        <f>'Data entry Wiesensee'!AJ148</f>
        <v>0</v>
      </c>
      <c r="O148" s="39">
        <f>'Data entry Wiesensee'!AM148</f>
        <v>0</v>
      </c>
    </row>
    <row r="149" spans="2:15" x14ac:dyDescent="0.15">
      <c r="B149" s="40"/>
      <c r="C149" s="39">
        <f>'Data entry Wiesensee'!C149</f>
        <v>0</v>
      </c>
      <c r="D149" s="39">
        <f>'Data entry Wiesensee'!F149</f>
        <v>0</v>
      </c>
      <c r="E149" s="39">
        <f>'Data entry Wiesensee'!I149</f>
        <v>0</v>
      </c>
      <c r="F149" s="39">
        <f>'Data entry Wiesensee'!L149</f>
        <v>0</v>
      </c>
      <c r="G149" s="39">
        <f>'Data entry Wiesensee'!O149</f>
        <v>0</v>
      </c>
      <c r="H149" s="39">
        <f>'Data entry Wiesensee'!R149</f>
        <v>0</v>
      </c>
      <c r="I149" s="39">
        <f>'Data entry Wiesensee'!U149</f>
        <v>0</v>
      </c>
      <c r="J149" s="39">
        <f>'Data entry Wiesensee'!X149</f>
        <v>0</v>
      </c>
      <c r="K149" s="39">
        <f>'Data entry Wiesensee'!AA149</f>
        <v>0</v>
      </c>
      <c r="L149" s="39">
        <f>'Data entry Wiesensee'!AD149</f>
        <v>0</v>
      </c>
      <c r="M149" s="39">
        <f>'Data entry Wiesensee'!AG149</f>
        <v>0</v>
      </c>
      <c r="N149" s="39">
        <f>'Data entry Wiesensee'!AJ149</f>
        <v>0</v>
      </c>
      <c r="O149" s="39">
        <f>'Data entry Wiesensee'!AM149</f>
        <v>0</v>
      </c>
    </row>
    <row r="150" spans="2:15" ht="14" x14ac:dyDescent="0.15">
      <c r="B150" s="42" t="s">
        <v>104</v>
      </c>
      <c r="C150" s="39">
        <f>'Data entry Wiesensee'!C150</f>
        <v>-1346097.5437</v>
      </c>
      <c r="D150" s="39">
        <f>'Data entry Wiesensee'!F150</f>
        <v>-284949.18</v>
      </c>
      <c r="E150" s="39">
        <f>'Data entry Wiesensee'!I150</f>
        <v>-219854.64</v>
      </c>
      <c r="F150" s="39">
        <f>'Data entry Wiesensee'!L150</f>
        <v>34373.800000000003</v>
      </c>
      <c r="G150" s="39">
        <f>'Data entry Wiesensee'!O150</f>
        <v>-189943.22</v>
      </c>
      <c r="H150" s="39">
        <f>'Data entry Wiesensee'!R150</f>
        <v>-82534.5867</v>
      </c>
      <c r="I150" s="39">
        <f>'Data entry Wiesensee'!U150</f>
        <v>-94414.294200000004</v>
      </c>
      <c r="J150" s="39">
        <f>'Data entry Wiesensee'!X150</f>
        <v>-106477.70699999999</v>
      </c>
      <c r="K150" s="39">
        <f>'Data entry Wiesensee'!AA150</f>
        <v>-750.01409999999998</v>
      </c>
      <c r="L150" s="39">
        <f>'Data entry Wiesensee'!AD150</f>
        <v>54746.968500000003</v>
      </c>
      <c r="M150" s="39">
        <f>'Data entry Wiesensee'!AG150</f>
        <v>-133515.6024</v>
      </c>
      <c r="N150" s="39">
        <f>'Data entry Wiesensee'!AJ150</f>
        <v>-133587.21470000001</v>
      </c>
      <c r="O150" s="39">
        <f>'Data entry Wiesensee'!AM150</f>
        <v>-189191.85310000001</v>
      </c>
    </row>
    <row r="151" spans="2:15" x14ac:dyDescent="0.15">
      <c r="B151" s="40"/>
      <c r="C151" s="39">
        <f>'Data entry Wiesensee'!C151</f>
        <v>0</v>
      </c>
      <c r="D151" s="39">
        <f>'Data entry Wiesensee'!F151</f>
        <v>0</v>
      </c>
      <c r="E151" s="39">
        <f>'Data entry Wiesensee'!I151</f>
        <v>0</v>
      </c>
      <c r="F151" s="39">
        <f>'Data entry Wiesensee'!L151</f>
        <v>0</v>
      </c>
      <c r="G151" s="39">
        <f>'Data entry Wiesensee'!O151</f>
        <v>0</v>
      </c>
      <c r="H151" s="39">
        <f>'Data entry Wiesensee'!R151</f>
        <v>0</v>
      </c>
      <c r="I151" s="39">
        <f>'Data entry Wiesensee'!U151</f>
        <v>0</v>
      </c>
      <c r="J151" s="39">
        <f>'Data entry Wiesensee'!X151</f>
        <v>0</v>
      </c>
      <c r="K151" s="39">
        <f>'Data entry Wiesensee'!AA151</f>
        <v>0</v>
      </c>
      <c r="L151" s="39">
        <f>'Data entry Wiesensee'!AD151</f>
        <v>0</v>
      </c>
      <c r="M151" s="39">
        <f>'Data entry Wiesensee'!AG151</f>
        <v>0</v>
      </c>
      <c r="N151" s="39">
        <f>'Data entry Wiesensee'!AJ151</f>
        <v>0</v>
      </c>
      <c r="O151" s="39">
        <f>'Data entry Wiesensee'!AM151</f>
        <v>0</v>
      </c>
    </row>
    <row r="152" spans="2:15" ht="14" x14ac:dyDescent="0.15">
      <c r="B152" s="44" t="s">
        <v>105</v>
      </c>
      <c r="C152" s="39">
        <f>'Data entry Wiesensee'!C152</f>
        <v>0</v>
      </c>
      <c r="D152" s="39">
        <f>'Data entry Wiesensee'!F152</f>
        <v>0</v>
      </c>
      <c r="E152" s="39">
        <f>'Data entry Wiesensee'!I152</f>
        <v>0</v>
      </c>
      <c r="F152" s="39">
        <f>'Data entry Wiesensee'!L152</f>
        <v>0</v>
      </c>
      <c r="G152" s="39">
        <f>'Data entry Wiesensee'!O152</f>
        <v>0</v>
      </c>
      <c r="H152" s="39">
        <f>'Data entry Wiesensee'!R152</f>
        <v>0</v>
      </c>
      <c r="I152" s="39">
        <f>'Data entry Wiesensee'!U152</f>
        <v>0</v>
      </c>
      <c r="J152" s="39">
        <f>'Data entry Wiesensee'!X152</f>
        <v>0</v>
      </c>
      <c r="K152" s="39">
        <f>'Data entry Wiesensee'!AA152</f>
        <v>0</v>
      </c>
      <c r="L152" s="39">
        <f>'Data entry Wiesensee'!AD152</f>
        <v>0</v>
      </c>
      <c r="M152" s="39">
        <f>'Data entry Wiesensee'!AG152</f>
        <v>0</v>
      </c>
      <c r="N152" s="39">
        <f>'Data entry Wiesensee'!AJ152</f>
        <v>0</v>
      </c>
      <c r="O152" s="39">
        <f>'Data entry Wiesensee'!AM152</f>
        <v>0</v>
      </c>
    </row>
    <row r="153" spans="2:15" ht="14" x14ac:dyDescent="0.15">
      <c r="B153" s="38" t="s">
        <v>106</v>
      </c>
      <c r="C153" s="39">
        <f>'Data entry Wiesensee'!C153</f>
        <v>-1290897.5437</v>
      </c>
      <c r="D153" s="39">
        <f>'Data entry Wiesensee'!F153</f>
        <v>-281949.18</v>
      </c>
      <c r="E153" s="39">
        <f>'Data entry Wiesensee'!I153</f>
        <v>-216854.64</v>
      </c>
      <c r="F153" s="39">
        <f>'Data entry Wiesensee'!L153</f>
        <v>37373.800000000003</v>
      </c>
      <c r="G153" s="39">
        <f>'Data entry Wiesensee'!O153</f>
        <v>-186943.22</v>
      </c>
      <c r="H153" s="39">
        <f>'Data entry Wiesensee'!R153</f>
        <v>-77134.5867</v>
      </c>
      <c r="I153" s="39">
        <f>'Data entry Wiesensee'!U153</f>
        <v>-89014.294200000004</v>
      </c>
      <c r="J153" s="39">
        <f>'Data entry Wiesensee'!X153</f>
        <v>-101077.70699999999</v>
      </c>
      <c r="K153" s="39">
        <f>'Data entry Wiesensee'!AA153</f>
        <v>4649.9858999999997</v>
      </c>
      <c r="L153" s="39">
        <f>'Data entry Wiesensee'!AD153</f>
        <v>60146.968500000003</v>
      </c>
      <c r="M153" s="39">
        <f>'Data entry Wiesensee'!AG153</f>
        <v>-128115.6024</v>
      </c>
      <c r="N153" s="39">
        <f>'Data entry Wiesensee'!AJ153</f>
        <v>-128187.2147</v>
      </c>
      <c r="O153" s="39">
        <f>'Data entry Wiesensee'!AM153</f>
        <v>-183791.85310000001</v>
      </c>
    </row>
    <row r="154" spans="2:15" ht="14" x14ac:dyDescent="0.15">
      <c r="B154" s="38" t="s">
        <v>107</v>
      </c>
      <c r="C154" s="39">
        <f>'Data entry Wiesensee'!C154</f>
        <v>-1346097.5437</v>
      </c>
      <c r="D154" s="39">
        <f>'Data entry Wiesensee'!F154</f>
        <v>-284949.18</v>
      </c>
      <c r="E154" s="39">
        <f>'Data entry Wiesensee'!I154</f>
        <v>-219854.64</v>
      </c>
      <c r="F154" s="39">
        <f>'Data entry Wiesensee'!L154</f>
        <v>34373.800000000003</v>
      </c>
      <c r="G154" s="39">
        <f>'Data entry Wiesensee'!O154</f>
        <v>-189943.22</v>
      </c>
      <c r="H154" s="39">
        <f>'Data entry Wiesensee'!R154</f>
        <v>-82534.5867</v>
      </c>
      <c r="I154" s="39">
        <f>'Data entry Wiesensee'!U154</f>
        <v>-94414.294200000004</v>
      </c>
      <c r="J154" s="39">
        <f>'Data entry Wiesensee'!X154</f>
        <v>-106477.70699999999</v>
      </c>
      <c r="K154" s="39">
        <f>'Data entry Wiesensee'!AA154</f>
        <v>-750.01409999999998</v>
      </c>
      <c r="L154" s="39">
        <f>'Data entry Wiesensee'!AD154</f>
        <v>54746.968500000003</v>
      </c>
      <c r="M154" s="39">
        <f>'Data entry Wiesensee'!AG154</f>
        <v>-133515.6024</v>
      </c>
      <c r="N154" s="39">
        <f>'Data entry Wiesensee'!AJ154</f>
        <v>-133587.21470000001</v>
      </c>
      <c r="O154" s="39">
        <f>'Data entry Wiesensee'!AM154</f>
        <v>-189191.85310000001</v>
      </c>
    </row>
    <row r="155" spans="2:15" ht="14" x14ac:dyDescent="0.15">
      <c r="B155" s="42" t="s">
        <v>108</v>
      </c>
      <c r="C155" s="39">
        <f>'Data entry Wiesensee'!C155</f>
        <v>229635.78419999999</v>
      </c>
      <c r="D155" s="39">
        <f>'Data entry Wiesensee'!F155</f>
        <v>13832.66</v>
      </c>
      <c r="E155" s="39">
        <f>'Data entry Wiesensee'!I155</f>
        <v>15581.7</v>
      </c>
      <c r="F155" s="39">
        <f>'Data entry Wiesensee'!L155</f>
        <v>19326.439999999999</v>
      </c>
      <c r="G155" s="39">
        <f>'Data entry Wiesensee'!O155</f>
        <v>11703.53</v>
      </c>
      <c r="H155" s="39">
        <f>'Data entry Wiesensee'!R155</f>
        <v>22247.545600000001</v>
      </c>
      <c r="I155" s="39">
        <f>'Data entry Wiesensee'!U155</f>
        <v>22828.0497</v>
      </c>
      <c r="J155" s="39">
        <f>'Data entry Wiesensee'!X155</f>
        <v>20534.233899999999</v>
      </c>
      <c r="K155" s="39">
        <f>'Data entry Wiesensee'!AA155</f>
        <v>25399.9084</v>
      </c>
      <c r="L155" s="39">
        <f>'Data entry Wiesensee'!AD155</f>
        <v>30388.186600000001</v>
      </c>
      <c r="M155" s="39">
        <f>'Data entry Wiesensee'!AG155</f>
        <v>19077.7847</v>
      </c>
      <c r="N155" s="39">
        <f>'Data entry Wiesensee'!AJ155</f>
        <v>16487.590100000001</v>
      </c>
      <c r="O155" s="39">
        <f>'Data entry Wiesensee'!AM155</f>
        <v>12228.155199999999</v>
      </c>
    </row>
    <row r="156" spans="2:15" ht="14" x14ac:dyDescent="0.15">
      <c r="B156" s="38" t="s">
        <v>109</v>
      </c>
      <c r="C156" s="39">
        <f>'Data entry Wiesensee'!C156</f>
        <v>0</v>
      </c>
      <c r="D156" s="39">
        <f>'Data entry Wiesensee'!F156</f>
        <v>0</v>
      </c>
      <c r="E156" s="39">
        <f>'Data entry Wiesensee'!I156</f>
        <v>0</v>
      </c>
      <c r="F156" s="39">
        <f>'Data entry Wiesensee'!L156</f>
        <v>0</v>
      </c>
      <c r="G156" s="39">
        <f>'Data entry Wiesensee'!O156</f>
        <v>0</v>
      </c>
      <c r="H156" s="39">
        <f>'Data entry Wiesensee'!R156</f>
        <v>0</v>
      </c>
      <c r="I156" s="39">
        <f>'Data entry Wiesensee'!U156</f>
        <v>0</v>
      </c>
      <c r="J156" s="39">
        <f>'Data entry Wiesensee'!X156</f>
        <v>0</v>
      </c>
      <c r="K156" s="39">
        <f>'Data entry Wiesensee'!AA156</f>
        <v>0</v>
      </c>
      <c r="L156" s="39">
        <f>'Data entry Wiesensee'!AD156</f>
        <v>0</v>
      </c>
      <c r="M156" s="39">
        <f>'Data entry Wiesensee'!AG156</f>
        <v>0</v>
      </c>
      <c r="N156" s="39">
        <f>'Data entry Wiesensee'!AJ156</f>
        <v>0</v>
      </c>
      <c r="O156" s="39">
        <f>'Data entry Wiesensee'!AM156</f>
        <v>0</v>
      </c>
    </row>
    <row r="157" spans="2:15" ht="14" x14ac:dyDescent="0.15">
      <c r="B157" s="38" t="s">
        <v>110</v>
      </c>
      <c r="C157" s="39">
        <f>'Data entry Wiesensee'!C157</f>
        <v>0</v>
      </c>
      <c r="D157" s="39">
        <f>'Data entry Wiesensee'!F157</f>
        <v>0</v>
      </c>
      <c r="E157" s="39">
        <f>'Data entry Wiesensee'!I157</f>
        <v>0</v>
      </c>
      <c r="F157" s="39">
        <f>'Data entry Wiesensee'!L157</f>
        <v>0</v>
      </c>
      <c r="G157" s="39">
        <f>'Data entry Wiesensee'!O157</f>
        <v>0</v>
      </c>
      <c r="H157" s="39">
        <f>'Data entry Wiesensee'!R157</f>
        <v>0</v>
      </c>
      <c r="I157" s="39">
        <f>'Data entry Wiesensee'!U157</f>
        <v>0</v>
      </c>
      <c r="J157" s="39">
        <f>'Data entry Wiesensee'!X157</f>
        <v>0</v>
      </c>
      <c r="K157" s="39">
        <f>'Data entry Wiesensee'!AA157</f>
        <v>0</v>
      </c>
      <c r="L157" s="39">
        <f>'Data entry Wiesensee'!AD157</f>
        <v>0</v>
      </c>
      <c r="M157" s="39">
        <f>'Data entry Wiesensee'!AG157</f>
        <v>0</v>
      </c>
      <c r="N157" s="39">
        <f>'Data entry Wiesensee'!AJ157</f>
        <v>0</v>
      </c>
      <c r="O157" s="39">
        <f>'Data entry Wiesensee'!AM157</f>
        <v>0</v>
      </c>
    </row>
    <row r="158" spans="2:15" ht="14" x14ac:dyDescent="0.15">
      <c r="B158" s="38" t="s">
        <v>111</v>
      </c>
      <c r="C158" s="39">
        <f>'Data entry Wiesensee'!C158</f>
        <v>55938.2235</v>
      </c>
      <c r="D158" s="39">
        <f>'Data entry Wiesensee'!F158</f>
        <v>2766.53</v>
      </c>
      <c r="E158" s="39">
        <f>'Data entry Wiesensee'!I158</f>
        <v>3116.34</v>
      </c>
      <c r="F158" s="39">
        <f>'Data entry Wiesensee'!L158</f>
        <v>4831.6099999999997</v>
      </c>
      <c r="G158" s="39">
        <f>'Data entry Wiesensee'!O158</f>
        <v>2925.88</v>
      </c>
      <c r="H158" s="39">
        <f>'Data entry Wiesensee'!R158</f>
        <v>5561.8864000000003</v>
      </c>
      <c r="I158" s="39">
        <f>'Data entry Wiesensee'!U158</f>
        <v>5707.0123999999996</v>
      </c>
      <c r="J158" s="39">
        <f>'Data entry Wiesensee'!X158</f>
        <v>5133.5585000000001</v>
      </c>
      <c r="K158" s="39">
        <f>'Data entry Wiesensee'!AA158</f>
        <v>6349.9771000000001</v>
      </c>
      <c r="L158" s="39">
        <f>'Data entry Wiesensee'!AD158</f>
        <v>7597.0465999999997</v>
      </c>
      <c r="M158" s="39">
        <f>'Data entry Wiesensee'!AG158</f>
        <v>4769.4462000000003</v>
      </c>
      <c r="N158" s="39">
        <f>'Data entry Wiesensee'!AJ158</f>
        <v>4121.8975</v>
      </c>
      <c r="O158" s="39">
        <f>'Data entry Wiesensee'!AM158</f>
        <v>3057.0387999999998</v>
      </c>
    </row>
    <row r="159" spans="2:15" ht="14" x14ac:dyDescent="0.15">
      <c r="B159" s="38" t="s">
        <v>112</v>
      </c>
      <c r="C159" s="39">
        <f>'Data entry Wiesensee'!C159</f>
        <v>67032.151700000002</v>
      </c>
      <c r="D159" s="39">
        <f>'Data entry Wiesensee'!F159</f>
        <v>0</v>
      </c>
      <c r="E159" s="39">
        <f>'Data entry Wiesensee'!I159</f>
        <v>-2569.4899999999998</v>
      </c>
      <c r="F159" s="39">
        <f>'Data entry Wiesensee'!L159</f>
        <v>1376.36</v>
      </c>
      <c r="G159" s="39">
        <f>'Data entry Wiesensee'!O159</f>
        <v>548.70000000000005</v>
      </c>
      <c r="H159" s="39">
        <f>'Data entry Wiesensee'!R159</f>
        <v>8899.0182000000004</v>
      </c>
      <c r="I159" s="39">
        <f>'Data entry Wiesensee'!U159</f>
        <v>9131.2199000000001</v>
      </c>
      <c r="J159" s="39">
        <f>'Data entry Wiesensee'!X159</f>
        <v>8213.6936000000005</v>
      </c>
      <c r="K159" s="39">
        <f>'Data entry Wiesensee'!AA159</f>
        <v>10159.963400000001</v>
      </c>
      <c r="L159" s="39">
        <f>'Data entry Wiesensee'!AD159</f>
        <v>12155.274600000001</v>
      </c>
      <c r="M159" s="39">
        <f>'Data entry Wiesensee'!AG159</f>
        <v>7631.1139000000003</v>
      </c>
      <c r="N159" s="39">
        <f>'Data entry Wiesensee'!AJ159</f>
        <v>6595.0360000000001</v>
      </c>
      <c r="O159" s="39">
        <f>'Data entry Wiesensee'!AM159</f>
        <v>4891.2620999999999</v>
      </c>
    </row>
    <row r="160" spans="2:15" ht="14" x14ac:dyDescent="0.15">
      <c r="B160" s="38" t="s">
        <v>113</v>
      </c>
      <c r="C160" s="39">
        <f>'Data entry Wiesensee'!C160</f>
        <v>160057.20060000001</v>
      </c>
      <c r="D160" s="39">
        <f>'Data entry Wiesensee'!F160</f>
        <v>8299.6</v>
      </c>
      <c r="E160" s="39">
        <f>'Data entry Wiesensee'!I160</f>
        <v>9349.02</v>
      </c>
      <c r="F160" s="39">
        <f>'Data entry Wiesensee'!L160</f>
        <v>9663.2199999999993</v>
      </c>
      <c r="G160" s="39">
        <f>'Data entry Wiesensee'!O160</f>
        <v>5851.77</v>
      </c>
      <c r="H160" s="39">
        <f>'Data entry Wiesensee'!R160</f>
        <v>16685.659199999998</v>
      </c>
      <c r="I160" s="39">
        <f>'Data entry Wiesensee'!U160</f>
        <v>17121.0373</v>
      </c>
      <c r="J160" s="39">
        <f>'Data entry Wiesensee'!X160</f>
        <v>15400.6754</v>
      </c>
      <c r="K160" s="39">
        <f>'Data entry Wiesensee'!AA160</f>
        <v>19049.9313</v>
      </c>
      <c r="L160" s="39">
        <f>'Data entry Wiesensee'!AD160</f>
        <v>22791.139899999998</v>
      </c>
      <c r="M160" s="39">
        <f>'Data entry Wiesensee'!AG160</f>
        <v>14308.3385</v>
      </c>
      <c r="N160" s="39">
        <f>'Data entry Wiesensee'!AJ160</f>
        <v>12365.6926</v>
      </c>
      <c r="O160" s="39">
        <f>'Data entry Wiesensee'!AM160</f>
        <v>9171.1164000000008</v>
      </c>
    </row>
    <row r="161" spans="2:15" ht="14" x14ac:dyDescent="0.15">
      <c r="B161" s="38" t="s">
        <v>114</v>
      </c>
      <c r="C161" s="39">
        <f>'Data entry Wiesensee'!C161</f>
        <v>13640.36</v>
      </c>
      <c r="D161" s="39">
        <f>'Data entry Wiesensee'!F161</f>
        <v>2766.53</v>
      </c>
      <c r="E161" s="39">
        <f>'Data entry Wiesensee'!I161</f>
        <v>3116.34</v>
      </c>
      <c r="F161" s="39">
        <f>'Data entry Wiesensee'!L161</f>
        <v>4831.6099999999997</v>
      </c>
      <c r="G161" s="39">
        <f>'Data entry Wiesensee'!O161</f>
        <v>2925.88</v>
      </c>
      <c r="H161" s="39">
        <f>'Data entry Wiesensee'!R161</f>
        <v>0</v>
      </c>
      <c r="I161" s="39">
        <f>'Data entry Wiesensee'!U161</f>
        <v>0</v>
      </c>
      <c r="J161" s="39">
        <f>'Data entry Wiesensee'!X161</f>
        <v>0</v>
      </c>
      <c r="K161" s="39">
        <f>'Data entry Wiesensee'!AA161</f>
        <v>0</v>
      </c>
      <c r="L161" s="39">
        <f>'Data entry Wiesensee'!AD161</f>
        <v>0</v>
      </c>
      <c r="M161" s="39">
        <f>'Data entry Wiesensee'!AG161</f>
        <v>0</v>
      </c>
      <c r="N161" s="39">
        <f>'Data entry Wiesensee'!AJ161</f>
        <v>0</v>
      </c>
      <c r="O161" s="39">
        <f>'Data entry Wiesensee'!AM161</f>
        <v>0</v>
      </c>
    </row>
    <row r="162" spans="2:15" ht="14" x14ac:dyDescent="0.15">
      <c r="B162" s="42" t="s">
        <v>115</v>
      </c>
      <c r="C162" s="39">
        <f>'Data entry Wiesensee'!C162</f>
        <v>147351.63449999999</v>
      </c>
      <c r="D162" s="39">
        <f>'Data entry Wiesensee'!F162</f>
        <v>946.85</v>
      </c>
      <c r="E162" s="39">
        <f>'Data entry Wiesensee'!I162</f>
        <v>27071.72</v>
      </c>
      <c r="F162" s="39">
        <f>'Data entry Wiesensee'!L162</f>
        <v>0</v>
      </c>
      <c r="G162" s="39">
        <f>'Data entry Wiesensee'!O162</f>
        <v>12990.23</v>
      </c>
      <c r="H162" s="39">
        <f>'Data entry Wiesensee'!R162</f>
        <v>13848.4995</v>
      </c>
      <c r="I162" s="39">
        <f>'Data entry Wiesensee'!U162</f>
        <v>12380.175499999999</v>
      </c>
      <c r="J162" s="39">
        <f>'Data entry Wiesensee'!X162</f>
        <v>11093.052</v>
      </c>
      <c r="K162" s="39">
        <f>'Data entry Wiesensee'!AA162</f>
        <v>14586.555</v>
      </c>
      <c r="L162" s="39">
        <f>'Data entry Wiesensee'!AD162</f>
        <v>18659.39</v>
      </c>
      <c r="M162" s="39">
        <f>'Data entry Wiesensee'!AG162</f>
        <v>12518.352500000001</v>
      </c>
      <c r="N162" s="39">
        <f>'Data entry Wiesensee'!AJ162</f>
        <v>13126.525</v>
      </c>
      <c r="O162" s="39">
        <f>'Data entry Wiesensee'!AM162</f>
        <v>10130.285</v>
      </c>
    </row>
    <row r="163" spans="2:15" ht="14" x14ac:dyDescent="0.15">
      <c r="B163" s="38" t="s">
        <v>116</v>
      </c>
      <c r="C163" s="39">
        <f>'Data entry Wiesensee'!C163</f>
        <v>80310.105500000005</v>
      </c>
      <c r="D163" s="39">
        <f>'Data entry Wiesensee'!F163</f>
        <v>0</v>
      </c>
      <c r="E163" s="39">
        <f>'Data entry Wiesensee'!I163</f>
        <v>19080.18</v>
      </c>
      <c r="F163" s="39">
        <f>'Data entry Wiesensee'!L163</f>
        <v>0</v>
      </c>
      <c r="G163" s="39">
        <f>'Data entry Wiesensee'!O163</f>
        <v>7793.63</v>
      </c>
      <c r="H163" s="39">
        <f>'Data entry Wiesensee'!R163</f>
        <v>6978.7304999999997</v>
      </c>
      <c r="I163" s="39">
        <f>'Data entry Wiesensee'!U163</f>
        <v>6188.0945000000002</v>
      </c>
      <c r="J163" s="39">
        <f>'Data entry Wiesensee'!X163</f>
        <v>5495.0280000000002</v>
      </c>
      <c r="K163" s="39">
        <f>'Data entry Wiesensee'!AA163</f>
        <v>7376.1450000000004</v>
      </c>
      <c r="L163" s="39">
        <f>'Data entry Wiesensee'!AD163</f>
        <v>9569.2099999999991</v>
      </c>
      <c r="M163" s="39">
        <f>'Data entry Wiesensee'!AG163</f>
        <v>6262.4975000000004</v>
      </c>
      <c r="N163" s="39">
        <f>'Data entry Wiesensee'!AJ163</f>
        <v>6589.9750000000004</v>
      </c>
      <c r="O163" s="39">
        <f>'Data entry Wiesensee'!AM163</f>
        <v>4976.6149999999998</v>
      </c>
    </row>
    <row r="164" spans="2:15" ht="14" x14ac:dyDescent="0.15">
      <c r="B164" s="38" t="s">
        <v>117</v>
      </c>
      <c r="C164" s="39">
        <f>'Data entry Wiesensee'!C164</f>
        <v>48947.152499999997</v>
      </c>
      <c r="D164" s="39">
        <f>'Data entry Wiesensee'!F164</f>
        <v>0</v>
      </c>
      <c r="E164" s="39">
        <f>'Data entry Wiesensee'!I164</f>
        <v>6331.53</v>
      </c>
      <c r="F164" s="39">
        <f>'Data entry Wiesensee'!L164</f>
        <v>0</v>
      </c>
      <c r="G164" s="39">
        <f>'Data entry Wiesensee'!O164</f>
        <v>5046.84</v>
      </c>
      <c r="H164" s="39">
        <f>'Data entry Wiesensee'!R164</f>
        <v>4909.8074999999999</v>
      </c>
      <c r="I164" s="39">
        <f>'Data entry Wiesensee'!U164</f>
        <v>4345.0675000000001</v>
      </c>
      <c r="J164" s="39">
        <f>'Data entry Wiesensee'!X164</f>
        <v>3850.02</v>
      </c>
      <c r="K164" s="39">
        <f>'Data entry Wiesensee'!AA164</f>
        <v>5193.6750000000002</v>
      </c>
      <c r="L164" s="39">
        <f>'Data entry Wiesensee'!AD164</f>
        <v>6760.15</v>
      </c>
      <c r="M164" s="39">
        <f>'Data entry Wiesensee'!AG164</f>
        <v>4398.2124999999996</v>
      </c>
      <c r="N164" s="39">
        <f>'Data entry Wiesensee'!AJ164</f>
        <v>4632.125</v>
      </c>
      <c r="O164" s="39">
        <f>'Data entry Wiesensee'!AM164</f>
        <v>3479.7249999999999</v>
      </c>
    </row>
    <row r="165" spans="2:15" ht="14" x14ac:dyDescent="0.15">
      <c r="B165" s="38" t="s">
        <v>118</v>
      </c>
      <c r="C165" s="39">
        <f>'Data entry Wiesensee'!C165</f>
        <v>10580.62</v>
      </c>
      <c r="D165" s="39">
        <f>'Data entry Wiesensee'!F165</f>
        <v>946.85</v>
      </c>
      <c r="E165" s="39">
        <f>'Data entry Wiesensee'!I165</f>
        <v>1660.01</v>
      </c>
      <c r="F165" s="39">
        <f>'Data entry Wiesensee'!L165</f>
        <v>0</v>
      </c>
      <c r="G165" s="39">
        <f>'Data entry Wiesensee'!O165</f>
        <v>149.76</v>
      </c>
      <c r="H165" s="39">
        <f>'Data entry Wiesensee'!R165</f>
        <v>978</v>
      </c>
      <c r="I165" s="39">
        <f>'Data entry Wiesensee'!U165</f>
        <v>978</v>
      </c>
      <c r="J165" s="39">
        <f>'Data entry Wiesensee'!X165</f>
        <v>978</v>
      </c>
      <c r="K165" s="39">
        <f>'Data entry Wiesensee'!AA165</f>
        <v>978</v>
      </c>
      <c r="L165" s="39">
        <f>'Data entry Wiesensee'!AD165</f>
        <v>978</v>
      </c>
      <c r="M165" s="39">
        <f>'Data entry Wiesensee'!AG165</f>
        <v>978</v>
      </c>
      <c r="N165" s="39">
        <f>'Data entry Wiesensee'!AJ165</f>
        <v>978</v>
      </c>
      <c r="O165" s="39">
        <f>'Data entry Wiesensee'!AM165</f>
        <v>978</v>
      </c>
    </row>
    <row r="166" spans="2:15" ht="14" x14ac:dyDescent="0.15">
      <c r="B166" s="38" t="s">
        <v>119</v>
      </c>
      <c r="C166" s="39">
        <f>'Data entry Wiesensee'!C166</f>
        <v>7513.7565000000004</v>
      </c>
      <c r="D166" s="39">
        <f>'Data entry Wiesensee'!F166</f>
        <v>0</v>
      </c>
      <c r="E166" s="39">
        <f>'Data entry Wiesensee'!I166</f>
        <v>0</v>
      </c>
      <c r="F166" s="39">
        <f>'Data entry Wiesensee'!L166</f>
        <v>0</v>
      </c>
      <c r="G166" s="39">
        <f>'Data entry Wiesensee'!O166</f>
        <v>0</v>
      </c>
      <c r="H166" s="39">
        <f>'Data entry Wiesensee'!R166</f>
        <v>981.9615</v>
      </c>
      <c r="I166" s="39">
        <f>'Data entry Wiesensee'!U166</f>
        <v>869.01350000000002</v>
      </c>
      <c r="J166" s="39">
        <f>'Data entry Wiesensee'!X166</f>
        <v>770.00400000000002</v>
      </c>
      <c r="K166" s="39">
        <f>'Data entry Wiesensee'!AA166</f>
        <v>1038.7349999999999</v>
      </c>
      <c r="L166" s="39">
        <f>'Data entry Wiesensee'!AD166</f>
        <v>1352.03</v>
      </c>
      <c r="M166" s="39">
        <f>'Data entry Wiesensee'!AG166</f>
        <v>879.64250000000004</v>
      </c>
      <c r="N166" s="39">
        <f>'Data entry Wiesensee'!AJ166</f>
        <v>926.42499999999995</v>
      </c>
      <c r="O166" s="39">
        <f>'Data entry Wiesensee'!AM166</f>
        <v>695.94500000000005</v>
      </c>
    </row>
    <row r="168" spans="2:15" ht="14" x14ac:dyDescent="0.15">
      <c r="B168" s="33" t="s">
        <v>158</v>
      </c>
    </row>
    <row r="171" spans="2:15" customFormat="1" ht="14" x14ac:dyDescent="0.15">
      <c r="B171" s="180" t="s">
        <v>331</v>
      </c>
      <c r="C171" s="21">
        <f t="shared" ref="C171:I171" si="0">+C11</f>
        <v>5594172.2648</v>
      </c>
      <c r="D171" s="21">
        <f t="shared" si="0"/>
        <v>276711.28999999998</v>
      </c>
      <c r="E171" s="21">
        <f t="shared" si="0"/>
        <v>311673.43</v>
      </c>
      <c r="F171" s="21">
        <f t="shared" si="0"/>
        <v>483307.31</v>
      </c>
      <c r="G171" s="21">
        <f t="shared" si="0"/>
        <v>292693.88</v>
      </c>
      <c r="H171" s="21">
        <f t="shared" si="0"/>
        <v>556188.63959999999</v>
      </c>
      <c r="I171" s="21">
        <f t="shared" si="0"/>
        <v>570701.24320000003</v>
      </c>
    </row>
    <row r="172" spans="2:15" customFormat="1" ht="14" x14ac:dyDescent="0.15">
      <c r="B172" s="180" t="s">
        <v>106</v>
      </c>
      <c r="C172" s="21">
        <f t="shared" ref="C172:I172" si="1">+C153</f>
        <v>-1290897.5437</v>
      </c>
      <c r="D172" s="21">
        <f t="shared" si="1"/>
        <v>-281949.18</v>
      </c>
      <c r="E172" s="21">
        <f t="shared" si="1"/>
        <v>-216854.64</v>
      </c>
      <c r="F172" s="21">
        <f t="shared" si="1"/>
        <v>37373.800000000003</v>
      </c>
      <c r="G172" s="21">
        <f t="shared" si="1"/>
        <v>-186943.22</v>
      </c>
      <c r="H172" s="21">
        <f t="shared" si="1"/>
        <v>-77134.5867</v>
      </c>
      <c r="I172" s="21">
        <f t="shared" si="1"/>
        <v>-89014.294200000004</v>
      </c>
    </row>
    <row r="173" spans="2:15" customFormat="1" ht="14" x14ac:dyDescent="0.15">
      <c r="B173" s="180" t="s">
        <v>317</v>
      </c>
      <c r="C173" s="22">
        <f t="shared" ref="C173:I173" si="2">+C171-C172</f>
        <v>6885069.8085000003</v>
      </c>
      <c r="D173" s="22">
        <f t="shared" si="2"/>
        <v>558660.47</v>
      </c>
      <c r="E173" s="22">
        <f t="shared" si="2"/>
        <v>528528.07000000007</v>
      </c>
      <c r="F173" s="22">
        <f t="shared" si="2"/>
        <v>445933.51</v>
      </c>
      <c r="G173" s="22">
        <f t="shared" si="2"/>
        <v>479637.1</v>
      </c>
      <c r="H173" s="22">
        <f t="shared" si="2"/>
        <v>633323.22629999998</v>
      </c>
      <c r="I173" s="22">
        <f t="shared" si="2"/>
        <v>659715.53740000003</v>
      </c>
    </row>
    <row r="174" spans="2:15" customFormat="1" ht="14" x14ac:dyDescent="0.15">
      <c r="B174" s="180" t="s">
        <v>178</v>
      </c>
      <c r="C174" s="22">
        <f t="shared" ref="C174:I174" si="3">-C12*(1-$D$7)</f>
        <v>-2894507.4992999998</v>
      </c>
      <c r="D174" s="22">
        <f t="shared" si="3"/>
        <v>-220441.31</v>
      </c>
      <c r="E174" s="22">
        <f t="shared" si="3"/>
        <v>-197240.75</v>
      </c>
      <c r="F174" s="22">
        <f t="shared" si="3"/>
        <v>-206609.12</v>
      </c>
      <c r="G174" s="22">
        <f t="shared" si="3"/>
        <v>-235772.29</v>
      </c>
      <c r="H174" s="22">
        <f t="shared" si="3"/>
        <v>-264782.30609999999</v>
      </c>
      <c r="I174" s="22">
        <f t="shared" si="3"/>
        <v>-265060.40299999999</v>
      </c>
    </row>
    <row r="175" spans="2:15" customFormat="1" ht="14" x14ac:dyDescent="0.15">
      <c r="B175" s="180" t="s">
        <v>94</v>
      </c>
      <c r="C175" s="22">
        <f t="shared" ref="C175:I175" si="4">-C136</f>
        <v>-868360</v>
      </c>
      <c r="D175" s="22">
        <f t="shared" si="4"/>
        <v>-100848</v>
      </c>
      <c r="E175" s="22">
        <f t="shared" si="4"/>
        <v>-100848</v>
      </c>
      <c r="F175" s="22">
        <f t="shared" si="4"/>
        <v>0</v>
      </c>
      <c r="G175" s="22">
        <f t="shared" si="4"/>
        <v>0</v>
      </c>
      <c r="H175" s="22">
        <f t="shared" si="4"/>
        <v>-83333</v>
      </c>
      <c r="I175" s="22">
        <f t="shared" si="4"/>
        <v>-83333</v>
      </c>
    </row>
    <row r="176" spans="2:15" customFormat="1" ht="14" x14ac:dyDescent="0.15">
      <c r="B176" s="180" t="s">
        <v>318</v>
      </c>
      <c r="C176" s="22">
        <f t="shared" ref="C176:I176" si="5">SUM(C173:C175)</f>
        <v>3122202.3092000005</v>
      </c>
      <c r="D176" s="22">
        <f t="shared" si="5"/>
        <v>237371.15999999997</v>
      </c>
      <c r="E176" s="22">
        <f t="shared" si="5"/>
        <v>230439.32000000007</v>
      </c>
      <c r="F176" s="22">
        <f t="shared" si="5"/>
        <v>239324.39</v>
      </c>
      <c r="G176" s="22">
        <f t="shared" si="5"/>
        <v>243864.80999999997</v>
      </c>
      <c r="H176" s="22">
        <f t="shared" si="5"/>
        <v>285207.92019999999</v>
      </c>
      <c r="I176" s="22">
        <f t="shared" si="5"/>
        <v>311322.13440000004</v>
      </c>
    </row>
    <row r="177" customFormat="1" x14ac:dyDescent="0.15"/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05E4-2684-4ADF-8C05-FC2D9448621D}">
  <sheetPr>
    <pageSetUpPr fitToPage="1"/>
  </sheetPr>
  <dimension ref="B2:O168"/>
  <sheetViews>
    <sheetView workbookViewId="0">
      <pane xSplit="2" ySplit="10" topLeftCell="C11" activePane="bottomRight" state="frozen"/>
      <selection activeCell="J173" sqref="J173"/>
      <selection pane="topRight" activeCell="J173" sqref="J173"/>
      <selection pane="bottomLeft" activeCell="J173" sqref="J173"/>
      <selection pane="bottomRight" activeCell="J173" sqref="J173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159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f>'Data entry MAA Mainz'!C11</f>
        <v>5861516.2841999996</v>
      </c>
      <c r="D11" s="39">
        <f>'Data entry MAA Mainz'!F11</f>
        <v>332182.77</v>
      </c>
      <c r="E11" s="39">
        <f>'Data entry MAA Mainz'!I11</f>
        <v>391884.16</v>
      </c>
      <c r="F11" s="39">
        <f>'Data entry MAA Mainz'!L11</f>
        <v>492759.99</v>
      </c>
      <c r="G11" s="39">
        <f>'Data entry MAA Mainz'!O11</f>
        <v>309099.03000000003</v>
      </c>
      <c r="H11" s="39">
        <f>'Data entry MAA Mainz'!R11</f>
        <v>479374.109</v>
      </c>
      <c r="I11" s="39">
        <f>'Data entry MAA Mainz'!U11</f>
        <v>582644.50089999998</v>
      </c>
      <c r="J11" s="39">
        <f>'Data entry MAA Mainz'!X11</f>
        <v>522402.41970000003</v>
      </c>
      <c r="K11" s="39">
        <f>'Data entry MAA Mainz'!AA11</f>
        <v>445357.13280000002</v>
      </c>
      <c r="L11" s="39">
        <f>'Data entry MAA Mainz'!AD11</f>
        <v>730376.8334</v>
      </c>
      <c r="M11" s="39">
        <f>'Data entry MAA Mainz'!AG11</f>
        <v>586715.21479999996</v>
      </c>
      <c r="N11" s="39">
        <f>'Data entry MAA Mainz'!AJ11</f>
        <v>575890.83050000004</v>
      </c>
      <c r="O11" s="39">
        <f>'Data entry MAA Mainz'!AM11</f>
        <v>412829.29310000001</v>
      </c>
    </row>
    <row r="12" spans="2:15" ht="14" x14ac:dyDescent="0.15">
      <c r="B12" s="38" t="s">
        <v>22</v>
      </c>
      <c r="C12" s="39">
        <f>'Data entry MAA Mainz'!C12</f>
        <v>1576813.7568999999</v>
      </c>
      <c r="D12" s="39">
        <f>'Data entry MAA Mainz'!F12</f>
        <v>132517.04999999999</v>
      </c>
      <c r="E12" s="39">
        <f>'Data entry MAA Mainz'!I12</f>
        <v>125966.28</v>
      </c>
      <c r="F12" s="39">
        <f>'Data entry MAA Mainz'!L12</f>
        <v>127875.29</v>
      </c>
      <c r="G12" s="39">
        <f>'Data entry MAA Mainz'!O12</f>
        <v>116725.01</v>
      </c>
      <c r="H12" s="39">
        <f>'Data entry MAA Mainz'!R12</f>
        <v>136797.8204</v>
      </c>
      <c r="I12" s="39">
        <f>'Data entry MAA Mainz'!U12</f>
        <v>139444.5263</v>
      </c>
      <c r="J12" s="39">
        <f>'Data entry MAA Mainz'!X12</f>
        <v>129260.92720000001</v>
      </c>
      <c r="K12" s="39">
        <f>'Data entry MAA Mainz'!AA12</f>
        <v>125860.463</v>
      </c>
      <c r="L12" s="39">
        <f>'Data entry MAA Mainz'!AD12</f>
        <v>144123.55439999999</v>
      </c>
      <c r="M12" s="39">
        <f>'Data entry MAA Mainz'!AG12</f>
        <v>138085.446</v>
      </c>
      <c r="N12" s="39">
        <f>'Data entry MAA Mainz'!AJ12</f>
        <v>138622.80300000001</v>
      </c>
      <c r="O12" s="39">
        <f>'Data entry MAA Mainz'!AM12</f>
        <v>121534.5866</v>
      </c>
    </row>
    <row r="13" spans="2:15" ht="14" x14ac:dyDescent="0.15">
      <c r="B13" s="38" t="s">
        <v>23</v>
      </c>
      <c r="C13" s="39">
        <f>'Data entry MAA Mainz'!C13</f>
        <v>2177015.1627000002</v>
      </c>
      <c r="D13" s="39">
        <f>'Data entry MAA Mainz'!F13</f>
        <v>58077.26</v>
      </c>
      <c r="E13" s="39">
        <f>'Data entry MAA Mainz'!I13</f>
        <v>102659.81</v>
      </c>
      <c r="F13" s="39">
        <f>'Data entry MAA Mainz'!L13</f>
        <v>198320.99</v>
      </c>
      <c r="G13" s="39">
        <f>'Data entry MAA Mainz'!O13</f>
        <v>50703.11</v>
      </c>
      <c r="H13" s="39">
        <f>'Data entry MAA Mainz'!R13</f>
        <v>171354.318</v>
      </c>
      <c r="I13" s="39">
        <f>'Data entry MAA Mainz'!U13</f>
        <v>249108.85219999999</v>
      </c>
      <c r="J13" s="39">
        <f>'Data entry MAA Mainz'!X13</f>
        <v>212347.9933</v>
      </c>
      <c r="K13" s="39">
        <f>'Data entry MAA Mainz'!AA13</f>
        <v>159540.7378</v>
      </c>
      <c r="L13" s="39">
        <f>'Data entry MAA Mainz'!AD13</f>
        <v>360912.68930000003</v>
      </c>
      <c r="M13" s="39">
        <f>'Data entry MAA Mainz'!AG13</f>
        <v>250106.57980000001</v>
      </c>
      <c r="N13" s="39">
        <f>'Data entry MAA Mainz'!AJ13</f>
        <v>232509.3561</v>
      </c>
      <c r="O13" s="39">
        <f>'Data entry MAA Mainz'!AM13</f>
        <v>131373.4662</v>
      </c>
    </row>
    <row r="14" spans="2:15" ht="14" x14ac:dyDescent="0.15">
      <c r="B14" s="38" t="s">
        <v>24</v>
      </c>
      <c r="C14" s="39">
        <f>'Data entry MAA Mainz'!C14</f>
        <v>59130</v>
      </c>
      <c r="D14" s="39">
        <f>'Data entry MAA Mainz'!F14</f>
        <v>5022</v>
      </c>
      <c r="E14" s="39">
        <f>'Data entry MAA Mainz'!I14</f>
        <v>4536</v>
      </c>
      <c r="F14" s="39">
        <f>'Data entry MAA Mainz'!L14</f>
        <v>5022</v>
      </c>
      <c r="G14" s="39">
        <f>'Data entry MAA Mainz'!O14</f>
        <v>4860</v>
      </c>
      <c r="H14" s="39">
        <f>'Data entry MAA Mainz'!R14</f>
        <v>5022</v>
      </c>
      <c r="I14" s="39">
        <f>'Data entry MAA Mainz'!U14</f>
        <v>4860</v>
      </c>
      <c r="J14" s="39">
        <f>'Data entry MAA Mainz'!X14</f>
        <v>5022</v>
      </c>
      <c r="K14" s="39">
        <f>'Data entry MAA Mainz'!AA14</f>
        <v>5022</v>
      </c>
      <c r="L14" s="39">
        <f>'Data entry MAA Mainz'!AD14</f>
        <v>4860</v>
      </c>
      <c r="M14" s="39">
        <f>'Data entry MAA Mainz'!AG14</f>
        <v>5022</v>
      </c>
      <c r="N14" s="39">
        <f>'Data entry MAA Mainz'!AJ14</f>
        <v>4860</v>
      </c>
      <c r="O14" s="39">
        <f>'Data entry MAA Mainz'!AM14</f>
        <v>5022</v>
      </c>
    </row>
    <row r="15" spans="2:15" ht="14" x14ac:dyDescent="0.15">
      <c r="B15" s="38" t="s">
        <v>25</v>
      </c>
      <c r="C15" s="39">
        <f>'Data entry MAA Mainz'!C15</f>
        <v>36720</v>
      </c>
      <c r="D15" s="39">
        <f>'Data entry MAA Mainz'!F15</f>
        <v>2183</v>
      </c>
      <c r="E15" s="39">
        <f>'Data entry MAA Mainz'!I15</f>
        <v>2593</v>
      </c>
      <c r="F15" s="39">
        <f>'Data entry MAA Mainz'!L15</f>
        <v>3149</v>
      </c>
      <c r="G15" s="39">
        <f>'Data entry MAA Mainz'!O15</f>
        <v>2190</v>
      </c>
      <c r="H15" s="39">
        <f>'Data entry MAA Mainz'!R15</f>
        <v>3129</v>
      </c>
      <c r="I15" s="39">
        <f>'Data entry MAA Mainz'!U15</f>
        <v>3702</v>
      </c>
      <c r="J15" s="39">
        <f>'Data entry MAA Mainz'!X15</f>
        <v>3191</v>
      </c>
      <c r="K15" s="39">
        <f>'Data entry MAA Mainz'!AA15</f>
        <v>2823</v>
      </c>
      <c r="L15" s="39">
        <f>'Data entry MAA Mainz'!AD15</f>
        <v>3897</v>
      </c>
      <c r="M15" s="39">
        <f>'Data entry MAA Mainz'!AG15</f>
        <v>3656</v>
      </c>
      <c r="N15" s="39">
        <f>'Data entry MAA Mainz'!AJ15</f>
        <v>3590</v>
      </c>
      <c r="O15" s="39">
        <f>'Data entry MAA Mainz'!AM15</f>
        <v>2617</v>
      </c>
    </row>
    <row r="16" spans="2:15" ht="14" x14ac:dyDescent="0.15">
      <c r="B16" s="38" t="s">
        <v>26</v>
      </c>
      <c r="C16" s="39">
        <f>'Data entry MAA Mainz'!C16</f>
        <v>62.196854388635003</v>
      </c>
      <c r="D16" s="39">
        <f>'Data entry MAA Mainz'!F16</f>
        <v>43.608124253286</v>
      </c>
      <c r="E16" s="39">
        <f>'Data entry MAA Mainz'!I16</f>
        <v>57.208994708995</v>
      </c>
      <c r="F16" s="39">
        <f>'Data entry MAA Mainz'!L16</f>
        <v>62.803663878933001</v>
      </c>
      <c r="G16" s="39">
        <f>'Data entry MAA Mainz'!O16</f>
        <v>45.123456790123001</v>
      </c>
      <c r="H16" s="39">
        <f>'Data entry MAA Mainz'!R16</f>
        <v>62.405416168857002</v>
      </c>
      <c r="I16" s="39">
        <f>'Data entry MAA Mainz'!U16</f>
        <v>76.275720164608998</v>
      </c>
      <c r="J16" s="39">
        <f>'Data entry MAA Mainz'!X16</f>
        <v>63.639984070091998</v>
      </c>
      <c r="K16" s="39">
        <f>'Data entry MAA Mainz'!AA16</f>
        <v>56.312226204699002</v>
      </c>
      <c r="L16" s="39">
        <f>'Data entry MAA Mainz'!AD16</f>
        <v>80.288065843620998</v>
      </c>
      <c r="M16" s="39">
        <f>'Data entry MAA Mainz'!AG16</f>
        <v>72.899243329350995</v>
      </c>
      <c r="N16" s="39">
        <f>'Data entry MAA Mainz'!AJ16</f>
        <v>73.971193415637998</v>
      </c>
      <c r="O16" s="39">
        <f>'Data entry MAA Mainz'!AM16</f>
        <v>52.210274790920003</v>
      </c>
    </row>
    <row r="17" spans="2:15" ht="14" x14ac:dyDescent="0.15">
      <c r="B17" s="38" t="s">
        <v>27</v>
      </c>
      <c r="C17" s="39">
        <f>'Data entry MAA Mainz'!C17</f>
        <v>123.74684251362</v>
      </c>
      <c r="D17" s="39">
        <f>'Data entry MAA Mainz'!F17</f>
        <v>110.23788822720999</v>
      </c>
      <c r="E17" s="39">
        <f>'Data entry MAA Mainz'!I17</f>
        <v>115.389633629</v>
      </c>
      <c r="F17" s="39">
        <f>'Data entry MAA Mainz'!L17</f>
        <v>122.58582407113001</v>
      </c>
      <c r="G17" s="39">
        <f>'Data entry MAA Mainz'!O17</f>
        <v>110.51911872146</v>
      </c>
      <c r="H17" s="39">
        <f>'Data entry MAA Mainz'!R17</f>
        <v>118.7582022691</v>
      </c>
      <c r="I17" s="39">
        <f>'Data entry MAA Mainz'!U17</f>
        <v>126.34098019989</v>
      </c>
      <c r="J17" s="39">
        <f>'Data entry MAA Mainz'!X17</f>
        <v>119.86211219054</v>
      </c>
      <c r="K17" s="39">
        <f>'Data entry MAA Mainz'!AA17</f>
        <v>121.04218831031</v>
      </c>
      <c r="L17" s="39">
        <f>'Data entry MAA Mainz'!AD17</f>
        <v>152.30358842699999</v>
      </c>
      <c r="M17" s="39">
        <f>'Data entry MAA Mainz'!AG17</f>
        <v>124.59590749453</v>
      </c>
      <c r="N17" s="39">
        <f>'Data entry MAA Mainz'!AJ17</f>
        <v>124.46763155988999</v>
      </c>
      <c r="O17" s="39">
        <f>'Data entry MAA Mainz'!AM17</f>
        <v>121.01278437142</v>
      </c>
    </row>
    <row r="18" spans="2:15" ht="14" x14ac:dyDescent="0.15">
      <c r="B18" s="38" t="s">
        <v>28</v>
      </c>
      <c r="C18" s="39">
        <f>'Data entry MAA Mainz'!C18</f>
        <v>76.302203231861995</v>
      </c>
      <c r="D18" s="39">
        <f>'Data entry MAA Mainz'!F18</f>
        <v>47.481144962165999</v>
      </c>
      <c r="E18" s="39">
        <f>'Data entry MAA Mainz'!I18</f>
        <v>65.206851851851994</v>
      </c>
      <c r="F18" s="39">
        <f>'Data entry MAA Mainz'!L18</f>
        <v>76.097702110713001</v>
      </c>
      <c r="G18" s="39">
        <f>'Data entry MAA Mainz'!O18</f>
        <v>49.236261316872003</v>
      </c>
      <c r="H18" s="39">
        <f>'Data entry MAA Mainz'!R18</f>
        <v>73.495502767822003</v>
      </c>
      <c r="I18" s="39">
        <f>'Data entry MAA Mainz'!U18</f>
        <v>95.723108786007998</v>
      </c>
      <c r="J18" s="39">
        <f>'Data entry MAA Mainz'!X18</f>
        <v>75.663082437276003</v>
      </c>
      <c r="K18" s="39">
        <f>'Data entry MAA Mainz'!AA18</f>
        <v>67.543229311030998</v>
      </c>
      <c r="L18" s="39">
        <f>'Data entry MAA Mainz'!AD18</f>
        <v>121.61051113169</v>
      </c>
      <c r="M18" s="39">
        <f>'Data entry MAA Mainz'!AG18</f>
        <v>90.207614058144003</v>
      </c>
      <c r="N18" s="39">
        <f>'Data entry MAA Mainz'!AJ18</f>
        <v>91.427736069958996</v>
      </c>
      <c r="O18" s="39">
        <f>'Data entry MAA Mainz'!AM18</f>
        <v>62.562814954201997</v>
      </c>
    </row>
    <row r="19" spans="2:15" ht="14" x14ac:dyDescent="0.15">
      <c r="B19" s="38" t="s">
        <v>29</v>
      </c>
      <c r="C19" s="39">
        <f>'Data entry MAA Mainz'!C19</f>
        <v>99.129313110096007</v>
      </c>
      <c r="D19" s="39">
        <f>'Data entry MAA Mainz'!F19</f>
        <v>66.145513739546004</v>
      </c>
      <c r="E19" s="39">
        <f>'Data entry MAA Mainz'!I19</f>
        <v>86.394215167547998</v>
      </c>
      <c r="F19" s="39">
        <f>'Data entry MAA Mainz'!L19</f>
        <v>98.120268817204007</v>
      </c>
      <c r="G19" s="39">
        <f>'Data entry MAA Mainz'!O19</f>
        <v>63.600623456789997</v>
      </c>
      <c r="H19" s="39">
        <f>'Data entry MAA Mainz'!R19</f>
        <v>95.454820589407007</v>
      </c>
      <c r="I19" s="39">
        <f>'Data entry MAA Mainz'!U19</f>
        <v>119.88569977365999</v>
      </c>
      <c r="J19" s="39">
        <f>'Data entry MAA Mainz'!X19</f>
        <v>104.02278369176</v>
      </c>
      <c r="K19" s="39">
        <f>'Data entry MAA Mainz'!AA19</f>
        <v>88.681229151731998</v>
      </c>
      <c r="L19" s="39">
        <f>'Data entry MAA Mainz'!AD19</f>
        <v>150.2832990535</v>
      </c>
      <c r="M19" s="39">
        <f>'Data entry MAA Mainz'!AG19</f>
        <v>116.82899538033</v>
      </c>
      <c r="N19" s="39">
        <f>'Data entry MAA Mainz'!AJ19</f>
        <v>118.49605565844</v>
      </c>
      <c r="O19" s="39">
        <f>'Data entry MAA Mainz'!AM19</f>
        <v>82.204160314616004</v>
      </c>
    </row>
    <row r="20" spans="2:15" ht="14" x14ac:dyDescent="0.15">
      <c r="B20" s="38" t="s">
        <v>30</v>
      </c>
      <c r="C20" s="39">
        <f>'Data entry MAA Mainz'!C20</f>
        <v>48022.6921</v>
      </c>
      <c r="D20" s="39">
        <f>'Data entry MAA Mainz'!F20</f>
        <v>2475</v>
      </c>
      <c r="E20" s="39">
        <f>'Data entry MAA Mainz'!I20</f>
        <v>2984</v>
      </c>
      <c r="F20" s="39">
        <f>'Data entry MAA Mainz'!L20</f>
        <v>3609</v>
      </c>
      <c r="G20" s="39">
        <f>'Data entry MAA Mainz'!O20</f>
        <v>2711</v>
      </c>
      <c r="H20" s="39">
        <f>'Data entry MAA Mainz'!R20</f>
        <v>4011.7264</v>
      </c>
      <c r="I20" s="39">
        <f>'Data entry MAA Mainz'!U20</f>
        <v>4303.5937000000004</v>
      </c>
      <c r="J20" s="39">
        <f>'Data entry MAA Mainz'!X20</f>
        <v>7977.8019999999997</v>
      </c>
      <c r="K20" s="39">
        <f>'Data entry MAA Mainz'!AA20</f>
        <v>4349.2</v>
      </c>
      <c r="L20" s="39">
        <f>'Data entry MAA Mainz'!AD20</f>
        <v>4331.22</v>
      </c>
      <c r="M20" s="39">
        <f>'Data entry MAA Mainz'!AG20</f>
        <v>4100.32</v>
      </c>
      <c r="N20" s="39">
        <f>'Data entry MAA Mainz'!AJ20</f>
        <v>3918.55</v>
      </c>
      <c r="O20" s="39">
        <f>'Data entry MAA Mainz'!AM20</f>
        <v>3251.28</v>
      </c>
    </row>
    <row r="21" spans="2:15" ht="14" x14ac:dyDescent="0.15">
      <c r="B21" s="38" t="s">
        <v>31</v>
      </c>
      <c r="C21" s="39">
        <f>'Data entry MAA Mainz'!C21</f>
        <v>1.3057805720967</v>
      </c>
      <c r="D21" s="39">
        <f>'Data entry MAA Mainz'!F21</f>
        <v>1.1301369863013999</v>
      </c>
      <c r="E21" s="39">
        <f>'Data entry MAA Mainz'!I21</f>
        <v>1.1499036608863</v>
      </c>
      <c r="F21" s="39">
        <f>'Data entry MAA Mainz'!L21</f>
        <v>1.1442612555484999</v>
      </c>
      <c r="G21" s="39">
        <f>'Data entry MAA Mainz'!O21</f>
        <v>1.2362061103511</v>
      </c>
      <c r="H21" s="39">
        <f>'Data entry MAA Mainz'!R21</f>
        <v>1.280065858328</v>
      </c>
      <c r="I21" s="39">
        <f>'Data entry MAA Mainz'!U21</f>
        <v>1.1609370650121</v>
      </c>
      <c r="J21" s="39">
        <f>'Data entry MAA Mainz'!X21</f>
        <v>2.4961833541926999</v>
      </c>
      <c r="K21" s="39">
        <f>'Data entry MAA Mainz'!AA21</f>
        <v>1.5379066478076</v>
      </c>
      <c r="L21" s="39">
        <f>'Data entry MAA Mainz'!AD21</f>
        <v>1.1100000000000001</v>
      </c>
      <c r="M21" s="39">
        <f>'Data entry MAA Mainz'!AG21</f>
        <v>1.1200000000000001</v>
      </c>
      <c r="N21" s="39">
        <f>'Data entry MAA Mainz'!AJ21</f>
        <v>1.0900000000000001</v>
      </c>
      <c r="O21" s="39">
        <f>'Data entry MAA Mainz'!AM21</f>
        <v>1.24</v>
      </c>
    </row>
    <row r="22" spans="2:15" ht="14" x14ac:dyDescent="0.15">
      <c r="B22" s="38" t="s">
        <v>32</v>
      </c>
      <c r="C22" s="39">
        <f>'Data entry MAA Mainz'!C22</f>
        <v>40727.138200000001</v>
      </c>
      <c r="D22" s="39">
        <f>'Data entry MAA Mainz'!F22</f>
        <v>0</v>
      </c>
      <c r="E22" s="39">
        <f>'Data entry MAA Mainz'!I22</f>
        <v>0</v>
      </c>
      <c r="F22" s="39">
        <f>'Data entry MAA Mainz'!L22</f>
        <v>0</v>
      </c>
      <c r="G22" s="39">
        <f>'Data entry MAA Mainz'!O22</f>
        <v>0</v>
      </c>
      <c r="H22" s="39">
        <f>'Data entry MAA Mainz'!R22</f>
        <v>4509.9674000000005</v>
      </c>
      <c r="I22" s="39">
        <f>'Data entry MAA Mainz'!U22</f>
        <v>4758.0546000000004</v>
      </c>
      <c r="J22" s="39">
        <f>'Data entry MAA Mainz'!X22</f>
        <v>7781.1316999999999</v>
      </c>
      <c r="K22" s="39">
        <f>'Data entry MAA Mainz'!AA22</f>
        <v>4696.82</v>
      </c>
      <c r="L22" s="39">
        <f>'Data entry MAA Mainz'!AD22</f>
        <v>5221.5370000000003</v>
      </c>
      <c r="M22" s="39">
        <f>'Data entry MAA Mainz'!AG22</f>
        <v>5025.2719999999999</v>
      </c>
      <c r="N22" s="39">
        <f>'Data entry MAA Mainz'!AJ22</f>
        <v>4870.7674999999999</v>
      </c>
      <c r="O22" s="39">
        <f>'Data entry MAA Mainz'!AM22</f>
        <v>3863.5880000000002</v>
      </c>
    </row>
    <row r="23" spans="2:15" ht="14" x14ac:dyDescent="0.15">
      <c r="B23" s="38" t="s">
        <v>33</v>
      </c>
      <c r="C23" s="39">
        <f>'Data entry MAA Mainz'!C23</f>
        <v>25.860800000000001</v>
      </c>
      <c r="D23" s="39">
        <f>'Data entry MAA Mainz'!F23</f>
        <v>27.93</v>
      </c>
      <c r="E23" s="39">
        <f>'Data entry MAA Mainz'!I23</f>
        <v>28.48</v>
      </c>
      <c r="F23" s="39">
        <f>'Data entry MAA Mainz'!L23</f>
        <v>28.46</v>
      </c>
      <c r="G23" s="39">
        <f>'Data entry MAA Mainz'!O23</f>
        <v>27.46</v>
      </c>
      <c r="H23" s="39">
        <f>'Data entry MAA Mainz'!R23</f>
        <v>24.75</v>
      </c>
      <c r="I23" s="39">
        <f>'Data entry MAA Mainz'!U23</f>
        <v>24.75</v>
      </c>
      <c r="J23" s="39">
        <f>'Data entry MAA Mainz'!X23</f>
        <v>24.75</v>
      </c>
      <c r="K23" s="39">
        <f>'Data entry MAA Mainz'!AA23</f>
        <v>24.75</v>
      </c>
      <c r="L23" s="39">
        <f>'Data entry MAA Mainz'!AD23</f>
        <v>24.75</v>
      </c>
      <c r="M23" s="39">
        <f>'Data entry MAA Mainz'!AG23</f>
        <v>24.75</v>
      </c>
      <c r="N23" s="39">
        <f>'Data entry MAA Mainz'!AJ23</f>
        <v>24.75</v>
      </c>
      <c r="O23" s="39">
        <f>'Data entry MAA Mainz'!AM23</f>
        <v>24.75</v>
      </c>
    </row>
    <row r="24" spans="2:15" x14ac:dyDescent="0.15">
      <c r="C24" s="39">
        <f>'Data entry MAA Mainz'!C24</f>
        <v>0</v>
      </c>
      <c r="D24" s="39">
        <f>'Data entry MAA Mainz'!F24</f>
        <v>0</v>
      </c>
      <c r="E24" s="39">
        <f>'Data entry MAA Mainz'!I24</f>
        <v>0</v>
      </c>
      <c r="F24" s="39">
        <f>'Data entry MAA Mainz'!L24</f>
        <v>0</v>
      </c>
      <c r="G24" s="39">
        <f>'Data entry MAA Mainz'!O24</f>
        <v>0</v>
      </c>
      <c r="H24" s="39">
        <f>'Data entry MAA Mainz'!R24</f>
        <v>0</v>
      </c>
      <c r="I24" s="39">
        <f>'Data entry MAA Mainz'!U24</f>
        <v>0</v>
      </c>
      <c r="J24" s="39">
        <f>'Data entry MAA Mainz'!X24</f>
        <v>0</v>
      </c>
      <c r="K24" s="39">
        <f>'Data entry MAA Mainz'!AA24</f>
        <v>0</v>
      </c>
      <c r="L24" s="39">
        <f>'Data entry MAA Mainz'!AD24</f>
        <v>0</v>
      </c>
      <c r="M24" s="39">
        <f>'Data entry MAA Mainz'!AG24</f>
        <v>0</v>
      </c>
      <c r="N24" s="39">
        <f>'Data entry MAA Mainz'!AJ24</f>
        <v>0</v>
      </c>
      <c r="O24" s="39">
        <f>'Data entry MAA Mainz'!AM24</f>
        <v>0</v>
      </c>
    </row>
    <row r="25" spans="2:15" ht="14" x14ac:dyDescent="0.15">
      <c r="B25" s="38" t="s">
        <v>34</v>
      </c>
      <c r="C25" s="39">
        <f>'Data entry MAA Mainz'!C25</f>
        <v>0</v>
      </c>
      <c r="D25" s="39">
        <f>'Data entry MAA Mainz'!F25</f>
        <v>0</v>
      </c>
      <c r="E25" s="39">
        <f>'Data entry MAA Mainz'!I25</f>
        <v>0</v>
      </c>
      <c r="F25" s="39">
        <f>'Data entry MAA Mainz'!L25</f>
        <v>0</v>
      </c>
      <c r="G25" s="39">
        <f>'Data entry MAA Mainz'!O25</f>
        <v>0</v>
      </c>
      <c r="H25" s="39">
        <f>'Data entry MAA Mainz'!R25</f>
        <v>0</v>
      </c>
      <c r="I25" s="39">
        <f>'Data entry MAA Mainz'!U25</f>
        <v>0</v>
      </c>
      <c r="J25" s="39">
        <f>'Data entry MAA Mainz'!X25</f>
        <v>0</v>
      </c>
      <c r="K25" s="39">
        <f>'Data entry MAA Mainz'!AA25</f>
        <v>0</v>
      </c>
      <c r="L25" s="39">
        <f>'Data entry MAA Mainz'!AD25</f>
        <v>0</v>
      </c>
      <c r="M25" s="39">
        <f>'Data entry MAA Mainz'!AG25</f>
        <v>0</v>
      </c>
      <c r="N25" s="39">
        <f>'Data entry MAA Mainz'!AJ25</f>
        <v>0</v>
      </c>
      <c r="O25" s="39">
        <f>'Data entry MAA Mainz'!AM25</f>
        <v>0</v>
      </c>
    </row>
    <row r="26" spans="2:15" x14ac:dyDescent="0.15">
      <c r="B26" s="40"/>
      <c r="C26" s="39">
        <f>'Data entry MAA Mainz'!C26</f>
        <v>0</v>
      </c>
      <c r="D26" s="39">
        <f>'Data entry MAA Mainz'!F26</f>
        <v>0</v>
      </c>
      <c r="E26" s="39">
        <f>'Data entry MAA Mainz'!I26</f>
        <v>0</v>
      </c>
      <c r="F26" s="39">
        <f>'Data entry MAA Mainz'!L26</f>
        <v>0</v>
      </c>
      <c r="G26" s="39">
        <f>'Data entry MAA Mainz'!O26</f>
        <v>0</v>
      </c>
      <c r="H26" s="39">
        <f>'Data entry MAA Mainz'!R26</f>
        <v>0</v>
      </c>
      <c r="I26" s="39">
        <f>'Data entry MAA Mainz'!U26</f>
        <v>0</v>
      </c>
      <c r="J26" s="39">
        <f>'Data entry MAA Mainz'!X26</f>
        <v>0</v>
      </c>
      <c r="K26" s="39">
        <f>'Data entry MAA Mainz'!AA26</f>
        <v>0</v>
      </c>
      <c r="L26" s="39">
        <f>'Data entry MAA Mainz'!AD26</f>
        <v>0</v>
      </c>
      <c r="M26" s="39">
        <f>'Data entry MAA Mainz'!AG26</f>
        <v>0</v>
      </c>
      <c r="N26" s="39">
        <f>'Data entry MAA Mainz'!AJ26</f>
        <v>0</v>
      </c>
      <c r="O26" s="39">
        <f>'Data entry MAA Mainz'!AM26</f>
        <v>0</v>
      </c>
    </row>
    <row r="27" spans="2:15" ht="14" x14ac:dyDescent="0.15">
      <c r="B27" s="42" t="s">
        <v>21</v>
      </c>
      <c r="C27" s="39">
        <f>'Data entry MAA Mainz'!C27</f>
        <v>5861516.2841999996</v>
      </c>
      <c r="D27" s="39">
        <f>'Data entry MAA Mainz'!F27</f>
        <v>332182.77</v>
      </c>
      <c r="E27" s="39">
        <f>'Data entry MAA Mainz'!I27</f>
        <v>391884.16</v>
      </c>
      <c r="F27" s="39">
        <f>'Data entry MAA Mainz'!L27</f>
        <v>492759.99</v>
      </c>
      <c r="G27" s="39">
        <f>'Data entry MAA Mainz'!O27</f>
        <v>309099.03000000003</v>
      </c>
      <c r="H27" s="39">
        <f>'Data entry MAA Mainz'!R27</f>
        <v>479374.109</v>
      </c>
      <c r="I27" s="39">
        <f>'Data entry MAA Mainz'!U27</f>
        <v>582644.50089999998</v>
      </c>
      <c r="J27" s="39">
        <f>'Data entry MAA Mainz'!X27</f>
        <v>522402.41970000003</v>
      </c>
      <c r="K27" s="39">
        <f>'Data entry MAA Mainz'!AA27</f>
        <v>445357.13280000002</v>
      </c>
      <c r="L27" s="39">
        <f>'Data entry MAA Mainz'!AD27</f>
        <v>730376.8334</v>
      </c>
      <c r="M27" s="39">
        <f>'Data entry MAA Mainz'!AG27</f>
        <v>586715.21479999996</v>
      </c>
      <c r="N27" s="39">
        <f>'Data entry MAA Mainz'!AJ27</f>
        <v>575890.83050000004</v>
      </c>
      <c r="O27" s="39">
        <f>'Data entry MAA Mainz'!AM27</f>
        <v>412829.29310000001</v>
      </c>
    </row>
    <row r="28" spans="2:15" ht="14" x14ac:dyDescent="0.15">
      <c r="B28" s="38" t="s">
        <v>35</v>
      </c>
      <c r="C28" s="39">
        <f>'Data entry MAA Mainz'!C28</f>
        <v>4543984.0570999999</v>
      </c>
      <c r="D28" s="39">
        <f>'Data entry MAA Mainz'!F28</f>
        <v>240649.31</v>
      </c>
      <c r="E28" s="39">
        <f>'Data entry MAA Mainz'!I28</f>
        <v>299205.32</v>
      </c>
      <c r="F28" s="39">
        <f>'Data entry MAA Mainz'!L28</f>
        <v>386022.76</v>
      </c>
      <c r="G28" s="39">
        <f>'Data entry MAA Mainz'!O28</f>
        <v>242036.87</v>
      </c>
      <c r="H28" s="39">
        <f>'Data entry MAA Mainz'!R28</f>
        <v>371594.41489999997</v>
      </c>
      <c r="I28" s="39">
        <f>'Data entry MAA Mainz'!U28</f>
        <v>467714.30869999999</v>
      </c>
      <c r="J28" s="39">
        <f>'Data entry MAA Mainz'!X28</f>
        <v>382480</v>
      </c>
      <c r="K28" s="39">
        <f>'Data entry MAA Mainz'!AA28</f>
        <v>341702.09759999998</v>
      </c>
      <c r="L28" s="39">
        <f>'Data entry MAA Mainz'!AD28</f>
        <v>593527.08409999998</v>
      </c>
      <c r="M28" s="39">
        <f>'Data entry MAA Mainz'!AG28</f>
        <v>455522.63780000003</v>
      </c>
      <c r="N28" s="39">
        <f>'Data entry MAA Mainz'!AJ28</f>
        <v>446838.79729999998</v>
      </c>
      <c r="O28" s="39">
        <f>'Data entry MAA Mainz'!AM28</f>
        <v>316690.45669999998</v>
      </c>
    </row>
    <row r="29" spans="2:15" ht="14" x14ac:dyDescent="0.15">
      <c r="B29" s="38" t="s">
        <v>36</v>
      </c>
      <c r="C29" s="39">
        <f>'Data entry MAA Mainz'!C29</f>
        <v>1023415.8107</v>
      </c>
      <c r="D29" s="39">
        <f>'Data entry MAA Mainz'!F29</f>
        <v>64472.86</v>
      </c>
      <c r="E29" s="39">
        <f>'Data entry MAA Mainz'!I29</f>
        <v>72096.45</v>
      </c>
      <c r="F29" s="39">
        <f>'Data entry MAA Mainz'!L29</f>
        <v>84490.83</v>
      </c>
      <c r="G29" s="39">
        <f>'Data entry MAA Mainz'!O29</f>
        <v>50447.519999999997</v>
      </c>
      <c r="H29" s="39">
        <f>'Data entry MAA Mainz'!R29</f>
        <v>83460.448999999993</v>
      </c>
      <c r="I29" s="39">
        <f>'Data entry MAA Mainz'!U29</f>
        <v>86134.828999999998</v>
      </c>
      <c r="J29" s="39">
        <f>'Data entry MAA Mainz'!X29</f>
        <v>115310.59970000001</v>
      </c>
      <c r="K29" s="39">
        <f>'Data entry MAA Mainz'!AA29</f>
        <v>82061.719599999997</v>
      </c>
      <c r="L29" s="39">
        <f>'Data entry MAA Mainz'!AD29</f>
        <v>104948.3689</v>
      </c>
      <c r="M29" s="39">
        <f>'Data entry MAA Mainz'!AG29</f>
        <v>102832.63219999999</v>
      </c>
      <c r="N29" s="39">
        <f>'Data entry MAA Mainz'!AJ29</f>
        <v>101167.07369999999</v>
      </c>
      <c r="O29" s="39">
        <f>'Data entry MAA Mainz'!AM29</f>
        <v>75992.478600000002</v>
      </c>
    </row>
    <row r="30" spans="2:15" ht="14" x14ac:dyDescent="0.15">
      <c r="B30" s="38" t="s">
        <v>37</v>
      </c>
      <c r="C30" s="39">
        <f>'Data entry MAA Mainz'!C30</f>
        <v>209743.67</v>
      </c>
      <c r="D30" s="39">
        <f>'Data entry MAA Mainz'!F30</f>
        <v>14064.68</v>
      </c>
      <c r="E30" s="39">
        <f>'Data entry MAA Mainz'!I30</f>
        <v>14696.31</v>
      </c>
      <c r="F30" s="39">
        <f>'Data entry MAA Mainz'!L30</f>
        <v>17658.939999999999</v>
      </c>
      <c r="G30" s="39">
        <f>'Data entry MAA Mainz'!O30</f>
        <v>12764.54</v>
      </c>
      <c r="H30" s="39">
        <f>'Data entry MAA Mainz'!R30</f>
        <v>18044.64</v>
      </c>
      <c r="I30" s="39">
        <f>'Data entry MAA Mainz'!U30</f>
        <v>20886.72</v>
      </c>
      <c r="J30" s="39">
        <f>'Data entry MAA Mainz'!X30</f>
        <v>18152.16</v>
      </c>
      <c r="K30" s="39">
        <f>'Data entry MAA Mainz'!AA30</f>
        <v>15826.88</v>
      </c>
      <c r="L30" s="39">
        <f>'Data entry MAA Mainz'!AD30</f>
        <v>21853.919999999998</v>
      </c>
      <c r="M30" s="39">
        <f>'Data entry MAA Mainz'!AG30</f>
        <v>20658.560000000001</v>
      </c>
      <c r="N30" s="39">
        <f>'Data entry MAA Mainz'!AJ30</f>
        <v>20331.2</v>
      </c>
      <c r="O30" s="39">
        <f>'Data entry MAA Mainz'!AM30</f>
        <v>14805.12</v>
      </c>
    </row>
    <row r="31" spans="2:15" ht="14" x14ac:dyDescent="0.15">
      <c r="B31" s="38" t="s">
        <v>38</v>
      </c>
      <c r="C31" s="39">
        <f>'Data entry MAA Mainz'!C31</f>
        <v>84372.746599999999</v>
      </c>
      <c r="D31" s="39">
        <f>'Data entry MAA Mainz'!F31</f>
        <v>12995.92</v>
      </c>
      <c r="E31" s="39">
        <f>'Data entry MAA Mainz'!I31</f>
        <v>5886.08</v>
      </c>
      <c r="F31" s="39">
        <f>'Data entry MAA Mainz'!L31</f>
        <v>4587.46</v>
      </c>
      <c r="G31" s="39">
        <f>'Data entry MAA Mainz'!O31</f>
        <v>3850.1</v>
      </c>
      <c r="H31" s="39">
        <f>'Data entry MAA Mainz'!R31</f>
        <v>6274.6050999999998</v>
      </c>
      <c r="I31" s="39">
        <f>'Data entry MAA Mainz'!U31</f>
        <v>7908.6432000000004</v>
      </c>
      <c r="J31" s="39">
        <f>'Data entry MAA Mainz'!X31</f>
        <v>6459.66</v>
      </c>
      <c r="K31" s="39">
        <f>'Data entry MAA Mainz'!AA31</f>
        <v>5766.4357</v>
      </c>
      <c r="L31" s="39">
        <f>'Data entry MAA Mainz'!AD31</f>
        <v>10047.4604</v>
      </c>
      <c r="M31" s="39">
        <f>'Data entry MAA Mainz'!AG31</f>
        <v>7701.3847999999998</v>
      </c>
      <c r="N31" s="39">
        <f>'Data entry MAA Mainz'!AJ31</f>
        <v>7553.7596000000003</v>
      </c>
      <c r="O31" s="39">
        <f>'Data entry MAA Mainz'!AM31</f>
        <v>5341.2377999999999</v>
      </c>
    </row>
    <row r="32" spans="2:15" x14ac:dyDescent="0.15">
      <c r="B32" s="40"/>
      <c r="C32" s="39">
        <f>'Data entry MAA Mainz'!C32</f>
        <v>0</v>
      </c>
      <c r="D32" s="39">
        <f>'Data entry MAA Mainz'!F32</f>
        <v>0</v>
      </c>
      <c r="E32" s="39">
        <f>'Data entry MAA Mainz'!I32</f>
        <v>0</v>
      </c>
      <c r="F32" s="39">
        <f>'Data entry MAA Mainz'!L32</f>
        <v>0</v>
      </c>
      <c r="G32" s="39">
        <f>'Data entry MAA Mainz'!O32</f>
        <v>0</v>
      </c>
      <c r="H32" s="39">
        <f>'Data entry MAA Mainz'!R32</f>
        <v>0</v>
      </c>
      <c r="I32" s="39">
        <f>'Data entry MAA Mainz'!U32</f>
        <v>0</v>
      </c>
      <c r="J32" s="39">
        <f>'Data entry MAA Mainz'!X32</f>
        <v>0</v>
      </c>
      <c r="K32" s="39">
        <f>'Data entry MAA Mainz'!AA32</f>
        <v>0</v>
      </c>
      <c r="L32" s="39">
        <f>'Data entry MAA Mainz'!AD32</f>
        <v>0</v>
      </c>
      <c r="M32" s="39">
        <f>'Data entry MAA Mainz'!AG32</f>
        <v>0</v>
      </c>
      <c r="N32" s="39">
        <f>'Data entry MAA Mainz'!AJ32</f>
        <v>0</v>
      </c>
      <c r="O32" s="39">
        <f>'Data entry MAA Mainz'!AM32</f>
        <v>0</v>
      </c>
    </row>
    <row r="33" spans="2:15" ht="14" x14ac:dyDescent="0.15">
      <c r="B33" s="44" t="s">
        <v>39</v>
      </c>
      <c r="C33" s="39">
        <f>'Data entry MAA Mainz'!C33</f>
        <v>0</v>
      </c>
      <c r="D33" s="39">
        <f>'Data entry MAA Mainz'!F33</f>
        <v>0</v>
      </c>
      <c r="E33" s="39">
        <f>'Data entry MAA Mainz'!I33</f>
        <v>0</v>
      </c>
      <c r="F33" s="39">
        <f>'Data entry MAA Mainz'!L33</f>
        <v>0</v>
      </c>
      <c r="G33" s="39">
        <f>'Data entry MAA Mainz'!O33</f>
        <v>0</v>
      </c>
      <c r="H33" s="39">
        <f>'Data entry MAA Mainz'!R33</f>
        <v>0</v>
      </c>
      <c r="I33" s="39">
        <f>'Data entry MAA Mainz'!U33</f>
        <v>0</v>
      </c>
      <c r="J33" s="39">
        <f>'Data entry MAA Mainz'!X33</f>
        <v>0</v>
      </c>
      <c r="K33" s="39">
        <f>'Data entry MAA Mainz'!AA33</f>
        <v>0</v>
      </c>
      <c r="L33" s="39">
        <f>'Data entry MAA Mainz'!AD33</f>
        <v>0</v>
      </c>
      <c r="M33" s="39">
        <f>'Data entry MAA Mainz'!AG33</f>
        <v>0</v>
      </c>
      <c r="N33" s="39">
        <f>'Data entry MAA Mainz'!AJ33</f>
        <v>0</v>
      </c>
      <c r="O33" s="39">
        <f>'Data entry MAA Mainz'!AM33</f>
        <v>0</v>
      </c>
    </row>
    <row r="34" spans="2:15" ht="14" x14ac:dyDescent="0.15">
      <c r="B34" s="42" t="s">
        <v>35</v>
      </c>
      <c r="C34" s="39">
        <f>'Data entry MAA Mainz'!C34</f>
        <v>4543984.0570999999</v>
      </c>
      <c r="D34" s="39">
        <f>'Data entry MAA Mainz'!F34</f>
        <v>240649.31</v>
      </c>
      <c r="E34" s="39">
        <f>'Data entry MAA Mainz'!I34</f>
        <v>299205.32</v>
      </c>
      <c r="F34" s="39">
        <f>'Data entry MAA Mainz'!L34</f>
        <v>386022.76</v>
      </c>
      <c r="G34" s="39">
        <f>'Data entry MAA Mainz'!O34</f>
        <v>242036.87</v>
      </c>
      <c r="H34" s="39">
        <f>'Data entry MAA Mainz'!R34</f>
        <v>371594.41489999997</v>
      </c>
      <c r="I34" s="39">
        <f>'Data entry MAA Mainz'!U34</f>
        <v>467714.30869999999</v>
      </c>
      <c r="J34" s="39">
        <f>'Data entry MAA Mainz'!X34</f>
        <v>382480</v>
      </c>
      <c r="K34" s="39">
        <f>'Data entry MAA Mainz'!AA34</f>
        <v>341702.09759999998</v>
      </c>
      <c r="L34" s="39">
        <f>'Data entry MAA Mainz'!AD34</f>
        <v>593527.08409999998</v>
      </c>
      <c r="M34" s="39">
        <f>'Data entry MAA Mainz'!AG34</f>
        <v>455522.63780000003</v>
      </c>
      <c r="N34" s="39">
        <f>'Data entry MAA Mainz'!AJ34</f>
        <v>446838.79729999998</v>
      </c>
      <c r="O34" s="39">
        <f>'Data entry MAA Mainz'!AM34</f>
        <v>316690.45669999998</v>
      </c>
    </row>
    <row r="35" spans="2:15" ht="14" x14ac:dyDescent="0.15">
      <c r="B35" s="38" t="s">
        <v>22</v>
      </c>
      <c r="C35" s="39">
        <f>'Data entry MAA Mainz'!C35</f>
        <v>853043.28029999998</v>
      </c>
      <c r="D35" s="39">
        <f>'Data entry MAA Mainz'!F35</f>
        <v>67162.899999999994</v>
      </c>
      <c r="E35" s="39">
        <f>'Data entry MAA Mainz'!I35</f>
        <v>67917.039999999994</v>
      </c>
      <c r="F35" s="39">
        <f>'Data entry MAA Mainz'!L35</f>
        <v>69575.41</v>
      </c>
      <c r="G35" s="39">
        <f>'Data entry MAA Mainz'!O35</f>
        <v>63914.99</v>
      </c>
      <c r="H35" s="39">
        <f>'Data entry MAA Mainz'!R35</f>
        <v>73378.817200000005</v>
      </c>
      <c r="I35" s="39">
        <f>'Data entry MAA Mainz'!U35</f>
        <v>76597.146699999998</v>
      </c>
      <c r="J35" s="39">
        <f>'Data entry MAA Mainz'!X35</f>
        <v>71144.228799999997</v>
      </c>
      <c r="K35" s="39">
        <f>'Data entry MAA Mainz'!AA35</f>
        <v>67338.820800000001</v>
      </c>
      <c r="L35" s="39">
        <f>'Data entry MAA Mainz'!AD35</f>
        <v>78673.397700000001</v>
      </c>
      <c r="M35" s="39">
        <f>'Data entry MAA Mainz'!AG35</f>
        <v>75512.525800000003</v>
      </c>
      <c r="N35" s="39">
        <f>'Data entry MAA Mainz'!AJ35</f>
        <v>75515.551600000006</v>
      </c>
      <c r="O35" s="39">
        <f>'Data entry MAA Mainz'!AM35</f>
        <v>66312.451700000005</v>
      </c>
    </row>
    <row r="36" spans="2:15" ht="14" x14ac:dyDescent="0.15">
      <c r="B36" s="38" t="s">
        <v>40</v>
      </c>
      <c r="C36" s="39">
        <f>'Data entry MAA Mainz'!C36</f>
        <v>667702.57550000004</v>
      </c>
      <c r="D36" s="39">
        <f>'Data entry MAA Mainz'!F36</f>
        <v>21691.91</v>
      </c>
      <c r="E36" s="39">
        <f>'Data entry MAA Mainz'!I36</f>
        <v>66590.25</v>
      </c>
      <c r="F36" s="39">
        <f>'Data entry MAA Mainz'!L36</f>
        <v>45619.77</v>
      </c>
      <c r="G36" s="39">
        <f>'Data entry MAA Mainz'!O36</f>
        <v>43825.07</v>
      </c>
      <c r="H36" s="39">
        <f>'Data entry MAA Mainz'!R36</f>
        <v>54339.976600000002</v>
      </c>
      <c r="I36" s="39">
        <f>'Data entry MAA Mainz'!U36</f>
        <v>69243.296499999997</v>
      </c>
      <c r="J36" s="39">
        <f>'Data entry MAA Mainz'!X36</f>
        <v>55363.89</v>
      </c>
      <c r="K36" s="39">
        <f>'Data entry MAA Mainz'!AA36</f>
        <v>50309.6803</v>
      </c>
      <c r="L36" s="39">
        <f>'Data entry MAA Mainz'!AD36</f>
        <v>81383.026500000007</v>
      </c>
      <c r="M36" s="39">
        <f>'Data entry MAA Mainz'!AG36</f>
        <v>66402.811900000001</v>
      </c>
      <c r="N36" s="39">
        <f>'Data entry MAA Mainz'!AJ36</f>
        <v>64080.965100000001</v>
      </c>
      <c r="O36" s="39">
        <f>'Data entry MAA Mainz'!AM36</f>
        <v>48851.928599999999</v>
      </c>
    </row>
    <row r="37" spans="2:15" ht="14" x14ac:dyDescent="0.15">
      <c r="B37" s="42" t="s">
        <v>41</v>
      </c>
      <c r="C37" s="39">
        <f>'Data entry MAA Mainz'!C37</f>
        <v>3023238.2008000002</v>
      </c>
      <c r="D37" s="39">
        <f>'Data entry MAA Mainz'!F37</f>
        <v>151794.5</v>
      </c>
      <c r="E37" s="39">
        <f>'Data entry MAA Mainz'!I37</f>
        <v>164698.03</v>
      </c>
      <c r="F37" s="39">
        <f>'Data entry MAA Mainz'!L37</f>
        <v>270827.58</v>
      </c>
      <c r="G37" s="39">
        <f>'Data entry MAA Mainz'!O37</f>
        <v>134296.81</v>
      </c>
      <c r="H37" s="39">
        <f>'Data entry MAA Mainz'!R37</f>
        <v>243875.62109999999</v>
      </c>
      <c r="I37" s="39">
        <f>'Data entry MAA Mainz'!U37</f>
        <v>321873.86550000001</v>
      </c>
      <c r="J37" s="39">
        <f>'Data entry MAA Mainz'!X37</f>
        <v>255971.8812</v>
      </c>
      <c r="K37" s="39">
        <f>'Data entry MAA Mainz'!AA37</f>
        <v>224053.59640000001</v>
      </c>
      <c r="L37" s="39">
        <f>'Data entry MAA Mainz'!AD37</f>
        <v>433470.65980000002</v>
      </c>
      <c r="M37" s="39">
        <f>'Data entry MAA Mainz'!AG37</f>
        <v>313607.3</v>
      </c>
      <c r="N37" s="39">
        <f>'Data entry MAA Mainz'!AJ37</f>
        <v>307242.28049999999</v>
      </c>
      <c r="O37" s="39">
        <f>'Data entry MAA Mainz'!AM37</f>
        <v>201526.07629999999</v>
      </c>
    </row>
    <row r="38" spans="2:15" x14ac:dyDescent="0.15">
      <c r="B38" s="40"/>
      <c r="C38" s="39">
        <f>'Data entry MAA Mainz'!C38</f>
        <v>0</v>
      </c>
      <c r="D38" s="39">
        <f>'Data entry MAA Mainz'!F38</f>
        <v>0</v>
      </c>
      <c r="E38" s="39">
        <f>'Data entry MAA Mainz'!I38</f>
        <v>0</v>
      </c>
      <c r="F38" s="39">
        <f>'Data entry MAA Mainz'!L38</f>
        <v>0</v>
      </c>
      <c r="G38" s="39">
        <f>'Data entry MAA Mainz'!O38</f>
        <v>0</v>
      </c>
      <c r="H38" s="39">
        <f>'Data entry MAA Mainz'!R38</f>
        <v>0</v>
      </c>
      <c r="I38" s="39">
        <f>'Data entry MAA Mainz'!U38</f>
        <v>0</v>
      </c>
      <c r="J38" s="39">
        <f>'Data entry MAA Mainz'!X38</f>
        <v>0</v>
      </c>
      <c r="K38" s="39">
        <f>'Data entry MAA Mainz'!AA38</f>
        <v>0</v>
      </c>
      <c r="L38" s="39">
        <f>'Data entry MAA Mainz'!AD38</f>
        <v>0</v>
      </c>
      <c r="M38" s="39">
        <f>'Data entry MAA Mainz'!AG38</f>
        <v>0</v>
      </c>
      <c r="N38" s="39">
        <f>'Data entry MAA Mainz'!AJ38</f>
        <v>0</v>
      </c>
      <c r="O38" s="39">
        <f>'Data entry MAA Mainz'!AM38</f>
        <v>0</v>
      </c>
    </row>
    <row r="39" spans="2:15" ht="14" x14ac:dyDescent="0.15">
      <c r="B39" s="44" t="s">
        <v>42</v>
      </c>
      <c r="C39" s="39">
        <f>'Data entry MAA Mainz'!C39</f>
        <v>0</v>
      </c>
      <c r="D39" s="39">
        <f>'Data entry MAA Mainz'!F39</f>
        <v>0</v>
      </c>
      <c r="E39" s="39">
        <f>'Data entry MAA Mainz'!I39</f>
        <v>0</v>
      </c>
      <c r="F39" s="39">
        <f>'Data entry MAA Mainz'!L39</f>
        <v>0</v>
      </c>
      <c r="G39" s="39">
        <f>'Data entry MAA Mainz'!O39</f>
        <v>0</v>
      </c>
      <c r="H39" s="39">
        <f>'Data entry MAA Mainz'!R39</f>
        <v>0</v>
      </c>
      <c r="I39" s="39">
        <f>'Data entry MAA Mainz'!U39</f>
        <v>0</v>
      </c>
      <c r="J39" s="39">
        <f>'Data entry MAA Mainz'!X39</f>
        <v>0</v>
      </c>
      <c r="K39" s="39">
        <f>'Data entry MAA Mainz'!AA39</f>
        <v>0</v>
      </c>
      <c r="L39" s="39">
        <f>'Data entry MAA Mainz'!AD39</f>
        <v>0</v>
      </c>
      <c r="M39" s="39">
        <f>'Data entry MAA Mainz'!AG39</f>
        <v>0</v>
      </c>
      <c r="N39" s="39">
        <f>'Data entry MAA Mainz'!AJ39</f>
        <v>0</v>
      </c>
      <c r="O39" s="39">
        <f>'Data entry MAA Mainz'!AM39</f>
        <v>0</v>
      </c>
    </row>
    <row r="40" spans="2:15" ht="14" x14ac:dyDescent="0.15">
      <c r="B40" s="38" t="s">
        <v>43</v>
      </c>
      <c r="C40" s="39">
        <f>'Data entry MAA Mainz'!C40</f>
        <v>617934.25529999996</v>
      </c>
      <c r="D40" s="39">
        <f>'Data entry MAA Mainz'!F40</f>
        <v>38323.35</v>
      </c>
      <c r="E40" s="39">
        <f>'Data entry MAA Mainz'!I40</f>
        <v>44606.1</v>
      </c>
      <c r="F40" s="39">
        <f>'Data entry MAA Mainz'!L40</f>
        <v>49815.839999999997</v>
      </c>
      <c r="G40" s="39">
        <f>'Data entry MAA Mainz'!O40</f>
        <v>29703.65</v>
      </c>
      <c r="H40" s="39">
        <f>'Data entry MAA Mainz'!R40</f>
        <v>50451.202100000002</v>
      </c>
      <c r="I40" s="39">
        <f>'Data entry MAA Mainz'!U40</f>
        <v>52721.1999</v>
      </c>
      <c r="J40" s="39">
        <f>'Data entry MAA Mainz'!X40</f>
        <v>79547.355100000001</v>
      </c>
      <c r="K40" s="39">
        <f>'Data entry MAA Mainz'!AA40</f>
        <v>51325.902999999998</v>
      </c>
      <c r="L40" s="39">
        <f>'Data entry MAA Mainz'!AD40</f>
        <v>60636.063600000001</v>
      </c>
      <c r="M40" s="39">
        <f>'Data entry MAA Mainz'!AG40</f>
        <v>58840.238799999999</v>
      </c>
      <c r="N40" s="39">
        <f>'Data entry MAA Mainz'!AJ40</f>
        <v>57426.522599999997</v>
      </c>
      <c r="O40" s="39">
        <f>'Data entry MAA Mainz'!AM40</f>
        <v>44536.830199999997</v>
      </c>
    </row>
    <row r="41" spans="2:15" ht="14" x14ac:dyDescent="0.15">
      <c r="B41" s="38" t="s">
        <v>44</v>
      </c>
      <c r="C41" s="39">
        <f>'Data entry MAA Mainz'!C41</f>
        <v>374585.2954</v>
      </c>
      <c r="D41" s="39">
        <f>'Data entry MAA Mainz'!F41</f>
        <v>24210.97</v>
      </c>
      <c r="E41" s="39">
        <f>'Data entry MAA Mainz'!I41</f>
        <v>25673.49</v>
      </c>
      <c r="F41" s="39">
        <f>'Data entry MAA Mainz'!L41</f>
        <v>32110.15</v>
      </c>
      <c r="G41" s="39">
        <f>'Data entry MAA Mainz'!O41</f>
        <v>20067.849999999999</v>
      </c>
      <c r="H41" s="39">
        <f>'Data entry MAA Mainz'!R41</f>
        <v>30209.246899999998</v>
      </c>
      <c r="I41" s="39">
        <f>'Data entry MAA Mainz'!U41</f>
        <v>30613.629099999998</v>
      </c>
      <c r="J41" s="39">
        <f>'Data entry MAA Mainz'!X41</f>
        <v>33463.244700000003</v>
      </c>
      <c r="K41" s="39">
        <f>'Data entry MAA Mainz'!AA41</f>
        <v>28435.816599999998</v>
      </c>
      <c r="L41" s="39">
        <f>'Data entry MAA Mainz'!AD41</f>
        <v>40512.3053</v>
      </c>
      <c r="M41" s="39">
        <f>'Data entry MAA Mainz'!AG41</f>
        <v>40192.393400000001</v>
      </c>
      <c r="N41" s="39">
        <f>'Data entry MAA Mainz'!AJ41</f>
        <v>39940.550999999999</v>
      </c>
      <c r="O41" s="39">
        <f>'Data entry MAA Mainz'!AM41</f>
        <v>29155.648399999998</v>
      </c>
    </row>
    <row r="42" spans="2:15" ht="14" x14ac:dyDescent="0.15">
      <c r="B42" s="38" t="s">
        <v>45</v>
      </c>
      <c r="C42" s="39">
        <f>'Data entry MAA Mainz'!C42</f>
        <v>30896.26</v>
      </c>
      <c r="D42" s="39">
        <f>'Data entry MAA Mainz'!F42</f>
        <v>1938.54</v>
      </c>
      <c r="E42" s="39">
        <f>'Data entry MAA Mainz'!I42</f>
        <v>1816.86</v>
      </c>
      <c r="F42" s="39">
        <f>'Data entry MAA Mainz'!L42</f>
        <v>2564.84</v>
      </c>
      <c r="G42" s="39">
        <f>'Data entry MAA Mainz'!O42</f>
        <v>676.02</v>
      </c>
      <c r="H42" s="39">
        <f>'Data entry MAA Mainz'!R42</f>
        <v>2800</v>
      </c>
      <c r="I42" s="39">
        <f>'Data entry MAA Mainz'!U42</f>
        <v>2800</v>
      </c>
      <c r="J42" s="39">
        <f>'Data entry MAA Mainz'!X42</f>
        <v>2300</v>
      </c>
      <c r="K42" s="39">
        <f>'Data entry MAA Mainz'!AA42</f>
        <v>2300</v>
      </c>
      <c r="L42" s="39">
        <f>'Data entry MAA Mainz'!AD42</f>
        <v>3800</v>
      </c>
      <c r="M42" s="39">
        <f>'Data entry MAA Mainz'!AG42</f>
        <v>3800</v>
      </c>
      <c r="N42" s="39">
        <f>'Data entry MAA Mainz'!AJ42</f>
        <v>3800</v>
      </c>
      <c r="O42" s="39">
        <f>'Data entry MAA Mainz'!AM42</f>
        <v>2300</v>
      </c>
    </row>
    <row r="43" spans="2:15" ht="14" x14ac:dyDescent="0.15">
      <c r="B43" s="42" t="s">
        <v>36</v>
      </c>
      <c r="C43" s="39">
        <f>'Data entry MAA Mainz'!C43</f>
        <v>1023415.8107</v>
      </c>
      <c r="D43" s="39">
        <f>'Data entry MAA Mainz'!F43</f>
        <v>64472.86</v>
      </c>
      <c r="E43" s="39">
        <f>'Data entry MAA Mainz'!I43</f>
        <v>72096.45</v>
      </c>
      <c r="F43" s="39">
        <f>'Data entry MAA Mainz'!L43</f>
        <v>84490.83</v>
      </c>
      <c r="G43" s="39">
        <f>'Data entry MAA Mainz'!O43</f>
        <v>50447.519999999997</v>
      </c>
      <c r="H43" s="39">
        <f>'Data entry MAA Mainz'!R43</f>
        <v>83460.448999999993</v>
      </c>
      <c r="I43" s="39">
        <f>'Data entry MAA Mainz'!U43</f>
        <v>86134.828999999998</v>
      </c>
      <c r="J43" s="39">
        <f>'Data entry MAA Mainz'!X43</f>
        <v>115310.59970000001</v>
      </c>
      <c r="K43" s="39">
        <f>'Data entry MAA Mainz'!AA43</f>
        <v>82061.719599999997</v>
      </c>
      <c r="L43" s="39">
        <f>'Data entry MAA Mainz'!AD43</f>
        <v>104948.3689</v>
      </c>
      <c r="M43" s="39">
        <f>'Data entry MAA Mainz'!AG43</f>
        <v>102832.63219999999</v>
      </c>
      <c r="N43" s="39">
        <f>'Data entry MAA Mainz'!AJ43</f>
        <v>101167.07369999999</v>
      </c>
      <c r="O43" s="39">
        <f>'Data entry MAA Mainz'!AM43</f>
        <v>75992.478600000002</v>
      </c>
    </row>
    <row r="44" spans="2:15" ht="14" x14ac:dyDescent="0.15">
      <c r="B44" s="38" t="s">
        <v>46</v>
      </c>
      <c r="C44" s="39">
        <f>'Data entry MAA Mainz'!C44</f>
        <v>335786.18420000002</v>
      </c>
      <c r="D44" s="39">
        <f>'Data entry MAA Mainz'!F44</f>
        <v>26242.82</v>
      </c>
      <c r="E44" s="39">
        <f>'Data entry MAA Mainz'!I44</f>
        <v>27696.07</v>
      </c>
      <c r="F44" s="39">
        <f>'Data entry MAA Mainz'!L44</f>
        <v>24994.76</v>
      </c>
      <c r="G44" s="39">
        <f>'Data entry MAA Mainz'!O44</f>
        <v>16270.38</v>
      </c>
      <c r="H44" s="39">
        <f>'Data entry MAA Mainz'!R44</f>
        <v>26658.896700000001</v>
      </c>
      <c r="I44" s="39">
        <f>'Data entry MAA Mainz'!U44</f>
        <v>27407.995999999999</v>
      </c>
      <c r="J44" s="39">
        <f>'Data entry MAA Mainz'!X44</f>
        <v>35350.627200000003</v>
      </c>
      <c r="K44" s="39">
        <f>'Data entry MAA Mainz'!AA44</f>
        <v>26037.547999999999</v>
      </c>
      <c r="L44" s="39">
        <f>'Data entry MAA Mainz'!AD44</f>
        <v>34023.900999999998</v>
      </c>
      <c r="M44" s="39">
        <f>'Data entry MAA Mainz'!AG44</f>
        <v>33431.2788</v>
      </c>
      <c r="N44" s="39">
        <f>'Data entry MAA Mainz'!AJ44</f>
        <v>32964.752500000002</v>
      </c>
      <c r="O44" s="39">
        <f>'Data entry MAA Mainz'!AM44</f>
        <v>24707.153999999999</v>
      </c>
    </row>
    <row r="45" spans="2:15" ht="14" x14ac:dyDescent="0.15">
      <c r="B45" s="38" t="s">
        <v>47</v>
      </c>
      <c r="C45" s="39">
        <f>'Data entry MAA Mainz'!C45</f>
        <v>72089.633100000006</v>
      </c>
      <c r="D45" s="39">
        <f>'Data entry MAA Mainz'!F45</f>
        <v>8792.3700000000008</v>
      </c>
      <c r="E45" s="39">
        <f>'Data entry MAA Mainz'!I45</f>
        <v>51.43</v>
      </c>
      <c r="F45" s="39">
        <f>'Data entry MAA Mainz'!L45</f>
        <v>8127.65</v>
      </c>
      <c r="G45" s="39">
        <f>'Data entry MAA Mainz'!O45</f>
        <v>5059.76</v>
      </c>
      <c r="H45" s="39">
        <f>'Data entry MAA Mainz'!R45</f>
        <v>5548.8293999999996</v>
      </c>
      <c r="I45" s="39">
        <f>'Data entry MAA Mainz'!U45</f>
        <v>5629.7057999999997</v>
      </c>
      <c r="J45" s="39">
        <f>'Data entry MAA Mainz'!X45</f>
        <v>6244.4489000000003</v>
      </c>
      <c r="K45" s="39">
        <f>'Data entry MAA Mainz'!AA45</f>
        <v>5238.9633000000003</v>
      </c>
      <c r="L45" s="39">
        <f>'Data entry MAA Mainz'!AD45</f>
        <v>7412.2331000000004</v>
      </c>
      <c r="M45" s="39">
        <f>'Data entry MAA Mainz'!AG45</f>
        <v>7348.2506999999996</v>
      </c>
      <c r="N45" s="39">
        <f>'Data entry MAA Mainz'!AJ45</f>
        <v>7297.8822</v>
      </c>
      <c r="O45" s="39">
        <f>'Data entry MAA Mainz'!AM45</f>
        <v>5338.1097</v>
      </c>
    </row>
    <row r="46" spans="2:15" ht="14" x14ac:dyDescent="0.15">
      <c r="B46" s="38" t="s">
        <v>48</v>
      </c>
      <c r="C46" s="39">
        <f>'Data entry MAA Mainz'!C46</f>
        <v>951.73</v>
      </c>
      <c r="D46" s="39">
        <f>'Data entry MAA Mainz'!F46</f>
        <v>479.39</v>
      </c>
      <c r="E46" s="39">
        <f>'Data entry MAA Mainz'!I46</f>
        <v>-229.65</v>
      </c>
      <c r="F46" s="39">
        <f>'Data entry MAA Mainz'!L46</f>
        <v>145.01</v>
      </c>
      <c r="G46" s="39">
        <f>'Data entry MAA Mainz'!O46</f>
        <v>556.98</v>
      </c>
      <c r="H46" s="39">
        <f>'Data entry MAA Mainz'!R46</f>
        <v>0</v>
      </c>
      <c r="I46" s="39">
        <f>'Data entry MAA Mainz'!U46</f>
        <v>0</v>
      </c>
      <c r="J46" s="39">
        <f>'Data entry MAA Mainz'!X46</f>
        <v>0</v>
      </c>
      <c r="K46" s="39">
        <f>'Data entry MAA Mainz'!AA46</f>
        <v>0</v>
      </c>
      <c r="L46" s="39">
        <f>'Data entry MAA Mainz'!AD46</f>
        <v>0</v>
      </c>
      <c r="M46" s="39">
        <f>'Data entry MAA Mainz'!AG46</f>
        <v>0</v>
      </c>
      <c r="N46" s="39">
        <f>'Data entry MAA Mainz'!AJ46</f>
        <v>0</v>
      </c>
      <c r="O46" s="39">
        <f>'Data entry MAA Mainz'!AM46</f>
        <v>0</v>
      </c>
    </row>
    <row r="47" spans="2:15" ht="14" x14ac:dyDescent="0.15">
      <c r="B47" s="42" t="s">
        <v>49</v>
      </c>
      <c r="C47" s="39">
        <f>'Data entry MAA Mainz'!C47</f>
        <v>408827.54719999997</v>
      </c>
      <c r="D47" s="39">
        <f>'Data entry MAA Mainz'!F47</f>
        <v>35514.58</v>
      </c>
      <c r="E47" s="39">
        <f>'Data entry MAA Mainz'!I47</f>
        <v>27517.85</v>
      </c>
      <c r="F47" s="39">
        <f>'Data entry MAA Mainz'!L47</f>
        <v>33267.42</v>
      </c>
      <c r="G47" s="39">
        <f>'Data entry MAA Mainz'!O47</f>
        <v>21887.119999999999</v>
      </c>
      <c r="H47" s="39">
        <f>'Data entry MAA Mainz'!R47</f>
        <v>32207.7261</v>
      </c>
      <c r="I47" s="39">
        <f>'Data entry MAA Mainz'!U47</f>
        <v>33037.701800000003</v>
      </c>
      <c r="J47" s="39">
        <f>'Data entry MAA Mainz'!X47</f>
        <v>41595.076099999998</v>
      </c>
      <c r="K47" s="39">
        <f>'Data entry MAA Mainz'!AA47</f>
        <v>31276.511299999998</v>
      </c>
      <c r="L47" s="39">
        <f>'Data entry MAA Mainz'!AD47</f>
        <v>41436.133999999998</v>
      </c>
      <c r="M47" s="39">
        <f>'Data entry MAA Mainz'!AG47</f>
        <v>40779.529499999997</v>
      </c>
      <c r="N47" s="39">
        <f>'Data entry MAA Mainz'!AJ47</f>
        <v>40262.634700000002</v>
      </c>
      <c r="O47" s="39">
        <f>'Data entry MAA Mainz'!AM47</f>
        <v>30045.2637</v>
      </c>
    </row>
    <row r="48" spans="2:15" ht="14" x14ac:dyDescent="0.15">
      <c r="B48" s="38" t="s">
        <v>22</v>
      </c>
      <c r="C48" s="39">
        <f>'Data entry MAA Mainz'!C48</f>
        <v>388984.89840000001</v>
      </c>
      <c r="D48" s="39">
        <f>'Data entry MAA Mainz'!F48</f>
        <v>34690.769999999997</v>
      </c>
      <c r="E48" s="39">
        <f>'Data entry MAA Mainz'!I48</f>
        <v>30636.639999999999</v>
      </c>
      <c r="F48" s="39">
        <f>'Data entry MAA Mainz'!L48</f>
        <v>25326.17</v>
      </c>
      <c r="G48" s="39">
        <f>'Data entry MAA Mainz'!O48</f>
        <v>28143.119999999999</v>
      </c>
      <c r="H48" s="39">
        <f>'Data entry MAA Mainz'!R48</f>
        <v>36402.261400000003</v>
      </c>
      <c r="I48" s="39">
        <f>'Data entry MAA Mainz'!U48</f>
        <v>33477.261700000003</v>
      </c>
      <c r="J48" s="39">
        <f>'Data entry MAA Mainz'!X48</f>
        <v>31566.419699999999</v>
      </c>
      <c r="K48" s="39">
        <f>'Data entry MAA Mainz'!AA48</f>
        <v>33786.904699999999</v>
      </c>
      <c r="L48" s="39">
        <f>'Data entry MAA Mainz'!AD48</f>
        <v>34228.779300000002</v>
      </c>
      <c r="M48" s="39">
        <f>'Data entry MAA Mainz'!AG48</f>
        <v>34466.246599999999</v>
      </c>
      <c r="N48" s="39">
        <f>'Data entry MAA Mainz'!AJ48</f>
        <v>34568.315300000002</v>
      </c>
      <c r="O48" s="39">
        <f>'Data entry MAA Mainz'!AM48</f>
        <v>31692.009699999999</v>
      </c>
    </row>
    <row r="49" spans="2:15" ht="14" x14ac:dyDescent="0.15">
      <c r="B49" s="38" t="s">
        <v>40</v>
      </c>
      <c r="C49" s="39">
        <f>'Data entry MAA Mainz'!C49</f>
        <v>47746.45</v>
      </c>
      <c r="D49" s="39">
        <f>'Data entry MAA Mainz'!F49</f>
        <v>2477.83</v>
      </c>
      <c r="E49" s="39">
        <f>'Data entry MAA Mainz'!I49</f>
        <v>5260.07</v>
      </c>
      <c r="F49" s="39">
        <f>'Data entry MAA Mainz'!L49</f>
        <v>6568.36</v>
      </c>
      <c r="G49" s="39">
        <f>'Data entry MAA Mainz'!O49</f>
        <v>4011.79</v>
      </c>
      <c r="H49" s="39">
        <f>'Data entry MAA Mainz'!R49</f>
        <v>3703.55</v>
      </c>
      <c r="I49" s="39">
        <f>'Data entry MAA Mainz'!U49</f>
        <v>2803.55</v>
      </c>
      <c r="J49" s="39">
        <f>'Data entry MAA Mainz'!X49</f>
        <v>2403.5500000000002</v>
      </c>
      <c r="K49" s="39">
        <f>'Data entry MAA Mainz'!AA49</f>
        <v>2803.55</v>
      </c>
      <c r="L49" s="39">
        <f>'Data entry MAA Mainz'!AD49</f>
        <v>3753.55</v>
      </c>
      <c r="M49" s="39">
        <f>'Data entry MAA Mainz'!AG49</f>
        <v>2603.5500000000002</v>
      </c>
      <c r="N49" s="39">
        <f>'Data entry MAA Mainz'!AJ49</f>
        <v>9003.5499999999993</v>
      </c>
      <c r="O49" s="39">
        <f>'Data entry MAA Mainz'!AM49</f>
        <v>2353.5500000000002</v>
      </c>
    </row>
    <row r="50" spans="2:15" ht="14" x14ac:dyDescent="0.15">
      <c r="B50" s="42" t="s">
        <v>41</v>
      </c>
      <c r="C50" s="39">
        <f>'Data entry MAA Mainz'!C50</f>
        <v>177856.91510000001</v>
      </c>
      <c r="D50" s="39">
        <f>'Data entry MAA Mainz'!F50</f>
        <v>-8210.32</v>
      </c>
      <c r="E50" s="39">
        <f>'Data entry MAA Mainz'!I50</f>
        <v>8681.89</v>
      </c>
      <c r="F50" s="39">
        <f>'Data entry MAA Mainz'!L50</f>
        <v>19328.88</v>
      </c>
      <c r="G50" s="39">
        <f>'Data entry MAA Mainz'!O50</f>
        <v>-3594.51</v>
      </c>
      <c r="H50" s="39">
        <f>'Data entry MAA Mainz'!R50</f>
        <v>11146.9115</v>
      </c>
      <c r="I50" s="39">
        <f>'Data entry MAA Mainz'!U50</f>
        <v>16816.315500000001</v>
      </c>
      <c r="J50" s="39">
        <f>'Data entry MAA Mainz'!X50</f>
        <v>39745.553899999999</v>
      </c>
      <c r="K50" s="39">
        <f>'Data entry MAA Mainz'!AA50</f>
        <v>14194.7536</v>
      </c>
      <c r="L50" s="39">
        <f>'Data entry MAA Mainz'!AD50</f>
        <v>25529.905599999998</v>
      </c>
      <c r="M50" s="39">
        <f>'Data entry MAA Mainz'!AG50</f>
        <v>24983.306100000002</v>
      </c>
      <c r="N50" s="39">
        <f>'Data entry MAA Mainz'!AJ50</f>
        <v>17332.573700000001</v>
      </c>
      <c r="O50" s="39">
        <f>'Data entry MAA Mainz'!AM50</f>
        <v>11901.655199999999</v>
      </c>
    </row>
    <row r="51" spans="2:15" x14ac:dyDescent="0.15">
      <c r="B51" s="40"/>
      <c r="C51" s="39">
        <f>'Data entry MAA Mainz'!C51</f>
        <v>0</v>
      </c>
      <c r="D51" s="39">
        <f>'Data entry MAA Mainz'!F51</f>
        <v>0</v>
      </c>
      <c r="E51" s="39">
        <f>'Data entry MAA Mainz'!I51</f>
        <v>0</v>
      </c>
      <c r="F51" s="39">
        <f>'Data entry MAA Mainz'!L51</f>
        <v>0</v>
      </c>
      <c r="G51" s="39">
        <f>'Data entry MAA Mainz'!O51</f>
        <v>0</v>
      </c>
      <c r="H51" s="39">
        <f>'Data entry MAA Mainz'!R51</f>
        <v>0</v>
      </c>
      <c r="I51" s="39">
        <f>'Data entry MAA Mainz'!U51</f>
        <v>0</v>
      </c>
      <c r="J51" s="39">
        <f>'Data entry MAA Mainz'!X51</f>
        <v>0</v>
      </c>
      <c r="K51" s="39">
        <f>'Data entry MAA Mainz'!AA51</f>
        <v>0</v>
      </c>
      <c r="L51" s="39">
        <f>'Data entry MAA Mainz'!AD51</f>
        <v>0</v>
      </c>
      <c r="M51" s="39">
        <f>'Data entry MAA Mainz'!AG51</f>
        <v>0</v>
      </c>
      <c r="N51" s="39">
        <f>'Data entry MAA Mainz'!AJ51</f>
        <v>0</v>
      </c>
      <c r="O51" s="39">
        <f>'Data entry MAA Mainz'!AM51</f>
        <v>0</v>
      </c>
    </row>
    <row r="52" spans="2:15" ht="14" x14ac:dyDescent="0.15">
      <c r="B52" s="44" t="s">
        <v>50</v>
      </c>
      <c r="C52" s="39">
        <f>'Data entry MAA Mainz'!C52</f>
        <v>0</v>
      </c>
      <c r="D52" s="39">
        <f>'Data entry MAA Mainz'!F52</f>
        <v>0</v>
      </c>
      <c r="E52" s="39">
        <f>'Data entry MAA Mainz'!I52</f>
        <v>0</v>
      </c>
      <c r="F52" s="39">
        <f>'Data entry MAA Mainz'!L52</f>
        <v>0</v>
      </c>
      <c r="G52" s="39">
        <f>'Data entry MAA Mainz'!O52</f>
        <v>0</v>
      </c>
      <c r="H52" s="39">
        <f>'Data entry MAA Mainz'!R52</f>
        <v>0</v>
      </c>
      <c r="I52" s="39">
        <f>'Data entry MAA Mainz'!U52</f>
        <v>0</v>
      </c>
      <c r="J52" s="39">
        <f>'Data entry MAA Mainz'!X52</f>
        <v>0</v>
      </c>
      <c r="K52" s="39">
        <f>'Data entry MAA Mainz'!AA52</f>
        <v>0</v>
      </c>
      <c r="L52" s="39">
        <f>'Data entry MAA Mainz'!AD52</f>
        <v>0</v>
      </c>
      <c r="M52" s="39">
        <f>'Data entry MAA Mainz'!AG52</f>
        <v>0</v>
      </c>
      <c r="N52" s="39">
        <f>'Data entry MAA Mainz'!AJ52</f>
        <v>0</v>
      </c>
      <c r="O52" s="39">
        <f>'Data entry MAA Mainz'!AM52</f>
        <v>0</v>
      </c>
    </row>
    <row r="53" spans="2:15" ht="14" x14ac:dyDescent="0.15">
      <c r="B53" s="38" t="s">
        <v>37</v>
      </c>
      <c r="C53" s="39">
        <f>'Data entry MAA Mainz'!C53</f>
        <v>209743.67</v>
      </c>
      <c r="D53" s="39">
        <f>'Data entry MAA Mainz'!F53</f>
        <v>14064.68</v>
      </c>
      <c r="E53" s="39">
        <f>'Data entry MAA Mainz'!I53</f>
        <v>14696.31</v>
      </c>
      <c r="F53" s="39">
        <f>'Data entry MAA Mainz'!L53</f>
        <v>17658.939999999999</v>
      </c>
      <c r="G53" s="39">
        <f>'Data entry MAA Mainz'!O53</f>
        <v>12764.54</v>
      </c>
      <c r="H53" s="39">
        <f>'Data entry MAA Mainz'!R53</f>
        <v>18044.64</v>
      </c>
      <c r="I53" s="39">
        <f>'Data entry MAA Mainz'!U53</f>
        <v>20886.72</v>
      </c>
      <c r="J53" s="39">
        <f>'Data entry MAA Mainz'!X53</f>
        <v>18152.16</v>
      </c>
      <c r="K53" s="39">
        <f>'Data entry MAA Mainz'!AA53</f>
        <v>15826.88</v>
      </c>
      <c r="L53" s="39">
        <f>'Data entry MAA Mainz'!AD53</f>
        <v>21853.919999999998</v>
      </c>
      <c r="M53" s="39">
        <f>'Data entry MAA Mainz'!AG53</f>
        <v>20658.560000000001</v>
      </c>
      <c r="N53" s="39">
        <f>'Data entry MAA Mainz'!AJ53</f>
        <v>20331.2</v>
      </c>
      <c r="O53" s="39">
        <f>'Data entry MAA Mainz'!AM53</f>
        <v>14805.12</v>
      </c>
    </row>
    <row r="54" spans="2:15" ht="14" x14ac:dyDescent="0.15">
      <c r="B54" s="38" t="s">
        <v>49</v>
      </c>
      <c r="C54" s="39">
        <f>'Data entry MAA Mainz'!C54</f>
        <v>9311.1749999999993</v>
      </c>
      <c r="D54" s="39">
        <f>'Data entry MAA Mainz'!F54</f>
        <v>488.12</v>
      </c>
      <c r="E54" s="39">
        <f>'Data entry MAA Mainz'!I54</f>
        <v>1618.53</v>
      </c>
      <c r="F54" s="39">
        <f>'Data entry MAA Mainz'!L54</f>
        <v>1039.6099999999999</v>
      </c>
      <c r="G54" s="39">
        <f>'Data entry MAA Mainz'!O54</f>
        <v>-193.98</v>
      </c>
      <c r="H54" s="39">
        <f>'Data entry MAA Mainz'!R54</f>
        <v>784.83399999999995</v>
      </c>
      <c r="I54" s="39">
        <f>'Data entry MAA Mainz'!U54</f>
        <v>814.05700000000002</v>
      </c>
      <c r="J54" s="39">
        <f>'Data entry MAA Mainz'!X54</f>
        <v>737.99599999999998</v>
      </c>
      <c r="K54" s="39">
        <f>'Data entry MAA Mainz'!AA54</f>
        <v>594.22799999999995</v>
      </c>
      <c r="L54" s="39">
        <f>'Data entry MAA Mainz'!AD54</f>
        <v>1224.002</v>
      </c>
      <c r="M54" s="39">
        <f>'Data entry MAA Mainz'!AG54</f>
        <v>811.71100000000001</v>
      </c>
      <c r="N54" s="39">
        <f>'Data entry MAA Mainz'!AJ54</f>
        <v>808.34500000000003</v>
      </c>
      <c r="O54" s="39">
        <f>'Data entry MAA Mainz'!AM54</f>
        <v>583.72199999999998</v>
      </c>
    </row>
    <row r="55" spans="2:15" ht="14" x14ac:dyDescent="0.15">
      <c r="B55" s="38" t="s">
        <v>22</v>
      </c>
      <c r="C55" s="39">
        <f>'Data entry MAA Mainz'!C55</f>
        <v>0</v>
      </c>
      <c r="D55" s="39">
        <f>'Data entry MAA Mainz'!F55</f>
        <v>0</v>
      </c>
      <c r="E55" s="39">
        <f>'Data entry MAA Mainz'!I55</f>
        <v>0</v>
      </c>
      <c r="F55" s="39">
        <f>'Data entry MAA Mainz'!L55</f>
        <v>0</v>
      </c>
      <c r="G55" s="39">
        <f>'Data entry MAA Mainz'!O55</f>
        <v>0</v>
      </c>
      <c r="H55" s="39">
        <f>'Data entry MAA Mainz'!R55</f>
        <v>0</v>
      </c>
      <c r="I55" s="39">
        <f>'Data entry MAA Mainz'!U55</f>
        <v>0</v>
      </c>
      <c r="J55" s="39">
        <f>'Data entry MAA Mainz'!X55</f>
        <v>0</v>
      </c>
      <c r="K55" s="39">
        <f>'Data entry MAA Mainz'!AA55</f>
        <v>0</v>
      </c>
      <c r="L55" s="39">
        <f>'Data entry MAA Mainz'!AD55</f>
        <v>0</v>
      </c>
      <c r="M55" s="39">
        <f>'Data entry MAA Mainz'!AG55</f>
        <v>0</v>
      </c>
      <c r="N55" s="39">
        <f>'Data entry MAA Mainz'!AJ55</f>
        <v>0</v>
      </c>
      <c r="O55" s="39">
        <f>'Data entry MAA Mainz'!AM55</f>
        <v>0</v>
      </c>
    </row>
    <row r="56" spans="2:15" ht="14" x14ac:dyDescent="0.15">
      <c r="B56" s="38" t="s">
        <v>40</v>
      </c>
      <c r="C56" s="39">
        <f>'Data entry MAA Mainz'!C56</f>
        <v>0</v>
      </c>
      <c r="D56" s="39">
        <f>'Data entry MAA Mainz'!F56</f>
        <v>0</v>
      </c>
      <c r="E56" s="39">
        <f>'Data entry MAA Mainz'!I56</f>
        <v>0</v>
      </c>
      <c r="F56" s="39">
        <f>'Data entry MAA Mainz'!L56</f>
        <v>0</v>
      </c>
      <c r="G56" s="39">
        <f>'Data entry MAA Mainz'!O56</f>
        <v>0</v>
      </c>
      <c r="H56" s="39">
        <f>'Data entry MAA Mainz'!R56</f>
        <v>0</v>
      </c>
      <c r="I56" s="39">
        <f>'Data entry MAA Mainz'!U56</f>
        <v>0</v>
      </c>
      <c r="J56" s="39">
        <f>'Data entry MAA Mainz'!X56</f>
        <v>0</v>
      </c>
      <c r="K56" s="39">
        <f>'Data entry MAA Mainz'!AA56</f>
        <v>0</v>
      </c>
      <c r="L56" s="39">
        <f>'Data entry MAA Mainz'!AD56</f>
        <v>0</v>
      </c>
      <c r="M56" s="39">
        <f>'Data entry MAA Mainz'!AG56</f>
        <v>0</v>
      </c>
      <c r="N56" s="39">
        <f>'Data entry MAA Mainz'!AJ56</f>
        <v>0</v>
      </c>
      <c r="O56" s="39">
        <f>'Data entry MAA Mainz'!AM56</f>
        <v>0</v>
      </c>
    </row>
    <row r="57" spans="2:15" ht="14" x14ac:dyDescent="0.15">
      <c r="B57" s="42" t="s">
        <v>41</v>
      </c>
      <c r="C57" s="39">
        <f>'Data entry MAA Mainz'!C57</f>
        <v>200432.495</v>
      </c>
      <c r="D57" s="39">
        <f>'Data entry MAA Mainz'!F57</f>
        <v>13576.56</v>
      </c>
      <c r="E57" s="39">
        <f>'Data entry MAA Mainz'!I57</f>
        <v>13077.78</v>
      </c>
      <c r="F57" s="39">
        <f>'Data entry MAA Mainz'!L57</f>
        <v>16619.330000000002</v>
      </c>
      <c r="G57" s="39">
        <f>'Data entry MAA Mainz'!O57</f>
        <v>12958.52</v>
      </c>
      <c r="H57" s="39">
        <f>'Data entry MAA Mainz'!R57</f>
        <v>17259.806</v>
      </c>
      <c r="I57" s="39">
        <f>'Data entry MAA Mainz'!U57</f>
        <v>20072.663</v>
      </c>
      <c r="J57" s="39">
        <f>'Data entry MAA Mainz'!X57</f>
        <v>17414.164000000001</v>
      </c>
      <c r="K57" s="39">
        <f>'Data entry MAA Mainz'!AA57</f>
        <v>15232.652</v>
      </c>
      <c r="L57" s="39">
        <f>'Data entry MAA Mainz'!AD57</f>
        <v>20629.918000000001</v>
      </c>
      <c r="M57" s="39">
        <f>'Data entry MAA Mainz'!AG57</f>
        <v>19846.848999999998</v>
      </c>
      <c r="N57" s="39">
        <f>'Data entry MAA Mainz'!AJ57</f>
        <v>19522.855</v>
      </c>
      <c r="O57" s="39">
        <f>'Data entry MAA Mainz'!AM57</f>
        <v>14221.397999999999</v>
      </c>
    </row>
    <row r="58" spans="2:15" x14ac:dyDescent="0.15">
      <c r="B58" s="40"/>
      <c r="C58" s="39">
        <f>'Data entry MAA Mainz'!C58</f>
        <v>0</v>
      </c>
      <c r="D58" s="39">
        <f>'Data entry MAA Mainz'!F58</f>
        <v>0</v>
      </c>
      <c r="E58" s="39">
        <f>'Data entry MAA Mainz'!I58</f>
        <v>0</v>
      </c>
      <c r="F58" s="39">
        <f>'Data entry MAA Mainz'!L58</f>
        <v>0</v>
      </c>
      <c r="G58" s="39">
        <f>'Data entry MAA Mainz'!O58</f>
        <v>0</v>
      </c>
      <c r="H58" s="39">
        <f>'Data entry MAA Mainz'!R58</f>
        <v>0</v>
      </c>
      <c r="I58" s="39">
        <f>'Data entry MAA Mainz'!U58</f>
        <v>0</v>
      </c>
      <c r="J58" s="39">
        <f>'Data entry MAA Mainz'!X58</f>
        <v>0</v>
      </c>
      <c r="K58" s="39">
        <f>'Data entry MAA Mainz'!AA58</f>
        <v>0</v>
      </c>
      <c r="L58" s="39">
        <f>'Data entry MAA Mainz'!AD58</f>
        <v>0</v>
      </c>
      <c r="M58" s="39">
        <f>'Data entry MAA Mainz'!AG58</f>
        <v>0</v>
      </c>
      <c r="N58" s="39">
        <f>'Data entry MAA Mainz'!AJ58</f>
        <v>0</v>
      </c>
      <c r="O58" s="39">
        <f>'Data entry MAA Mainz'!AM58</f>
        <v>0</v>
      </c>
    </row>
    <row r="59" spans="2:15" ht="14" x14ac:dyDescent="0.15">
      <c r="B59" s="44" t="s">
        <v>38</v>
      </c>
      <c r="C59" s="39">
        <f>'Data entry MAA Mainz'!C59</f>
        <v>0</v>
      </c>
      <c r="D59" s="39">
        <f>'Data entry MAA Mainz'!F59</f>
        <v>0</v>
      </c>
      <c r="E59" s="39">
        <f>'Data entry MAA Mainz'!I59</f>
        <v>0</v>
      </c>
      <c r="F59" s="39">
        <f>'Data entry MAA Mainz'!L59</f>
        <v>0</v>
      </c>
      <c r="G59" s="39">
        <f>'Data entry MAA Mainz'!O59</f>
        <v>0</v>
      </c>
      <c r="H59" s="39">
        <f>'Data entry MAA Mainz'!R59</f>
        <v>0</v>
      </c>
      <c r="I59" s="39">
        <f>'Data entry MAA Mainz'!U59</f>
        <v>0</v>
      </c>
      <c r="J59" s="39">
        <f>'Data entry MAA Mainz'!X59</f>
        <v>0</v>
      </c>
      <c r="K59" s="39">
        <f>'Data entry MAA Mainz'!AA59</f>
        <v>0</v>
      </c>
      <c r="L59" s="39">
        <f>'Data entry MAA Mainz'!AD59</f>
        <v>0</v>
      </c>
      <c r="M59" s="39">
        <f>'Data entry MAA Mainz'!AG59</f>
        <v>0</v>
      </c>
      <c r="N59" s="39">
        <f>'Data entry MAA Mainz'!AJ59</f>
        <v>0</v>
      </c>
      <c r="O59" s="39">
        <f>'Data entry MAA Mainz'!AM59</f>
        <v>0</v>
      </c>
    </row>
    <row r="60" spans="2:15" ht="14" x14ac:dyDescent="0.15">
      <c r="B60" s="42" t="s">
        <v>38</v>
      </c>
      <c r="C60" s="39">
        <f>'Data entry MAA Mainz'!C60</f>
        <v>84372.746599999999</v>
      </c>
      <c r="D60" s="39">
        <f>'Data entry MAA Mainz'!F60</f>
        <v>12995.92</v>
      </c>
      <c r="E60" s="39">
        <f>'Data entry MAA Mainz'!I60</f>
        <v>5886.08</v>
      </c>
      <c r="F60" s="39">
        <f>'Data entry MAA Mainz'!L60</f>
        <v>4587.46</v>
      </c>
      <c r="G60" s="39">
        <f>'Data entry MAA Mainz'!O60</f>
        <v>3850.1</v>
      </c>
      <c r="H60" s="39">
        <f>'Data entry MAA Mainz'!R60</f>
        <v>6274.6050999999998</v>
      </c>
      <c r="I60" s="39">
        <f>'Data entry MAA Mainz'!U60</f>
        <v>7908.6432000000004</v>
      </c>
      <c r="J60" s="39">
        <f>'Data entry MAA Mainz'!X60</f>
        <v>6459.66</v>
      </c>
      <c r="K60" s="39">
        <f>'Data entry MAA Mainz'!AA60</f>
        <v>5766.4357</v>
      </c>
      <c r="L60" s="39">
        <f>'Data entry MAA Mainz'!AD60</f>
        <v>10047.4604</v>
      </c>
      <c r="M60" s="39">
        <f>'Data entry MAA Mainz'!AG60</f>
        <v>7701.3847999999998</v>
      </c>
      <c r="N60" s="39">
        <f>'Data entry MAA Mainz'!AJ60</f>
        <v>7553.7596000000003</v>
      </c>
      <c r="O60" s="39">
        <f>'Data entry MAA Mainz'!AM60</f>
        <v>5341.2377999999999</v>
      </c>
    </row>
    <row r="61" spans="2:15" x14ac:dyDescent="0.15">
      <c r="B61" s="40"/>
      <c r="C61" s="39">
        <f>'Data entry MAA Mainz'!C61</f>
        <v>0</v>
      </c>
      <c r="D61" s="39">
        <f>'Data entry MAA Mainz'!F61</f>
        <v>0</v>
      </c>
      <c r="E61" s="39">
        <f>'Data entry MAA Mainz'!I61</f>
        <v>0</v>
      </c>
      <c r="F61" s="39">
        <f>'Data entry MAA Mainz'!L61</f>
        <v>0</v>
      </c>
      <c r="G61" s="39">
        <f>'Data entry MAA Mainz'!O61</f>
        <v>0</v>
      </c>
      <c r="H61" s="39">
        <f>'Data entry MAA Mainz'!R61</f>
        <v>0</v>
      </c>
      <c r="I61" s="39">
        <f>'Data entry MAA Mainz'!U61</f>
        <v>0</v>
      </c>
      <c r="J61" s="39">
        <f>'Data entry MAA Mainz'!X61</f>
        <v>0</v>
      </c>
      <c r="K61" s="39">
        <f>'Data entry MAA Mainz'!AA61</f>
        <v>0</v>
      </c>
      <c r="L61" s="39">
        <f>'Data entry MAA Mainz'!AD61</f>
        <v>0</v>
      </c>
      <c r="M61" s="39">
        <f>'Data entry MAA Mainz'!AG61</f>
        <v>0</v>
      </c>
      <c r="N61" s="39">
        <f>'Data entry MAA Mainz'!AJ61</f>
        <v>0</v>
      </c>
      <c r="O61" s="39">
        <f>'Data entry MAA Mainz'!AM61</f>
        <v>0</v>
      </c>
    </row>
    <row r="62" spans="2:15" ht="14" x14ac:dyDescent="0.15">
      <c r="B62" s="44" t="s">
        <v>51</v>
      </c>
      <c r="C62" s="39">
        <f>'Data entry MAA Mainz'!C62</f>
        <v>0</v>
      </c>
      <c r="D62" s="39">
        <f>'Data entry MAA Mainz'!F62</f>
        <v>0</v>
      </c>
      <c r="E62" s="39">
        <f>'Data entry MAA Mainz'!I62</f>
        <v>0</v>
      </c>
      <c r="F62" s="39">
        <f>'Data entry MAA Mainz'!L62</f>
        <v>0</v>
      </c>
      <c r="G62" s="39">
        <f>'Data entry MAA Mainz'!O62</f>
        <v>0</v>
      </c>
      <c r="H62" s="39">
        <f>'Data entry MAA Mainz'!R62</f>
        <v>0</v>
      </c>
      <c r="I62" s="39">
        <f>'Data entry MAA Mainz'!U62</f>
        <v>0</v>
      </c>
      <c r="J62" s="39">
        <f>'Data entry MAA Mainz'!X62</f>
        <v>0</v>
      </c>
      <c r="K62" s="39">
        <f>'Data entry MAA Mainz'!AA62</f>
        <v>0</v>
      </c>
      <c r="L62" s="39">
        <f>'Data entry MAA Mainz'!AD62</f>
        <v>0</v>
      </c>
      <c r="M62" s="39">
        <f>'Data entry MAA Mainz'!AG62</f>
        <v>0</v>
      </c>
      <c r="N62" s="39">
        <f>'Data entry MAA Mainz'!AJ62</f>
        <v>0</v>
      </c>
      <c r="O62" s="39">
        <f>'Data entry MAA Mainz'!AM62</f>
        <v>0</v>
      </c>
    </row>
    <row r="63" spans="2:15" ht="14" x14ac:dyDescent="0.15">
      <c r="B63" s="42" t="s">
        <v>52</v>
      </c>
      <c r="C63" s="39">
        <f>'Data entry MAA Mainz'!C63</f>
        <v>3485900.3572999998</v>
      </c>
      <c r="D63" s="39">
        <f>'Data entry MAA Mainz'!F63</f>
        <v>170156.66</v>
      </c>
      <c r="E63" s="39">
        <f>'Data entry MAA Mainz'!I63</f>
        <v>192343.78</v>
      </c>
      <c r="F63" s="39">
        <f>'Data entry MAA Mainz'!L63</f>
        <v>311363.25</v>
      </c>
      <c r="G63" s="39">
        <f>'Data entry MAA Mainz'!O63</f>
        <v>147510.92000000001</v>
      </c>
      <c r="H63" s="39">
        <f>'Data entry MAA Mainz'!R63</f>
        <v>278556.9437</v>
      </c>
      <c r="I63" s="39">
        <f>'Data entry MAA Mainz'!U63</f>
        <v>366671.48719999997</v>
      </c>
      <c r="J63" s="39">
        <f>'Data entry MAA Mainz'!X63</f>
        <v>319591.25910000002</v>
      </c>
      <c r="K63" s="39">
        <f>'Data entry MAA Mainz'!AA63</f>
        <v>259247.4376</v>
      </c>
      <c r="L63" s="39">
        <f>'Data entry MAA Mainz'!AD63</f>
        <v>489677.94380000001</v>
      </c>
      <c r="M63" s="39">
        <f>'Data entry MAA Mainz'!AG63</f>
        <v>366138.83990000002</v>
      </c>
      <c r="N63" s="39">
        <f>'Data entry MAA Mainz'!AJ63</f>
        <v>351651.46870000003</v>
      </c>
      <c r="O63" s="39">
        <f>'Data entry MAA Mainz'!AM63</f>
        <v>232990.36730000001</v>
      </c>
    </row>
    <row r="64" spans="2:15" x14ac:dyDescent="0.15">
      <c r="B64" s="40"/>
      <c r="C64" s="39">
        <f>'Data entry MAA Mainz'!C64</f>
        <v>0</v>
      </c>
      <c r="D64" s="39">
        <f>'Data entry MAA Mainz'!F64</f>
        <v>0</v>
      </c>
      <c r="E64" s="39">
        <f>'Data entry MAA Mainz'!I64</f>
        <v>0</v>
      </c>
      <c r="F64" s="39">
        <f>'Data entry MAA Mainz'!L64</f>
        <v>0</v>
      </c>
      <c r="G64" s="39">
        <f>'Data entry MAA Mainz'!O64</f>
        <v>0</v>
      </c>
      <c r="H64" s="39">
        <f>'Data entry MAA Mainz'!R64</f>
        <v>0</v>
      </c>
      <c r="I64" s="39">
        <f>'Data entry MAA Mainz'!U64</f>
        <v>0</v>
      </c>
      <c r="J64" s="39">
        <f>'Data entry MAA Mainz'!X64</f>
        <v>0</v>
      </c>
      <c r="K64" s="39">
        <f>'Data entry MAA Mainz'!AA64</f>
        <v>0</v>
      </c>
      <c r="L64" s="39">
        <f>'Data entry MAA Mainz'!AD64</f>
        <v>0</v>
      </c>
      <c r="M64" s="39">
        <f>'Data entry MAA Mainz'!AG64</f>
        <v>0</v>
      </c>
      <c r="N64" s="39">
        <f>'Data entry MAA Mainz'!AJ64</f>
        <v>0</v>
      </c>
      <c r="O64" s="39">
        <f>'Data entry MAA Mainz'!AM64</f>
        <v>0</v>
      </c>
    </row>
    <row r="65" spans="2:15" ht="14" x14ac:dyDescent="0.15">
      <c r="B65" s="44" t="s">
        <v>53</v>
      </c>
      <c r="C65" s="39">
        <f>'Data entry MAA Mainz'!C65</f>
        <v>0</v>
      </c>
      <c r="D65" s="39">
        <f>'Data entry MAA Mainz'!F65</f>
        <v>0</v>
      </c>
      <c r="E65" s="39">
        <f>'Data entry MAA Mainz'!I65</f>
        <v>0</v>
      </c>
      <c r="F65" s="39">
        <f>'Data entry MAA Mainz'!L65</f>
        <v>0</v>
      </c>
      <c r="G65" s="39">
        <f>'Data entry MAA Mainz'!O65</f>
        <v>0</v>
      </c>
      <c r="H65" s="39">
        <f>'Data entry MAA Mainz'!R65</f>
        <v>0</v>
      </c>
      <c r="I65" s="39">
        <f>'Data entry MAA Mainz'!U65</f>
        <v>0</v>
      </c>
      <c r="J65" s="39">
        <f>'Data entry MAA Mainz'!X65</f>
        <v>0</v>
      </c>
      <c r="K65" s="39">
        <f>'Data entry MAA Mainz'!AA65</f>
        <v>0</v>
      </c>
      <c r="L65" s="39">
        <f>'Data entry MAA Mainz'!AD65</f>
        <v>0</v>
      </c>
      <c r="M65" s="39">
        <f>'Data entry MAA Mainz'!AG65</f>
        <v>0</v>
      </c>
      <c r="N65" s="39">
        <f>'Data entry MAA Mainz'!AJ65</f>
        <v>0</v>
      </c>
      <c r="O65" s="39">
        <f>'Data entry MAA Mainz'!AM65</f>
        <v>0</v>
      </c>
    </row>
    <row r="66" spans="2:15" ht="14" x14ac:dyDescent="0.15">
      <c r="B66" s="38" t="s">
        <v>22</v>
      </c>
      <c r="C66" s="39">
        <f>'Data entry MAA Mainz'!C66</f>
        <v>204401.37549999999</v>
      </c>
      <c r="D66" s="39">
        <f>'Data entry MAA Mainz'!F66</f>
        <v>16941.580000000002</v>
      </c>
      <c r="E66" s="39">
        <f>'Data entry MAA Mainz'!I66</f>
        <v>16084.79</v>
      </c>
      <c r="F66" s="39">
        <f>'Data entry MAA Mainz'!L66</f>
        <v>19304.47</v>
      </c>
      <c r="G66" s="39">
        <f>'Data entry MAA Mainz'!O66</f>
        <v>19056.830000000002</v>
      </c>
      <c r="H66" s="39">
        <f>'Data entry MAA Mainz'!R66</f>
        <v>16587.930700000001</v>
      </c>
      <c r="I66" s="39">
        <f>'Data entry MAA Mainz'!U66</f>
        <v>18065.437999999998</v>
      </c>
      <c r="J66" s="39">
        <f>'Data entry MAA Mainz'!X66</f>
        <v>16387.350299999998</v>
      </c>
      <c r="K66" s="39">
        <f>'Data entry MAA Mainz'!AA66</f>
        <v>15311.4197</v>
      </c>
      <c r="L66" s="39">
        <f>'Data entry MAA Mainz'!AD66</f>
        <v>18065.437999999998</v>
      </c>
      <c r="M66" s="39">
        <f>'Data entry MAA Mainz'!AG66</f>
        <v>16387.350299999998</v>
      </c>
      <c r="N66" s="39">
        <f>'Data entry MAA Mainz'!AJ66</f>
        <v>16826.8465</v>
      </c>
      <c r="O66" s="39">
        <f>'Data entry MAA Mainz'!AM66</f>
        <v>15381.932000000001</v>
      </c>
    </row>
    <row r="67" spans="2:15" ht="14" x14ac:dyDescent="0.15">
      <c r="B67" s="38" t="s">
        <v>40</v>
      </c>
      <c r="C67" s="39">
        <f>'Data entry MAA Mainz'!C67</f>
        <v>154455.40900000001</v>
      </c>
      <c r="D67" s="39">
        <f>'Data entry MAA Mainz'!F67</f>
        <v>7467.76</v>
      </c>
      <c r="E67" s="39">
        <f>'Data entry MAA Mainz'!I67</f>
        <v>14561.45</v>
      </c>
      <c r="F67" s="39">
        <f>'Data entry MAA Mainz'!L67</f>
        <v>9056.64</v>
      </c>
      <c r="G67" s="39">
        <f>'Data entry MAA Mainz'!O67</f>
        <v>9486.27</v>
      </c>
      <c r="H67" s="39">
        <f>'Data entry MAA Mainz'!R67</f>
        <v>14366.802299999999</v>
      </c>
      <c r="I67" s="39">
        <f>'Data entry MAA Mainz'!U67</f>
        <v>14360.4118</v>
      </c>
      <c r="J67" s="39">
        <f>'Data entry MAA Mainz'!X67</f>
        <v>13417.6278</v>
      </c>
      <c r="K67" s="39">
        <f>'Data entry MAA Mainz'!AA67</f>
        <v>12781.607</v>
      </c>
      <c r="L67" s="39">
        <f>'Data entry MAA Mainz'!AD67</f>
        <v>15809.3336</v>
      </c>
      <c r="M67" s="39">
        <f>'Data entry MAA Mainz'!AG67</f>
        <v>14407.225</v>
      </c>
      <c r="N67" s="39">
        <f>'Data entry MAA Mainz'!AJ67</f>
        <v>16332.7446</v>
      </c>
      <c r="O67" s="39">
        <f>'Data entry MAA Mainz'!AM67</f>
        <v>12407.536899999999</v>
      </c>
    </row>
    <row r="68" spans="2:15" ht="14" x14ac:dyDescent="0.15">
      <c r="B68" s="42" t="s">
        <v>41</v>
      </c>
      <c r="C68" s="39">
        <f>'Data entry MAA Mainz'!C68</f>
        <v>-358856.78460000001</v>
      </c>
      <c r="D68" s="39">
        <f>'Data entry MAA Mainz'!F68</f>
        <v>-24409.34</v>
      </c>
      <c r="E68" s="39">
        <f>'Data entry MAA Mainz'!I68</f>
        <v>-30646.240000000002</v>
      </c>
      <c r="F68" s="39">
        <f>'Data entry MAA Mainz'!L68</f>
        <v>-28361.11</v>
      </c>
      <c r="G68" s="39">
        <f>'Data entry MAA Mainz'!O68</f>
        <v>-28543.1</v>
      </c>
      <c r="H68" s="39">
        <f>'Data entry MAA Mainz'!R68</f>
        <v>-30954.732899999999</v>
      </c>
      <c r="I68" s="39">
        <f>'Data entry MAA Mainz'!U68</f>
        <v>-32425.8498</v>
      </c>
      <c r="J68" s="39">
        <f>'Data entry MAA Mainz'!X68</f>
        <v>-29804.978200000001</v>
      </c>
      <c r="K68" s="39">
        <f>'Data entry MAA Mainz'!AA68</f>
        <v>-28093.0268</v>
      </c>
      <c r="L68" s="39">
        <f>'Data entry MAA Mainz'!AD68</f>
        <v>-33874.7716</v>
      </c>
      <c r="M68" s="39">
        <f>'Data entry MAA Mainz'!AG68</f>
        <v>-30794.5753</v>
      </c>
      <c r="N68" s="39">
        <f>'Data entry MAA Mainz'!AJ68</f>
        <v>-33159.591099999998</v>
      </c>
      <c r="O68" s="39">
        <f>'Data entry MAA Mainz'!AM68</f>
        <v>-27789.4689</v>
      </c>
    </row>
    <row r="69" spans="2:15" x14ac:dyDescent="0.15">
      <c r="B69" s="40"/>
      <c r="C69" s="39">
        <f>'Data entry MAA Mainz'!C69</f>
        <v>0</v>
      </c>
      <c r="D69" s="39">
        <f>'Data entry MAA Mainz'!F69</f>
        <v>0</v>
      </c>
      <c r="E69" s="39">
        <f>'Data entry MAA Mainz'!I69</f>
        <v>0</v>
      </c>
      <c r="F69" s="39">
        <f>'Data entry MAA Mainz'!L69</f>
        <v>0</v>
      </c>
      <c r="G69" s="39">
        <f>'Data entry MAA Mainz'!O69</f>
        <v>0</v>
      </c>
      <c r="H69" s="39">
        <f>'Data entry MAA Mainz'!R69</f>
        <v>0</v>
      </c>
      <c r="I69" s="39">
        <f>'Data entry MAA Mainz'!U69</f>
        <v>0</v>
      </c>
      <c r="J69" s="39">
        <f>'Data entry MAA Mainz'!X69</f>
        <v>0</v>
      </c>
      <c r="K69" s="39">
        <f>'Data entry MAA Mainz'!AA69</f>
        <v>0</v>
      </c>
      <c r="L69" s="39">
        <f>'Data entry MAA Mainz'!AD69</f>
        <v>0</v>
      </c>
      <c r="M69" s="39">
        <f>'Data entry MAA Mainz'!AG69</f>
        <v>0</v>
      </c>
      <c r="N69" s="39">
        <f>'Data entry MAA Mainz'!AJ69</f>
        <v>0</v>
      </c>
      <c r="O69" s="39">
        <f>'Data entry MAA Mainz'!AM69</f>
        <v>0</v>
      </c>
    </row>
    <row r="70" spans="2:15" ht="14" x14ac:dyDescent="0.15">
      <c r="B70" s="44" t="s">
        <v>54</v>
      </c>
      <c r="C70" s="39">
        <f>'Data entry MAA Mainz'!C70</f>
        <v>0</v>
      </c>
      <c r="D70" s="39">
        <f>'Data entry MAA Mainz'!F70</f>
        <v>0</v>
      </c>
      <c r="E70" s="39">
        <f>'Data entry MAA Mainz'!I70</f>
        <v>0</v>
      </c>
      <c r="F70" s="39">
        <f>'Data entry MAA Mainz'!L70</f>
        <v>0</v>
      </c>
      <c r="G70" s="39">
        <f>'Data entry MAA Mainz'!O70</f>
        <v>0</v>
      </c>
      <c r="H70" s="39">
        <f>'Data entry MAA Mainz'!R70</f>
        <v>0</v>
      </c>
      <c r="I70" s="39">
        <f>'Data entry MAA Mainz'!U70</f>
        <v>0</v>
      </c>
      <c r="J70" s="39">
        <f>'Data entry MAA Mainz'!X70</f>
        <v>0</v>
      </c>
      <c r="K70" s="39">
        <f>'Data entry MAA Mainz'!AA70</f>
        <v>0</v>
      </c>
      <c r="L70" s="39">
        <f>'Data entry MAA Mainz'!AD70</f>
        <v>0</v>
      </c>
      <c r="M70" s="39">
        <f>'Data entry MAA Mainz'!AG70</f>
        <v>0</v>
      </c>
      <c r="N70" s="39">
        <f>'Data entry MAA Mainz'!AJ70</f>
        <v>0</v>
      </c>
      <c r="O70" s="39">
        <f>'Data entry MAA Mainz'!AM70</f>
        <v>0</v>
      </c>
    </row>
    <row r="71" spans="2:15" ht="14" x14ac:dyDescent="0.15">
      <c r="B71" s="38" t="s">
        <v>55</v>
      </c>
      <c r="C71" s="39">
        <f>'Data entry MAA Mainz'!C71</f>
        <v>30784.01</v>
      </c>
      <c r="D71" s="39">
        <f>'Data entry MAA Mainz'!F71</f>
        <v>3440.87</v>
      </c>
      <c r="E71" s="39">
        <f>'Data entry MAA Mainz'!I71</f>
        <v>5503.35</v>
      </c>
      <c r="F71" s="39">
        <f>'Data entry MAA Mainz'!L71</f>
        <v>2150</v>
      </c>
      <c r="G71" s="39">
        <f>'Data entry MAA Mainz'!O71</f>
        <v>2304.4299999999998</v>
      </c>
      <c r="H71" s="39">
        <f>'Data entry MAA Mainz'!R71</f>
        <v>2173.17</v>
      </c>
      <c r="I71" s="39">
        <f>'Data entry MAA Mainz'!U71</f>
        <v>2173.17</v>
      </c>
      <c r="J71" s="39">
        <f>'Data entry MAA Mainz'!X71</f>
        <v>2173.17</v>
      </c>
      <c r="K71" s="39">
        <f>'Data entry MAA Mainz'!AA71</f>
        <v>2173.17</v>
      </c>
      <c r="L71" s="39">
        <f>'Data entry MAA Mainz'!AD71</f>
        <v>2173.17</v>
      </c>
      <c r="M71" s="39">
        <f>'Data entry MAA Mainz'!AG71</f>
        <v>2173.17</v>
      </c>
      <c r="N71" s="39">
        <f>'Data entry MAA Mainz'!AJ71</f>
        <v>2173.17</v>
      </c>
      <c r="O71" s="39">
        <f>'Data entry MAA Mainz'!AM71</f>
        <v>2173.17</v>
      </c>
    </row>
    <row r="72" spans="2:15" ht="14" x14ac:dyDescent="0.15">
      <c r="B72" s="38" t="s">
        <v>56</v>
      </c>
      <c r="C72" s="39">
        <f>'Data entry MAA Mainz'!C72</f>
        <v>68747.58</v>
      </c>
      <c r="D72" s="39">
        <f>'Data entry MAA Mainz'!F72</f>
        <v>5347.77</v>
      </c>
      <c r="E72" s="39">
        <f>'Data entry MAA Mainz'!I72</f>
        <v>1012.37</v>
      </c>
      <c r="F72" s="39">
        <f>'Data entry MAA Mainz'!L72</f>
        <v>6771.92</v>
      </c>
      <c r="G72" s="39">
        <f>'Data entry MAA Mainz'!O72</f>
        <v>3234.16</v>
      </c>
      <c r="H72" s="39">
        <f>'Data entry MAA Mainz'!R72</f>
        <v>5798.92</v>
      </c>
      <c r="I72" s="39">
        <f>'Data entry MAA Mainz'!U72</f>
        <v>7278.92</v>
      </c>
      <c r="J72" s="39">
        <f>'Data entry MAA Mainz'!X72</f>
        <v>5798.92</v>
      </c>
      <c r="K72" s="39">
        <f>'Data entry MAA Mainz'!AA72</f>
        <v>7348.92</v>
      </c>
      <c r="L72" s="39">
        <f>'Data entry MAA Mainz'!AD72</f>
        <v>7278.92</v>
      </c>
      <c r="M72" s="39">
        <f>'Data entry MAA Mainz'!AG72</f>
        <v>5798.92</v>
      </c>
      <c r="N72" s="39">
        <f>'Data entry MAA Mainz'!AJ72</f>
        <v>5798.92</v>
      </c>
      <c r="O72" s="39">
        <f>'Data entry MAA Mainz'!AM72</f>
        <v>7278.92</v>
      </c>
    </row>
    <row r="73" spans="2:15" ht="14" x14ac:dyDescent="0.15">
      <c r="B73" s="38" t="s">
        <v>40</v>
      </c>
      <c r="C73" s="39">
        <f>'Data entry MAA Mainz'!C73</f>
        <v>-20</v>
      </c>
      <c r="D73" s="39">
        <f>'Data entry MAA Mainz'!F73</f>
        <v>0</v>
      </c>
      <c r="E73" s="39">
        <f>'Data entry MAA Mainz'!I73</f>
        <v>-2100</v>
      </c>
      <c r="F73" s="39">
        <f>'Data entry MAA Mainz'!L73</f>
        <v>0</v>
      </c>
      <c r="G73" s="39">
        <f>'Data entry MAA Mainz'!O73</f>
        <v>0</v>
      </c>
      <c r="H73" s="39">
        <f>'Data entry MAA Mainz'!R73</f>
        <v>260</v>
      </c>
      <c r="I73" s="39">
        <f>'Data entry MAA Mainz'!U73</f>
        <v>260</v>
      </c>
      <c r="J73" s="39">
        <f>'Data entry MAA Mainz'!X73</f>
        <v>260</v>
      </c>
      <c r="K73" s="39">
        <f>'Data entry MAA Mainz'!AA73</f>
        <v>260</v>
      </c>
      <c r="L73" s="39">
        <f>'Data entry MAA Mainz'!AD73</f>
        <v>260</v>
      </c>
      <c r="M73" s="39">
        <f>'Data entry MAA Mainz'!AG73</f>
        <v>260</v>
      </c>
      <c r="N73" s="39">
        <f>'Data entry MAA Mainz'!AJ73</f>
        <v>260</v>
      </c>
      <c r="O73" s="39">
        <f>'Data entry MAA Mainz'!AM73</f>
        <v>260</v>
      </c>
    </row>
    <row r="74" spans="2:15" ht="14" x14ac:dyDescent="0.15">
      <c r="B74" s="42" t="s">
        <v>41</v>
      </c>
      <c r="C74" s="39">
        <f>'Data entry MAA Mainz'!C74</f>
        <v>-99511.59</v>
      </c>
      <c r="D74" s="39">
        <f>'Data entry MAA Mainz'!F74</f>
        <v>-8788.64</v>
      </c>
      <c r="E74" s="39">
        <f>'Data entry MAA Mainz'!I74</f>
        <v>-4415.72</v>
      </c>
      <c r="F74" s="39">
        <f>'Data entry MAA Mainz'!L74</f>
        <v>-8921.92</v>
      </c>
      <c r="G74" s="39">
        <f>'Data entry MAA Mainz'!O74</f>
        <v>-5538.59</v>
      </c>
      <c r="H74" s="39">
        <f>'Data entry MAA Mainz'!R74</f>
        <v>-8232.09</v>
      </c>
      <c r="I74" s="39">
        <f>'Data entry MAA Mainz'!U74</f>
        <v>-9712.09</v>
      </c>
      <c r="J74" s="39">
        <f>'Data entry MAA Mainz'!X74</f>
        <v>-8232.09</v>
      </c>
      <c r="K74" s="39">
        <f>'Data entry MAA Mainz'!AA74</f>
        <v>-9782.09</v>
      </c>
      <c r="L74" s="39">
        <f>'Data entry MAA Mainz'!AD74</f>
        <v>-9712.09</v>
      </c>
      <c r="M74" s="39">
        <f>'Data entry MAA Mainz'!AG74</f>
        <v>-8232.09</v>
      </c>
      <c r="N74" s="39">
        <f>'Data entry MAA Mainz'!AJ74</f>
        <v>-8232.09</v>
      </c>
      <c r="O74" s="39">
        <f>'Data entry MAA Mainz'!AM74</f>
        <v>-9712.09</v>
      </c>
    </row>
    <row r="75" spans="2:15" x14ac:dyDescent="0.15">
      <c r="B75" s="40"/>
      <c r="C75" s="39">
        <f>'Data entry MAA Mainz'!C75</f>
        <v>0</v>
      </c>
      <c r="D75" s="39">
        <f>'Data entry MAA Mainz'!F75</f>
        <v>0</v>
      </c>
      <c r="E75" s="39">
        <f>'Data entry MAA Mainz'!I75</f>
        <v>0</v>
      </c>
      <c r="F75" s="39">
        <f>'Data entry MAA Mainz'!L75</f>
        <v>0</v>
      </c>
      <c r="G75" s="39">
        <f>'Data entry MAA Mainz'!O75</f>
        <v>0</v>
      </c>
      <c r="H75" s="39">
        <f>'Data entry MAA Mainz'!R75</f>
        <v>0</v>
      </c>
      <c r="I75" s="39">
        <f>'Data entry MAA Mainz'!U75</f>
        <v>0</v>
      </c>
      <c r="J75" s="39">
        <f>'Data entry MAA Mainz'!X75</f>
        <v>0</v>
      </c>
      <c r="K75" s="39">
        <f>'Data entry MAA Mainz'!AA75</f>
        <v>0</v>
      </c>
      <c r="L75" s="39">
        <f>'Data entry MAA Mainz'!AD75</f>
        <v>0</v>
      </c>
      <c r="M75" s="39">
        <f>'Data entry MAA Mainz'!AG75</f>
        <v>0</v>
      </c>
      <c r="N75" s="39">
        <f>'Data entry MAA Mainz'!AJ75</f>
        <v>0</v>
      </c>
      <c r="O75" s="39">
        <f>'Data entry MAA Mainz'!AM75</f>
        <v>0</v>
      </c>
    </row>
    <row r="76" spans="2:15" ht="14" x14ac:dyDescent="0.15">
      <c r="B76" s="44" t="s">
        <v>57</v>
      </c>
      <c r="C76" s="39">
        <f>'Data entry MAA Mainz'!C76</f>
        <v>0</v>
      </c>
      <c r="D76" s="39">
        <f>'Data entry MAA Mainz'!F76</f>
        <v>0</v>
      </c>
      <c r="E76" s="39">
        <f>'Data entry MAA Mainz'!I76</f>
        <v>0</v>
      </c>
      <c r="F76" s="39">
        <f>'Data entry MAA Mainz'!L76</f>
        <v>0</v>
      </c>
      <c r="G76" s="39">
        <f>'Data entry MAA Mainz'!O76</f>
        <v>0</v>
      </c>
      <c r="H76" s="39">
        <f>'Data entry MAA Mainz'!R76</f>
        <v>0</v>
      </c>
      <c r="I76" s="39">
        <f>'Data entry MAA Mainz'!U76</f>
        <v>0</v>
      </c>
      <c r="J76" s="39">
        <f>'Data entry MAA Mainz'!X76</f>
        <v>0</v>
      </c>
      <c r="K76" s="39">
        <f>'Data entry MAA Mainz'!AA76</f>
        <v>0</v>
      </c>
      <c r="L76" s="39">
        <f>'Data entry MAA Mainz'!AD76</f>
        <v>0</v>
      </c>
      <c r="M76" s="39">
        <f>'Data entry MAA Mainz'!AG76</f>
        <v>0</v>
      </c>
      <c r="N76" s="39">
        <f>'Data entry MAA Mainz'!AJ76</f>
        <v>0</v>
      </c>
      <c r="O76" s="39">
        <f>'Data entry MAA Mainz'!AM76</f>
        <v>0</v>
      </c>
    </row>
    <row r="77" spans="2:15" ht="14" x14ac:dyDescent="0.15">
      <c r="B77" s="38" t="s">
        <v>22</v>
      </c>
      <c r="C77" s="39">
        <f>'Data entry MAA Mainz'!C77</f>
        <v>58754.773200000003</v>
      </c>
      <c r="D77" s="39">
        <f>'Data entry MAA Mainz'!F77</f>
        <v>4982.74</v>
      </c>
      <c r="E77" s="39">
        <f>'Data entry MAA Mainz'!I77</f>
        <v>2399.4299999999998</v>
      </c>
      <c r="F77" s="39">
        <f>'Data entry MAA Mainz'!L77</f>
        <v>4926.5600000000004</v>
      </c>
      <c r="G77" s="39">
        <f>'Data entry MAA Mainz'!O77</f>
        <v>3090.14</v>
      </c>
      <c r="H77" s="39">
        <f>'Data entry MAA Mainz'!R77</f>
        <v>4793.7411000000002</v>
      </c>
      <c r="I77" s="39">
        <f>'Data entry MAA Mainz'!U77</f>
        <v>5826.4449999999997</v>
      </c>
      <c r="J77" s="39">
        <f>'Data entry MAA Mainz'!X77</f>
        <v>5224.0241999999998</v>
      </c>
      <c r="K77" s="39">
        <f>'Data entry MAA Mainz'!AA77</f>
        <v>4453.5712999999996</v>
      </c>
      <c r="L77" s="39">
        <f>'Data entry MAA Mainz'!AD77</f>
        <v>7303.7682999999997</v>
      </c>
      <c r="M77" s="39">
        <f>'Data entry MAA Mainz'!AG77</f>
        <v>5867.1521000000002</v>
      </c>
      <c r="N77" s="39">
        <f>'Data entry MAA Mainz'!AJ77</f>
        <v>5758.9083000000001</v>
      </c>
      <c r="O77" s="39">
        <f>'Data entry MAA Mainz'!AM77</f>
        <v>4128.2929000000004</v>
      </c>
    </row>
    <row r="78" spans="2:15" ht="14" x14ac:dyDescent="0.15">
      <c r="B78" s="38" t="s">
        <v>40</v>
      </c>
      <c r="C78" s="39">
        <f>'Data entry MAA Mainz'!C78</f>
        <v>364707.09789999999</v>
      </c>
      <c r="D78" s="39">
        <f>'Data entry MAA Mainz'!F78</f>
        <v>33128.94</v>
      </c>
      <c r="E78" s="39">
        <f>'Data entry MAA Mainz'!I78</f>
        <v>18648.509999999998</v>
      </c>
      <c r="F78" s="39">
        <f>'Data entry MAA Mainz'!L78</f>
        <v>31164.240000000002</v>
      </c>
      <c r="G78" s="39">
        <f>'Data entry MAA Mainz'!O78</f>
        <v>25108</v>
      </c>
      <c r="H78" s="39">
        <f>'Data entry MAA Mainz'!R78</f>
        <v>28875.161599999999</v>
      </c>
      <c r="I78" s="39">
        <f>'Data entry MAA Mainz'!U78</f>
        <v>34390.145400000001</v>
      </c>
      <c r="J78" s="39">
        <f>'Data entry MAA Mainz'!X78</f>
        <v>30093.489300000001</v>
      </c>
      <c r="K78" s="39">
        <f>'Data entry MAA Mainz'!AA78</f>
        <v>28122.005300000001</v>
      </c>
      <c r="L78" s="39">
        <f>'Data entry MAA Mainz'!AD78</f>
        <v>41181.083500000001</v>
      </c>
      <c r="M78" s="39">
        <f>'Data entry MAA Mainz'!AG78</f>
        <v>34071.411599999999</v>
      </c>
      <c r="N78" s="39">
        <f>'Data entry MAA Mainz'!AJ78</f>
        <v>33270.732100000001</v>
      </c>
      <c r="O78" s="39">
        <f>'Data entry MAA Mainz'!AM78</f>
        <v>26653.379099999998</v>
      </c>
    </row>
    <row r="79" spans="2:15" ht="14" x14ac:dyDescent="0.15">
      <c r="B79" s="42" t="s">
        <v>41</v>
      </c>
      <c r="C79" s="39">
        <f>'Data entry MAA Mainz'!C79</f>
        <v>-423461.8714</v>
      </c>
      <c r="D79" s="39">
        <f>'Data entry MAA Mainz'!F79</f>
        <v>-38111.68</v>
      </c>
      <c r="E79" s="39">
        <f>'Data entry MAA Mainz'!I79</f>
        <v>-21047.94</v>
      </c>
      <c r="F79" s="39">
        <f>'Data entry MAA Mainz'!L79</f>
        <v>-36090.800000000003</v>
      </c>
      <c r="G79" s="39">
        <f>'Data entry MAA Mainz'!O79</f>
        <v>-28198.14</v>
      </c>
      <c r="H79" s="39">
        <f>'Data entry MAA Mainz'!R79</f>
        <v>-33668.902699999999</v>
      </c>
      <c r="I79" s="39">
        <f>'Data entry MAA Mainz'!U79</f>
        <v>-40216.590400000001</v>
      </c>
      <c r="J79" s="39">
        <f>'Data entry MAA Mainz'!X79</f>
        <v>-35317.513500000001</v>
      </c>
      <c r="K79" s="39">
        <f>'Data entry MAA Mainz'!AA79</f>
        <v>-32575.5766</v>
      </c>
      <c r="L79" s="39">
        <f>'Data entry MAA Mainz'!AD79</f>
        <v>-48484.851900000001</v>
      </c>
      <c r="M79" s="39">
        <f>'Data entry MAA Mainz'!AG79</f>
        <v>-39938.563800000004</v>
      </c>
      <c r="N79" s="39">
        <f>'Data entry MAA Mainz'!AJ79</f>
        <v>-39029.640399999997</v>
      </c>
      <c r="O79" s="39">
        <f>'Data entry MAA Mainz'!AM79</f>
        <v>-30781.6721</v>
      </c>
    </row>
    <row r="80" spans="2:15" x14ac:dyDescent="0.15">
      <c r="B80" s="40"/>
      <c r="C80" s="39">
        <f>'Data entry MAA Mainz'!C80</f>
        <v>0</v>
      </c>
      <c r="D80" s="39">
        <f>'Data entry MAA Mainz'!F80</f>
        <v>0</v>
      </c>
      <c r="E80" s="39">
        <f>'Data entry MAA Mainz'!I80</f>
        <v>0</v>
      </c>
      <c r="F80" s="39">
        <f>'Data entry MAA Mainz'!L80</f>
        <v>0</v>
      </c>
      <c r="G80" s="39">
        <f>'Data entry MAA Mainz'!O80</f>
        <v>0</v>
      </c>
      <c r="H80" s="39">
        <f>'Data entry MAA Mainz'!R80</f>
        <v>0</v>
      </c>
      <c r="I80" s="39">
        <f>'Data entry MAA Mainz'!U80</f>
        <v>0</v>
      </c>
      <c r="J80" s="39">
        <f>'Data entry MAA Mainz'!X80</f>
        <v>0</v>
      </c>
      <c r="K80" s="39">
        <f>'Data entry MAA Mainz'!AA80</f>
        <v>0</v>
      </c>
      <c r="L80" s="39">
        <f>'Data entry MAA Mainz'!AD80</f>
        <v>0</v>
      </c>
      <c r="M80" s="39">
        <f>'Data entry MAA Mainz'!AG80</f>
        <v>0</v>
      </c>
      <c r="N80" s="39">
        <f>'Data entry MAA Mainz'!AJ80</f>
        <v>0</v>
      </c>
      <c r="O80" s="39">
        <f>'Data entry MAA Mainz'!AM80</f>
        <v>0</v>
      </c>
    </row>
    <row r="81" spans="2:15" ht="14" x14ac:dyDescent="0.15">
      <c r="B81" s="44" t="s">
        <v>58</v>
      </c>
      <c r="C81" s="39">
        <f>'Data entry MAA Mainz'!C81</f>
        <v>0</v>
      </c>
      <c r="D81" s="39">
        <f>'Data entry MAA Mainz'!F81</f>
        <v>0</v>
      </c>
      <c r="E81" s="39">
        <f>'Data entry MAA Mainz'!I81</f>
        <v>0</v>
      </c>
      <c r="F81" s="39">
        <f>'Data entry MAA Mainz'!L81</f>
        <v>0</v>
      </c>
      <c r="G81" s="39">
        <f>'Data entry MAA Mainz'!O81</f>
        <v>0</v>
      </c>
      <c r="H81" s="39">
        <f>'Data entry MAA Mainz'!R81</f>
        <v>0</v>
      </c>
      <c r="I81" s="39">
        <f>'Data entry MAA Mainz'!U81</f>
        <v>0</v>
      </c>
      <c r="J81" s="39">
        <f>'Data entry MAA Mainz'!X81</f>
        <v>0</v>
      </c>
      <c r="K81" s="39">
        <f>'Data entry MAA Mainz'!AA81</f>
        <v>0</v>
      </c>
      <c r="L81" s="39">
        <f>'Data entry MAA Mainz'!AD81</f>
        <v>0</v>
      </c>
      <c r="M81" s="39">
        <f>'Data entry MAA Mainz'!AG81</f>
        <v>0</v>
      </c>
      <c r="N81" s="39">
        <f>'Data entry MAA Mainz'!AJ81</f>
        <v>0</v>
      </c>
      <c r="O81" s="39">
        <f>'Data entry MAA Mainz'!AM81</f>
        <v>0</v>
      </c>
    </row>
    <row r="82" spans="2:15" ht="14" x14ac:dyDescent="0.15">
      <c r="B82" s="38" t="s">
        <v>22</v>
      </c>
      <c r="C82" s="39">
        <f>'Data entry MAA Mainz'!C82</f>
        <v>71629.429099999994</v>
      </c>
      <c r="D82" s="39">
        <f>'Data entry MAA Mainz'!F82</f>
        <v>8739.06</v>
      </c>
      <c r="E82" s="39">
        <f>'Data entry MAA Mainz'!I82</f>
        <v>8928.3799999999992</v>
      </c>
      <c r="F82" s="39">
        <f>'Data entry MAA Mainz'!L82</f>
        <v>8742.68</v>
      </c>
      <c r="G82" s="39">
        <f>'Data entry MAA Mainz'!O82</f>
        <v>2519.9299999999998</v>
      </c>
      <c r="H82" s="39">
        <f>'Data entry MAA Mainz'!R82</f>
        <v>5635.0700999999999</v>
      </c>
      <c r="I82" s="39">
        <f>'Data entry MAA Mainz'!U82</f>
        <v>5478.2348000000002</v>
      </c>
      <c r="J82" s="39">
        <f>'Data entry MAA Mainz'!X82</f>
        <v>4938.9041999999999</v>
      </c>
      <c r="K82" s="39">
        <f>'Data entry MAA Mainz'!AA82</f>
        <v>4969.7464</v>
      </c>
      <c r="L82" s="39">
        <f>'Data entry MAA Mainz'!AD82</f>
        <v>5852.1710999999996</v>
      </c>
      <c r="M82" s="39">
        <f>'Data entry MAA Mainz'!AG82</f>
        <v>5852.1710999999996</v>
      </c>
      <c r="N82" s="39">
        <f>'Data entry MAA Mainz'!AJ82</f>
        <v>5953.1812</v>
      </c>
      <c r="O82" s="39">
        <f>'Data entry MAA Mainz'!AM82</f>
        <v>4019.9002</v>
      </c>
    </row>
    <row r="83" spans="2:15" ht="14" x14ac:dyDescent="0.15">
      <c r="B83" s="38" t="s">
        <v>40</v>
      </c>
      <c r="C83" s="39">
        <f>'Data entry MAA Mainz'!C83</f>
        <v>106218.16</v>
      </c>
      <c r="D83" s="39">
        <f>'Data entry MAA Mainz'!F83</f>
        <v>6710.3</v>
      </c>
      <c r="E83" s="39">
        <f>'Data entry MAA Mainz'!I83</f>
        <v>6664.65</v>
      </c>
      <c r="F83" s="39">
        <f>'Data entry MAA Mainz'!L83</f>
        <v>7452.37</v>
      </c>
      <c r="G83" s="39">
        <f>'Data entry MAA Mainz'!O83</f>
        <v>12645.89</v>
      </c>
      <c r="H83" s="39">
        <f>'Data entry MAA Mainz'!R83</f>
        <v>10848.03</v>
      </c>
      <c r="I83" s="39">
        <f>'Data entry MAA Mainz'!U83</f>
        <v>8599.9699999999993</v>
      </c>
      <c r="J83" s="39">
        <f>'Data entry MAA Mainz'!X83</f>
        <v>10732.58</v>
      </c>
      <c r="K83" s="39">
        <f>'Data entry MAA Mainz'!AA83</f>
        <v>8166.66</v>
      </c>
      <c r="L83" s="39">
        <f>'Data entry MAA Mainz'!AD83</f>
        <v>8599.9699999999993</v>
      </c>
      <c r="M83" s="39">
        <f>'Data entry MAA Mainz'!AG83</f>
        <v>8516.66</v>
      </c>
      <c r="N83" s="39">
        <f>'Data entry MAA Mainz'!AJ83</f>
        <v>8681.11</v>
      </c>
      <c r="O83" s="39">
        <f>'Data entry MAA Mainz'!AM83</f>
        <v>8599.9699999999993</v>
      </c>
    </row>
    <row r="84" spans="2:15" ht="14" x14ac:dyDescent="0.15">
      <c r="B84" s="42" t="s">
        <v>41</v>
      </c>
      <c r="C84" s="39">
        <f>'Data entry MAA Mainz'!C84</f>
        <v>-177847.58910000001</v>
      </c>
      <c r="D84" s="39">
        <f>'Data entry MAA Mainz'!F84</f>
        <v>-15449.36</v>
      </c>
      <c r="E84" s="39">
        <f>'Data entry MAA Mainz'!I84</f>
        <v>-15593.03</v>
      </c>
      <c r="F84" s="39">
        <f>'Data entry MAA Mainz'!L84</f>
        <v>-16195.05</v>
      </c>
      <c r="G84" s="39">
        <f>'Data entry MAA Mainz'!O84</f>
        <v>-15165.82</v>
      </c>
      <c r="H84" s="39">
        <f>'Data entry MAA Mainz'!R84</f>
        <v>-16483.1001</v>
      </c>
      <c r="I84" s="39">
        <f>'Data entry MAA Mainz'!U84</f>
        <v>-14078.2048</v>
      </c>
      <c r="J84" s="39">
        <f>'Data entry MAA Mainz'!X84</f>
        <v>-15671.484200000001</v>
      </c>
      <c r="K84" s="39">
        <f>'Data entry MAA Mainz'!AA84</f>
        <v>-13136.4064</v>
      </c>
      <c r="L84" s="39">
        <f>'Data entry MAA Mainz'!AD84</f>
        <v>-14452.141100000001</v>
      </c>
      <c r="M84" s="39">
        <f>'Data entry MAA Mainz'!AG84</f>
        <v>-14368.831099999999</v>
      </c>
      <c r="N84" s="39">
        <f>'Data entry MAA Mainz'!AJ84</f>
        <v>-14634.2912</v>
      </c>
      <c r="O84" s="39">
        <f>'Data entry MAA Mainz'!AM84</f>
        <v>-12619.870199999999</v>
      </c>
    </row>
    <row r="85" spans="2:15" x14ac:dyDescent="0.15">
      <c r="B85" s="40"/>
      <c r="C85" s="39">
        <f>'Data entry MAA Mainz'!C85</f>
        <v>0</v>
      </c>
      <c r="D85" s="39">
        <f>'Data entry MAA Mainz'!F85</f>
        <v>0</v>
      </c>
      <c r="E85" s="39">
        <f>'Data entry MAA Mainz'!I85</f>
        <v>0</v>
      </c>
      <c r="F85" s="39">
        <f>'Data entry MAA Mainz'!L85</f>
        <v>0</v>
      </c>
      <c r="G85" s="39">
        <f>'Data entry MAA Mainz'!O85</f>
        <v>0</v>
      </c>
      <c r="H85" s="39">
        <f>'Data entry MAA Mainz'!R85</f>
        <v>0</v>
      </c>
      <c r="I85" s="39">
        <f>'Data entry MAA Mainz'!U85</f>
        <v>0</v>
      </c>
      <c r="J85" s="39">
        <f>'Data entry MAA Mainz'!X85</f>
        <v>0</v>
      </c>
      <c r="K85" s="39">
        <f>'Data entry MAA Mainz'!AA85</f>
        <v>0</v>
      </c>
      <c r="L85" s="39">
        <f>'Data entry MAA Mainz'!AD85</f>
        <v>0</v>
      </c>
      <c r="M85" s="39">
        <f>'Data entry MAA Mainz'!AG85</f>
        <v>0</v>
      </c>
      <c r="N85" s="39">
        <f>'Data entry MAA Mainz'!AJ85</f>
        <v>0</v>
      </c>
      <c r="O85" s="39">
        <f>'Data entry MAA Mainz'!AM85</f>
        <v>0</v>
      </c>
    </row>
    <row r="86" spans="2:15" ht="14" x14ac:dyDescent="0.15">
      <c r="B86" s="44" t="s">
        <v>59</v>
      </c>
      <c r="C86" s="39">
        <f>'Data entry MAA Mainz'!C86</f>
        <v>0</v>
      </c>
      <c r="D86" s="39">
        <f>'Data entry MAA Mainz'!F86</f>
        <v>0</v>
      </c>
      <c r="E86" s="39">
        <f>'Data entry MAA Mainz'!I86</f>
        <v>0</v>
      </c>
      <c r="F86" s="39">
        <f>'Data entry MAA Mainz'!L86</f>
        <v>0</v>
      </c>
      <c r="G86" s="39">
        <f>'Data entry MAA Mainz'!O86</f>
        <v>0</v>
      </c>
      <c r="H86" s="39">
        <f>'Data entry MAA Mainz'!R86</f>
        <v>0</v>
      </c>
      <c r="I86" s="39">
        <f>'Data entry MAA Mainz'!U86</f>
        <v>0</v>
      </c>
      <c r="J86" s="39">
        <f>'Data entry MAA Mainz'!X86</f>
        <v>0</v>
      </c>
      <c r="K86" s="39">
        <f>'Data entry MAA Mainz'!AA86</f>
        <v>0</v>
      </c>
      <c r="L86" s="39">
        <f>'Data entry MAA Mainz'!AD86</f>
        <v>0</v>
      </c>
      <c r="M86" s="39">
        <f>'Data entry MAA Mainz'!AG86</f>
        <v>0</v>
      </c>
      <c r="N86" s="39">
        <f>'Data entry MAA Mainz'!AJ86</f>
        <v>0</v>
      </c>
      <c r="O86" s="39">
        <f>'Data entry MAA Mainz'!AM86</f>
        <v>0</v>
      </c>
    </row>
    <row r="87" spans="2:15" ht="14" x14ac:dyDescent="0.15">
      <c r="B87" s="42" t="s">
        <v>41</v>
      </c>
      <c r="C87" s="39">
        <f>'Data entry MAA Mainz'!C87</f>
        <v>-249207.36</v>
      </c>
      <c r="D87" s="39">
        <f>'Data entry MAA Mainz'!F87</f>
        <v>-25320.38</v>
      </c>
      <c r="E87" s="39">
        <f>'Data entry MAA Mainz'!I87</f>
        <v>-17981.04</v>
      </c>
      <c r="F87" s="39">
        <f>'Data entry MAA Mainz'!L87</f>
        <v>-23473.38</v>
      </c>
      <c r="G87" s="39">
        <f>'Data entry MAA Mainz'!O87</f>
        <v>-19362.16</v>
      </c>
      <c r="H87" s="39">
        <f>'Data entry MAA Mainz'!R87</f>
        <v>-17863.8</v>
      </c>
      <c r="I87" s="39">
        <f>'Data entry MAA Mainz'!U87</f>
        <v>-21129.9</v>
      </c>
      <c r="J87" s="39">
        <f>'Data entry MAA Mainz'!X87</f>
        <v>-18217.2</v>
      </c>
      <c r="K87" s="39">
        <f>'Data entry MAA Mainz'!AA87</f>
        <v>-16119.6</v>
      </c>
      <c r="L87" s="39">
        <f>'Data entry MAA Mainz'!AD87</f>
        <v>-22241.4</v>
      </c>
      <c r="M87" s="39">
        <f>'Data entry MAA Mainz'!AG87</f>
        <v>-22698.2</v>
      </c>
      <c r="N87" s="39">
        <f>'Data entry MAA Mainz'!AJ87</f>
        <v>-24086.5</v>
      </c>
      <c r="O87" s="39">
        <f>'Data entry MAA Mainz'!AM87</f>
        <v>-20713.8</v>
      </c>
    </row>
    <row r="88" spans="2:15" x14ac:dyDescent="0.15">
      <c r="B88" s="40"/>
      <c r="C88" s="39">
        <f>'Data entry MAA Mainz'!C88</f>
        <v>0</v>
      </c>
      <c r="D88" s="39">
        <f>'Data entry MAA Mainz'!F88</f>
        <v>0</v>
      </c>
      <c r="E88" s="39">
        <f>'Data entry MAA Mainz'!I88</f>
        <v>0</v>
      </c>
      <c r="F88" s="39">
        <f>'Data entry MAA Mainz'!L88</f>
        <v>0</v>
      </c>
      <c r="G88" s="39">
        <f>'Data entry MAA Mainz'!O88</f>
        <v>0</v>
      </c>
      <c r="H88" s="39">
        <f>'Data entry MAA Mainz'!R88</f>
        <v>0</v>
      </c>
      <c r="I88" s="39">
        <f>'Data entry MAA Mainz'!U88</f>
        <v>0</v>
      </c>
      <c r="J88" s="39">
        <f>'Data entry MAA Mainz'!X88</f>
        <v>0</v>
      </c>
      <c r="K88" s="39">
        <f>'Data entry MAA Mainz'!AA88</f>
        <v>0</v>
      </c>
      <c r="L88" s="39">
        <f>'Data entry MAA Mainz'!AD88</f>
        <v>0</v>
      </c>
      <c r="M88" s="39">
        <f>'Data entry MAA Mainz'!AG88</f>
        <v>0</v>
      </c>
      <c r="N88" s="39">
        <f>'Data entry MAA Mainz'!AJ88</f>
        <v>0</v>
      </c>
      <c r="O88" s="39">
        <f>'Data entry MAA Mainz'!AM88</f>
        <v>0</v>
      </c>
    </row>
    <row r="89" spans="2:15" ht="14" x14ac:dyDescent="0.15">
      <c r="B89" s="42" t="s">
        <v>23</v>
      </c>
      <c r="C89" s="39">
        <f>'Data entry MAA Mainz'!C89</f>
        <v>2177015.1627000002</v>
      </c>
      <c r="D89" s="39">
        <f>'Data entry MAA Mainz'!F89</f>
        <v>58077.26</v>
      </c>
      <c r="E89" s="39">
        <f>'Data entry MAA Mainz'!I89</f>
        <v>102659.81</v>
      </c>
      <c r="F89" s="39">
        <f>'Data entry MAA Mainz'!L89</f>
        <v>198320.99</v>
      </c>
      <c r="G89" s="39">
        <f>'Data entry MAA Mainz'!O89</f>
        <v>50703.11</v>
      </c>
      <c r="H89" s="39">
        <f>'Data entry MAA Mainz'!R89</f>
        <v>171354.318</v>
      </c>
      <c r="I89" s="39">
        <f>'Data entry MAA Mainz'!U89</f>
        <v>249108.85219999999</v>
      </c>
      <c r="J89" s="39">
        <f>'Data entry MAA Mainz'!X89</f>
        <v>212347.9933</v>
      </c>
      <c r="K89" s="39">
        <f>'Data entry MAA Mainz'!AA89</f>
        <v>159540.7378</v>
      </c>
      <c r="L89" s="39">
        <f>'Data entry MAA Mainz'!AD89</f>
        <v>360912.68930000003</v>
      </c>
      <c r="M89" s="39">
        <f>'Data entry MAA Mainz'!AG89</f>
        <v>250106.57980000001</v>
      </c>
      <c r="N89" s="39">
        <f>'Data entry MAA Mainz'!AJ89</f>
        <v>232509.3561</v>
      </c>
      <c r="O89" s="39">
        <f>'Data entry MAA Mainz'!AM89</f>
        <v>131373.4662</v>
      </c>
    </row>
    <row r="90" spans="2:15" x14ac:dyDescent="0.15">
      <c r="B90" s="40"/>
      <c r="C90" s="39">
        <f>'Data entry MAA Mainz'!C90</f>
        <v>0</v>
      </c>
      <c r="D90" s="39">
        <f>'Data entry MAA Mainz'!F90</f>
        <v>0</v>
      </c>
      <c r="E90" s="39">
        <f>'Data entry MAA Mainz'!I90</f>
        <v>0</v>
      </c>
      <c r="F90" s="39">
        <f>'Data entry MAA Mainz'!L90</f>
        <v>0</v>
      </c>
      <c r="G90" s="39">
        <f>'Data entry MAA Mainz'!O90</f>
        <v>0</v>
      </c>
      <c r="H90" s="39">
        <f>'Data entry MAA Mainz'!R90</f>
        <v>0</v>
      </c>
      <c r="I90" s="39">
        <f>'Data entry MAA Mainz'!U90</f>
        <v>0</v>
      </c>
      <c r="J90" s="39">
        <f>'Data entry MAA Mainz'!X90</f>
        <v>0</v>
      </c>
      <c r="K90" s="39">
        <f>'Data entry MAA Mainz'!AA90</f>
        <v>0</v>
      </c>
      <c r="L90" s="39">
        <f>'Data entry MAA Mainz'!AD90</f>
        <v>0</v>
      </c>
      <c r="M90" s="39">
        <f>'Data entry MAA Mainz'!AG90</f>
        <v>0</v>
      </c>
      <c r="N90" s="39">
        <f>'Data entry MAA Mainz'!AJ90</f>
        <v>0</v>
      </c>
      <c r="O90" s="39">
        <f>'Data entry MAA Mainz'!AM90</f>
        <v>0</v>
      </c>
    </row>
    <row r="91" spans="2:15" ht="14" x14ac:dyDescent="0.15">
      <c r="B91" s="42" t="s">
        <v>60</v>
      </c>
      <c r="C91" s="39">
        <f>'Data entry MAA Mainz'!C91</f>
        <v>0</v>
      </c>
      <c r="D91" s="39">
        <f>'Data entry MAA Mainz'!F91</f>
        <v>0</v>
      </c>
      <c r="E91" s="39">
        <f>'Data entry MAA Mainz'!I91</f>
        <v>0</v>
      </c>
      <c r="F91" s="39">
        <f>'Data entry MAA Mainz'!L91</f>
        <v>0</v>
      </c>
      <c r="G91" s="39">
        <f>'Data entry MAA Mainz'!O91</f>
        <v>0</v>
      </c>
      <c r="H91" s="39">
        <f>'Data entry MAA Mainz'!R91</f>
        <v>0</v>
      </c>
      <c r="I91" s="39">
        <f>'Data entry MAA Mainz'!U91</f>
        <v>0</v>
      </c>
      <c r="J91" s="39">
        <f>'Data entry MAA Mainz'!X91</f>
        <v>0</v>
      </c>
      <c r="K91" s="39">
        <f>'Data entry MAA Mainz'!AA91</f>
        <v>0</v>
      </c>
      <c r="L91" s="39">
        <f>'Data entry MAA Mainz'!AD91</f>
        <v>0</v>
      </c>
      <c r="M91" s="39">
        <f>'Data entry MAA Mainz'!AG91</f>
        <v>0</v>
      </c>
      <c r="N91" s="39">
        <f>'Data entry MAA Mainz'!AJ91</f>
        <v>0</v>
      </c>
      <c r="O91" s="39">
        <f>'Data entry MAA Mainz'!AM91</f>
        <v>0</v>
      </c>
    </row>
    <row r="92" spans="2:15" ht="14" x14ac:dyDescent="0.15">
      <c r="B92" s="38" t="s">
        <v>61</v>
      </c>
      <c r="C92" s="39">
        <f>'Data entry MAA Mainz'!C92</f>
        <v>0</v>
      </c>
      <c r="D92" s="39">
        <f>'Data entry MAA Mainz'!F92</f>
        <v>0</v>
      </c>
      <c r="E92" s="39">
        <f>'Data entry MAA Mainz'!I92</f>
        <v>0</v>
      </c>
      <c r="F92" s="39">
        <f>'Data entry MAA Mainz'!L92</f>
        <v>0</v>
      </c>
      <c r="G92" s="39">
        <f>'Data entry MAA Mainz'!O92</f>
        <v>0</v>
      </c>
      <c r="H92" s="39">
        <f>'Data entry MAA Mainz'!R92</f>
        <v>0</v>
      </c>
      <c r="I92" s="39">
        <f>'Data entry MAA Mainz'!U92</f>
        <v>0</v>
      </c>
      <c r="J92" s="39">
        <f>'Data entry MAA Mainz'!X92</f>
        <v>0</v>
      </c>
      <c r="K92" s="39">
        <f>'Data entry MAA Mainz'!AA92</f>
        <v>0</v>
      </c>
      <c r="L92" s="39">
        <f>'Data entry MAA Mainz'!AD92</f>
        <v>0</v>
      </c>
      <c r="M92" s="39">
        <f>'Data entry MAA Mainz'!AG92</f>
        <v>0</v>
      </c>
      <c r="N92" s="39">
        <f>'Data entry MAA Mainz'!AJ92</f>
        <v>0</v>
      </c>
      <c r="O92" s="39">
        <f>'Data entry MAA Mainz'!AM92</f>
        <v>0</v>
      </c>
    </row>
    <row r="93" spans="2:15" ht="14" x14ac:dyDescent="0.15">
      <c r="B93" s="38" t="s">
        <v>62</v>
      </c>
      <c r="C93" s="39">
        <f>'Data entry MAA Mainz'!C93</f>
        <v>0</v>
      </c>
      <c r="D93" s="39">
        <f>'Data entry MAA Mainz'!F93</f>
        <v>0</v>
      </c>
      <c r="E93" s="39">
        <f>'Data entry MAA Mainz'!I93</f>
        <v>0</v>
      </c>
      <c r="F93" s="39">
        <f>'Data entry MAA Mainz'!L93</f>
        <v>0</v>
      </c>
      <c r="G93" s="39">
        <f>'Data entry MAA Mainz'!O93</f>
        <v>0</v>
      </c>
      <c r="H93" s="39">
        <f>'Data entry MAA Mainz'!R93</f>
        <v>0</v>
      </c>
      <c r="I93" s="39">
        <f>'Data entry MAA Mainz'!U93</f>
        <v>0</v>
      </c>
      <c r="J93" s="39">
        <f>'Data entry MAA Mainz'!X93</f>
        <v>0</v>
      </c>
      <c r="K93" s="39">
        <f>'Data entry MAA Mainz'!AA93</f>
        <v>0</v>
      </c>
      <c r="L93" s="39">
        <f>'Data entry MAA Mainz'!AD93</f>
        <v>0</v>
      </c>
      <c r="M93" s="39">
        <f>'Data entry MAA Mainz'!AG93</f>
        <v>0</v>
      </c>
      <c r="N93" s="39">
        <f>'Data entry MAA Mainz'!AJ93</f>
        <v>0</v>
      </c>
      <c r="O93" s="39">
        <f>'Data entry MAA Mainz'!AM93</f>
        <v>0</v>
      </c>
    </row>
    <row r="94" spans="2:15" ht="14" x14ac:dyDescent="0.15">
      <c r="B94" s="38" t="s">
        <v>63</v>
      </c>
      <c r="C94" s="39">
        <f>'Data entry MAA Mainz'!C94</f>
        <v>0</v>
      </c>
      <c r="D94" s="39">
        <f>'Data entry MAA Mainz'!F94</f>
        <v>0</v>
      </c>
      <c r="E94" s="39">
        <f>'Data entry MAA Mainz'!I94</f>
        <v>0</v>
      </c>
      <c r="F94" s="39">
        <f>'Data entry MAA Mainz'!L94</f>
        <v>0</v>
      </c>
      <c r="G94" s="39">
        <f>'Data entry MAA Mainz'!O94</f>
        <v>0</v>
      </c>
      <c r="H94" s="39">
        <f>'Data entry MAA Mainz'!R94</f>
        <v>0</v>
      </c>
      <c r="I94" s="39">
        <f>'Data entry MAA Mainz'!U94</f>
        <v>0</v>
      </c>
      <c r="J94" s="39">
        <f>'Data entry MAA Mainz'!X94</f>
        <v>0</v>
      </c>
      <c r="K94" s="39">
        <f>'Data entry MAA Mainz'!AA94</f>
        <v>0</v>
      </c>
      <c r="L94" s="39">
        <f>'Data entry MAA Mainz'!AD94</f>
        <v>0</v>
      </c>
      <c r="M94" s="39">
        <f>'Data entry MAA Mainz'!AG94</f>
        <v>0</v>
      </c>
      <c r="N94" s="39">
        <f>'Data entry MAA Mainz'!AJ94</f>
        <v>0</v>
      </c>
      <c r="O94" s="39">
        <f>'Data entry MAA Mainz'!AM94</f>
        <v>0</v>
      </c>
    </row>
    <row r="95" spans="2:15" ht="14" x14ac:dyDescent="0.15">
      <c r="B95" s="38" t="s">
        <v>64</v>
      </c>
      <c r="C95" s="39">
        <f>'Data entry MAA Mainz'!C95</f>
        <v>0</v>
      </c>
      <c r="D95" s="39">
        <f>'Data entry MAA Mainz'!F95</f>
        <v>0</v>
      </c>
      <c r="E95" s="39">
        <f>'Data entry MAA Mainz'!I95</f>
        <v>0</v>
      </c>
      <c r="F95" s="39">
        <f>'Data entry MAA Mainz'!L95</f>
        <v>0</v>
      </c>
      <c r="G95" s="39">
        <f>'Data entry MAA Mainz'!O95</f>
        <v>0</v>
      </c>
      <c r="H95" s="39">
        <f>'Data entry MAA Mainz'!R95</f>
        <v>0</v>
      </c>
      <c r="I95" s="39">
        <f>'Data entry MAA Mainz'!U95</f>
        <v>0</v>
      </c>
      <c r="J95" s="39">
        <f>'Data entry MAA Mainz'!X95</f>
        <v>0</v>
      </c>
      <c r="K95" s="39">
        <f>'Data entry MAA Mainz'!AA95</f>
        <v>0</v>
      </c>
      <c r="L95" s="39">
        <f>'Data entry MAA Mainz'!AD95</f>
        <v>0</v>
      </c>
      <c r="M95" s="39">
        <f>'Data entry MAA Mainz'!AG95</f>
        <v>0</v>
      </c>
      <c r="N95" s="39">
        <f>'Data entry MAA Mainz'!AJ95</f>
        <v>0</v>
      </c>
      <c r="O95" s="39">
        <f>'Data entry MAA Mainz'!AM95</f>
        <v>0</v>
      </c>
    </row>
    <row r="96" spans="2:15" x14ac:dyDescent="0.15">
      <c r="B96" s="40"/>
      <c r="C96" s="39">
        <f>'Data entry MAA Mainz'!C96</f>
        <v>0</v>
      </c>
      <c r="D96" s="39">
        <f>'Data entry MAA Mainz'!F96</f>
        <v>0</v>
      </c>
      <c r="E96" s="39">
        <f>'Data entry MAA Mainz'!I96</f>
        <v>0</v>
      </c>
      <c r="F96" s="39">
        <f>'Data entry MAA Mainz'!L96</f>
        <v>0</v>
      </c>
      <c r="G96" s="39">
        <f>'Data entry MAA Mainz'!O96</f>
        <v>0</v>
      </c>
      <c r="H96" s="39">
        <f>'Data entry MAA Mainz'!R96</f>
        <v>0</v>
      </c>
      <c r="I96" s="39">
        <f>'Data entry MAA Mainz'!U96</f>
        <v>0</v>
      </c>
      <c r="J96" s="39">
        <f>'Data entry MAA Mainz'!X96</f>
        <v>0</v>
      </c>
      <c r="K96" s="39">
        <f>'Data entry MAA Mainz'!AA96</f>
        <v>0</v>
      </c>
      <c r="L96" s="39">
        <f>'Data entry MAA Mainz'!AD96</f>
        <v>0</v>
      </c>
      <c r="M96" s="39">
        <f>'Data entry MAA Mainz'!AG96</f>
        <v>0</v>
      </c>
      <c r="N96" s="39">
        <f>'Data entry MAA Mainz'!AJ96</f>
        <v>0</v>
      </c>
      <c r="O96" s="39">
        <f>'Data entry MAA Mainz'!AM96</f>
        <v>0</v>
      </c>
    </row>
    <row r="97" spans="2:15" ht="14" x14ac:dyDescent="0.15">
      <c r="B97" s="42" t="s">
        <v>65</v>
      </c>
      <c r="C97" s="39">
        <f>'Data entry MAA Mainz'!C97</f>
        <v>8000</v>
      </c>
      <c r="D97" s="39">
        <f>'Data entry MAA Mainz'!F97</f>
        <v>0</v>
      </c>
      <c r="E97" s="39">
        <f>'Data entry MAA Mainz'!I97</f>
        <v>0</v>
      </c>
      <c r="F97" s="39">
        <f>'Data entry MAA Mainz'!L97</f>
        <v>0</v>
      </c>
      <c r="G97" s="39">
        <f>'Data entry MAA Mainz'!O97</f>
        <v>0</v>
      </c>
      <c r="H97" s="39">
        <f>'Data entry MAA Mainz'!R97</f>
        <v>1000</v>
      </c>
      <c r="I97" s="39">
        <f>'Data entry MAA Mainz'!U97</f>
        <v>1000</v>
      </c>
      <c r="J97" s="39">
        <f>'Data entry MAA Mainz'!X97</f>
        <v>1000</v>
      </c>
      <c r="K97" s="39">
        <f>'Data entry MAA Mainz'!AA97</f>
        <v>1000</v>
      </c>
      <c r="L97" s="39">
        <f>'Data entry MAA Mainz'!AD97</f>
        <v>1000</v>
      </c>
      <c r="M97" s="39">
        <f>'Data entry MAA Mainz'!AG97</f>
        <v>1000</v>
      </c>
      <c r="N97" s="39">
        <f>'Data entry MAA Mainz'!AJ97</f>
        <v>1000</v>
      </c>
      <c r="O97" s="39">
        <f>'Data entry MAA Mainz'!AM97</f>
        <v>1000</v>
      </c>
    </row>
    <row r="98" spans="2:15" ht="14" x14ac:dyDescent="0.15">
      <c r="B98" s="38" t="s">
        <v>66</v>
      </c>
      <c r="C98" s="39">
        <f>'Data entry MAA Mainz'!C98</f>
        <v>0</v>
      </c>
      <c r="D98" s="39">
        <f>'Data entry MAA Mainz'!F98</f>
        <v>0</v>
      </c>
      <c r="E98" s="39">
        <f>'Data entry MAA Mainz'!I98</f>
        <v>0</v>
      </c>
      <c r="F98" s="39">
        <f>'Data entry MAA Mainz'!L98</f>
        <v>0</v>
      </c>
      <c r="G98" s="39">
        <f>'Data entry MAA Mainz'!O98</f>
        <v>0</v>
      </c>
      <c r="H98" s="39">
        <f>'Data entry MAA Mainz'!R98</f>
        <v>0</v>
      </c>
      <c r="I98" s="39">
        <f>'Data entry MAA Mainz'!U98</f>
        <v>0</v>
      </c>
      <c r="J98" s="39">
        <f>'Data entry MAA Mainz'!X98</f>
        <v>0</v>
      </c>
      <c r="K98" s="39">
        <f>'Data entry MAA Mainz'!AA98</f>
        <v>0</v>
      </c>
      <c r="L98" s="39">
        <f>'Data entry MAA Mainz'!AD98</f>
        <v>0</v>
      </c>
      <c r="M98" s="39">
        <f>'Data entry MAA Mainz'!AG98</f>
        <v>0</v>
      </c>
      <c r="N98" s="39">
        <f>'Data entry MAA Mainz'!AJ98</f>
        <v>0</v>
      </c>
      <c r="O98" s="39">
        <f>'Data entry MAA Mainz'!AM98</f>
        <v>0</v>
      </c>
    </row>
    <row r="99" spans="2:15" ht="14" x14ac:dyDescent="0.15">
      <c r="B99" s="38" t="s">
        <v>67</v>
      </c>
      <c r="C99" s="39">
        <f>'Data entry MAA Mainz'!C99</f>
        <v>8000</v>
      </c>
      <c r="D99" s="39">
        <f>'Data entry MAA Mainz'!F99</f>
        <v>0</v>
      </c>
      <c r="E99" s="39">
        <f>'Data entry MAA Mainz'!I99</f>
        <v>0</v>
      </c>
      <c r="F99" s="39">
        <f>'Data entry MAA Mainz'!L99</f>
        <v>0</v>
      </c>
      <c r="G99" s="39">
        <f>'Data entry MAA Mainz'!O99</f>
        <v>0</v>
      </c>
      <c r="H99" s="39">
        <f>'Data entry MAA Mainz'!R99</f>
        <v>1000</v>
      </c>
      <c r="I99" s="39">
        <f>'Data entry MAA Mainz'!U99</f>
        <v>1000</v>
      </c>
      <c r="J99" s="39">
        <f>'Data entry MAA Mainz'!X99</f>
        <v>1000</v>
      </c>
      <c r="K99" s="39">
        <f>'Data entry MAA Mainz'!AA99</f>
        <v>1000</v>
      </c>
      <c r="L99" s="39">
        <f>'Data entry MAA Mainz'!AD99</f>
        <v>1000</v>
      </c>
      <c r="M99" s="39">
        <f>'Data entry MAA Mainz'!AG99</f>
        <v>1000</v>
      </c>
      <c r="N99" s="39">
        <f>'Data entry MAA Mainz'!AJ99</f>
        <v>1000</v>
      </c>
      <c r="O99" s="39">
        <f>'Data entry MAA Mainz'!AM99</f>
        <v>1000</v>
      </c>
    </row>
    <row r="100" spans="2:15" x14ac:dyDescent="0.15">
      <c r="B100" s="40"/>
      <c r="C100" s="39">
        <f>'Data entry MAA Mainz'!C100</f>
        <v>0</v>
      </c>
      <c r="D100" s="39">
        <f>'Data entry MAA Mainz'!F100</f>
        <v>0</v>
      </c>
      <c r="E100" s="39">
        <f>'Data entry MAA Mainz'!I100</f>
        <v>0</v>
      </c>
      <c r="F100" s="39">
        <f>'Data entry MAA Mainz'!L100</f>
        <v>0</v>
      </c>
      <c r="G100" s="39">
        <f>'Data entry MAA Mainz'!O100</f>
        <v>0</v>
      </c>
      <c r="H100" s="39">
        <f>'Data entry MAA Mainz'!R100</f>
        <v>0</v>
      </c>
      <c r="I100" s="39">
        <f>'Data entry MAA Mainz'!U100</f>
        <v>0</v>
      </c>
      <c r="J100" s="39">
        <f>'Data entry MAA Mainz'!X100</f>
        <v>0</v>
      </c>
      <c r="K100" s="39">
        <f>'Data entry MAA Mainz'!AA100</f>
        <v>0</v>
      </c>
      <c r="L100" s="39">
        <f>'Data entry MAA Mainz'!AD100</f>
        <v>0</v>
      </c>
      <c r="M100" s="39">
        <f>'Data entry MAA Mainz'!AG100</f>
        <v>0</v>
      </c>
      <c r="N100" s="39">
        <f>'Data entry MAA Mainz'!AJ100</f>
        <v>0</v>
      </c>
      <c r="O100" s="39">
        <f>'Data entry MAA Mainz'!AM100</f>
        <v>0</v>
      </c>
    </row>
    <row r="101" spans="2:15" ht="28" x14ac:dyDescent="0.15">
      <c r="B101" s="42" t="s">
        <v>68</v>
      </c>
      <c r="C101" s="39">
        <f>'Data entry MAA Mainz'!C101</f>
        <v>-8000</v>
      </c>
      <c r="D101" s="39">
        <f>'Data entry MAA Mainz'!F101</f>
        <v>0</v>
      </c>
      <c r="E101" s="39">
        <f>'Data entry MAA Mainz'!I101</f>
        <v>0</v>
      </c>
      <c r="F101" s="39">
        <f>'Data entry MAA Mainz'!L101</f>
        <v>0</v>
      </c>
      <c r="G101" s="39">
        <f>'Data entry MAA Mainz'!O101</f>
        <v>0</v>
      </c>
      <c r="H101" s="39">
        <f>'Data entry MAA Mainz'!R101</f>
        <v>-1000</v>
      </c>
      <c r="I101" s="39">
        <f>'Data entry MAA Mainz'!U101</f>
        <v>-1000</v>
      </c>
      <c r="J101" s="39">
        <f>'Data entry MAA Mainz'!X101</f>
        <v>-1000</v>
      </c>
      <c r="K101" s="39">
        <f>'Data entry MAA Mainz'!AA101</f>
        <v>-1000</v>
      </c>
      <c r="L101" s="39">
        <f>'Data entry MAA Mainz'!AD101</f>
        <v>-1000</v>
      </c>
      <c r="M101" s="39">
        <f>'Data entry MAA Mainz'!AG101</f>
        <v>-1000</v>
      </c>
      <c r="N101" s="39">
        <f>'Data entry MAA Mainz'!AJ101</f>
        <v>-1000</v>
      </c>
      <c r="O101" s="39">
        <f>'Data entry MAA Mainz'!AM101</f>
        <v>-1000</v>
      </c>
    </row>
    <row r="102" spans="2:15" x14ac:dyDescent="0.15">
      <c r="B102" s="40"/>
      <c r="C102" s="39">
        <f>'Data entry MAA Mainz'!C102</f>
        <v>0</v>
      </c>
      <c r="D102" s="39">
        <f>'Data entry MAA Mainz'!F102</f>
        <v>0</v>
      </c>
      <c r="E102" s="39">
        <f>'Data entry MAA Mainz'!I102</f>
        <v>0</v>
      </c>
      <c r="F102" s="39">
        <f>'Data entry MAA Mainz'!L102</f>
        <v>0</v>
      </c>
      <c r="G102" s="39">
        <f>'Data entry MAA Mainz'!O102</f>
        <v>0</v>
      </c>
      <c r="H102" s="39">
        <f>'Data entry MAA Mainz'!R102</f>
        <v>0</v>
      </c>
      <c r="I102" s="39">
        <f>'Data entry MAA Mainz'!U102</f>
        <v>0</v>
      </c>
      <c r="J102" s="39">
        <f>'Data entry MAA Mainz'!X102</f>
        <v>0</v>
      </c>
      <c r="K102" s="39">
        <f>'Data entry MAA Mainz'!AA102</f>
        <v>0</v>
      </c>
      <c r="L102" s="39">
        <f>'Data entry MAA Mainz'!AD102</f>
        <v>0</v>
      </c>
      <c r="M102" s="39">
        <f>'Data entry MAA Mainz'!AG102</f>
        <v>0</v>
      </c>
      <c r="N102" s="39">
        <f>'Data entry MAA Mainz'!AJ102</f>
        <v>0</v>
      </c>
      <c r="O102" s="39">
        <f>'Data entry MAA Mainz'!AM102</f>
        <v>0</v>
      </c>
    </row>
    <row r="103" spans="2:15" ht="14" x14ac:dyDescent="0.15">
      <c r="B103" s="42" t="s">
        <v>69</v>
      </c>
      <c r="C103" s="39">
        <f>'Data entry MAA Mainz'!C103</f>
        <v>2169015.1627000002</v>
      </c>
      <c r="D103" s="39">
        <f>'Data entry MAA Mainz'!F103</f>
        <v>58077.26</v>
      </c>
      <c r="E103" s="39">
        <f>'Data entry MAA Mainz'!I103</f>
        <v>102659.81</v>
      </c>
      <c r="F103" s="39">
        <f>'Data entry MAA Mainz'!L103</f>
        <v>198320.99</v>
      </c>
      <c r="G103" s="39">
        <f>'Data entry MAA Mainz'!O103</f>
        <v>50703.11</v>
      </c>
      <c r="H103" s="39">
        <f>'Data entry MAA Mainz'!R103</f>
        <v>170354.318</v>
      </c>
      <c r="I103" s="39">
        <f>'Data entry MAA Mainz'!U103</f>
        <v>248108.85219999999</v>
      </c>
      <c r="J103" s="39">
        <f>'Data entry MAA Mainz'!X103</f>
        <v>211347.9933</v>
      </c>
      <c r="K103" s="39">
        <f>'Data entry MAA Mainz'!AA103</f>
        <v>158540.7378</v>
      </c>
      <c r="L103" s="39">
        <f>'Data entry MAA Mainz'!AD103</f>
        <v>359912.68930000003</v>
      </c>
      <c r="M103" s="39">
        <f>'Data entry MAA Mainz'!AG103</f>
        <v>249106.57980000001</v>
      </c>
      <c r="N103" s="39">
        <f>'Data entry MAA Mainz'!AJ103</f>
        <v>231509.3561</v>
      </c>
      <c r="O103" s="39">
        <f>'Data entry MAA Mainz'!AM103</f>
        <v>130373.4662</v>
      </c>
    </row>
    <row r="104" spans="2:15" x14ac:dyDescent="0.15">
      <c r="B104" s="40"/>
      <c r="C104" s="39">
        <f>'Data entry MAA Mainz'!C104</f>
        <v>0</v>
      </c>
      <c r="D104" s="39">
        <f>'Data entry MAA Mainz'!F104</f>
        <v>0</v>
      </c>
      <c r="E104" s="39">
        <f>'Data entry MAA Mainz'!I104</f>
        <v>0</v>
      </c>
      <c r="F104" s="39">
        <f>'Data entry MAA Mainz'!L104</f>
        <v>0</v>
      </c>
      <c r="G104" s="39">
        <f>'Data entry MAA Mainz'!O104</f>
        <v>0</v>
      </c>
      <c r="H104" s="39">
        <f>'Data entry MAA Mainz'!R104</f>
        <v>0</v>
      </c>
      <c r="I104" s="39">
        <f>'Data entry MAA Mainz'!U104</f>
        <v>0</v>
      </c>
      <c r="J104" s="39">
        <f>'Data entry MAA Mainz'!X104</f>
        <v>0</v>
      </c>
      <c r="K104" s="39">
        <f>'Data entry MAA Mainz'!AA104</f>
        <v>0</v>
      </c>
      <c r="L104" s="39">
        <f>'Data entry MAA Mainz'!AD104</f>
        <v>0</v>
      </c>
      <c r="M104" s="39">
        <f>'Data entry MAA Mainz'!AG104</f>
        <v>0</v>
      </c>
      <c r="N104" s="39">
        <f>'Data entry MAA Mainz'!AJ104</f>
        <v>0</v>
      </c>
      <c r="O104" s="39">
        <f>'Data entry MAA Mainz'!AM104</f>
        <v>0</v>
      </c>
    </row>
    <row r="105" spans="2:15" ht="14" x14ac:dyDescent="0.15">
      <c r="B105" s="42" t="s">
        <v>70</v>
      </c>
      <c r="C105" s="39">
        <f>'Data entry MAA Mainz'!C105</f>
        <v>67902.44</v>
      </c>
      <c r="D105" s="39">
        <f>'Data entry MAA Mainz'!F105</f>
        <v>6000.42</v>
      </c>
      <c r="E105" s="39">
        <f>'Data entry MAA Mainz'!I105</f>
        <v>3931.29</v>
      </c>
      <c r="F105" s="39">
        <f>'Data entry MAA Mainz'!L105</f>
        <v>8938.59</v>
      </c>
      <c r="G105" s="39">
        <f>'Data entry MAA Mainz'!O105</f>
        <v>8373.5</v>
      </c>
      <c r="H105" s="39">
        <f>'Data entry MAA Mainz'!R105</f>
        <v>5082.33</v>
      </c>
      <c r="I105" s="39">
        <f>'Data entry MAA Mainz'!U105</f>
        <v>5082.33</v>
      </c>
      <c r="J105" s="39">
        <f>'Data entry MAA Mainz'!X105</f>
        <v>5082.33</v>
      </c>
      <c r="K105" s="39">
        <f>'Data entry MAA Mainz'!AA105</f>
        <v>5082.33</v>
      </c>
      <c r="L105" s="39">
        <f>'Data entry MAA Mainz'!AD105</f>
        <v>5082.33</v>
      </c>
      <c r="M105" s="39">
        <f>'Data entry MAA Mainz'!AG105</f>
        <v>5082.33</v>
      </c>
      <c r="N105" s="39">
        <f>'Data entry MAA Mainz'!AJ105</f>
        <v>5082.33</v>
      </c>
      <c r="O105" s="39">
        <f>'Data entry MAA Mainz'!AM105</f>
        <v>5082.33</v>
      </c>
    </row>
    <row r="106" spans="2:15" ht="14" x14ac:dyDescent="0.15">
      <c r="B106" s="38" t="s">
        <v>71</v>
      </c>
      <c r="C106" s="39">
        <f>'Data entry MAA Mainz'!C106</f>
        <v>37076.080000000002</v>
      </c>
      <c r="D106" s="39">
        <f>'Data entry MAA Mainz'!F106</f>
        <v>4081.55</v>
      </c>
      <c r="E106" s="39">
        <f>'Data entry MAA Mainz'!I106</f>
        <v>2012.42</v>
      </c>
      <c r="F106" s="39">
        <f>'Data entry MAA Mainz'!L106</f>
        <v>7019.72</v>
      </c>
      <c r="G106" s="39">
        <f>'Data entry MAA Mainz'!O106</f>
        <v>6454.63</v>
      </c>
      <c r="H106" s="39">
        <f>'Data entry MAA Mainz'!R106</f>
        <v>2188.4699999999998</v>
      </c>
      <c r="I106" s="39">
        <f>'Data entry MAA Mainz'!U106</f>
        <v>2188.4699999999998</v>
      </c>
      <c r="J106" s="39">
        <f>'Data entry MAA Mainz'!X106</f>
        <v>2188.4699999999998</v>
      </c>
      <c r="K106" s="39">
        <f>'Data entry MAA Mainz'!AA106</f>
        <v>2188.4699999999998</v>
      </c>
      <c r="L106" s="39">
        <f>'Data entry MAA Mainz'!AD106</f>
        <v>2188.4699999999998</v>
      </c>
      <c r="M106" s="39">
        <f>'Data entry MAA Mainz'!AG106</f>
        <v>2188.4699999999998</v>
      </c>
      <c r="N106" s="39">
        <f>'Data entry MAA Mainz'!AJ106</f>
        <v>2188.4699999999998</v>
      </c>
      <c r="O106" s="39">
        <f>'Data entry MAA Mainz'!AM106</f>
        <v>2188.4699999999998</v>
      </c>
    </row>
    <row r="107" spans="2:15" ht="14" x14ac:dyDescent="0.15">
      <c r="B107" s="38" t="s">
        <v>72</v>
      </c>
      <c r="C107" s="39">
        <f>'Data entry MAA Mainz'!C107</f>
        <v>0</v>
      </c>
      <c r="D107" s="39">
        <f>'Data entry MAA Mainz'!F107</f>
        <v>0</v>
      </c>
      <c r="E107" s="39">
        <f>'Data entry MAA Mainz'!I107</f>
        <v>0</v>
      </c>
      <c r="F107" s="39">
        <f>'Data entry MAA Mainz'!L107</f>
        <v>0</v>
      </c>
      <c r="G107" s="39">
        <f>'Data entry MAA Mainz'!O107</f>
        <v>0</v>
      </c>
      <c r="H107" s="39">
        <f>'Data entry MAA Mainz'!R107</f>
        <v>0</v>
      </c>
      <c r="I107" s="39">
        <f>'Data entry MAA Mainz'!U107</f>
        <v>0</v>
      </c>
      <c r="J107" s="39">
        <f>'Data entry MAA Mainz'!X107</f>
        <v>0</v>
      </c>
      <c r="K107" s="39">
        <f>'Data entry MAA Mainz'!AA107</f>
        <v>0</v>
      </c>
      <c r="L107" s="39">
        <f>'Data entry MAA Mainz'!AD107</f>
        <v>0</v>
      </c>
      <c r="M107" s="39">
        <f>'Data entry MAA Mainz'!AG107</f>
        <v>0</v>
      </c>
      <c r="N107" s="39">
        <f>'Data entry MAA Mainz'!AJ107</f>
        <v>0</v>
      </c>
      <c r="O107" s="39">
        <f>'Data entry MAA Mainz'!AM107</f>
        <v>0</v>
      </c>
    </row>
    <row r="108" spans="2:15" ht="14" x14ac:dyDescent="0.15">
      <c r="B108" s="38" t="s">
        <v>73</v>
      </c>
      <c r="C108" s="39">
        <f>'Data entry MAA Mainz'!C108</f>
        <v>8000</v>
      </c>
      <c r="D108" s="39">
        <f>'Data entry MAA Mainz'!F108</f>
        <v>0</v>
      </c>
      <c r="E108" s="39">
        <f>'Data entry MAA Mainz'!I108</f>
        <v>0</v>
      </c>
      <c r="F108" s="39">
        <f>'Data entry MAA Mainz'!L108</f>
        <v>0</v>
      </c>
      <c r="G108" s="39">
        <f>'Data entry MAA Mainz'!O108</f>
        <v>0</v>
      </c>
      <c r="H108" s="39">
        <f>'Data entry MAA Mainz'!R108</f>
        <v>1000</v>
      </c>
      <c r="I108" s="39">
        <f>'Data entry MAA Mainz'!U108</f>
        <v>1000</v>
      </c>
      <c r="J108" s="39">
        <f>'Data entry MAA Mainz'!X108</f>
        <v>1000</v>
      </c>
      <c r="K108" s="39">
        <f>'Data entry MAA Mainz'!AA108</f>
        <v>1000</v>
      </c>
      <c r="L108" s="39">
        <f>'Data entry MAA Mainz'!AD108</f>
        <v>1000</v>
      </c>
      <c r="M108" s="39">
        <f>'Data entry MAA Mainz'!AG108</f>
        <v>1000</v>
      </c>
      <c r="N108" s="39">
        <f>'Data entry MAA Mainz'!AJ108</f>
        <v>1000</v>
      </c>
      <c r="O108" s="39">
        <f>'Data entry MAA Mainz'!AM108</f>
        <v>1000</v>
      </c>
    </row>
    <row r="109" spans="2:15" ht="14" x14ac:dyDescent="0.15">
      <c r="B109" s="38" t="s">
        <v>74</v>
      </c>
      <c r="C109" s="39">
        <f>'Data entry MAA Mainz'!C109</f>
        <v>823.84</v>
      </c>
      <c r="D109" s="39">
        <f>'Data entry MAA Mainz'!F109</f>
        <v>0</v>
      </c>
      <c r="E109" s="39">
        <f>'Data entry MAA Mainz'!I109</f>
        <v>0</v>
      </c>
      <c r="F109" s="39">
        <f>'Data entry MAA Mainz'!L109</f>
        <v>0</v>
      </c>
      <c r="G109" s="39">
        <f>'Data entry MAA Mainz'!O109</f>
        <v>0</v>
      </c>
      <c r="H109" s="39">
        <f>'Data entry MAA Mainz'!R109</f>
        <v>102.98</v>
      </c>
      <c r="I109" s="39">
        <f>'Data entry MAA Mainz'!U109</f>
        <v>102.98</v>
      </c>
      <c r="J109" s="39">
        <f>'Data entry MAA Mainz'!X109</f>
        <v>102.98</v>
      </c>
      <c r="K109" s="39">
        <f>'Data entry MAA Mainz'!AA109</f>
        <v>102.98</v>
      </c>
      <c r="L109" s="39">
        <f>'Data entry MAA Mainz'!AD109</f>
        <v>102.98</v>
      </c>
      <c r="M109" s="39">
        <f>'Data entry MAA Mainz'!AG109</f>
        <v>102.98</v>
      </c>
      <c r="N109" s="39">
        <f>'Data entry MAA Mainz'!AJ109</f>
        <v>102.98</v>
      </c>
      <c r="O109" s="39">
        <f>'Data entry MAA Mainz'!AM109</f>
        <v>102.98</v>
      </c>
    </row>
    <row r="110" spans="2:15" ht="14" x14ac:dyDescent="0.15">
      <c r="B110" s="38" t="s">
        <v>75</v>
      </c>
      <c r="C110" s="39">
        <f>'Data entry MAA Mainz'!C110</f>
        <v>22002.52</v>
      </c>
      <c r="D110" s="39">
        <f>'Data entry MAA Mainz'!F110</f>
        <v>1918.87</v>
      </c>
      <c r="E110" s="39">
        <f>'Data entry MAA Mainz'!I110</f>
        <v>1918.87</v>
      </c>
      <c r="F110" s="39">
        <f>'Data entry MAA Mainz'!L110</f>
        <v>1918.87</v>
      </c>
      <c r="G110" s="39">
        <f>'Data entry MAA Mainz'!O110</f>
        <v>1918.87</v>
      </c>
      <c r="H110" s="39">
        <f>'Data entry MAA Mainz'!R110</f>
        <v>1790.88</v>
      </c>
      <c r="I110" s="39">
        <f>'Data entry MAA Mainz'!U110</f>
        <v>1790.88</v>
      </c>
      <c r="J110" s="39">
        <f>'Data entry MAA Mainz'!X110</f>
        <v>1790.88</v>
      </c>
      <c r="K110" s="39">
        <f>'Data entry MAA Mainz'!AA110</f>
        <v>1790.88</v>
      </c>
      <c r="L110" s="39">
        <f>'Data entry MAA Mainz'!AD110</f>
        <v>1790.88</v>
      </c>
      <c r="M110" s="39">
        <f>'Data entry MAA Mainz'!AG110</f>
        <v>1790.88</v>
      </c>
      <c r="N110" s="39">
        <f>'Data entry MAA Mainz'!AJ110</f>
        <v>1790.88</v>
      </c>
      <c r="O110" s="39">
        <f>'Data entry MAA Mainz'!AM110</f>
        <v>1790.88</v>
      </c>
    </row>
    <row r="111" spans="2:15" ht="14" x14ac:dyDescent="0.15">
      <c r="B111" s="38" t="s">
        <v>76</v>
      </c>
      <c r="C111" s="39">
        <f>'Data entry MAA Mainz'!C111</f>
        <v>0</v>
      </c>
      <c r="D111" s="39">
        <f>'Data entry MAA Mainz'!F111</f>
        <v>0</v>
      </c>
      <c r="E111" s="39">
        <f>'Data entry MAA Mainz'!I111</f>
        <v>0</v>
      </c>
      <c r="F111" s="39">
        <f>'Data entry MAA Mainz'!L111</f>
        <v>0</v>
      </c>
      <c r="G111" s="39">
        <f>'Data entry MAA Mainz'!O111</f>
        <v>0</v>
      </c>
      <c r="H111" s="39">
        <f>'Data entry MAA Mainz'!R111</f>
        <v>0</v>
      </c>
      <c r="I111" s="39">
        <f>'Data entry MAA Mainz'!U111</f>
        <v>0</v>
      </c>
      <c r="J111" s="39">
        <f>'Data entry MAA Mainz'!X111</f>
        <v>0</v>
      </c>
      <c r="K111" s="39">
        <f>'Data entry MAA Mainz'!AA111</f>
        <v>0</v>
      </c>
      <c r="L111" s="39">
        <f>'Data entry MAA Mainz'!AD111</f>
        <v>0</v>
      </c>
      <c r="M111" s="39">
        <f>'Data entry MAA Mainz'!AG111</f>
        <v>0</v>
      </c>
      <c r="N111" s="39">
        <f>'Data entry MAA Mainz'!AJ111</f>
        <v>0</v>
      </c>
      <c r="O111" s="39">
        <f>'Data entry MAA Mainz'!AM111</f>
        <v>0</v>
      </c>
    </row>
    <row r="112" spans="2:15" ht="14" x14ac:dyDescent="0.15">
      <c r="B112" s="38" t="s">
        <v>77</v>
      </c>
      <c r="C112" s="39">
        <f>'Data entry MAA Mainz'!C112</f>
        <v>0</v>
      </c>
      <c r="D112" s="39">
        <f>'Data entry MAA Mainz'!F112</f>
        <v>0</v>
      </c>
      <c r="E112" s="39">
        <f>'Data entry MAA Mainz'!I112</f>
        <v>0</v>
      </c>
      <c r="F112" s="39">
        <f>'Data entry MAA Mainz'!L112</f>
        <v>0</v>
      </c>
      <c r="G112" s="39">
        <f>'Data entry MAA Mainz'!O112</f>
        <v>0</v>
      </c>
      <c r="H112" s="39">
        <f>'Data entry MAA Mainz'!R112</f>
        <v>0</v>
      </c>
      <c r="I112" s="39">
        <f>'Data entry MAA Mainz'!U112</f>
        <v>0</v>
      </c>
      <c r="J112" s="39">
        <f>'Data entry MAA Mainz'!X112</f>
        <v>0</v>
      </c>
      <c r="K112" s="39">
        <f>'Data entry MAA Mainz'!AA112</f>
        <v>0</v>
      </c>
      <c r="L112" s="39">
        <f>'Data entry MAA Mainz'!AD112</f>
        <v>0</v>
      </c>
      <c r="M112" s="39">
        <f>'Data entry MAA Mainz'!AG112</f>
        <v>0</v>
      </c>
      <c r="N112" s="39">
        <f>'Data entry MAA Mainz'!AJ112</f>
        <v>0</v>
      </c>
      <c r="O112" s="39">
        <f>'Data entry MAA Mainz'!AM112</f>
        <v>0</v>
      </c>
    </row>
    <row r="113" spans="2:15" ht="14" x14ac:dyDescent="0.15">
      <c r="B113" s="38" t="s">
        <v>78</v>
      </c>
      <c r="C113" s="39">
        <f>'Data entry MAA Mainz'!C113</f>
        <v>0</v>
      </c>
      <c r="D113" s="39">
        <f>'Data entry MAA Mainz'!F113</f>
        <v>0</v>
      </c>
      <c r="E113" s="39">
        <f>'Data entry MAA Mainz'!I113</f>
        <v>0</v>
      </c>
      <c r="F113" s="39">
        <f>'Data entry MAA Mainz'!L113</f>
        <v>0</v>
      </c>
      <c r="G113" s="39">
        <f>'Data entry MAA Mainz'!O113</f>
        <v>0</v>
      </c>
      <c r="H113" s="39">
        <f>'Data entry MAA Mainz'!R113</f>
        <v>0</v>
      </c>
      <c r="I113" s="39">
        <f>'Data entry MAA Mainz'!U113</f>
        <v>0</v>
      </c>
      <c r="J113" s="39">
        <f>'Data entry MAA Mainz'!X113</f>
        <v>0</v>
      </c>
      <c r="K113" s="39">
        <f>'Data entry MAA Mainz'!AA113</f>
        <v>0</v>
      </c>
      <c r="L113" s="39">
        <f>'Data entry MAA Mainz'!AD113</f>
        <v>0</v>
      </c>
      <c r="M113" s="39">
        <f>'Data entry MAA Mainz'!AG113</f>
        <v>0</v>
      </c>
      <c r="N113" s="39">
        <f>'Data entry MAA Mainz'!AJ113</f>
        <v>0</v>
      </c>
      <c r="O113" s="39">
        <f>'Data entry MAA Mainz'!AM113</f>
        <v>0</v>
      </c>
    </row>
    <row r="114" spans="2:15" ht="14" x14ac:dyDescent="0.15">
      <c r="B114" s="38" t="s">
        <v>79</v>
      </c>
      <c r="C114" s="39">
        <f>'Data entry MAA Mainz'!C114</f>
        <v>0</v>
      </c>
      <c r="D114" s="39">
        <f>'Data entry MAA Mainz'!F114</f>
        <v>0</v>
      </c>
      <c r="E114" s="39">
        <f>'Data entry MAA Mainz'!I114</f>
        <v>0</v>
      </c>
      <c r="F114" s="39">
        <f>'Data entry MAA Mainz'!L114</f>
        <v>0</v>
      </c>
      <c r="G114" s="39">
        <f>'Data entry MAA Mainz'!O114</f>
        <v>0</v>
      </c>
      <c r="H114" s="39">
        <f>'Data entry MAA Mainz'!R114</f>
        <v>0</v>
      </c>
      <c r="I114" s="39">
        <f>'Data entry MAA Mainz'!U114</f>
        <v>0</v>
      </c>
      <c r="J114" s="39">
        <f>'Data entry MAA Mainz'!X114</f>
        <v>0</v>
      </c>
      <c r="K114" s="39">
        <f>'Data entry MAA Mainz'!AA114</f>
        <v>0</v>
      </c>
      <c r="L114" s="39">
        <f>'Data entry MAA Mainz'!AD114</f>
        <v>0</v>
      </c>
      <c r="M114" s="39">
        <f>'Data entry MAA Mainz'!AG114</f>
        <v>0</v>
      </c>
      <c r="N114" s="39">
        <f>'Data entry MAA Mainz'!AJ114</f>
        <v>0</v>
      </c>
      <c r="O114" s="39">
        <f>'Data entry MAA Mainz'!AM114</f>
        <v>0</v>
      </c>
    </row>
    <row r="115" spans="2:15" ht="14" x14ac:dyDescent="0.15">
      <c r="B115" s="38" t="s">
        <v>80</v>
      </c>
      <c r="C115" s="39">
        <f>'Data entry MAA Mainz'!C115</f>
        <v>0</v>
      </c>
      <c r="D115" s="39">
        <f>'Data entry MAA Mainz'!F115</f>
        <v>0</v>
      </c>
      <c r="E115" s="39">
        <f>'Data entry MAA Mainz'!I115</f>
        <v>0</v>
      </c>
      <c r="F115" s="39">
        <f>'Data entry MAA Mainz'!L115</f>
        <v>0</v>
      </c>
      <c r="G115" s="39">
        <f>'Data entry MAA Mainz'!O115</f>
        <v>0</v>
      </c>
      <c r="H115" s="39">
        <f>'Data entry MAA Mainz'!R115</f>
        <v>0</v>
      </c>
      <c r="I115" s="39">
        <f>'Data entry MAA Mainz'!U115</f>
        <v>0</v>
      </c>
      <c r="J115" s="39">
        <f>'Data entry MAA Mainz'!X115</f>
        <v>0</v>
      </c>
      <c r="K115" s="39">
        <f>'Data entry MAA Mainz'!AA115</f>
        <v>0</v>
      </c>
      <c r="L115" s="39">
        <f>'Data entry MAA Mainz'!AD115</f>
        <v>0</v>
      </c>
      <c r="M115" s="39">
        <f>'Data entry MAA Mainz'!AG115</f>
        <v>0</v>
      </c>
      <c r="N115" s="39">
        <f>'Data entry MAA Mainz'!AJ115</f>
        <v>0</v>
      </c>
      <c r="O115" s="39">
        <f>'Data entry MAA Mainz'!AM115</f>
        <v>0</v>
      </c>
    </row>
    <row r="116" spans="2:15" x14ac:dyDescent="0.15">
      <c r="B116" s="40"/>
      <c r="C116" s="39">
        <f>'Data entry MAA Mainz'!C116</f>
        <v>0</v>
      </c>
      <c r="D116" s="39">
        <f>'Data entry MAA Mainz'!F116</f>
        <v>0</v>
      </c>
      <c r="E116" s="39">
        <f>'Data entry MAA Mainz'!I116</f>
        <v>0</v>
      </c>
      <c r="F116" s="39">
        <f>'Data entry MAA Mainz'!L116</f>
        <v>0</v>
      </c>
      <c r="G116" s="39">
        <f>'Data entry MAA Mainz'!O116</f>
        <v>0</v>
      </c>
      <c r="H116" s="39">
        <f>'Data entry MAA Mainz'!R116</f>
        <v>0</v>
      </c>
      <c r="I116" s="39">
        <f>'Data entry MAA Mainz'!U116</f>
        <v>0</v>
      </c>
      <c r="J116" s="39">
        <f>'Data entry MAA Mainz'!X116</f>
        <v>0</v>
      </c>
      <c r="K116" s="39">
        <f>'Data entry MAA Mainz'!AA116</f>
        <v>0</v>
      </c>
      <c r="L116" s="39">
        <f>'Data entry MAA Mainz'!AD116</f>
        <v>0</v>
      </c>
      <c r="M116" s="39">
        <f>'Data entry MAA Mainz'!AG116</f>
        <v>0</v>
      </c>
      <c r="N116" s="39">
        <f>'Data entry MAA Mainz'!AJ116</f>
        <v>0</v>
      </c>
      <c r="O116" s="39">
        <f>'Data entry MAA Mainz'!AM116</f>
        <v>0</v>
      </c>
    </row>
    <row r="117" spans="2:15" ht="14" x14ac:dyDescent="0.15">
      <c r="B117" s="42" t="s">
        <v>81</v>
      </c>
      <c r="C117" s="39">
        <f>'Data entry MAA Mainz'!C117</f>
        <v>0</v>
      </c>
      <c r="D117" s="39">
        <f>'Data entry MAA Mainz'!F117</f>
        <v>0</v>
      </c>
      <c r="E117" s="39">
        <f>'Data entry MAA Mainz'!I117</f>
        <v>0</v>
      </c>
      <c r="F117" s="39">
        <f>'Data entry MAA Mainz'!L117</f>
        <v>0</v>
      </c>
      <c r="G117" s="39">
        <f>'Data entry MAA Mainz'!O117</f>
        <v>0</v>
      </c>
      <c r="H117" s="39">
        <f>'Data entry MAA Mainz'!R117</f>
        <v>0</v>
      </c>
      <c r="I117" s="39">
        <f>'Data entry MAA Mainz'!U117</f>
        <v>0</v>
      </c>
      <c r="J117" s="39">
        <f>'Data entry MAA Mainz'!X117</f>
        <v>0</v>
      </c>
      <c r="K117" s="39">
        <f>'Data entry MAA Mainz'!AA117</f>
        <v>0</v>
      </c>
      <c r="L117" s="39">
        <f>'Data entry MAA Mainz'!AD117</f>
        <v>0</v>
      </c>
      <c r="M117" s="39">
        <f>'Data entry MAA Mainz'!AG117</f>
        <v>0</v>
      </c>
      <c r="N117" s="39">
        <f>'Data entry MAA Mainz'!AJ117</f>
        <v>0</v>
      </c>
      <c r="O117" s="39">
        <f>'Data entry MAA Mainz'!AM117</f>
        <v>0</v>
      </c>
    </row>
    <row r="118" spans="2:15" ht="14" x14ac:dyDescent="0.15">
      <c r="B118" s="38" t="s">
        <v>82</v>
      </c>
      <c r="C118" s="39">
        <f>'Data entry MAA Mainz'!C118</f>
        <v>0</v>
      </c>
      <c r="D118" s="39">
        <f>'Data entry MAA Mainz'!F118</f>
        <v>0</v>
      </c>
      <c r="E118" s="39">
        <f>'Data entry MAA Mainz'!I118</f>
        <v>0</v>
      </c>
      <c r="F118" s="39">
        <f>'Data entry MAA Mainz'!L118</f>
        <v>0</v>
      </c>
      <c r="G118" s="39">
        <f>'Data entry MAA Mainz'!O118</f>
        <v>0</v>
      </c>
      <c r="H118" s="39">
        <f>'Data entry MAA Mainz'!R118</f>
        <v>0</v>
      </c>
      <c r="I118" s="39">
        <f>'Data entry MAA Mainz'!U118</f>
        <v>0</v>
      </c>
      <c r="J118" s="39">
        <f>'Data entry MAA Mainz'!X118</f>
        <v>0</v>
      </c>
      <c r="K118" s="39">
        <f>'Data entry MAA Mainz'!AA118</f>
        <v>0</v>
      </c>
      <c r="L118" s="39">
        <f>'Data entry MAA Mainz'!AD118</f>
        <v>0</v>
      </c>
      <c r="M118" s="39">
        <f>'Data entry MAA Mainz'!AG118</f>
        <v>0</v>
      </c>
      <c r="N118" s="39">
        <f>'Data entry MAA Mainz'!AJ118</f>
        <v>0</v>
      </c>
      <c r="O118" s="39">
        <f>'Data entry MAA Mainz'!AM118</f>
        <v>0</v>
      </c>
    </row>
    <row r="119" spans="2:15" ht="14" x14ac:dyDescent="0.15">
      <c r="B119" s="38" t="s">
        <v>83</v>
      </c>
      <c r="C119" s="39">
        <f>'Data entry MAA Mainz'!C119</f>
        <v>0</v>
      </c>
      <c r="D119" s="39">
        <f>'Data entry MAA Mainz'!F119</f>
        <v>0</v>
      </c>
      <c r="E119" s="39">
        <f>'Data entry MAA Mainz'!I119</f>
        <v>0</v>
      </c>
      <c r="F119" s="39">
        <f>'Data entry MAA Mainz'!L119</f>
        <v>0</v>
      </c>
      <c r="G119" s="39">
        <f>'Data entry MAA Mainz'!O119</f>
        <v>0</v>
      </c>
      <c r="H119" s="39">
        <f>'Data entry MAA Mainz'!R119</f>
        <v>0</v>
      </c>
      <c r="I119" s="39">
        <f>'Data entry MAA Mainz'!U119</f>
        <v>0</v>
      </c>
      <c r="J119" s="39">
        <f>'Data entry MAA Mainz'!X119</f>
        <v>0</v>
      </c>
      <c r="K119" s="39">
        <f>'Data entry MAA Mainz'!AA119</f>
        <v>0</v>
      </c>
      <c r="L119" s="39">
        <f>'Data entry MAA Mainz'!AD119</f>
        <v>0</v>
      </c>
      <c r="M119" s="39">
        <f>'Data entry MAA Mainz'!AG119</f>
        <v>0</v>
      </c>
      <c r="N119" s="39">
        <f>'Data entry MAA Mainz'!AJ119</f>
        <v>0</v>
      </c>
      <c r="O119" s="39">
        <f>'Data entry MAA Mainz'!AM119</f>
        <v>0</v>
      </c>
    </row>
    <row r="120" spans="2:15" x14ac:dyDescent="0.15">
      <c r="B120" s="40"/>
      <c r="C120" s="39">
        <f>'Data entry MAA Mainz'!C120</f>
        <v>0</v>
      </c>
      <c r="D120" s="39">
        <f>'Data entry MAA Mainz'!F120</f>
        <v>0</v>
      </c>
      <c r="E120" s="39">
        <f>'Data entry MAA Mainz'!I120</f>
        <v>0</v>
      </c>
      <c r="F120" s="39">
        <f>'Data entry MAA Mainz'!L120</f>
        <v>0</v>
      </c>
      <c r="G120" s="39">
        <f>'Data entry MAA Mainz'!O120</f>
        <v>0</v>
      </c>
      <c r="H120" s="39">
        <f>'Data entry MAA Mainz'!R120</f>
        <v>0</v>
      </c>
      <c r="I120" s="39">
        <f>'Data entry MAA Mainz'!U120</f>
        <v>0</v>
      </c>
      <c r="J120" s="39">
        <f>'Data entry MAA Mainz'!X120</f>
        <v>0</v>
      </c>
      <c r="K120" s="39">
        <f>'Data entry MAA Mainz'!AA120</f>
        <v>0</v>
      </c>
      <c r="L120" s="39">
        <f>'Data entry MAA Mainz'!AD120</f>
        <v>0</v>
      </c>
      <c r="M120" s="39">
        <f>'Data entry MAA Mainz'!AG120</f>
        <v>0</v>
      </c>
      <c r="N120" s="39">
        <f>'Data entry MAA Mainz'!AJ120</f>
        <v>0</v>
      </c>
      <c r="O120" s="39">
        <f>'Data entry MAA Mainz'!AM120</f>
        <v>0</v>
      </c>
    </row>
    <row r="121" spans="2:15" ht="14" x14ac:dyDescent="0.15">
      <c r="B121" s="42" t="s">
        <v>84</v>
      </c>
      <c r="C121" s="39">
        <f>'Data entry MAA Mainz'!C121</f>
        <v>2101112.7226999998</v>
      </c>
      <c r="D121" s="39">
        <f>'Data entry MAA Mainz'!F121</f>
        <v>52076.84</v>
      </c>
      <c r="E121" s="39">
        <f>'Data entry MAA Mainz'!I121</f>
        <v>98728.52</v>
      </c>
      <c r="F121" s="39">
        <f>'Data entry MAA Mainz'!L121</f>
        <v>189382.39999999999</v>
      </c>
      <c r="G121" s="39">
        <f>'Data entry MAA Mainz'!O121</f>
        <v>42329.61</v>
      </c>
      <c r="H121" s="39">
        <f>'Data entry MAA Mainz'!R121</f>
        <v>165271.98800000001</v>
      </c>
      <c r="I121" s="39">
        <f>'Data entry MAA Mainz'!U121</f>
        <v>243026.52220000001</v>
      </c>
      <c r="J121" s="39">
        <f>'Data entry MAA Mainz'!X121</f>
        <v>206265.66329999999</v>
      </c>
      <c r="K121" s="39">
        <f>'Data entry MAA Mainz'!AA121</f>
        <v>153458.40779999999</v>
      </c>
      <c r="L121" s="39">
        <f>'Data entry MAA Mainz'!AD121</f>
        <v>354830.35930000001</v>
      </c>
      <c r="M121" s="39">
        <f>'Data entry MAA Mainz'!AG121</f>
        <v>244024.24979999999</v>
      </c>
      <c r="N121" s="39">
        <f>'Data entry MAA Mainz'!AJ121</f>
        <v>226427.02609999999</v>
      </c>
      <c r="O121" s="39">
        <f>'Data entry MAA Mainz'!AM121</f>
        <v>125291.13619999999</v>
      </c>
    </row>
    <row r="122" spans="2:15" ht="14" x14ac:dyDescent="0.15">
      <c r="B122" s="38" t="s">
        <v>85</v>
      </c>
      <c r="C122" s="39">
        <f>'Data entry MAA Mainz'!C122</f>
        <v>176027.31</v>
      </c>
      <c r="D122" s="39">
        <f>'Data entry MAA Mainz'!F122</f>
        <v>10157.030000000001</v>
      </c>
      <c r="E122" s="39">
        <f>'Data entry MAA Mainz'!I122</f>
        <v>11752.46</v>
      </c>
      <c r="F122" s="39">
        <f>'Data entry MAA Mainz'!L122</f>
        <v>0</v>
      </c>
      <c r="G122" s="39">
        <f>'Data entry MAA Mainz'!O122</f>
        <v>24050.11</v>
      </c>
      <c r="H122" s="39">
        <f>'Data entry MAA Mainz'!R122</f>
        <v>14381.2233</v>
      </c>
      <c r="I122" s="39">
        <f>'Data entry MAA Mainz'!U122</f>
        <v>17479.334999999999</v>
      </c>
      <c r="J122" s="39">
        <f>'Data entry MAA Mainz'!X122</f>
        <v>15672.0726</v>
      </c>
      <c r="K122" s="39">
        <f>'Data entry MAA Mainz'!AA122</f>
        <v>13360.714</v>
      </c>
      <c r="L122" s="39">
        <f>'Data entry MAA Mainz'!AD122</f>
        <v>21911.305</v>
      </c>
      <c r="M122" s="39">
        <f>'Data entry MAA Mainz'!AG122</f>
        <v>17601.456399999999</v>
      </c>
      <c r="N122" s="39">
        <f>'Data entry MAA Mainz'!AJ122</f>
        <v>17276.724900000001</v>
      </c>
      <c r="O122" s="39">
        <f>'Data entry MAA Mainz'!AM122</f>
        <v>12384.8788</v>
      </c>
    </row>
    <row r="123" spans="2:15" x14ac:dyDescent="0.15">
      <c r="B123" s="40"/>
      <c r="C123" s="39">
        <f>'Data entry MAA Mainz'!C123</f>
        <v>0</v>
      </c>
      <c r="D123" s="39">
        <f>'Data entry MAA Mainz'!F123</f>
        <v>0</v>
      </c>
      <c r="E123" s="39">
        <f>'Data entry MAA Mainz'!I123</f>
        <v>0</v>
      </c>
      <c r="F123" s="39">
        <f>'Data entry MAA Mainz'!L123</f>
        <v>0</v>
      </c>
      <c r="G123" s="39">
        <f>'Data entry MAA Mainz'!O123</f>
        <v>0</v>
      </c>
      <c r="H123" s="39">
        <f>'Data entry MAA Mainz'!R123</f>
        <v>0</v>
      </c>
      <c r="I123" s="39">
        <f>'Data entry MAA Mainz'!U123</f>
        <v>0</v>
      </c>
      <c r="J123" s="39">
        <f>'Data entry MAA Mainz'!X123</f>
        <v>0</v>
      </c>
      <c r="K123" s="39">
        <f>'Data entry MAA Mainz'!AA123</f>
        <v>0</v>
      </c>
      <c r="L123" s="39">
        <f>'Data entry MAA Mainz'!AD123</f>
        <v>0</v>
      </c>
      <c r="M123" s="39">
        <f>'Data entry MAA Mainz'!AG123</f>
        <v>0</v>
      </c>
      <c r="N123" s="39">
        <f>'Data entry MAA Mainz'!AJ123</f>
        <v>0</v>
      </c>
      <c r="O123" s="39">
        <f>'Data entry MAA Mainz'!AM123</f>
        <v>0</v>
      </c>
    </row>
    <row r="124" spans="2:15" ht="14" x14ac:dyDescent="0.15">
      <c r="B124" s="42" t="s">
        <v>86</v>
      </c>
      <c r="C124" s="39">
        <f>'Data entry MAA Mainz'!C124</f>
        <v>1925085.4125999999</v>
      </c>
      <c r="D124" s="39">
        <f>'Data entry MAA Mainz'!F124</f>
        <v>41919.81</v>
      </c>
      <c r="E124" s="39">
        <f>'Data entry MAA Mainz'!I124</f>
        <v>86976.06</v>
      </c>
      <c r="F124" s="39">
        <f>'Data entry MAA Mainz'!L124</f>
        <v>189382.39999999999</v>
      </c>
      <c r="G124" s="39">
        <f>'Data entry MAA Mainz'!O124</f>
        <v>18279.5</v>
      </c>
      <c r="H124" s="39">
        <f>'Data entry MAA Mainz'!R124</f>
        <v>150890.7647</v>
      </c>
      <c r="I124" s="39">
        <f>'Data entry MAA Mainz'!U124</f>
        <v>225547.18719999999</v>
      </c>
      <c r="J124" s="39">
        <f>'Data entry MAA Mainz'!X124</f>
        <v>190593.5907</v>
      </c>
      <c r="K124" s="39">
        <f>'Data entry MAA Mainz'!AA124</f>
        <v>140097.69380000001</v>
      </c>
      <c r="L124" s="39">
        <f>'Data entry MAA Mainz'!AD124</f>
        <v>332919.05430000002</v>
      </c>
      <c r="M124" s="39">
        <f>'Data entry MAA Mainz'!AG124</f>
        <v>226422.79329999999</v>
      </c>
      <c r="N124" s="39">
        <f>'Data entry MAA Mainz'!AJ124</f>
        <v>209150.30119999999</v>
      </c>
      <c r="O124" s="39">
        <f>'Data entry MAA Mainz'!AM124</f>
        <v>112906.2574</v>
      </c>
    </row>
    <row r="125" spans="2:15" ht="14" x14ac:dyDescent="0.15">
      <c r="B125" s="38" t="s">
        <v>87</v>
      </c>
      <c r="C125" s="39">
        <f>'Data entry MAA Mainz'!C125</f>
        <v>0</v>
      </c>
      <c r="D125" s="39">
        <f>'Data entry MAA Mainz'!F125</f>
        <v>0</v>
      </c>
      <c r="E125" s="39">
        <f>'Data entry MAA Mainz'!I125</f>
        <v>0</v>
      </c>
      <c r="F125" s="39">
        <f>'Data entry MAA Mainz'!L125</f>
        <v>0</v>
      </c>
      <c r="G125" s="39">
        <f>'Data entry MAA Mainz'!O125</f>
        <v>0</v>
      </c>
      <c r="H125" s="39">
        <f>'Data entry MAA Mainz'!R125</f>
        <v>0</v>
      </c>
      <c r="I125" s="39">
        <f>'Data entry MAA Mainz'!U125</f>
        <v>0</v>
      </c>
      <c r="J125" s="39">
        <f>'Data entry MAA Mainz'!X125</f>
        <v>0</v>
      </c>
      <c r="K125" s="39">
        <f>'Data entry MAA Mainz'!AA125</f>
        <v>0</v>
      </c>
      <c r="L125" s="39">
        <f>'Data entry MAA Mainz'!AD125</f>
        <v>0</v>
      </c>
      <c r="M125" s="39">
        <f>'Data entry MAA Mainz'!AG125</f>
        <v>0</v>
      </c>
      <c r="N125" s="39">
        <f>'Data entry MAA Mainz'!AJ125</f>
        <v>0</v>
      </c>
      <c r="O125" s="39">
        <f>'Data entry MAA Mainz'!AM125</f>
        <v>0</v>
      </c>
    </row>
    <row r="126" spans="2:15" x14ac:dyDescent="0.15">
      <c r="B126" s="40"/>
      <c r="C126" s="39">
        <f>'Data entry MAA Mainz'!C126</f>
        <v>0</v>
      </c>
      <c r="D126" s="39">
        <f>'Data entry MAA Mainz'!F126</f>
        <v>0</v>
      </c>
      <c r="E126" s="39">
        <f>'Data entry MAA Mainz'!I126</f>
        <v>0</v>
      </c>
      <c r="F126" s="39">
        <f>'Data entry MAA Mainz'!L126</f>
        <v>0</v>
      </c>
      <c r="G126" s="39">
        <f>'Data entry MAA Mainz'!O126</f>
        <v>0</v>
      </c>
      <c r="H126" s="39">
        <f>'Data entry MAA Mainz'!R126</f>
        <v>0</v>
      </c>
      <c r="I126" s="39">
        <f>'Data entry MAA Mainz'!U126</f>
        <v>0</v>
      </c>
      <c r="J126" s="39">
        <f>'Data entry MAA Mainz'!X126</f>
        <v>0</v>
      </c>
      <c r="K126" s="39">
        <f>'Data entry MAA Mainz'!AA126</f>
        <v>0</v>
      </c>
      <c r="L126" s="39">
        <f>'Data entry MAA Mainz'!AD126</f>
        <v>0</v>
      </c>
      <c r="M126" s="39">
        <f>'Data entry MAA Mainz'!AG126</f>
        <v>0</v>
      </c>
      <c r="N126" s="39">
        <f>'Data entry MAA Mainz'!AJ126</f>
        <v>0</v>
      </c>
      <c r="O126" s="39">
        <f>'Data entry MAA Mainz'!AM126</f>
        <v>0</v>
      </c>
    </row>
    <row r="127" spans="2:15" ht="14" x14ac:dyDescent="0.15">
      <c r="B127" s="42" t="s">
        <v>88</v>
      </c>
      <c r="C127" s="39">
        <f>'Data entry MAA Mainz'!C127</f>
        <v>1925085.4125999999</v>
      </c>
      <c r="D127" s="39">
        <f>'Data entry MAA Mainz'!F127</f>
        <v>41919.81</v>
      </c>
      <c r="E127" s="39">
        <f>'Data entry MAA Mainz'!I127</f>
        <v>86976.06</v>
      </c>
      <c r="F127" s="39">
        <f>'Data entry MAA Mainz'!L127</f>
        <v>189382.39999999999</v>
      </c>
      <c r="G127" s="39">
        <f>'Data entry MAA Mainz'!O127</f>
        <v>18279.5</v>
      </c>
      <c r="H127" s="39">
        <f>'Data entry MAA Mainz'!R127</f>
        <v>150890.7647</v>
      </c>
      <c r="I127" s="39">
        <f>'Data entry MAA Mainz'!U127</f>
        <v>225547.18719999999</v>
      </c>
      <c r="J127" s="39">
        <f>'Data entry MAA Mainz'!X127</f>
        <v>190593.5907</v>
      </c>
      <c r="K127" s="39">
        <f>'Data entry MAA Mainz'!AA127</f>
        <v>140097.69380000001</v>
      </c>
      <c r="L127" s="39">
        <f>'Data entry MAA Mainz'!AD127</f>
        <v>332919.05430000002</v>
      </c>
      <c r="M127" s="39">
        <f>'Data entry MAA Mainz'!AG127</f>
        <v>226422.79329999999</v>
      </c>
      <c r="N127" s="39">
        <f>'Data entry MAA Mainz'!AJ127</f>
        <v>209150.30119999999</v>
      </c>
      <c r="O127" s="39">
        <f>'Data entry MAA Mainz'!AM127</f>
        <v>112906.2574</v>
      </c>
    </row>
    <row r="128" spans="2:15" x14ac:dyDescent="0.15">
      <c r="B128" s="40"/>
      <c r="C128" s="39">
        <f>'Data entry MAA Mainz'!C128</f>
        <v>0</v>
      </c>
      <c r="D128" s="39">
        <f>'Data entry MAA Mainz'!F128</f>
        <v>0</v>
      </c>
      <c r="E128" s="39">
        <f>'Data entry MAA Mainz'!I128</f>
        <v>0</v>
      </c>
      <c r="F128" s="39">
        <f>'Data entry MAA Mainz'!L128</f>
        <v>0</v>
      </c>
      <c r="G128" s="39">
        <f>'Data entry MAA Mainz'!O128</f>
        <v>0</v>
      </c>
      <c r="H128" s="39">
        <f>'Data entry MAA Mainz'!R128</f>
        <v>0</v>
      </c>
      <c r="I128" s="39">
        <f>'Data entry MAA Mainz'!U128</f>
        <v>0</v>
      </c>
      <c r="J128" s="39">
        <f>'Data entry MAA Mainz'!X128</f>
        <v>0</v>
      </c>
      <c r="K128" s="39">
        <f>'Data entry MAA Mainz'!AA128</f>
        <v>0</v>
      </c>
      <c r="L128" s="39">
        <f>'Data entry MAA Mainz'!AD128</f>
        <v>0</v>
      </c>
      <c r="M128" s="39">
        <f>'Data entry MAA Mainz'!AG128</f>
        <v>0</v>
      </c>
      <c r="N128" s="39">
        <f>'Data entry MAA Mainz'!AJ128</f>
        <v>0</v>
      </c>
      <c r="O128" s="39">
        <f>'Data entry MAA Mainz'!AM128</f>
        <v>0</v>
      </c>
    </row>
    <row r="129" spans="2:15" ht="14" x14ac:dyDescent="0.15">
      <c r="B129" s="42" t="s">
        <v>89</v>
      </c>
      <c r="C129" s="39">
        <f>'Data entry MAA Mainz'!C129</f>
        <v>176155.38</v>
      </c>
      <c r="D129" s="39">
        <f>'Data entry MAA Mainz'!F129</f>
        <v>10091.06</v>
      </c>
      <c r="E129" s="39">
        <f>'Data entry MAA Mainz'!I129</f>
        <v>11946.5</v>
      </c>
      <c r="F129" s="39">
        <f>'Data entry MAA Mainz'!L129</f>
        <v>14779.68</v>
      </c>
      <c r="G129" s="39">
        <f>'Data entry MAA Mainz'!O129</f>
        <v>9270.43</v>
      </c>
      <c r="H129" s="39">
        <f>'Data entry MAA Mainz'!R129</f>
        <v>14381.2233</v>
      </c>
      <c r="I129" s="39">
        <f>'Data entry MAA Mainz'!U129</f>
        <v>17479.334999999999</v>
      </c>
      <c r="J129" s="39">
        <f>'Data entry MAA Mainz'!X129</f>
        <v>15672.0726</v>
      </c>
      <c r="K129" s="39">
        <f>'Data entry MAA Mainz'!AA129</f>
        <v>13360.714</v>
      </c>
      <c r="L129" s="39">
        <f>'Data entry MAA Mainz'!AD129</f>
        <v>21911.305</v>
      </c>
      <c r="M129" s="39">
        <f>'Data entry MAA Mainz'!AG129</f>
        <v>17601.456399999999</v>
      </c>
      <c r="N129" s="39">
        <f>'Data entry MAA Mainz'!AJ129</f>
        <v>17276.724900000001</v>
      </c>
      <c r="O129" s="39">
        <f>'Data entry MAA Mainz'!AM129</f>
        <v>12384.8788</v>
      </c>
    </row>
    <row r="130" spans="2:15" ht="14" x14ac:dyDescent="0.15">
      <c r="B130" s="38" t="s">
        <v>90</v>
      </c>
      <c r="C130" s="39">
        <f>'Data entry MAA Mainz'!C130</f>
        <v>176155.38</v>
      </c>
      <c r="D130" s="39">
        <f>'Data entry MAA Mainz'!F130</f>
        <v>10091.06</v>
      </c>
      <c r="E130" s="39">
        <f>'Data entry MAA Mainz'!I130</f>
        <v>11946.5</v>
      </c>
      <c r="F130" s="39">
        <f>'Data entry MAA Mainz'!L130</f>
        <v>14779.68</v>
      </c>
      <c r="G130" s="39">
        <f>'Data entry MAA Mainz'!O130</f>
        <v>9270.43</v>
      </c>
      <c r="H130" s="39">
        <f>'Data entry MAA Mainz'!R130</f>
        <v>14381.2233</v>
      </c>
      <c r="I130" s="39">
        <f>'Data entry MAA Mainz'!U130</f>
        <v>17479.334999999999</v>
      </c>
      <c r="J130" s="39">
        <f>'Data entry MAA Mainz'!X130</f>
        <v>15672.0726</v>
      </c>
      <c r="K130" s="39">
        <f>'Data entry MAA Mainz'!AA130</f>
        <v>13360.714</v>
      </c>
      <c r="L130" s="39">
        <f>'Data entry MAA Mainz'!AD130</f>
        <v>21911.305</v>
      </c>
      <c r="M130" s="39">
        <f>'Data entry MAA Mainz'!AG130</f>
        <v>17601.456399999999</v>
      </c>
      <c r="N130" s="39">
        <f>'Data entry MAA Mainz'!AJ130</f>
        <v>17276.724900000001</v>
      </c>
      <c r="O130" s="39">
        <f>'Data entry MAA Mainz'!AM130</f>
        <v>12384.8788</v>
      </c>
    </row>
    <row r="131" spans="2:15" ht="14" x14ac:dyDescent="0.15">
      <c r="B131" s="38" t="s">
        <v>91</v>
      </c>
      <c r="C131" s="39">
        <f>'Data entry MAA Mainz'!C131</f>
        <v>0</v>
      </c>
      <c r="D131" s="39">
        <f>'Data entry MAA Mainz'!F131</f>
        <v>0</v>
      </c>
      <c r="E131" s="39">
        <f>'Data entry MAA Mainz'!I131</f>
        <v>0</v>
      </c>
      <c r="F131" s="39">
        <f>'Data entry MAA Mainz'!L131</f>
        <v>0</v>
      </c>
      <c r="G131" s="39">
        <f>'Data entry MAA Mainz'!O131</f>
        <v>0</v>
      </c>
      <c r="H131" s="39">
        <f>'Data entry MAA Mainz'!R131</f>
        <v>0</v>
      </c>
      <c r="I131" s="39">
        <f>'Data entry MAA Mainz'!U131</f>
        <v>0</v>
      </c>
      <c r="J131" s="39">
        <f>'Data entry MAA Mainz'!X131</f>
        <v>0</v>
      </c>
      <c r="K131" s="39">
        <f>'Data entry MAA Mainz'!AA131</f>
        <v>0</v>
      </c>
      <c r="L131" s="39">
        <f>'Data entry MAA Mainz'!AD131</f>
        <v>0</v>
      </c>
      <c r="M131" s="39">
        <f>'Data entry MAA Mainz'!AG131</f>
        <v>0</v>
      </c>
      <c r="N131" s="39">
        <f>'Data entry MAA Mainz'!AJ131</f>
        <v>0</v>
      </c>
      <c r="O131" s="39">
        <f>'Data entry MAA Mainz'!AM131</f>
        <v>0</v>
      </c>
    </row>
    <row r="132" spans="2:15" ht="14" x14ac:dyDescent="0.15">
      <c r="B132" s="38" t="s">
        <v>92</v>
      </c>
      <c r="C132" s="39">
        <f>'Data entry MAA Mainz'!C132</f>
        <v>0</v>
      </c>
      <c r="D132" s="39">
        <f>'Data entry MAA Mainz'!F132</f>
        <v>0</v>
      </c>
      <c r="E132" s="39">
        <f>'Data entry MAA Mainz'!I132</f>
        <v>0</v>
      </c>
      <c r="F132" s="39">
        <f>'Data entry MAA Mainz'!L132</f>
        <v>0</v>
      </c>
      <c r="G132" s="39">
        <f>'Data entry MAA Mainz'!O132</f>
        <v>0</v>
      </c>
      <c r="H132" s="39">
        <f>'Data entry MAA Mainz'!R132</f>
        <v>0</v>
      </c>
      <c r="I132" s="39">
        <f>'Data entry MAA Mainz'!U132</f>
        <v>0</v>
      </c>
      <c r="J132" s="39">
        <f>'Data entry MAA Mainz'!X132</f>
        <v>0</v>
      </c>
      <c r="K132" s="39">
        <f>'Data entry MAA Mainz'!AA132</f>
        <v>0</v>
      </c>
      <c r="L132" s="39">
        <f>'Data entry MAA Mainz'!AD132</f>
        <v>0</v>
      </c>
      <c r="M132" s="39">
        <f>'Data entry MAA Mainz'!AG132</f>
        <v>0</v>
      </c>
      <c r="N132" s="39">
        <f>'Data entry MAA Mainz'!AJ132</f>
        <v>0</v>
      </c>
      <c r="O132" s="39">
        <f>'Data entry MAA Mainz'!AM132</f>
        <v>0</v>
      </c>
    </row>
    <row r="133" spans="2:15" x14ac:dyDescent="0.15">
      <c r="B133" s="40"/>
      <c r="C133" s="39">
        <f>'Data entry MAA Mainz'!C133</f>
        <v>0</v>
      </c>
      <c r="D133" s="39">
        <f>'Data entry MAA Mainz'!F133</f>
        <v>0</v>
      </c>
      <c r="E133" s="39">
        <f>'Data entry MAA Mainz'!I133</f>
        <v>0</v>
      </c>
      <c r="F133" s="39">
        <f>'Data entry MAA Mainz'!L133</f>
        <v>0</v>
      </c>
      <c r="G133" s="39">
        <f>'Data entry MAA Mainz'!O133</f>
        <v>0</v>
      </c>
      <c r="H133" s="39">
        <f>'Data entry MAA Mainz'!R133</f>
        <v>0</v>
      </c>
      <c r="I133" s="39">
        <f>'Data entry MAA Mainz'!U133</f>
        <v>0</v>
      </c>
      <c r="J133" s="39">
        <f>'Data entry MAA Mainz'!X133</f>
        <v>0</v>
      </c>
      <c r="K133" s="39">
        <f>'Data entry MAA Mainz'!AA133</f>
        <v>0</v>
      </c>
      <c r="L133" s="39">
        <f>'Data entry MAA Mainz'!AD133</f>
        <v>0</v>
      </c>
      <c r="M133" s="39">
        <f>'Data entry MAA Mainz'!AG133</f>
        <v>0</v>
      </c>
      <c r="N133" s="39">
        <f>'Data entry MAA Mainz'!AJ133</f>
        <v>0</v>
      </c>
      <c r="O133" s="39">
        <f>'Data entry MAA Mainz'!AM133</f>
        <v>0</v>
      </c>
    </row>
    <row r="134" spans="2:15" ht="14" x14ac:dyDescent="0.15">
      <c r="B134" s="42" t="s">
        <v>93</v>
      </c>
      <c r="C134" s="39">
        <f>'Data entry MAA Mainz'!C134</f>
        <v>1748930.0325</v>
      </c>
      <c r="D134" s="39">
        <f>'Data entry MAA Mainz'!F134</f>
        <v>31828.75</v>
      </c>
      <c r="E134" s="39">
        <f>'Data entry MAA Mainz'!I134</f>
        <v>75029.56</v>
      </c>
      <c r="F134" s="39">
        <f>'Data entry MAA Mainz'!L134</f>
        <v>174602.72</v>
      </c>
      <c r="G134" s="39">
        <f>'Data entry MAA Mainz'!O134</f>
        <v>9009.07</v>
      </c>
      <c r="H134" s="39">
        <f>'Data entry MAA Mainz'!R134</f>
        <v>136509.54139999999</v>
      </c>
      <c r="I134" s="39">
        <f>'Data entry MAA Mainz'!U134</f>
        <v>208067.85209999999</v>
      </c>
      <c r="J134" s="39">
        <f>'Data entry MAA Mainz'!X134</f>
        <v>174921.51809999999</v>
      </c>
      <c r="K134" s="39">
        <f>'Data entry MAA Mainz'!AA134</f>
        <v>126736.97990000001</v>
      </c>
      <c r="L134" s="39">
        <f>'Data entry MAA Mainz'!AD134</f>
        <v>311007.74930000002</v>
      </c>
      <c r="M134" s="39">
        <f>'Data entry MAA Mainz'!AG134</f>
        <v>208821.33689999999</v>
      </c>
      <c r="N134" s="39">
        <f>'Data entry MAA Mainz'!AJ134</f>
        <v>191873.57620000001</v>
      </c>
      <c r="O134" s="39">
        <f>'Data entry MAA Mainz'!AM134</f>
        <v>100521.3786</v>
      </c>
    </row>
    <row r="135" spans="2:15" x14ac:dyDescent="0.15">
      <c r="B135" s="40"/>
      <c r="C135" s="39">
        <f>'Data entry MAA Mainz'!C135</f>
        <v>0</v>
      </c>
      <c r="D135" s="39">
        <f>'Data entry MAA Mainz'!F135</f>
        <v>0</v>
      </c>
      <c r="E135" s="39">
        <f>'Data entry MAA Mainz'!I135</f>
        <v>0</v>
      </c>
      <c r="F135" s="39">
        <f>'Data entry MAA Mainz'!L135</f>
        <v>0</v>
      </c>
      <c r="G135" s="39">
        <f>'Data entry MAA Mainz'!O135</f>
        <v>0</v>
      </c>
      <c r="H135" s="39">
        <f>'Data entry MAA Mainz'!R135</f>
        <v>0</v>
      </c>
      <c r="I135" s="39">
        <f>'Data entry MAA Mainz'!U135</f>
        <v>0</v>
      </c>
      <c r="J135" s="39">
        <f>'Data entry MAA Mainz'!X135</f>
        <v>0</v>
      </c>
      <c r="K135" s="39">
        <f>'Data entry MAA Mainz'!AA135</f>
        <v>0</v>
      </c>
      <c r="L135" s="39">
        <f>'Data entry MAA Mainz'!AD135</f>
        <v>0</v>
      </c>
      <c r="M135" s="39">
        <f>'Data entry MAA Mainz'!AG135</f>
        <v>0</v>
      </c>
      <c r="N135" s="39">
        <f>'Data entry MAA Mainz'!AJ135</f>
        <v>0</v>
      </c>
      <c r="O135" s="39">
        <f>'Data entry MAA Mainz'!AM135</f>
        <v>0</v>
      </c>
    </row>
    <row r="136" spans="2:15" ht="14" x14ac:dyDescent="0.15">
      <c r="B136" s="42" t="s">
        <v>94</v>
      </c>
      <c r="C136" s="39">
        <f>'Data entry MAA Mainz'!C136</f>
        <v>1311250.02</v>
      </c>
      <c r="D136" s="39">
        <f>'Data entry MAA Mainz'!F136</f>
        <v>109089.02</v>
      </c>
      <c r="E136" s="39">
        <f>'Data entry MAA Mainz'!I136</f>
        <v>109089.02</v>
      </c>
      <c r="F136" s="39">
        <f>'Data entry MAA Mainz'!L136</f>
        <v>0</v>
      </c>
      <c r="G136" s="39">
        <f>'Data entry MAA Mainz'!O136</f>
        <v>220359.82</v>
      </c>
      <c r="H136" s="39">
        <f>'Data entry MAA Mainz'!R136</f>
        <v>109089.02</v>
      </c>
      <c r="I136" s="39">
        <f>'Data entry MAA Mainz'!U136</f>
        <v>109089.02</v>
      </c>
      <c r="J136" s="39">
        <f>'Data entry MAA Mainz'!X136</f>
        <v>109089.02</v>
      </c>
      <c r="K136" s="39">
        <f>'Data entry MAA Mainz'!AA136</f>
        <v>109089.02</v>
      </c>
      <c r="L136" s="39">
        <f>'Data entry MAA Mainz'!AD136</f>
        <v>109089.02</v>
      </c>
      <c r="M136" s="39">
        <f>'Data entry MAA Mainz'!AG136</f>
        <v>109089.02</v>
      </c>
      <c r="N136" s="39">
        <f>'Data entry MAA Mainz'!AJ136</f>
        <v>109089.02</v>
      </c>
      <c r="O136" s="39">
        <f>'Data entry MAA Mainz'!AM136</f>
        <v>109089.02</v>
      </c>
    </row>
    <row r="137" spans="2:15" ht="14" x14ac:dyDescent="0.15">
      <c r="B137" s="38" t="s">
        <v>95</v>
      </c>
      <c r="C137" s="39">
        <f>'Data entry MAA Mainz'!C137</f>
        <v>1311250.02</v>
      </c>
      <c r="D137" s="39">
        <f>'Data entry MAA Mainz'!F137</f>
        <v>109089.02</v>
      </c>
      <c r="E137" s="39">
        <f>'Data entry MAA Mainz'!I137</f>
        <v>109089.02</v>
      </c>
      <c r="F137" s="39">
        <f>'Data entry MAA Mainz'!L137</f>
        <v>0</v>
      </c>
      <c r="G137" s="39">
        <f>'Data entry MAA Mainz'!O137</f>
        <v>220359.82</v>
      </c>
      <c r="H137" s="39">
        <f>'Data entry MAA Mainz'!R137</f>
        <v>109089.02</v>
      </c>
      <c r="I137" s="39">
        <f>'Data entry MAA Mainz'!U137</f>
        <v>109089.02</v>
      </c>
      <c r="J137" s="39">
        <f>'Data entry MAA Mainz'!X137</f>
        <v>109089.02</v>
      </c>
      <c r="K137" s="39">
        <f>'Data entry MAA Mainz'!AA137</f>
        <v>109089.02</v>
      </c>
      <c r="L137" s="39">
        <f>'Data entry MAA Mainz'!AD137</f>
        <v>109089.02</v>
      </c>
      <c r="M137" s="39">
        <f>'Data entry MAA Mainz'!AG137</f>
        <v>109089.02</v>
      </c>
      <c r="N137" s="39">
        <f>'Data entry MAA Mainz'!AJ137</f>
        <v>109089.02</v>
      </c>
      <c r="O137" s="39">
        <f>'Data entry MAA Mainz'!AM137</f>
        <v>109089.02</v>
      </c>
    </row>
    <row r="138" spans="2:15" ht="14" x14ac:dyDescent="0.15">
      <c r="B138" s="38" t="s">
        <v>96</v>
      </c>
      <c r="C138" s="39">
        <f>'Data entry MAA Mainz'!C138</f>
        <v>0</v>
      </c>
      <c r="D138" s="39">
        <f>'Data entry MAA Mainz'!F138</f>
        <v>0</v>
      </c>
      <c r="E138" s="39">
        <f>'Data entry MAA Mainz'!I138</f>
        <v>0</v>
      </c>
      <c r="F138" s="39">
        <f>'Data entry MAA Mainz'!L138</f>
        <v>0</v>
      </c>
      <c r="G138" s="39">
        <f>'Data entry MAA Mainz'!O138</f>
        <v>0</v>
      </c>
      <c r="H138" s="39">
        <f>'Data entry MAA Mainz'!R138</f>
        <v>0</v>
      </c>
      <c r="I138" s="39">
        <f>'Data entry MAA Mainz'!U138</f>
        <v>0</v>
      </c>
      <c r="J138" s="39">
        <f>'Data entry MAA Mainz'!X138</f>
        <v>0</v>
      </c>
      <c r="K138" s="39">
        <f>'Data entry MAA Mainz'!AA138</f>
        <v>0</v>
      </c>
      <c r="L138" s="39">
        <f>'Data entry MAA Mainz'!AD138</f>
        <v>0</v>
      </c>
      <c r="M138" s="39">
        <f>'Data entry MAA Mainz'!AG138</f>
        <v>0</v>
      </c>
      <c r="N138" s="39">
        <f>'Data entry MAA Mainz'!AJ138</f>
        <v>0</v>
      </c>
      <c r="O138" s="39">
        <f>'Data entry MAA Mainz'!AM138</f>
        <v>0</v>
      </c>
    </row>
    <row r="139" spans="2:15" ht="14" x14ac:dyDescent="0.15">
      <c r="B139" s="38" t="s">
        <v>97</v>
      </c>
      <c r="C139" s="39">
        <f>'Data entry MAA Mainz'!C139</f>
        <v>0</v>
      </c>
      <c r="D139" s="39">
        <f>'Data entry MAA Mainz'!F139</f>
        <v>0</v>
      </c>
      <c r="E139" s="39">
        <f>'Data entry MAA Mainz'!I139</f>
        <v>0</v>
      </c>
      <c r="F139" s="39">
        <f>'Data entry MAA Mainz'!L139</f>
        <v>0</v>
      </c>
      <c r="G139" s="39">
        <f>'Data entry MAA Mainz'!O139</f>
        <v>0</v>
      </c>
      <c r="H139" s="39">
        <f>'Data entry MAA Mainz'!R139</f>
        <v>0</v>
      </c>
      <c r="I139" s="39">
        <f>'Data entry MAA Mainz'!U139</f>
        <v>0</v>
      </c>
      <c r="J139" s="39">
        <f>'Data entry MAA Mainz'!X139</f>
        <v>0</v>
      </c>
      <c r="K139" s="39">
        <f>'Data entry MAA Mainz'!AA139</f>
        <v>0</v>
      </c>
      <c r="L139" s="39">
        <f>'Data entry MAA Mainz'!AD139</f>
        <v>0</v>
      </c>
      <c r="M139" s="39">
        <f>'Data entry MAA Mainz'!AG139</f>
        <v>0</v>
      </c>
      <c r="N139" s="39">
        <f>'Data entry MAA Mainz'!AJ139</f>
        <v>0</v>
      </c>
      <c r="O139" s="39">
        <f>'Data entry MAA Mainz'!AM139</f>
        <v>0</v>
      </c>
    </row>
    <row r="140" spans="2:15" x14ac:dyDescent="0.15">
      <c r="B140" s="40"/>
      <c r="C140" s="39">
        <f>'Data entry MAA Mainz'!C140</f>
        <v>0</v>
      </c>
      <c r="D140" s="39">
        <f>'Data entry MAA Mainz'!F140</f>
        <v>0</v>
      </c>
      <c r="E140" s="39">
        <f>'Data entry MAA Mainz'!I140</f>
        <v>0</v>
      </c>
      <c r="F140" s="39">
        <f>'Data entry MAA Mainz'!L140</f>
        <v>0</v>
      </c>
      <c r="G140" s="39">
        <f>'Data entry MAA Mainz'!O140</f>
        <v>0</v>
      </c>
      <c r="H140" s="39">
        <f>'Data entry MAA Mainz'!R140</f>
        <v>0</v>
      </c>
      <c r="I140" s="39">
        <f>'Data entry MAA Mainz'!U140</f>
        <v>0</v>
      </c>
      <c r="J140" s="39">
        <f>'Data entry MAA Mainz'!X140</f>
        <v>0</v>
      </c>
      <c r="K140" s="39">
        <f>'Data entry MAA Mainz'!AA140</f>
        <v>0</v>
      </c>
      <c r="L140" s="39">
        <f>'Data entry MAA Mainz'!AD140</f>
        <v>0</v>
      </c>
      <c r="M140" s="39">
        <f>'Data entry MAA Mainz'!AG140</f>
        <v>0</v>
      </c>
      <c r="N140" s="39">
        <f>'Data entry MAA Mainz'!AJ140</f>
        <v>0</v>
      </c>
      <c r="O140" s="39">
        <f>'Data entry MAA Mainz'!AM140</f>
        <v>0</v>
      </c>
    </row>
    <row r="141" spans="2:15" ht="28" x14ac:dyDescent="0.15">
      <c r="B141" s="42" t="s">
        <v>98</v>
      </c>
      <c r="C141" s="39">
        <f>'Data entry MAA Mainz'!C141</f>
        <v>437680.01250000001</v>
      </c>
      <c r="D141" s="39">
        <f>'Data entry MAA Mainz'!F141</f>
        <v>-77260.27</v>
      </c>
      <c r="E141" s="39">
        <f>'Data entry MAA Mainz'!I141</f>
        <v>-34059.46</v>
      </c>
      <c r="F141" s="39">
        <f>'Data entry MAA Mainz'!L141</f>
        <v>174602.72</v>
      </c>
      <c r="G141" s="39">
        <f>'Data entry MAA Mainz'!O141</f>
        <v>-211350.75</v>
      </c>
      <c r="H141" s="39">
        <f>'Data entry MAA Mainz'!R141</f>
        <v>27420.521400000001</v>
      </c>
      <c r="I141" s="39">
        <f>'Data entry MAA Mainz'!U141</f>
        <v>98978.8321</v>
      </c>
      <c r="J141" s="39">
        <f>'Data entry MAA Mainz'!X141</f>
        <v>65832.498099999997</v>
      </c>
      <c r="K141" s="39">
        <f>'Data entry MAA Mainz'!AA141</f>
        <v>17647.959900000002</v>
      </c>
      <c r="L141" s="39">
        <f>'Data entry MAA Mainz'!AD141</f>
        <v>201918.72930000001</v>
      </c>
      <c r="M141" s="39">
        <f>'Data entry MAA Mainz'!AG141</f>
        <v>99732.316900000005</v>
      </c>
      <c r="N141" s="39">
        <f>'Data entry MAA Mainz'!AJ141</f>
        <v>82784.556200000006</v>
      </c>
      <c r="O141" s="39">
        <f>'Data entry MAA Mainz'!AM141</f>
        <v>-8567.6414000000004</v>
      </c>
    </row>
    <row r="142" spans="2:15" ht="14" x14ac:dyDescent="0.15">
      <c r="B142" s="38" t="s">
        <v>99</v>
      </c>
      <c r="C142" s="39">
        <f>'Data entry MAA Mainz'!C142</f>
        <v>0</v>
      </c>
      <c r="D142" s="39">
        <f>'Data entry MAA Mainz'!F142</f>
        <v>0</v>
      </c>
      <c r="E142" s="39">
        <f>'Data entry MAA Mainz'!I142</f>
        <v>0</v>
      </c>
      <c r="F142" s="39">
        <f>'Data entry MAA Mainz'!L142</f>
        <v>0</v>
      </c>
      <c r="G142" s="39">
        <f>'Data entry MAA Mainz'!O142</f>
        <v>0</v>
      </c>
      <c r="H142" s="39">
        <f>'Data entry MAA Mainz'!R142</f>
        <v>0</v>
      </c>
      <c r="I142" s="39">
        <f>'Data entry MAA Mainz'!U142</f>
        <v>0</v>
      </c>
      <c r="J142" s="39">
        <f>'Data entry MAA Mainz'!X142</f>
        <v>0</v>
      </c>
      <c r="K142" s="39">
        <f>'Data entry MAA Mainz'!AA142</f>
        <v>0</v>
      </c>
      <c r="L142" s="39">
        <f>'Data entry MAA Mainz'!AD142</f>
        <v>0</v>
      </c>
      <c r="M142" s="39">
        <f>'Data entry MAA Mainz'!AG142</f>
        <v>0</v>
      </c>
      <c r="N142" s="39">
        <f>'Data entry MAA Mainz'!AJ142</f>
        <v>0</v>
      </c>
      <c r="O142" s="39">
        <f>'Data entry MAA Mainz'!AM142</f>
        <v>0</v>
      </c>
    </row>
    <row r="143" spans="2:15" x14ac:dyDescent="0.15">
      <c r="B143" s="40"/>
      <c r="C143" s="39">
        <f>'Data entry MAA Mainz'!C143</f>
        <v>0</v>
      </c>
      <c r="D143" s="39">
        <f>'Data entry MAA Mainz'!F143</f>
        <v>0</v>
      </c>
      <c r="E143" s="39">
        <f>'Data entry MAA Mainz'!I143</f>
        <v>0</v>
      </c>
      <c r="F143" s="39">
        <f>'Data entry MAA Mainz'!L143</f>
        <v>0</v>
      </c>
      <c r="G143" s="39">
        <f>'Data entry MAA Mainz'!O143</f>
        <v>0</v>
      </c>
      <c r="H143" s="39">
        <f>'Data entry MAA Mainz'!R143</f>
        <v>0</v>
      </c>
      <c r="I143" s="39">
        <f>'Data entry MAA Mainz'!U143</f>
        <v>0</v>
      </c>
      <c r="J143" s="39">
        <f>'Data entry MAA Mainz'!X143</f>
        <v>0</v>
      </c>
      <c r="K143" s="39">
        <f>'Data entry MAA Mainz'!AA143</f>
        <v>0</v>
      </c>
      <c r="L143" s="39">
        <f>'Data entry MAA Mainz'!AD143</f>
        <v>0</v>
      </c>
      <c r="M143" s="39">
        <f>'Data entry MAA Mainz'!AG143</f>
        <v>0</v>
      </c>
      <c r="N143" s="39">
        <f>'Data entry MAA Mainz'!AJ143</f>
        <v>0</v>
      </c>
      <c r="O143" s="39">
        <f>'Data entry MAA Mainz'!AM143</f>
        <v>0</v>
      </c>
    </row>
    <row r="144" spans="2:15" ht="14" x14ac:dyDescent="0.15">
      <c r="B144" s="42" t="s">
        <v>100</v>
      </c>
      <c r="C144" s="39">
        <f>'Data entry MAA Mainz'!C144</f>
        <v>437680.01250000001</v>
      </c>
      <c r="D144" s="39">
        <f>'Data entry MAA Mainz'!F144</f>
        <v>-77260.27</v>
      </c>
      <c r="E144" s="39">
        <f>'Data entry MAA Mainz'!I144</f>
        <v>-34059.46</v>
      </c>
      <c r="F144" s="39">
        <f>'Data entry MAA Mainz'!L144</f>
        <v>174602.72</v>
      </c>
      <c r="G144" s="39">
        <f>'Data entry MAA Mainz'!O144</f>
        <v>-211350.75</v>
      </c>
      <c r="H144" s="39">
        <f>'Data entry MAA Mainz'!R144</f>
        <v>27420.521400000001</v>
      </c>
      <c r="I144" s="39">
        <f>'Data entry MAA Mainz'!U144</f>
        <v>98978.8321</v>
      </c>
      <c r="J144" s="39">
        <f>'Data entry MAA Mainz'!X144</f>
        <v>65832.498099999997</v>
      </c>
      <c r="K144" s="39">
        <f>'Data entry MAA Mainz'!AA144</f>
        <v>17647.959900000002</v>
      </c>
      <c r="L144" s="39">
        <f>'Data entry MAA Mainz'!AD144</f>
        <v>201918.72930000001</v>
      </c>
      <c r="M144" s="39">
        <f>'Data entry MAA Mainz'!AG144</f>
        <v>99732.316900000005</v>
      </c>
      <c r="N144" s="39">
        <f>'Data entry MAA Mainz'!AJ144</f>
        <v>82784.556200000006</v>
      </c>
      <c r="O144" s="39">
        <f>'Data entry MAA Mainz'!AM144</f>
        <v>-8567.6414000000004</v>
      </c>
    </row>
    <row r="145" spans="2:15" ht="14" x14ac:dyDescent="0.15">
      <c r="B145" s="38" t="s">
        <v>101</v>
      </c>
      <c r="C145" s="39">
        <f>'Data entry MAA Mainz'!C145</f>
        <v>0</v>
      </c>
      <c r="D145" s="39">
        <f>'Data entry MAA Mainz'!F145</f>
        <v>0</v>
      </c>
      <c r="E145" s="39">
        <f>'Data entry MAA Mainz'!I145</f>
        <v>0</v>
      </c>
      <c r="F145" s="39">
        <f>'Data entry MAA Mainz'!L145</f>
        <v>0</v>
      </c>
      <c r="G145" s="39">
        <f>'Data entry MAA Mainz'!O145</f>
        <v>0</v>
      </c>
      <c r="H145" s="39">
        <f>'Data entry MAA Mainz'!R145</f>
        <v>0</v>
      </c>
      <c r="I145" s="39">
        <f>'Data entry MAA Mainz'!U145</f>
        <v>0</v>
      </c>
      <c r="J145" s="39">
        <f>'Data entry MAA Mainz'!X145</f>
        <v>0</v>
      </c>
      <c r="K145" s="39">
        <f>'Data entry MAA Mainz'!AA145</f>
        <v>0</v>
      </c>
      <c r="L145" s="39">
        <f>'Data entry MAA Mainz'!AD145</f>
        <v>0</v>
      </c>
      <c r="M145" s="39">
        <f>'Data entry MAA Mainz'!AG145</f>
        <v>0</v>
      </c>
      <c r="N145" s="39">
        <f>'Data entry MAA Mainz'!AJ145</f>
        <v>0</v>
      </c>
      <c r="O145" s="39">
        <f>'Data entry MAA Mainz'!AM145</f>
        <v>0</v>
      </c>
    </row>
    <row r="146" spans="2:15" x14ac:dyDescent="0.15">
      <c r="B146" s="40"/>
      <c r="C146" s="39">
        <f>'Data entry MAA Mainz'!C146</f>
        <v>0</v>
      </c>
      <c r="D146" s="39">
        <f>'Data entry MAA Mainz'!F146</f>
        <v>0</v>
      </c>
      <c r="E146" s="39">
        <f>'Data entry MAA Mainz'!I146</f>
        <v>0</v>
      </c>
      <c r="F146" s="39">
        <f>'Data entry MAA Mainz'!L146</f>
        <v>0</v>
      </c>
      <c r="G146" s="39">
        <f>'Data entry MAA Mainz'!O146</f>
        <v>0</v>
      </c>
      <c r="H146" s="39">
        <f>'Data entry MAA Mainz'!R146</f>
        <v>0</v>
      </c>
      <c r="I146" s="39">
        <f>'Data entry MAA Mainz'!U146</f>
        <v>0</v>
      </c>
      <c r="J146" s="39">
        <f>'Data entry MAA Mainz'!X146</f>
        <v>0</v>
      </c>
      <c r="K146" s="39">
        <f>'Data entry MAA Mainz'!AA146</f>
        <v>0</v>
      </c>
      <c r="L146" s="39">
        <f>'Data entry MAA Mainz'!AD146</f>
        <v>0</v>
      </c>
      <c r="M146" s="39">
        <f>'Data entry MAA Mainz'!AG146</f>
        <v>0</v>
      </c>
      <c r="N146" s="39">
        <f>'Data entry MAA Mainz'!AJ146</f>
        <v>0</v>
      </c>
      <c r="O146" s="39">
        <f>'Data entry MAA Mainz'!AM146</f>
        <v>0</v>
      </c>
    </row>
    <row r="147" spans="2:15" ht="28" x14ac:dyDescent="0.15">
      <c r="B147" s="42" t="s">
        <v>102</v>
      </c>
      <c r="C147" s="39">
        <f>'Data entry MAA Mainz'!C147</f>
        <v>437680.01250000001</v>
      </c>
      <c r="D147" s="39">
        <f>'Data entry MAA Mainz'!F147</f>
        <v>-77260.27</v>
      </c>
      <c r="E147" s="39">
        <f>'Data entry MAA Mainz'!I147</f>
        <v>-34059.46</v>
      </c>
      <c r="F147" s="39">
        <f>'Data entry MAA Mainz'!L147</f>
        <v>174602.72</v>
      </c>
      <c r="G147" s="39">
        <f>'Data entry MAA Mainz'!O147</f>
        <v>-211350.75</v>
      </c>
      <c r="H147" s="39">
        <f>'Data entry MAA Mainz'!R147</f>
        <v>27420.521400000001</v>
      </c>
      <c r="I147" s="39">
        <f>'Data entry MAA Mainz'!U147</f>
        <v>98978.8321</v>
      </c>
      <c r="J147" s="39">
        <f>'Data entry MAA Mainz'!X147</f>
        <v>65832.498099999997</v>
      </c>
      <c r="K147" s="39">
        <f>'Data entry MAA Mainz'!AA147</f>
        <v>17647.959900000002</v>
      </c>
      <c r="L147" s="39">
        <f>'Data entry MAA Mainz'!AD147</f>
        <v>201918.72930000001</v>
      </c>
      <c r="M147" s="39">
        <f>'Data entry MAA Mainz'!AG147</f>
        <v>99732.316900000005</v>
      </c>
      <c r="N147" s="39">
        <f>'Data entry MAA Mainz'!AJ147</f>
        <v>82784.556200000006</v>
      </c>
      <c r="O147" s="39">
        <f>'Data entry MAA Mainz'!AM147</f>
        <v>-8567.6414000000004</v>
      </c>
    </row>
    <row r="148" spans="2:15" ht="14" x14ac:dyDescent="0.15">
      <c r="B148" s="38" t="s">
        <v>103</v>
      </c>
      <c r="C148" s="39">
        <f>'Data entry MAA Mainz'!C148</f>
        <v>0</v>
      </c>
      <c r="D148" s="39">
        <f>'Data entry MAA Mainz'!F148</f>
        <v>0</v>
      </c>
      <c r="E148" s="39">
        <f>'Data entry MAA Mainz'!I148</f>
        <v>0</v>
      </c>
      <c r="F148" s="39">
        <f>'Data entry MAA Mainz'!L148</f>
        <v>0</v>
      </c>
      <c r="G148" s="39">
        <f>'Data entry MAA Mainz'!O148</f>
        <v>0</v>
      </c>
      <c r="H148" s="39">
        <f>'Data entry MAA Mainz'!R148</f>
        <v>0</v>
      </c>
      <c r="I148" s="39">
        <f>'Data entry MAA Mainz'!U148</f>
        <v>0</v>
      </c>
      <c r="J148" s="39">
        <f>'Data entry MAA Mainz'!X148</f>
        <v>0</v>
      </c>
      <c r="K148" s="39">
        <f>'Data entry MAA Mainz'!AA148</f>
        <v>0</v>
      </c>
      <c r="L148" s="39">
        <f>'Data entry MAA Mainz'!AD148</f>
        <v>0</v>
      </c>
      <c r="M148" s="39">
        <f>'Data entry MAA Mainz'!AG148</f>
        <v>0</v>
      </c>
      <c r="N148" s="39">
        <f>'Data entry MAA Mainz'!AJ148</f>
        <v>0</v>
      </c>
      <c r="O148" s="39">
        <f>'Data entry MAA Mainz'!AM148</f>
        <v>0</v>
      </c>
    </row>
    <row r="149" spans="2:15" x14ac:dyDescent="0.15">
      <c r="B149" s="40"/>
      <c r="C149" s="39">
        <f>'Data entry MAA Mainz'!C149</f>
        <v>0</v>
      </c>
      <c r="D149" s="39">
        <f>'Data entry MAA Mainz'!F149</f>
        <v>0</v>
      </c>
      <c r="E149" s="39">
        <f>'Data entry MAA Mainz'!I149</f>
        <v>0</v>
      </c>
      <c r="F149" s="39">
        <f>'Data entry MAA Mainz'!L149</f>
        <v>0</v>
      </c>
      <c r="G149" s="39">
        <f>'Data entry MAA Mainz'!O149</f>
        <v>0</v>
      </c>
      <c r="H149" s="39">
        <f>'Data entry MAA Mainz'!R149</f>
        <v>0</v>
      </c>
      <c r="I149" s="39">
        <f>'Data entry MAA Mainz'!U149</f>
        <v>0</v>
      </c>
      <c r="J149" s="39">
        <f>'Data entry MAA Mainz'!X149</f>
        <v>0</v>
      </c>
      <c r="K149" s="39">
        <f>'Data entry MAA Mainz'!AA149</f>
        <v>0</v>
      </c>
      <c r="L149" s="39">
        <f>'Data entry MAA Mainz'!AD149</f>
        <v>0</v>
      </c>
      <c r="M149" s="39">
        <f>'Data entry MAA Mainz'!AG149</f>
        <v>0</v>
      </c>
      <c r="N149" s="39">
        <f>'Data entry MAA Mainz'!AJ149</f>
        <v>0</v>
      </c>
      <c r="O149" s="39">
        <f>'Data entry MAA Mainz'!AM149</f>
        <v>0</v>
      </c>
    </row>
    <row r="150" spans="2:15" ht="14" x14ac:dyDescent="0.15">
      <c r="B150" s="42" t="s">
        <v>104</v>
      </c>
      <c r="C150" s="39">
        <f>'Data entry MAA Mainz'!C150</f>
        <v>437680.01250000001</v>
      </c>
      <c r="D150" s="39">
        <f>'Data entry MAA Mainz'!F150</f>
        <v>-77260.27</v>
      </c>
      <c r="E150" s="39">
        <f>'Data entry MAA Mainz'!I150</f>
        <v>-34059.46</v>
      </c>
      <c r="F150" s="39">
        <f>'Data entry MAA Mainz'!L150</f>
        <v>174602.72</v>
      </c>
      <c r="G150" s="39">
        <f>'Data entry MAA Mainz'!O150</f>
        <v>-211350.75</v>
      </c>
      <c r="H150" s="39">
        <f>'Data entry MAA Mainz'!R150</f>
        <v>27420.521400000001</v>
      </c>
      <c r="I150" s="39">
        <f>'Data entry MAA Mainz'!U150</f>
        <v>98978.8321</v>
      </c>
      <c r="J150" s="39">
        <f>'Data entry MAA Mainz'!X150</f>
        <v>65832.498099999997</v>
      </c>
      <c r="K150" s="39">
        <f>'Data entry MAA Mainz'!AA150</f>
        <v>17647.959900000002</v>
      </c>
      <c r="L150" s="39">
        <f>'Data entry MAA Mainz'!AD150</f>
        <v>201918.72930000001</v>
      </c>
      <c r="M150" s="39">
        <f>'Data entry MAA Mainz'!AG150</f>
        <v>99732.316900000005</v>
      </c>
      <c r="N150" s="39">
        <f>'Data entry MAA Mainz'!AJ150</f>
        <v>82784.556200000006</v>
      </c>
      <c r="O150" s="39">
        <f>'Data entry MAA Mainz'!AM150</f>
        <v>-8567.6414000000004</v>
      </c>
    </row>
    <row r="151" spans="2:15" x14ac:dyDescent="0.15">
      <c r="B151" s="40"/>
      <c r="C151" s="39">
        <f>'Data entry MAA Mainz'!C151</f>
        <v>0</v>
      </c>
      <c r="D151" s="39">
        <f>'Data entry MAA Mainz'!F151</f>
        <v>0</v>
      </c>
      <c r="E151" s="39">
        <f>'Data entry MAA Mainz'!I151</f>
        <v>0</v>
      </c>
      <c r="F151" s="39">
        <f>'Data entry MAA Mainz'!L151</f>
        <v>0</v>
      </c>
      <c r="G151" s="39">
        <f>'Data entry MAA Mainz'!O151</f>
        <v>0</v>
      </c>
      <c r="H151" s="39">
        <f>'Data entry MAA Mainz'!R151</f>
        <v>0</v>
      </c>
      <c r="I151" s="39">
        <f>'Data entry MAA Mainz'!U151</f>
        <v>0</v>
      </c>
      <c r="J151" s="39">
        <f>'Data entry MAA Mainz'!X151</f>
        <v>0</v>
      </c>
      <c r="K151" s="39">
        <f>'Data entry MAA Mainz'!AA151</f>
        <v>0</v>
      </c>
      <c r="L151" s="39">
        <f>'Data entry MAA Mainz'!AD151</f>
        <v>0</v>
      </c>
      <c r="M151" s="39">
        <f>'Data entry MAA Mainz'!AG151</f>
        <v>0</v>
      </c>
      <c r="N151" s="39">
        <f>'Data entry MAA Mainz'!AJ151</f>
        <v>0</v>
      </c>
      <c r="O151" s="39">
        <f>'Data entry MAA Mainz'!AM151</f>
        <v>0</v>
      </c>
    </row>
    <row r="152" spans="2:15" ht="14" x14ac:dyDescent="0.15">
      <c r="B152" s="44" t="s">
        <v>105</v>
      </c>
      <c r="C152" s="39">
        <f>'Data entry MAA Mainz'!C152</f>
        <v>0</v>
      </c>
      <c r="D152" s="39">
        <f>'Data entry MAA Mainz'!F152</f>
        <v>0</v>
      </c>
      <c r="E152" s="39">
        <f>'Data entry MAA Mainz'!I152</f>
        <v>0</v>
      </c>
      <c r="F152" s="39">
        <f>'Data entry MAA Mainz'!L152</f>
        <v>0</v>
      </c>
      <c r="G152" s="39">
        <f>'Data entry MAA Mainz'!O152</f>
        <v>0</v>
      </c>
      <c r="H152" s="39">
        <f>'Data entry MAA Mainz'!R152</f>
        <v>0</v>
      </c>
      <c r="I152" s="39">
        <f>'Data entry MAA Mainz'!U152</f>
        <v>0</v>
      </c>
      <c r="J152" s="39">
        <f>'Data entry MAA Mainz'!X152</f>
        <v>0</v>
      </c>
      <c r="K152" s="39">
        <f>'Data entry MAA Mainz'!AA152</f>
        <v>0</v>
      </c>
      <c r="L152" s="39">
        <f>'Data entry MAA Mainz'!AD152</f>
        <v>0</v>
      </c>
      <c r="M152" s="39">
        <f>'Data entry MAA Mainz'!AG152</f>
        <v>0</v>
      </c>
      <c r="N152" s="39">
        <f>'Data entry MAA Mainz'!AJ152</f>
        <v>0</v>
      </c>
      <c r="O152" s="39">
        <f>'Data entry MAA Mainz'!AM152</f>
        <v>0</v>
      </c>
    </row>
    <row r="153" spans="2:15" ht="14" x14ac:dyDescent="0.15">
      <c r="B153" s="38" t="s">
        <v>106</v>
      </c>
      <c r="C153" s="39">
        <f>'Data entry MAA Mainz'!C153</f>
        <v>445680.01250000001</v>
      </c>
      <c r="D153" s="39">
        <f>'Data entry MAA Mainz'!F153</f>
        <v>-77260.27</v>
      </c>
      <c r="E153" s="39">
        <f>'Data entry MAA Mainz'!I153</f>
        <v>-34059.46</v>
      </c>
      <c r="F153" s="39">
        <f>'Data entry MAA Mainz'!L153</f>
        <v>174602.72</v>
      </c>
      <c r="G153" s="39">
        <f>'Data entry MAA Mainz'!O153</f>
        <v>-211350.75</v>
      </c>
      <c r="H153" s="39">
        <f>'Data entry MAA Mainz'!R153</f>
        <v>28420.521400000001</v>
      </c>
      <c r="I153" s="39">
        <f>'Data entry MAA Mainz'!U153</f>
        <v>99978.8321</v>
      </c>
      <c r="J153" s="39">
        <f>'Data entry MAA Mainz'!X153</f>
        <v>66832.498099999997</v>
      </c>
      <c r="K153" s="39">
        <f>'Data entry MAA Mainz'!AA153</f>
        <v>18647.959900000002</v>
      </c>
      <c r="L153" s="39">
        <f>'Data entry MAA Mainz'!AD153</f>
        <v>202918.72930000001</v>
      </c>
      <c r="M153" s="39">
        <f>'Data entry MAA Mainz'!AG153</f>
        <v>100732.31690000001</v>
      </c>
      <c r="N153" s="39">
        <f>'Data entry MAA Mainz'!AJ153</f>
        <v>83784.556200000006</v>
      </c>
      <c r="O153" s="39">
        <f>'Data entry MAA Mainz'!AM153</f>
        <v>-7567.6414000000004</v>
      </c>
    </row>
    <row r="154" spans="2:15" ht="14" x14ac:dyDescent="0.15">
      <c r="B154" s="38" t="s">
        <v>107</v>
      </c>
      <c r="C154" s="39">
        <f>'Data entry MAA Mainz'!C154</f>
        <v>437680.01250000001</v>
      </c>
      <c r="D154" s="39">
        <f>'Data entry MAA Mainz'!F154</f>
        <v>-77260.27</v>
      </c>
      <c r="E154" s="39">
        <f>'Data entry MAA Mainz'!I154</f>
        <v>-34059.46</v>
      </c>
      <c r="F154" s="39">
        <f>'Data entry MAA Mainz'!L154</f>
        <v>174602.72</v>
      </c>
      <c r="G154" s="39">
        <f>'Data entry MAA Mainz'!O154</f>
        <v>-211350.75</v>
      </c>
      <c r="H154" s="39">
        <f>'Data entry MAA Mainz'!R154</f>
        <v>27420.521400000001</v>
      </c>
      <c r="I154" s="39">
        <f>'Data entry MAA Mainz'!U154</f>
        <v>98978.8321</v>
      </c>
      <c r="J154" s="39">
        <f>'Data entry MAA Mainz'!X154</f>
        <v>65832.498099999997</v>
      </c>
      <c r="K154" s="39">
        <f>'Data entry MAA Mainz'!AA154</f>
        <v>17647.959900000002</v>
      </c>
      <c r="L154" s="39">
        <f>'Data entry MAA Mainz'!AD154</f>
        <v>201918.72930000001</v>
      </c>
      <c r="M154" s="39">
        <f>'Data entry MAA Mainz'!AG154</f>
        <v>99732.316900000005</v>
      </c>
      <c r="N154" s="39">
        <f>'Data entry MAA Mainz'!AJ154</f>
        <v>82784.556200000006</v>
      </c>
      <c r="O154" s="39">
        <f>'Data entry MAA Mainz'!AM154</f>
        <v>-8567.6414000000004</v>
      </c>
    </row>
    <row r="155" spans="2:15" ht="14" x14ac:dyDescent="0.15">
      <c r="B155" s="42" t="s">
        <v>108</v>
      </c>
      <c r="C155" s="39">
        <f>'Data entry MAA Mainz'!C155</f>
        <v>273513.84330000001</v>
      </c>
      <c r="D155" s="39">
        <f>'Data entry MAA Mainz'!F155</f>
        <v>16454.75</v>
      </c>
      <c r="E155" s="39">
        <f>'Data entry MAA Mainz'!I155</f>
        <v>18928.669999999998</v>
      </c>
      <c r="F155" s="39">
        <f>'Data entry MAA Mainz'!L155</f>
        <v>22706.240000000002</v>
      </c>
      <c r="G155" s="39">
        <f>'Data entry MAA Mainz'!O155</f>
        <v>15360.57</v>
      </c>
      <c r="H155" s="39">
        <f>'Data entry MAA Mainz'!R155</f>
        <v>22504.964400000001</v>
      </c>
      <c r="I155" s="39">
        <f>'Data entry MAA Mainz'!U155</f>
        <v>26635.78</v>
      </c>
      <c r="J155" s="39">
        <f>'Data entry MAA Mainz'!X155</f>
        <v>24226.096799999999</v>
      </c>
      <c r="K155" s="39">
        <f>'Data entry MAA Mainz'!AA155</f>
        <v>21144.2853</v>
      </c>
      <c r="L155" s="39">
        <f>'Data entry MAA Mainz'!AD155</f>
        <v>32545.0733</v>
      </c>
      <c r="M155" s="39">
        <f>'Data entry MAA Mainz'!AG155</f>
        <v>26798.6086</v>
      </c>
      <c r="N155" s="39">
        <f>'Data entry MAA Mainz'!AJ155</f>
        <v>26365.6332</v>
      </c>
      <c r="O155" s="39">
        <f>'Data entry MAA Mainz'!AM155</f>
        <v>19843.171699999999</v>
      </c>
    </row>
    <row r="156" spans="2:15" ht="14" x14ac:dyDescent="0.15">
      <c r="B156" s="38" t="s">
        <v>109</v>
      </c>
      <c r="C156" s="39">
        <f>'Data entry MAA Mainz'!C156</f>
        <v>0</v>
      </c>
      <c r="D156" s="39">
        <f>'Data entry MAA Mainz'!F156</f>
        <v>0</v>
      </c>
      <c r="E156" s="39">
        <f>'Data entry MAA Mainz'!I156</f>
        <v>0</v>
      </c>
      <c r="F156" s="39">
        <f>'Data entry MAA Mainz'!L156</f>
        <v>0</v>
      </c>
      <c r="G156" s="39">
        <f>'Data entry MAA Mainz'!O156</f>
        <v>0</v>
      </c>
      <c r="H156" s="39">
        <f>'Data entry MAA Mainz'!R156</f>
        <v>0</v>
      </c>
      <c r="I156" s="39">
        <f>'Data entry MAA Mainz'!U156</f>
        <v>0</v>
      </c>
      <c r="J156" s="39">
        <f>'Data entry MAA Mainz'!X156</f>
        <v>0</v>
      </c>
      <c r="K156" s="39">
        <f>'Data entry MAA Mainz'!AA156</f>
        <v>0</v>
      </c>
      <c r="L156" s="39">
        <f>'Data entry MAA Mainz'!AD156</f>
        <v>0</v>
      </c>
      <c r="M156" s="39">
        <f>'Data entry MAA Mainz'!AG156</f>
        <v>0</v>
      </c>
      <c r="N156" s="39">
        <f>'Data entry MAA Mainz'!AJ156</f>
        <v>0</v>
      </c>
      <c r="O156" s="39">
        <f>'Data entry MAA Mainz'!AM156</f>
        <v>0</v>
      </c>
    </row>
    <row r="157" spans="2:15" ht="14" x14ac:dyDescent="0.15">
      <c r="B157" s="38" t="s">
        <v>110</v>
      </c>
      <c r="C157" s="39">
        <f>'Data entry MAA Mainz'!C157</f>
        <v>0</v>
      </c>
      <c r="D157" s="39">
        <f>'Data entry MAA Mainz'!F157</f>
        <v>0</v>
      </c>
      <c r="E157" s="39">
        <f>'Data entry MAA Mainz'!I157</f>
        <v>0</v>
      </c>
      <c r="F157" s="39">
        <f>'Data entry MAA Mainz'!L157</f>
        <v>0</v>
      </c>
      <c r="G157" s="39">
        <f>'Data entry MAA Mainz'!O157</f>
        <v>0</v>
      </c>
      <c r="H157" s="39">
        <f>'Data entry MAA Mainz'!R157</f>
        <v>0</v>
      </c>
      <c r="I157" s="39">
        <f>'Data entry MAA Mainz'!U157</f>
        <v>0</v>
      </c>
      <c r="J157" s="39">
        <f>'Data entry MAA Mainz'!X157</f>
        <v>0</v>
      </c>
      <c r="K157" s="39">
        <f>'Data entry MAA Mainz'!AA157</f>
        <v>0</v>
      </c>
      <c r="L157" s="39">
        <f>'Data entry MAA Mainz'!AD157</f>
        <v>0</v>
      </c>
      <c r="M157" s="39">
        <f>'Data entry MAA Mainz'!AG157</f>
        <v>0</v>
      </c>
      <c r="N157" s="39">
        <f>'Data entry MAA Mainz'!AJ157</f>
        <v>0</v>
      </c>
      <c r="O157" s="39">
        <f>'Data entry MAA Mainz'!AM157</f>
        <v>0</v>
      </c>
    </row>
    <row r="158" spans="2:15" ht="14" x14ac:dyDescent="0.15">
      <c r="B158" s="38" t="s">
        <v>111</v>
      </c>
      <c r="C158" s="39">
        <f>'Data entry MAA Mainz'!C158</f>
        <v>38640</v>
      </c>
      <c r="D158" s="39">
        <f>'Data entry MAA Mainz'!F158</f>
        <v>3000</v>
      </c>
      <c r="E158" s="39">
        <f>'Data entry MAA Mainz'!I158</f>
        <v>3000</v>
      </c>
      <c r="F158" s="39">
        <f>'Data entry MAA Mainz'!L158</f>
        <v>3000</v>
      </c>
      <c r="G158" s="39">
        <f>'Data entry MAA Mainz'!O158</f>
        <v>3000</v>
      </c>
      <c r="H158" s="39">
        <f>'Data entry MAA Mainz'!R158</f>
        <v>3330</v>
      </c>
      <c r="I158" s="39">
        <f>'Data entry MAA Mainz'!U158</f>
        <v>3330</v>
      </c>
      <c r="J158" s="39">
        <f>'Data entry MAA Mainz'!X158</f>
        <v>3330</v>
      </c>
      <c r="K158" s="39">
        <f>'Data entry MAA Mainz'!AA158</f>
        <v>3330</v>
      </c>
      <c r="L158" s="39">
        <f>'Data entry MAA Mainz'!AD158</f>
        <v>3330</v>
      </c>
      <c r="M158" s="39">
        <f>'Data entry MAA Mainz'!AG158</f>
        <v>3330</v>
      </c>
      <c r="N158" s="39">
        <f>'Data entry MAA Mainz'!AJ158</f>
        <v>3330</v>
      </c>
      <c r="O158" s="39">
        <f>'Data entry MAA Mainz'!AM158</f>
        <v>3330</v>
      </c>
    </row>
    <row r="159" spans="2:15" ht="14" x14ac:dyDescent="0.15">
      <c r="B159" s="38" t="s">
        <v>112</v>
      </c>
      <c r="C159" s="39">
        <f>'Data entry MAA Mainz'!C159</f>
        <v>58754.773200000003</v>
      </c>
      <c r="D159" s="39">
        <f>'Data entry MAA Mainz'!F159</f>
        <v>4982.74</v>
      </c>
      <c r="E159" s="39">
        <f>'Data entry MAA Mainz'!I159</f>
        <v>2399.4299999999998</v>
      </c>
      <c r="F159" s="39">
        <f>'Data entry MAA Mainz'!L159</f>
        <v>4926.5600000000004</v>
      </c>
      <c r="G159" s="39">
        <f>'Data entry MAA Mainz'!O159</f>
        <v>3090.14</v>
      </c>
      <c r="H159" s="39">
        <f>'Data entry MAA Mainz'!R159</f>
        <v>4793.7411000000002</v>
      </c>
      <c r="I159" s="39">
        <f>'Data entry MAA Mainz'!U159</f>
        <v>5826.4449999999997</v>
      </c>
      <c r="J159" s="39">
        <f>'Data entry MAA Mainz'!X159</f>
        <v>5224.0241999999998</v>
      </c>
      <c r="K159" s="39">
        <f>'Data entry MAA Mainz'!AA159</f>
        <v>4453.5712999999996</v>
      </c>
      <c r="L159" s="39">
        <f>'Data entry MAA Mainz'!AD159</f>
        <v>7303.7682999999997</v>
      </c>
      <c r="M159" s="39">
        <f>'Data entry MAA Mainz'!AG159</f>
        <v>5867.1521000000002</v>
      </c>
      <c r="N159" s="39">
        <f>'Data entry MAA Mainz'!AJ159</f>
        <v>5758.9083000000001</v>
      </c>
      <c r="O159" s="39">
        <f>'Data entry MAA Mainz'!AM159</f>
        <v>4128.2929000000004</v>
      </c>
    </row>
    <row r="160" spans="2:15" ht="14" x14ac:dyDescent="0.15">
      <c r="B160" s="38" t="s">
        <v>113</v>
      </c>
      <c r="C160" s="39">
        <f>'Data entry MAA Mainz'!C160</f>
        <v>176155.38</v>
      </c>
      <c r="D160" s="39">
        <f>'Data entry MAA Mainz'!F160</f>
        <v>10091.06</v>
      </c>
      <c r="E160" s="39">
        <f>'Data entry MAA Mainz'!I160</f>
        <v>11946.5</v>
      </c>
      <c r="F160" s="39">
        <f>'Data entry MAA Mainz'!L160</f>
        <v>14779.68</v>
      </c>
      <c r="G160" s="39">
        <f>'Data entry MAA Mainz'!O160</f>
        <v>9270.43</v>
      </c>
      <c r="H160" s="39">
        <f>'Data entry MAA Mainz'!R160</f>
        <v>14381.2233</v>
      </c>
      <c r="I160" s="39">
        <f>'Data entry MAA Mainz'!U160</f>
        <v>17479.334999999999</v>
      </c>
      <c r="J160" s="39">
        <f>'Data entry MAA Mainz'!X160</f>
        <v>15672.0726</v>
      </c>
      <c r="K160" s="39">
        <f>'Data entry MAA Mainz'!AA160</f>
        <v>13360.714</v>
      </c>
      <c r="L160" s="39">
        <f>'Data entry MAA Mainz'!AD160</f>
        <v>21911.305</v>
      </c>
      <c r="M160" s="39">
        <f>'Data entry MAA Mainz'!AG160</f>
        <v>17601.456399999999</v>
      </c>
      <c r="N160" s="39">
        <f>'Data entry MAA Mainz'!AJ160</f>
        <v>17276.724900000001</v>
      </c>
      <c r="O160" s="39">
        <f>'Data entry MAA Mainz'!AM160</f>
        <v>12384.8788</v>
      </c>
    </row>
    <row r="161" spans="2:15" ht="14" x14ac:dyDescent="0.15">
      <c r="B161" s="38" t="s">
        <v>114</v>
      </c>
      <c r="C161" s="39">
        <f>'Data entry MAA Mainz'!C161</f>
        <v>58718.463199999998</v>
      </c>
      <c r="D161" s="39">
        <f>'Data entry MAA Mainz'!F161</f>
        <v>3363.69</v>
      </c>
      <c r="E161" s="39">
        <f>'Data entry MAA Mainz'!I161</f>
        <v>3982.17</v>
      </c>
      <c r="F161" s="39">
        <f>'Data entry MAA Mainz'!L161</f>
        <v>4926.5600000000004</v>
      </c>
      <c r="G161" s="39">
        <f>'Data entry MAA Mainz'!O161</f>
        <v>3090.14</v>
      </c>
      <c r="H161" s="39">
        <f>'Data entry MAA Mainz'!R161</f>
        <v>4793.7411000000002</v>
      </c>
      <c r="I161" s="39">
        <f>'Data entry MAA Mainz'!U161</f>
        <v>5826.4449999999997</v>
      </c>
      <c r="J161" s="39">
        <f>'Data entry MAA Mainz'!X161</f>
        <v>5224.0241999999998</v>
      </c>
      <c r="K161" s="39">
        <f>'Data entry MAA Mainz'!AA161</f>
        <v>4453.5712999999996</v>
      </c>
      <c r="L161" s="39">
        <f>'Data entry MAA Mainz'!AD161</f>
        <v>7303.7682999999997</v>
      </c>
      <c r="M161" s="39">
        <f>'Data entry MAA Mainz'!AG161</f>
        <v>5867.1521000000002</v>
      </c>
      <c r="N161" s="39">
        <f>'Data entry MAA Mainz'!AJ161</f>
        <v>5758.9083000000001</v>
      </c>
      <c r="O161" s="39">
        <f>'Data entry MAA Mainz'!AM161</f>
        <v>4128.2929000000004</v>
      </c>
    </row>
    <row r="162" spans="2:15" ht="14" x14ac:dyDescent="0.15">
      <c r="B162" s="42" t="s">
        <v>115</v>
      </c>
      <c r="C162" s="39">
        <f>'Data entry MAA Mainz'!C162</f>
        <v>389575.02769999998</v>
      </c>
      <c r="D162" s="39">
        <f>'Data entry MAA Mainz'!F162</f>
        <v>26160.13</v>
      </c>
      <c r="E162" s="39">
        <f>'Data entry MAA Mainz'!I162</f>
        <v>39486.93</v>
      </c>
      <c r="F162" s="39">
        <f>'Data entry MAA Mainz'!L162</f>
        <v>30045.58</v>
      </c>
      <c r="G162" s="39">
        <f>'Data entry MAA Mainz'!O162</f>
        <v>22751.8</v>
      </c>
      <c r="H162" s="39">
        <f>'Data entry MAA Mainz'!R162</f>
        <v>29845.5651</v>
      </c>
      <c r="I162" s="39">
        <f>'Data entry MAA Mainz'!U162</f>
        <v>37392.0412</v>
      </c>
      <c r="J162" s="39">
        <f>'Data entry MAA Mainz'!X162</f>
        <v>31014.605100000001</v>
      </c>
      <c r="K162" s="39">
        <f>'Data entry MAA Mainz'!AA162</f>
        <v>27486.347399999999</v>
      </c>
      <c r="L162" s="39">
        <f>'Data entry MAA Mainz'!AD162</f>
        <v>47409.103199999998</v>
      </c>
      <c r="M162" s="39">
        <f>'Data entry MAA Mainz'!AG162</f>
        <v>36605.891799999998</v>
      </c>
      <c r="N162" s="39">
        <f>'Data entry MAA Mainz'!AJ162</f>
        <v>35909.521699999998</v>
      </c>
      <c r="O162" s="39">
        <f>'Data entry MAA Mainz'!AM162</f>
        <v>25467.512200000001</v>
      </c>
    </row>
    <row r="163" spans="2:15" ht="14" x14ac:dyDescent="0.15">
      <c r="B163" s="38" t="s">
        <v>116</v>
      </c>
      <c r="C163" s="39">
        <f>'Data entry MAA Mainz'!C163</f>
        <v>159808.49280000001</v>
      </c>
      <c r="D163" s="39">
        <f>'Data entry MAA Mainz'!F163</f>
        <v>8753.57</v>
      </c>
      <c r="E163" s="39">
        <f>'Data entry MAA Mainz'!I163</f>
        <v>12936.71</v>
      </c>
      <c r="F163" s="39">
        <f>'Data entry MAA Mainz'!L163</f>
        <v>11580.69</v>
      </c>
      <c r="G163" s="39">
        <f>'Data entry MAA Mainz'!O163</f>
        <v>8375.08</v>
      </c>
      <c r="H163" s="39">
        <f>'Data entry MAA Mainz'!R163</f>
        <v>13005.8045</v>
      </c>
      <c r="I163" s="39">
        <f>'Data entry MAA Mainz'!U163</f>
        <v>16370.0008</v>
      </c>
      <c r="J163" s="39">
        <f>'Data entry MAA Mainz'!X163</f>
        <v>13386.8</v>
      </c>
      <c r="K163" s="39">
        <f>'Data entry MAA Mainz'!AA163</f>
        <v>11959.573399999999</v>
      </c>
      <c r="L163" s="39">
        <f>'Data entry MAA Mainz'!AD163</f>
        <v>20773.447899999999</v>
      </c>
      <c r="M163" s="39">
        <f>'Data entry MAA Mainz'!AG163</f>
        <v>15943.292299999999</v>
      </c>
      <c r="N163" s="39">
        <f>'Data entry MAA Mainz'!AJ163</f>
        <v>15639.357900000001</v>
      </c>
      <c r="O163" s="39">
        <f>'Data entry MAA Mainz'!AM163</f>
        <v>11084.165999999999</v>
      </c>
    </row>
    <row r="164" spans="2:15" ht="14" x14ac:dyDescent="0.15">
      <c r="B164" s="38" t="s">
        <v>117</v>
      </c>
      <c r="C164" s="39">
        <f>'Data entry MAA Mainz'!C164</f>
        <v>150444.36470000001</v>
      </c>
      <c r="D164" s="39">
        <f>'Data entry MAA Mainz'!F164</f>
        <v>8625.89</v>
      </c>
      <c r="E164" s="39">
        <f>'Data entry MAA Mainz'!I164</f>
        <v>18535.23</v>
      </c>
      <c r="F164" s="39">
        <f>'Data entry MAA Mainz'!L164</f>
        <v>11464.89</v>
      </c>
      <c r="G164" s="39">
        <f>'Data entry MAA Mainz'!O164</f>
        <v>7376.72</v>
      </c>
      <c r="H164" s="39">
        <f>'Data entry MAA Mainz'!R164</f>
        <v>11490.134700000001</v>
      </c>
      <c r="I164" s="39">
        <f>'Data entry MAA Mainz'!U164</f>
        <v>14387.1034</v>
      </c>
      <c r="J164" s="39">
        <f>'Data entry MAA Mainz'!X164</f>
        <v>11975.953</v>
      </c>
      <c r="K164" s="39">
        <f>'Data entry MAA Mainz'!AA164</f>
        <v>10586.371499999999</v>
      </c>
      <c r="L164" s="39">
        <f>'Data entry MAA Mainz'!AD164</f>
        <v>18255.554400000001</v>
      </c>
      <c r="M164" s="39">
        <f>'Data entry MAA Mainz'!AG164</f>
        <v>14104.8423</v>
      </c>
      <c r="N164" s="39">
        <f>'Data entry MAA Mainz'!AJ164</f>
        <v>13835.999299999999</v>
      </c>
      <c r="O164" s="39">
        <f>'Data entry MAA Mainz'!AM164</f>
        <v>9805.6761000000006</v>
      </c>
    </row>
    <row r="165" spans="2:15" ht="14" x14ac:dyDescent="0.15">
      <c r="B165" s="38" t="s">
        <v>118</v>
      </c>
      <c r="C165" s="39">
        <f>'Data entry MAA Mainz'!C165</f>
        <v>33444.148500000003</v>
      </c>
      <c r="D165" s="39">
        <f>'Data entry MAA Mainz'!F165</f>
        <v>2110.5</v>
      </c>
      <c r="E165" s="39">
        <f>'Data entry MAA Mainz'!I165</f>
        <v>2485.09</v>
      </c>
      <c r="F165" s="39">
        <f>'Data entry MAA Mainz'!L165</f>
        <v>1000</v>
      </c>
      <c r="G165" s="39">
        <f>'Data entry MAA Mainz'!O165</f>
        <v>1000</v>
      </c>
      <c r="H165" s="39">
        <f>'Data entry MAA Mainz'!R165</f>
        <v>2952.7552999999998</v>
      </c>
      <c r="I165" s="39">
        <f>'Data entry MAA Mainz'!U165</f>
        <v>3721.7145</v>
      </c>
      <c r="J165" s="39">
        <f>'Data entry MAA Mainz'!X165</f>
        <v>3039.84</v>
      </c>
      <c r="K165" s="39">
        <f>'Data entry MAA Mainz'!AA165</f>
        <v>2713.6167999999998</v>
      </c>
      <c r="L165" s="39">
        <f>'Data entry MAA Mainz'!AD165</f>
        <v>4728.2166999999999</v>
      </c>
      <c r="M165" s="39">
        <f>'Data entry MAA Mainz'!AG165</f>
        <v>3624.1810999999998</v>
      </c>
      <c r="N165" s="39">
        <f>'Data entry MAA Mainz'!AJ165</f>
        <v>3554.7103999999999</v>
      </c>
      <c r="O165" s="39">
        <f>'Data entry MAA Mainz'!AM165</f>
        <v>2513.5237000000002</v>
      </c>
    </row>
    <row r="166" spans="2:15" ht="14" x14ac:dyDescent="0.15">
      <c r="B166" s="38" t="s">
        <v>119</v>
      </c>
      <c r="C166" s="39">
        <f>'Data entry MAA Mainz'!C166</f>
        <v>45878.021800000002</v>
      </c>
      <c r="D166" s="39">
        <f>'Data entry MAA Mainz'!F166</f>
        <v>6670.17</v>
      </c>
      <c r="E166" s="39">
        <f>'Data entry MAA Mainz'!I166</f>
        <v>5529.9</v>
      </c>
      <c r="F166" s="39">
        <f>'Data entry MAA Mainz'!L166</f>
        <v>6000</v>
      </c>
      <c r="G166" s="39">
        <f>'Data entry MAA Mainz'!O166</f>
        <v>6000</v>
      </c>
      <c r="H166" s="39">
        <f>'Data entry MAA Mainz'!R166</f>
        <v>2396.8705</v>
      </c>
      <c r="I166" s="39">
        <f>'Data entry MAA Mainz'!U166</f>
        <v>2913.2224999999999</v>
      </c>
      <c r="J166" s="39">
        <f>'Data entry MAA Mainz'!X166</f>
        <v>2612.0120999999999</v>
      </c>
      <c r="K166" s="39">
        <f>'Data entry MAA Mainz'!AA166</f>
        <v>2226.7856999999999</v>
      </c>
      <c r="L166" s="39">
        <f>'Data entry MAA Mainz'!AD166</f>
        <v>3651.8842</v>
      </c>
      <c r="M166" s="39">
        <f>'Data entry MAA Mainz'!AG166</f>
        <v>2933.5761000000002</v>
      </c>
      <c r="N166" s="39">
        <f>'Data entry MAA Mainz'!AJ166</f>
        <v>2879.4542000000001</v>
      </c>
      <c r="O166" s="39">
        <f>'Data entry MAA Mainz'!AM166</f>
        <v>2064.1464999999998</v>
      </c>
    </row>
    <row r="168" spans="2:15" ht="14" x14ac:dyDescent="0.15">
      <c r="B168" s="33" t="s">
        <v>160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F5C0-E42E-440D-A8C3-1253D7F19FF0}">
  <sheetPr>
    <pageSetUpPr fitToPage="1"/>
  </sheetPr>
  <dimension ref="B2:AN173"/>
  <sheetViews>
    <sheetView workbookViewId="0">
      <pane xSplit="2" ySplit="10" topLeftCell="AD11" activePane="bottomRight" state="frozen"/>
      <selection activeCell="A11" sqref="A11:XFD168"/>
      <selection pane="topRight" activeCell="A11" sqref="A11:XFD168"/>
      <selection pane="bottomLeft" activeCell="A11" sqref="A11:XFD168"/>
      <selection pane="bottomRight" activeCell="B10" sqref="B10:AN168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159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s="314" customFormat="1" ht="12.75" customHeight="1" x14ac:dyDescent="0.15">
      <c r="B11" s="5" t="s">
        <v>21</v>
      </c>
      <c r="C11" s="6">
        <v>5861516.2841999996</v>
      </c>
      <c r="D11" s="7">
        <v>1</v>
      </c>
      <c r="E11"/>
      <c r="F11" s="6">
        <v>332182.77</v>
      </c>
      <c r="G11" s="7">
        <v>1</v>
      </c>
      <c r="H11"/>
      <c r="I11" s="6">
        <v>391884.16</v>
      </c>
      <c r="J11" s="7">
        <v>1</v>
      </c>
      <c r="K11"/>
      <c r="L11" s="6">
        <v>492759.99</v>
      </c>
      <c r="M11" s="7">
        <v>1</v>
      </c>
      <c r="N11"/>
      <c r="O11" s="6">
        <v>309099.03000000003</v>
      </c>
      <c r="P11" s="7">
        <v>1</v>
      </c>
      <c r="Q11"/>
      <c r="R11" s="6">
        <v>479374.109</v>
      </c>
      <c r="S11" s="7">
        <v>1</v>
      </c>
      <c r="T11"/>
      <c r="U11" s="6">
        <v>582644.50089999998</v>
      </c>
      <c r="V11" s="7">
        <v>1</v>
      </c>
      <c r="W11"/>
      <c r="X11" s="6">
        <v>522402.41970000003</v>
      </c>
      <c r="Y11" s="7">
        <v>1</v>
      </c>
      <c r="Z11"/>
      <c r="AA11" s="6">
        <v>445357.13280000002</v>
      </c>
      <c r="AB11" s="7">
        <v>1</v>
      </c>
      <c r="AC11"/>
      <c r="AD11" s="6">
        <v>730376.8334</v>
      </c>
      <c r="AE11" s="7">
        <v>1</v>
      </c>
      <c r="AF11"/>
      <c r="AG11" s="6">
        <v>586715.21479999996</v>
      </c>
      <c r="AH11" s="7">
        <v>1</v>
      </c>
      <c r="AI11"/>
      <c r="AJ11" s="6">
        <v>575890.83050000004</v>
      </c>
      <c r="AK11" s="7">
        <v>1</v>
      </c>
      <c r="AL11"/>
      <c r="AM11" s="6">
        <v>412829.29310000001</v>
      </c>
      <c r="AN11" s="7">
        <v>1</v>
      </c>
    </row>
    <row r="12" spans="2:40" s="314" customFormat="1" ht="12.75" customHeight="1" x14ac:dyDescent="0.15">
      <c r="B12" s="5" t="s">
        <v>22</v>
      </c>
      <c r="C12" s="6">
        <v>1576813.7568999999</v>
      </c>
      <c r="D12" s="7">
        <v>0.26901123999999998</v>
      </c>
      <c r="E12"/>
      <c r="F12" s="6">
        <v>132517.04999999999</v>
      </c>
      <c r="G12" s="7">
        <v>0.39892812999999999</v>
      </c>
      <c r="H12"/>
      <c r="I12" s="6">
        <v>125966.28</v>
      </c>
      <c r="J12" s="7">
        <v>0.32143754000000002</v>
      </c>
      <c r="K12"/>
      <c r="L12" s="6">
        <v>127875.29</v>
      </c>
      <c r="M12" s="7">
        <v>0.25950825999999999</v>
      </c>
      <c r="N12"/>
      <c r="O12" s="6">
        <v>116725.01</v>
      </c>
      <c r="P12" s="7">
        <v>0.37762982</v>
      </c>
      <c r="Q12"/>
      <c r="R12" s="6">
        <v>136797.8204</v>
      </c>
      <c r="S12" s="7">
        <v>0.28536756000000002</v>
      </c>
      <c r="T12"/>
      <c r="U12" s="6">
        <v>139444.5263</v>
      </c>
      <c r="V12" s="7">
        <v>0.23933036999999999</v>
      </c>
      <c r="W12"/>
      <c r="X12" s="6">
        <v>129260.92720000001</v>
      </c>
      <c r="Y12" s="7">
        <v>0.24743554000000001</v>
      </c>
      <c r="Z12"/>
      <c r="AA12" s="6">
        <v>125860.463</v>
      </c>
      <c r="AB12" s="7">
        <v>0.28260570000000002</v>
      </c>
      <c r="AC12"/>
      <c r="AD12" s="6">
        <v>144123.55439999999</v>
      </c>
      <c r="AE12" s="7">
        <v>0.19732765999999999</v>
      </c>
      <c r="AF12"/>
      <c r="AG12" s="6">
        <v>138085.446</v>
      </c>
      <c r="AH12" s="7">
        <v>0.23535344</v>
      </c>
      <c r="AI12"/>
      <c r="AJ12" s="6">
        <v>138622.80300000001</v>
      </c>
      <c r="AK12" s="7">
        <v>0.24071021000000001</v>
      </c>
      <c r="AL12"/>
      <c r="AM12" s="6">
        <v>121534.5866</v>
      </c>
      <c r="AN12" s="7">
        <v>0.29439429</v>
      </c>
    </row>
    <row r="13" spans="2:40" s="314" customFormat="1" ht="12.75" customHeight="1" x14ac:dyDescent="0.15">
      <c r="B13" s="5" t="s">
        <v>23</v>
      </c>
      <c r="C13" s="6">
        <v>2177015.1627000002</v>
      </c>
      <c r="D13" s="7">
        <v>0</v>
      </c>
      <c r="E13"/>
      <c r="F13" s="6">
        <v>58077.26</v>
      </c>
      <c r="G13" s="7">
        <v>0</v>
      </c>
      <c r="H13"/>
      <c r="I13" s="6">
        <v>102659.81</v>
      </c>
      <c r="J13" s="7">
        <v>0</v>
      </c>
      <c r="K13"/>
      <c r="L13" s="6">
        <v>198320.99</v>
      </c>
      <c r="M13" s="7">
        <v>0</v>
      </c>
      <c r="N13"/>
      <c r="O13" s="6">
        <v>50703.11</v>
      </c>
      <c r="P13" s="7">
        <v>0</v>
      </c>
      <c r="Q13"/>
      <c r="R13" s="6">
        <v>171354.318</v>
      </c>
      <c r="S13" s="7">
        <v>0</v>
      </c>
      <c r="T13"/>
      <c r="U13" s="6">
        <v>249108.85219999999</v>
      </c>
      <c r="V13" s="7">
        <v>0</v>
      </c>
      <c r="W13"/>
      <c r="X13" s="6">
        <v>212347.9933</v>
      </c>
      <c r="Y13" s="7">
        <v>0</v>
      </c>
      <c r="Z13"/>
      <c r="AA13" s="6">
        <v>159540.7378</v>
      </c>
      <c r="AB13" s="7">
        <v>0</v>
      </c>
      <c r="AC13"/>
      <c r="AD13" s="6">
        <v>360912.68930000003</v>
      </c>
      <c r="AE13" s="7">
        <v>0</v>
      </c>
      <c r="AF13"/>
      <c r="AG13" s="6">
        <v>250106.57980000001</v>
      </c>
      <c r="AH13" s="7">
        <v>0</v>
      </c>
      <c r="AI13"/>
      <c r="AJ13" s="6">
        <v>232509.3561</v>
      </c>
      <c r="AK13" s="7">
        <v>0</v>
      </c>
      <c r="AL13"/>
      <c r="AM13" s="6">
        <v>131373.4662</v>
      </c>
      <c r="AN13" s="7">
        <v>0</v>
      </c>
    </row>
    <row r="14" spans="2:40" s="314" customFormat="1" ht="12.75" customHeight="1" x14ac:dyDescent="0.15">
      <c r="B14" s="5" t="s">
        <v>24</v>
      </c>
      <c r="C14" s="8">
        <v>59130</v>
      </c>
      <c r="D14" s="7">
        <v>0</v>
      </c>
      <c r="E14"/>
      <c r="F14" s="8">
        <v>5022</v>
      </c>
      <c r="G14" s="7">
        <v>0</v>
      </c>
      <c r="H14"/>
      <c r="I14" s="8">
        <v>4536</v>
      </c>
      <c r="J14" s="7">
        <v>0</v>
      </c>
      <c r="K14"/>
      <c r="L14" s="8">
        <v>5022</v>
      </c>
      <c r="M14" s="7">
        <v>0</v>
      </c>
      <c r="N14"/>
      <c r="O14" s="8">
        <v>4860</v>
      </c>
      <c r="P14" s="7">
        <v>0</v>
      </c>
      <c r="Q14"/>
      <c r="R14" s="8">
        <v>5022</v>
      </c>
      <c r="S14" s="7">
        <v>0</v>
      </c>
      <c r="T14"/>
      <c r="U14" s="8">
        <v>4860</v>
      </c>
      <c r="V14" s="7">
        <v>0</v>
      </c>
      <c r="W14"/>
      <c r="X14" s="8">
        <v>5022</v>
      </c>
      <c r="Y14" s="7">
        <v>0</v>
      </c>
      <c r="Z14"/>
      <c r="AA14" s="8">
        <v>5022</v>
      </c>
      <c r="AB14" s="7">
        <v>0</v>
      </c>
      <c r="AC14"/>
      <c r="AD14" s="8">
        <v>4860</v>
      </c>
      <c r="AE14" s="7">
        <v>0</v>
      </c>
      <c r="AF14"/>
      <c r="AG14" s="8">
        <v>5022</v>
      </c>
      <c r="AH14" s="7">
        <v>0</v>
      </c>
      <c r="AI14"/>
      <c r="AJ14" s="8">
        <v>4860</v>
      </c>
      <c r="AK14" s="7">
        <v>0</v>
      </c>
      <c r="AL14"/>
      <c r="AM14" s="8">
        <v>5022</v>
      </c>
      <c r="AN14" s="7">
        <v>0</v>
      </c>
    </row>
    <row r="15" spans="2:40" s="314" customFormat="1" ht="12.75" customHeight="1" x14ac:dyDescent="0.15">
      <c r="B15" s="5" t="s">
        <v>25</v>
      </c>
      <c r="C15" s="9">
        <v>36720</v>
      </c>
      <c r="D15" s="7">
        <v>0</v>
      </c>
      <c r="E15"/>
      <c r="F15" s="9">
        <v>2183</v>
      </c>
      <c r="G15" s="7">
        <v>0</v>
      </c>
      <c r="H15"/>
      <c r="I15" s="9">
        <v>2593</v>
      </c>
      <c r="J15" s="7">
        <v>0</v>
      </c>
      <c r="K15"/>
      <c r="L15" s="9">
        <v>3149</v>
      </c>
      <c r="M15" s="7">
        <v>0</v>
      </c>
      <c r="N15"/>
      <c r="O15" s="9">
        <v>2190</v>
      </c>
      <c r="P15" s="7">
        <v>0</v>
      </c>
      <c r="Q15"/>
      <c r="R15" s="9">
        <v>3129</v>
      </c>
      <c r="S15" s="7">
        <v>0</v>
      </c>
      <c r="T15"/>
      <c r="U15" s="9">
        <v>3702</v>
      </c>
      <c r="V15" s="7">
        <v>0</v>
      </c>
      <c r="W15"/>
      <c r="X15" s="9">
        <v>3191</v>
      </c>
      <c r="Y15" s="7">
        <v>0</v>
      </c>
      <c r="Z15"/>
      <c r="AA15" s="9">
        <v>2823</v>
      </c>
      <c r="AB15" s="7">
        <v>0</v>
      </c>
      <c r="AC15"/>
      <c r="AD15" s="9">
        <v>3897</v>
      </c>
      <c r="AE15" s="7">
        <v>0</v>
      </c>
      <c r="AF15"/>
      <c r="AG15" s="9">
        <v>3656</v>
      </c>
      <c r="AH15" s="7">
        <v>0</v>
      </c>
      <c r="AI15"/>
      <c r="AJ15" s="9">
        <v>3590</v>
      </c>
      <c r="AK15" s="7">
        <v>0</v>
      </c>
      <c r="AL15"/>
      <c r="AM15" s="9">
        <v>2617</v>
      </c>
      <c r="AN15" s="7">
        <v>0</v>
      </c>
    </row>
    <row r="16" spans="2:40" s="314" customFormat="1" ht="12.75" customHeight="1" x14ac:dyDescent="0.15">
      <c r="B16" s="5" t="s">
        <v>26</v>
      </c>
      <c r="C16" s="8">
        <v>62.196854388635003</v>
      </c>
      <c r="D16" s="7">
        <v>0</v>
      </c>
      <c r="E16"/>
      <c r="F16" s="8">
        <v>43.608124253286</v>
      </c>
      <c r="G16" s="7">
        <v>0</v>
      </c>
      <c r="H16"/>
      <c r="I16" s="8">
        <v>57.208994708995</v>
      </c>
      <c r="J16" s="7">
        <v>0</v>
      </c>
      <c r="K16"/>
      <c r="L16" s="8">
        <v>62.803663878933001</v>
      </c>
      <c r="M16" s="7">
        <v>0</v>
      </c>
      <c r="N16"/>
      <c r="O16" s="8">
        <v>45.123456790123001</v>
      </c>
      <c r="P16" s="7">
        <v>0</v>
      </c>
      <c r="Q16"/>
      <c r="R16" s="8">
        <v>62.405416168857002</v>
      </c>
      <c r="S16" s="7">
        <v>0</v>
      </c>
      <c r="T16"/>
      <c r="U16" s="8">
        <v>76.275720164608998</v>
      </c>
      <c r="V16" s="7">
        <v>0</v>
      </c>
      <c r="W16"/>
      <c r="X16" s="8">
        <v>63.639984070091998</v>
      </c>
      <c r="Y16" s="7">
        <v>0</v>
      </c>
      <c r="Z16"/>
      <c r="AA16" s="8">
        <v>56.312226204699002</v>
      </c>
      <c r="AB16" s="7">
        <v>0</v>
      </c>
      <c r="AC16"/>
      <c r="AD16" s="8">
        <v>80.288065843620998</v>
      </c>
      <c r="AE16" s="7">
        <v>0</v>
      </c>
      <c r="AF16"/>
      <c r="AG16" s="8">
        <v>72.899243329350995</v>
      </c>
      <c r="AH16" s="7">
        <v>0</v>
      </c>
      <c r="AI16"/>
      <c r="AJ16" s="8">
        <v>73.971193415637998</v>
      </c>
      <c r="AK16" s="7">
        <v>0</v>
      </c>
      <c r="AL16"/>
      <c r="AM16" s="8">
        <v>52.210274790920003</v>
      </c>
      <c r="AN16" s="7">
        <v>0</v>
      </c>
    </row>
    <row r="17" spans="2:40" s="314" customFormat="1" ht="12.75" customHeight="1" x14ac:dyDescent="0.15">
      <c r="B17" s="5" t="s">
        <v>27</v>
      </c>
      <c r="C17" s="9">
        <v>123.74684251362</v>
      </c>
      <c r="D17" s="7">
        <v>0</v>
      </c>
      <c r="E17"/>
      <c r="F17" s="9">
        <v>110.23788822720999</v>
      </c>
      <c r="G17" s="7">
        <v>0</v>
      </c>
      <c r="H17"/>
      <c r="I17" s="9">
        <v>115.389633629</v>
      </c>
      <c r="J17" s="7">
        <v>0</v>
      </c>
      <c r="K17"/>
      <c r="L17" s="9">
        <v>122.58582407113001</v>
      </c>
      <c r="M17" s="7">
        <v>0</v>
      </c>
      <c r="N17"/>
      <c r="O17" s="9">
        <v>110.51911872146</v>
      </c>
      <c r="P17" s="7">
        <v>0</v>
      </c>
      <c r="Q17"/>
      <c r="R17" s="9">
        <v>118.7582022691</v>
      </c>
      <c r="S17" s="7">
        <v>0</v>
      </c>
      <c r="T17"/>
      <c r="U17" s="9">
        <v>126.34098019989</v>
      </c>
      <c r="V17" s="7">
        <v>0</v>
      </c>
      <c r="W17"/>
      <c r="X17" s="9">
        <v>119.86211219054</v>
      </c>
      <c r="Y17" s="7">
        <v>0</v>
      </c>
      <c r="Z17"/>
      <c r="AA17" s="9">
        <v>121.04218831031</v>
      </c>
      <c r="AB17" s="7">
        <v>0</v>
      </c>
      <c r="AC17"/>
      <c r="AD17" s="9">
        <v>152.30358842699999</v>
      </c>
      <c r="AE17" s="7">
        <v>0</v>
      </c>
      <c r="AF17"/>
      <c r="AG17" s="9">
        <v>124.59590749453</v>
      </c>
      <c r="AH17" s="7">
        <v>0</v>
      </c>
      <c r="AI17"/>
      <c r="AJ17" s="9">
        <v>124.46763155988999</v>
      </c>
      <c r="AK17" s="7">
        <v>0</v>
      </c>
      <c r="AL17"/>
      <c r="AM17" s="9">
        <v>121.01278437142</v>
      </c>
      <c r="AN17" s="7">
        <v>0</v>
      </c>
    </row>
    <row r="18" spans="2:40" s="314" customFormat="1" ht="12.75" customHeight="1" x14ac:dyDescent="0.15">
      <c r="B18" s="5" t="s">
        <v>28</v>
      </c>
      <c r="C18" s="6">
        <v>76.302203231861995</v>
      </c>
      <c r="D18" s="7">
        <v>0</v>
      </c>
      <c r="E18"/>
      <c r="F18" s="6">
        <v>47.481144962165999</v>
      </c>
      <c r="G18" s="7">
        <v>0</v>
      </c>
      <c r="H18"/>
      <c r="I18" s="6">
        <v>65.206851851851994</v>
      </c>
      <c r="J18" s="7">
        <v>0</v>
      </c>
      <c r="K18"/>
      <c r="L18" s="6">
        <v>76.097702110713001</v>
      </c>
      <c r="M18" s="7">
        <v>0</v>
      </c>
      <c r="N18"/>
      <c r="O18" s="6">
        <v>49.236261316872003</v>
      </c>
      <c r="P18" s="7">
        <v>0</v>
      </c>
      <c r="Q18"/>
      <c r="R18" s="6">
        <v>73.495502767822003</v>
      </c>
      <c r="S18" s="7">
        <v>0</v>
      </c>
      <c r="T18"/>
      <c r="U18" s="6">
        <v>95.723108786007998</v>
      </c>
      <c r="V18" s="7">
        <v>0</v>
      </c>
      <c r="W18"/>
      <c r="X18" s="6">
        <v>75.663082437276003</v>
      </c>
      <c r="Y18" s="7">
        <v>0</v>
      </c>
      <c r="Z18"/>
      <c r="AA18" s="6">
        <v>67.543229311030998</v>
      </c>
      <c r="AB18" s="7">
        <v>0</v>
      </c>
      <c r="AC18"/>
      <c r="AD18" s="6">
        <v>121.61051113169</v>
      </c>
      <c r="AE18" s="7">
        <v>0</v>
      </c>
      <c r="AF18"/>
      <c r="AG18" s="6">
        <v>90.207614058144003</v>
      </c>
      <c r="AH18" s="7">
        <v>0</v>
      </c>
      <c r="AI18"/>
      <c r="AJ18" s="6">
        <v>91.427736069958996</v>
      </c>
      <c r="AK18" s="7">
        <v>0</v>
      </c>
      <c r="AL18"/>
      <c r="AM18" s="6">
        <v>62.562814954201997</v>
      </c>
      <c r="AN18" s="7">
        <v>0</v>
      </c>
    </row>
    <row r="19" spans="2:40" s="314" customFormat="1" ht="12.75" customHeight="1" x14ac:dyDescent="0.15">
      <c r="B19" s="5" t="s">
        <v>29</v>
      </c>
      <c r="C19" s="9">
        <v>99.129313110096007</v>
      </c>
      <c r="D19" s="7">
        <v>0</v>
      </c>
      <c r="E19"/>
      <c r="F19" s="9">
        <v>66.145513739546004</v>
      </c>
      <c r="G19" s="7">
        <v>0</v>
      </c>
      <c r="H19"/>
      <c r="I19" s="9">
        <v>86.394215167547998</v>
      </c>
      <c r="J19" s="7">
        <v>0</v>
      </c>
      <c r="K19"/>
      <c r="L19" s="9">
        <v>98.120268817204007</v>
      </c>
      <c r="M19" s="7">
        <v>0</v>
      </c>
      <c r="N19"/>
      <c r="O19" s="9">
        <v>63.600623456789997</v>
      </c>
      <c r="P19" s="7">
        <v>0</v>
      </c>
      <c r="Q19"/>
      <c r="R19" s="9">
        <v>95.454820589407007</v>
      </c>
      <c r="S19" s="7">
        <v>0</v>
      </c>
      <c r="T19"/>
      <c r="U19" s="9">
        <v>119.88569977365999</v>
      </c>
      <c r="V19" s="7">
        <v>0</v>
      </c>
      <c r="W19"/>
      <c r="X19" s="9">
        <v>104.02278369176</v>
      </c>
      <c r="Y19" s="7">
        <v>0</v>
      </c>
      <c r="Z19"/>
      <c r="AA19" s="9">
        <v>88.681229151731998</v>
      </c>
      <c r="AB19" s="7">
        <v>0</v>
      </c>
      <c r="AC19"/>
      <c r="AD19" s="9">
        <v>150.2832990535</v>
      </c>
      <c r="AE19" s="7">
        <v>0</v>
      </c>
      <c r="AF19"/>
      <c r="AG19" s="9">
        <v>116.82899538033</v>
      </c>
      <c r="AH19" s="7">
        <v>0</v>
      </c>
      <c r="AI19"/>
      <c r="AJ19" s="9">
        <v>118.49605565844</v>
      </c>
      <c r="AK19" s="7">
        <v>0</v>
      </c>
      <c r="AL19"/>
      <c r="AM19" s="9">
        <v>82.204160314616004</v>
      </c>
      <c r="AN19" s="7">
        <v>0</v>
      </c>
    </row>
    <row r="20" spans="2:40" s="314" customFormat="1" ht="12.75" customHeight="1" x14ac:dyDescent="0.15">
      <c r="B20" s="5" t="s">
        <v>30</v>
      </c>
      <c r="C20" s="8">
        <v>48022.6921</v>
      </c>
      <c r="D20" s="7">
        <v>0</v>
      </c>
      <c r="E20"/>
      <c r="F20" s="8">
        <v>2475</v>
      </c>
      <c r="G20" s="7">
        <v>0</v>
      </c>
      <c r="H20"/>
      <c r="I20" s="8">
        <v>2984</v>
      </c>
      <c r="J20" s="7">
        <v>0</v>
      </c>
      <c r="K20"/>
      <c r="L20" s="8">
        <v>3609</v>
      </c>
      <c r="M20" s="7">
        <v>0</v>
      </c>
      <c r="N20"/>
      <c r="O20" s="8">
        <v>2711</v>
      </c>
      <c r="P20" s="7">
        <v>0</v>
      </c>
      <c r="Q20"/>
      <c r="R20" s="8">
        <v>4011.7264</v>
      </c>
      <c r="S20" s="7">
        <v>0</v>
      </c>
      <c r="T20"/>
      <c r="U20" s="8">
        <v>4303.5937000000004</v>
      </c>
      <c r="V20" s="7">
        <v>0</v>
      </c>
      <c r="W20"/>
      <c r="X20" s="8">
        <v>7977.8019999999997</v>
      </c>
      <c r="Y20" s="7">
        <v>0</v>
      </c>
      <c r="Z20"/>
      <c r="AA20" s="8">
        <v>4349.2</v>
      </c>
      <c r="AB20" s="7">
        <v>0</v>
      </c>
      <c r="AC20"/>
      <c r="AD20" s="8">
        <v>4331.22</v>
      </c>
      <c r="AE20" s="7">
        <v>0</v>
      </c>
      <c r="AF20"/>
      <c r="AG20" s="8">
        <v>4100.32</v>
      </c>
      <c r="AH20" s="7">
        <v>0</v>
      </c>
      <c r="AI20"/>
      <c r="AJ20" s="8">
        <v>3918.55</v>
      </c>
      <c r="AK20" s="7">
        <v>0</v>
      </c>
      <c r="AL20"/>
      <c r="AM20" s="8">
        <v>3251.28</v>
      </c>
      <c r="AN20" s="7">
        <v>0</v>
      </c>
    </row>
    <row r="21" spans="2:40" s="314" customFormat="1" ht="12.75" customHeight="1" x14ac:dyDescent="0.15">
      <c r="B21" s="5" t="s">
        <v>31</v>
      </c>
      <c r="C21" s="9">
        <v>1.3057805720967</v>
      </c>
      <c r="D21" s="7">
        <v>0</v>
      </c>
      <c r="E21"/>
      <c r="F21" s="9">
        <v>1.1301369863013999</v>
      </c>
      <c r="G21" s="7">
        <v>0</v>
      </c>
      <c r="H21"/>
      <c r="I21" s="9">
        <v>1.1499036608863</v>
      </c>
      <c r="J21" s="7">
        <v>0</v>
      </c>
      <c r="K21"/>
      <c r="L21" s="9">
        <v>1.1442612555484999</v>
      </c>
      <c r="M21" s="7">
        <v>0</v>
      </c>
      <c r="N21"/>
      <c r="O21" s="9">
        <v>1.2362061103511</v>
      </c>
      <c r="P21" s="7">
        <v>0</v>
      </c>
      <c r="Q21"/>
      <c r="R21" s="9">
        <v>1.280065858328</v>
      </c>
      <c r="S21" s="7">
        <v>0</v>
      </c>
      <c r="T21"/>
      <c r="U21" s="9">
        <v>1.1609370650121</v>
      </c>
      <c r="V21" s="7">
        <v>0</v>
      </c>
      <c r="W21"/>
      <c r="X21" s="9">
        <v>2.4961833541926999</v>
      </c>
      <c r="Y21" s="7">
        <v>0</v>
      </c>
      <c r="Z21"/>
      <c r="AA21" s="9">
        <v>1.5379066478076</v>
      </c>
      <c r="AB21" s="7">
        <v>0</v>
      </c>
      <c r="AC21"/>
      <c r="AD21" s="9">
        <v>1.1100000000000001</v>
      </c>
      <c r="AE21" s="7">
        <v>0</v>
      </c>
      <c r="AF21"/>
      <c r="AG21" s="9">
        <v>1.1200000000000001</v>
      </c>
      <c r="AH21" s="7">
        <v>0</v>
      </c>
      <c r="AI21"/>
      <c r="AJ21" s="9">
        <v>1.0900000000000001</v>
      </c>
      <c r="AK21" s="7">
        <v>0</v>
      </c>
      <c r="AL21"/>
      <c r="AM21" s="9">
        <v>1.24</v>
      </c>
      <c r="AN21" s="7">
        <v>0</v>
      </c>
    </row>
    <row r="22" spans="2:40" s="314" customFormat="1" ht="12.75" customHeight="1" x14ac:dyDescent="0.15">
      <c r="B22" s="5" t="s">
        <v>32</v>
      </c>
      <c r="C22" s="8">
        <v>40727.138200000001</v>
      </c>
      <c r="D22" s="7">
        <v>0</v>
      </c>
      <c r="E22"/>
      <c r="F22" s="8">
        <v>0</v>
      </c>
      <c r="G22" s="7">
        <v>0</v>
      </c>
      <c r="H22"/>
      <c r="I22" s="8">
        <v>0</v>
      </c>
      <c r="J22" s="7">
        <v>0</v>
      </c>
      <c r="K22"/>
      <c r="L22" s="8">
        <v>0</v>
      </c>
      <c r="M22" s="7">
        <v>0</v>
      </c>
      <c r="N22"/>
      <c r="O22" s="8">
        <v>0</v>
      </c>
      <c r="P22" s="7">
        <v>0</v>
      </c>
      <c r="Q22"/>
      <c r="R22" s="8">
        <v>4509.9674000000005</v>
      </c>
      <c r="S22" s="7">
        <v>0</v>
      </c>
      <c r="T22"/>
      <c r="U22" s="8">
        <v>4758.0546000000004</v>
      </c>
      <c r="V22" s="7">
        <v>0</v>
      </c>
      <c r="W22"/>
      <c r="X22" s="8">
        <v>7781.1316999999999</v>
      </c>
      <c r="Y22" s="7">
        <v>0</v>
      </c>
      <c r="Z22"/>
      <c r="AA22" s="8">
        <v>4696.82</v>
      </c>
      <c r="AB22" s="7">
        <v>0</v>
      </c>
      <c r="AC22"/>
      <c r="AD22" s="8">
        <v>5221.5370000000003</v>
      </c>
      <c r="AE22" s="7">
        <v>0</v>
      </c>
      <c r="AF22"/>
      <c r="AG22" s="8">
        <v>5025.2719999999999</v>
      </c>
      <c r="AH22" s="7">
        <v>0</v>
      </c>
      <c r="AI22"/>
      <c r="AJ22" s="8">
        <v>4870.7674999999999</v>
      </c>
      <c r="AK22" s="7">
        <v>0</v>
      </c>
      <c r="AL22"/>
      <c r="AM22" s="8">
        <v>3863.5880000000002</v>
      </c>
      <c r="AN22" s="7">
        <v>0</v>
      </c>
    </row>
    <row r="23" spans="2:40" s="314" customFormat="1" ht="12.75" customHeight="1" x14ac:dyDescent="0.15">
      <c r="B23" s="5" t="s">
        <v>33</v>
      </c>
      <c r="C23" s="8">
        <v>25.860800000000001</v>
      </c>
      <c r="D23" s="7">
        <v>0</v>
      </c>
      <c r="E23"/>
      <c r="F23" s="8">
        <v>27.93</v>
      </c>
      <c r="G23" s="7">
        <v>0</v>
      </c>
      <c r="H23"/>
      <c r="I23" s="8">
        <v>28.48</v>
      </c>
      <c r="J23" s="7">
        <v>0</v>
      </c>
      <c r="K23"/>
      <c r="L23" s="8">
        <v>28.46</v>
      </c>
      <c r="M23" s="7">
        <v>0</v>
      </c>
      <c r="N23"/>
      <c r="O23" s="8">
        <v>27.46</v>
      </c>
      <c r="P23" s="7">
        <v>0</v>
      </c>
      <c r="Q23"/>
      <c r="R23" s="8">
        <v>24.75</v>
      </c>
      <c r="S23" s="7">
        <v>0</v>
      </c>
      <c r="T23"/>
      <c r="U23" s="8">
        <v>24.75</v>
      </c>
      <c r="V23" s="7">
        <v>0</v>
      </c>
      <c r="W23"/>
      <c r="X23" s="8">
        <v>24.75</v>
      </c>
      <c r="Y23" s="7">
        <v>0</v>
      </c>
      <c r="Z23"/>
      <c r="AA23" s="8">
        <v>24.75</v>
      </c>
      <c r="AB23" s="7">
        <v>0</v>
      </c>
      <c r="AC23"/>
      <c r="AD23" s="8">
        <v>24.75</v>
      </c>
      <c r="AE23" s="7">
        <v>0</v>
      </c>
      <c r="AF23"/>
      <c r="AG23" s="8">
        <v>24.75</v>
      </c>
      <c r="AH23" s="7">
        <v>0</v>
      </c>
      <c r="AI23"/>
      <c r="AJ23" s="8">
        <v>24.75</v>
      </c>
      <c r="AK23" s="7">
        <v>0</v>
      </c>
      <c r="AL23"/>
      <c r="AM23" s="8">
        <v>24.75</v>
      </c>
      <c r="AN23" s="7">
        <v>0</v>
      </c>
    </row>
    <row r="24" spans="2:40" s="314" customFormat="1" ht="12.75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314" customFormat="1" ht="14" x14ac:dyDescent="0.15">
      <c r="B25" s="5" t="s">
        <v>34</v>
      </c>
      <c r="C25" s="8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314" customFormat="1" ht="12.75" customHeight="1" x14ac:dyDescent="0.15">
      <c r="B26" s="8"/>
      <c r="C26" s="8"/>
      <c r="D26" s="8"/>
      <c r="E26"/>
      <c r="F26" s="8"/>
      <c r="G26" s="8"/>
      <c r="H26"/>
      <c r="I26" s="8"/>
      <c r="J26" s="8"/>
      <c r="K26"/>
      <c r="L26" s="8"/>
      <c r="M26" s="8"/>
      <c r="N26"/>
      <c r="O26" s="8"/>
      <c r="P26" s="8"/>
      <c r="Q26"/>
      <c r="R26" s="8"/>
      <c r="S26" s="8"/>
      <c r="T26"/>
      <c r="U26" s="8"/>
      <c r="V26" s="8"/>
      <c r="W26"/>
      <c r="X26" s="8"/>
      <c r="Y26" s="8"/>
      <c r="Z26"/>
      <c r="AA26" s="8"/>
      <c r="AB26" s="8"/>
      <c r="AC26"/>
      <c r="AD26" s="8"/>
      <c r="AE26" s="8"/>
      <c r="AF26"/>
      <c r="AG26" s="8"/>
      <c r="AH26" s="8"/>
      <c r="AI26"/>
      <c r="AJ26" s="8"/>
      <c r="AK26" s="8"/>
      <c r="AL26"/>
      <c r="AM26" s="8"/>
      <c r="AN26" s="8"/>
    </row>
    <row r="27" spans="2:40" s="314" customFormat="1" ht="12.75" customHeight="1" x14ac:dyDescent="0.15">
      <c r="B27" s="325" t="s">
        <v>21</v>
      </c>
      <c r="C27" s="326">
        <v>5861516.2841999996</v>
      </c>
      <c r="D27" s="327">
        <v>1</v>
      </c>
      <c r="E27"/>
      <c r="F27" s="326">
        <v>332182.77</v>
      </c>
      <c r="G27" s="327">
        <v>1</v>
      </c>
      <c r="H27"/>
      <c r="I27" s="326">
        <v>391884.16</v>
      </c>
      <c r="J27" s="327">
        <v>1</v>
      </c>
      <c r="K27"/>
      <c r="L27" s="326">
        <v>492759.99</v>
      </c>
      <c r="M27" s="327">
        <v>1</v>
      </c>
      <c r="N27"/>
      <c r="O27" s="326">
        <v>309099.03000000003</v>
      </c>
      <c r="P27" s="327">
        <v>1</v>
      </c>
      <c r="Q27"/>
      <c r="R27" s="326">
        <v>479374.109</v>
      </c>
      <c r="S27" s="327">
        <v>1</v>
      </c>
      <c r="T27"/>
      <c r="U27" s="326">
        <v>582644.50089999998</v>
      </c>
      <c r="V27" s="327">
        <v>1</v>
      </c>
      <c r="W27"/>
      <c r="X27" s="326">
        <v>522402.41970000003</v>
      </c>
      <c r="Y27" s="327">
        <v>1</v>
      </c>
      <c r="Z27"/>
      <c r="AA27" s="326">
        <v>445357.13280000002</v>
      </c>
      <c r="AB27" s="327">
        <v>1</v>
      </c>
      <c r="AC27"/>
      <c r="AD27" s="326">
        <v>730376.8334</v>
      </c>
      <c r="AE27" s="327">
        <v>1</v>
      </c>
      <c r="AF27"/>
      <c r="AG27" s="326">
        <v>586715.21479999996</v>
      </c>
      <c r="AH27" s="327">
        <v>1</v>
      </c>
      <c r="AI27"/>
      <c r="AJ27" s="326">
        <v>575890.83050000004</v>
      </c>
      <c r="AK27" s="327">
        <v>1</v>
      </c>
      <c r="AL27"/>
      <c r="AM27" s="326">
        <v>412829.29310000001</v>
      </c>
      <c r="AN27" s="327">
        <v>1</v>
      </c>
    </row>
    <row r="28" spans="2:40" s="314" customFormat="1" ht="12.75" customHeight="1" x14ac:dyDescent="0.15">
      <c r="B28" s="5" t="s">
        <v>35</v>
      </c>
      <c r="C28" s="8">
        <v>4543984.0570999999</v>
      </c>
      <c r="D28" s="7">
        <v>0.77522330999999989</v>
      </c>
      <c r="E28"/>
      <c r="F28" s="8">
        <v>240649.31</v>
      </c>
      <c r="G28" s="7">
        <v>0.72444850000000005</v>
      </c>
      <c r="H28"/>
      <c r="I28" s="8">
        <v>299205.32</v>
      </c>
      <c r="J28" s="7">
        <v>0.76350449999999992</v>
      </c>
      <c r="K28"/>
      <c r="L28" s="8">
        <v>386022.76</v>
      </c>
      <c r="M28" s="7">
        <v>0.78338901000000005</v>
      </c>
      <c r="N28"/>
      <c r="O28" s="8">
        <v>242036.87</v>
      </c>
      <c r="P28" s="7">
        <v>0.78303988999999996</v>
      </c>
      <c r="Q28"/>
      <c r="R28" s="8">
        <v>371594.41489999997</v>
      </c>
      <c r="S28" s="7">
        <v>0.77516580000000002</v>
      </c>
      <c r="T28"/>
      <c r="U28" s="8">
        <v>467714.30869999999</v>
      </c>
      <c r="V28" s="7">
        <v>0.80274387999999997</v>
      </c>
      <c r="W28"/>
      <c r="X28" s="8">
        <v>382480</v>
      </c>
      <c r="Y28" s="7">
        <v>0.73215587000000004</v>
      </c>
      <c r="Z28"/>
      <c r="AA28" s="8">
        <v>341702.09759999998</v>
      </c>
      <c r="AB28" s="7">
        <v>0.76725412999999998</v>
      </c>
      <c r="AC28"/>
      <c r="AD28" s="8">
        <v>593527.08409999998</v>
      </c>
      <c r="AE28" s="7">
        <v>0.81263131</v>
      </c>
      <c r="AF28"/>
      <c r="AG28" s="8">
        <v>455522.63780000003</v>
      </c>
      <c r="AH28" s="7">
        <v>0.77639478999999989</v>
      </c>
      <c r="AI28"/>
      <c r="AJ28" s="8">
        <v>446838.79729999998</v>
      </c>
      <c r="AK28" s="7">
        <v>0.77590885999999992</v>
      </c>
      <c r="AL28"/>
      <c r="AM28" s="8">
        <v>316690.45669999998</v>
      </c>
      <c r="AN28" s="7">
        <v>0.76712205999999994</v>
      </c>
    </row>
    <row r="29" spans="2:40" s="314" customFormat="1" ht="12.75" customHeight="1" x14ac:dyDescent="0.15">
      <c r="B29" s="5" t="s">
        <v>36</v>
      </c>
      <c r="C29" s="8">
        <v>1023415.8107</v>
      </c>
      <c r="D29" s="7">
        <v>0.17459916</v>
      </c>
      <c r="E29"/>
      <c r="F29" s="8">
        <v>64472.86</v>
      </c>
      <c r="G29" s="7">
        <v>0.19408850999999999</v>
      </c>
      <c r="H29"/>
      <c r="I29" s="8">
        <v>72096.45</v>
      </c>
      <c r="J29" s="7">
        <v>0.18397388000000001</v>
      </c>
      <c r="K29"/>
      <c r="L29" s="8">
        <v>84490.83</v>
      </c>
      <c r="M29" s="7">
        <v>0.17146447000000001</v>
      </c>
      <c r="N29"/>
      <c r="O29" s="8">
        <v>50447.519999999997</v>
      </c>
      <c r="P29" s="7">
        <v>0.16320828000000001</v>
      </c>
      <c r="Q29"/>
      <c r="R29" s="8">
        <v>83460.448999999993</v>
      </c>
      <c r="S29" s="7">
        <v>0.17410296</v>
      </c>
      <c r="T29"/>
      <c r="U29" s="8">
        <v>86134.828999999998</v>
      </c>
      <c r="V29" s="7">
        <v>0.14783428000000001</v>
      </c>
      <c r="W29"/>
      <c r="X29" s="8">
        <v>115310.59970000001</v>
      </c>
      <c r="Y29" s="7">
        <v>0.22073137000000001</v>
      </c>
      <c r="Z29"/>
      <c r="AA29" s="8">
        <v>82061.719599999997</v>
      </c>
      <c r="AB29" s="7">
        <v>0.18426048</v>
      </c>
      <c r="AC29"/>
      <c r="AD29" s="8">
        <v>104948.3689</v>
      </c>
      <c r="AE29" s="7">
        <v>0.14369071</v>
      </c>
      <c r="AF29"/>
      <c r="AG29" s="8">
        <v>102832.63219999999</v>
      </c>
      <c r="AH29" s="7">
        <v>0.17526839</v>
      </c>
      <c r="AI29"/>
      <c r="AJ29" s="8">
        <v>101167.07369999999</v>
      </c>
      <c r="AK29" s="7">
        <v>0.17567057999999999</v>
      </c>
      <c r="AL29"/>
      <c r="AM29" s="8">
        <v>75992.478600000002</v>
      </c>
      <c r="AN29" s="7">
        <v>0.18407724</v>
      </c>
    </row>
    <row r="30" spans="2:40" s="314" customFormat="1" ht="12.75" customHeight="1" x14ac:dyDescent="0.15">
      <c r="B30" s="5" t="s">
        <v>37</v>
      </c>
      <c r="C30" s="8">
        <v>209743.67</v>
      </c>
      <c r="D30" s="7">
        <v>3.5783179999999998E-2</v>
      </c>
      <c r="E30"/>
      <c r="F30" s="8">
        <v>14064.68</v>
      </c>
      <c r="G30" s="7">
        <v>4.234019E-2</v>
      </c>
      <c r="H30"/>
      <c r="I30" s="8">
        <v>14696.31</v>
      </c>
      <c r="J30" s="7">
        <v>3.7501670000000001E-2</v>
      </c>
      <c r="K30"/>
      <c r="L30" s="8">
        <v>17658.939999999999</v>
      </c>
      <c r="M30" s="7">
        <v>3.5836800000000002E-2</v>
      </c>
      <c r="N30"/>
      <c r="O30" s="8">
        <v>12764.54</v>
      </c>
      <c r="P30" s="7">
        <v>4.129596E-2</v>
      </c>
      <c r="Q30"/>
      <c r="R30" s="8">
        <v>18044.64</v>
      </c>
      <c r="S30" s="7">
        <v>3.7642080000000001E-2</v>
      </c>
      <c r="T30"/>
      <c r="U30" s="8">
        <v>20886.72</v>
      </c>
      <c r="V30" s="7">
        <v>3.5848140000000001E-2</v>
      </c>
      <c r="W30"/>
      <c r="X30" s="8">
        <v>18152.16</v>
      </c>
      <c r="Y30" s="7">
        <v>3.4747470000000003E-2</v>
      </c>
      <c r="Z30"/>
      <c r="AA30" s="8">
        <v>15826.88</v>
      </c>
      <c r="AB30" s="7">
        <v>3.55375E-2</v>
      </c>
      <c r="AC30"/>
      <c r="AD30" s="8">
        <v>21853.919999999998</v>
      </c>
      <c r="AE30" s="7">
        <v>2.9921429999999999E-2</v>
      </c>
      <c r="AF30"/>
      <c r="AG30" s="8">
        <v>20658.560000000001</v>
      </c>
      <c r="AH30" s="7">
        <v>3.5210539999999999E-2</v>
      </c>
      <c r="AI30"/>
      <c r="AJ30" s="8">
        <v>20331.2</v>
      </c>
      <c r="AK30" s="7">
        <v>3.5303910000000001E-2</v>
      </c>
      <c r="AL30"/>
      <c r="AM30" s="8">
        <v>14805.12</v>
      </c>
      <c r="AN30" s="7">
        <v>3.5862570000000003E-2</v>
      </c>
    </row>
    <row r="31" spans="2:40" s="314" customFormat="1" ht="12.75" customHeight="1" x14ac:dyDescent="0.15">
      <c r="B31" s="5" t="s">
        <v>38</v>
      </c>
      <c r="C31" s="8">
        <v>84372.746599999999</v>
      </c>
      <c r="D31" s="7">
        <v>1.439436E-2</v>
      </c>
      <c r="E31"/>
      <c r="F31" s="8">
        <v>12995.92</v>
      </c>
      <c r="G31" s="7">
        <v>3.9122799999999999E-2</v>
      </c>
      <c r="H31"/>
      <c r="I31" s="8">
        <v>5886.08</v>
      </c>
      <c r="J31" s="7">
        <v>1.5019950000000001E-2</v>
      </c>
      <c r="K31"/>
      <c r="L31" s="8">
        <v>4587.46</v>
      </c>
      <c r="M31" s="7">
        <v>9.3097300000000004E-3</v>
      </c>
      <c r="N31"/>
      <c r="O31" s="8">
        <v>3850.1</v>
      </c>
      <c r="P31" s="7">
        <v>1.2455880000000001E-2</v>
      </c>
      <c r="Q31"/>
      <c r="R31" s="8">
        <v>6274.6050999999998</v>
      </c>
      <c r="S31" s="7">
        <v>1.3089160000000001E-2</v>
      </c>
      <c r="T31"/>
      <c r="U31" s="8">
        <v>7908.6432000000004</v>
      </c>
      <c r="V31" s="7">
        <v>1.3573699999999999E-2</v>
      </c>
      <c r="W31"/>
      <c r="X31" s="8">
        <v>6459.66</v>
      </c>
      <c r="Y31" s="7">
        <v>1.2365289999999999E-2</v>
      </c>
      <c r="Z31"/>
      <c r="AA31" s="8">
        <v>5766.4357</v>
      </c>
      <c r="AB31" s="7">
        <v>1.294789E-2</v>
      </c>
      <c r="AC31"/>
      <c r="AD31" s="8">
        <v>10047.4604</v>
      </c>
      <c r="AE31" s="7">
        <v>1.3756539999999999E-2</v>
      </c>
      <c r="AF31"/>
      <c r="AG31" s="8">
        <v>7701.3847999999998</v>
      </c>
      <c r="AH31" s="7">
        <v>1.3126270000000001E-2</v>
      </c>
      <c r="AI31"/>
      <c r="AJ31" s="8">
        <v>7553.7596000000003</v>
      </c>
      <c r="AK31" s="7">
        <v>1.3116650000000001E-2</v>
      </c>
      <c r="AL31"/>
      <c r="AM31" s="8">
        <v>5341.2377999999999</v>
      </c>
      <c r="AN31" s="7">
        <v>1.2938130000000001E-2</v>
      </c>
    </row>
    <row r="32" spans="2:40" s="314" customFormat="1" ht="12.75" customHeight="1" x14ac:dyDescent="0.15">
      <c r="B32" s="8"/>
      <c r="C32" s="8"/>
      <c r="D32" s="8"/>
      <c r="E32"/>
      <c r="F32" s="8"/>
      <c r="G32" s="8"/>
      <c r="H32"/>
      <c r="I32" s="8"/>
      <c r="J32" s="8"/>
      <c r="K32"/>
      <c r="L32" s="8"/>
      <c r="M32" s="8"/>
      <c r="N32"/>
      <c r="O32" s="8"/>
      <c r="P32" s="8"/>
      <c r="Q32"/>
      <c r="R32" s="8"/>
      <c r="S32" s="8"/>
      <c r="T32"/>
      <c r="U32" s="8"/>
      <c r="V32" s="8"/>
      <c r="W32"/>
      <c r="X32" s="8"/>
      <c r="Y32" s="8"/>
      <c r="Z32"/>
      <c r="AA32" s="8"/>
      <c r="AB32" s="8"/>
      <c r="AC32"/>
      <c r="AD32" s="8"/>
      <c r="AE32" s="8"/>
      <c r="AF32"/>
      <c r="AG32" s="8"/>
      <c r="AH32" s="8"/>
      <c r="AI32"/>
      <c r="AJ32" s="8"/>
      <c r="AK32" s="8"/>
      <c r="AL32"/>
      <c r="AM32" s="8"/>
      <c r="AN32" s="8"/>
    </row>
    <row r="33" spans="2:40" s="314" customFormat="1" ht="14" x14ac:dyDescent="0.15">
      <c r="B33" s="328" t="s">
        <v>39</v>
      </c>
      <c r="C33" s="329"/>
      <c r="D33" s="329"/>
      <c r="E33"/>
      <c r="F33" s="329"/>
      <c r="G33" s="329"/>
      <c r="H33"/>
      <c r="I33" s="329"/>
      <c r="J33" s="329"/>
      <c r="K33"/>
      <c r="L33" s="329"/>
      <c r="M33" s="329"/>
      <c r="N33"/>
      <c r="O33" s="329"/>
      <c r="P33" s="329"/>
      <c r="Q33"/>
      <c r="R33" s="329"/>
      <c r="S33" s="329"/>
      <c r="T33"/>
      <c r="U33" s="329"/>
      <c r="V33" s="329"/>
      <c r="W33"/>
      <c r="X33" s="329"/>
      <c r="Y33" s="329"/>
      <c r="Z33"/>
      <c r="AA33" s="329"/>
      <c r="AB33" s="329"/>
      <c r="AC33"/>
      <c r="AD33" s="329"/>
      <c r="AE33" s="329"/>
      <c r="AF33"/>
      <c r="AG33" s="329"/>
      <c r="AH33" s="329"/>
      <c r="AI33"/>
      <c r="AJ33" s="329"/>
      <c r="AK33" s="329"/>
      <c r="AL33"/>
      <c r="AM33" s="329"/>
      <c r="AN33" s="329"/>
    </row>
    <row r="34" spans="2:40" s="314" customFormat="1" ht="12.75" customHeight="1" x14ac:dyDescent="0.15">
      <c r="B34" s="325" t="s">
        <v>35</v>
      </c>
      <c r="C34" s="326">
        <v>4543984.0570999999</v>
      </c>
      <c r="D34" s="327">
        <v>1</v>
      </c>
      <c r="E34"/>
      <c r="F34" s="326">
        <v>240649.31</v>
      </c>
      <c r="G34" s="327">
        <v>1</v>
      </c>
      <c r="H34"/>
      <c r="I34" s="326">
        <v>299205.32</v>
      </c>
      <c r="J34" s="327">
        <v>1</v>
      </c>
      <c r="K34"/>
      <c r="L34" s="326">
        <v>386022.76</v>
      </c>
      <c r="M34" s="327">
        <v>1</v>
      </c>
      <c r="N34"/>
      <c r="O34" s="326">
        <v>242036.87</v>
      </c>
      <c r="P34" s="327">
        <v>1</v>
      </c>
      <c r="Q34"/>
      <c r="R34" s="326">
        <v>371594.41489999997</v>
      </c>
      <c r="S34" s="327">
        <v>1</v>
      </c>
      <c r="T34"/>
      <c r="U34" s="326">
        <v>467714.30869999999</v>
      </c>
      <c r="V34" s="327">
        <v>1</v>
      </c>
      <c r="W34"/>
      <c r="X34" s="326">
        <v>382480</v>
      </c>
      <c r="Y34" s="327">
        <v>1</v>
      </c>
      <c r="Z34"/>
      <c r="AA34" s="326">
        <v>341702.09759999998</v>
      </c>
      <c r="AB34" s="327">
        <v>1</v>
      </c>
      <c r="AC34"/>
      <c r="AD34" s="326">
        <v>593527.08409999998</v>
      </c>
      <c r="AE34" s="327">
        <v>1</v>
      </c>
      <c r="AF34"/>
      <c r="AG34" s="326">
        <v>455522.63780000003</v>
      </c>
      <c r="AH34" s="327">
        <v>1</v>
      </c>
      <c r="AI34"/>
      <c r="AJ34" s="326">
        <v>446838.79729999998</v>
      </c>
      <c r="AK34" s="327">
        <v>1</v>
      </c>
      <c r="AL34"/>
      <c r="AM34" s="326">
        <v>316690.45669999998</v>
      </c>
      <c r="AN34" s="327">
        <v>1</v>
      </c>
    </row>
    <row r="35" spans="2:40" s="314" customFormat="1" ht="12.75" customHeight="1" x14ac:dyDescent="0.15">
      <c r="B35" s="5" t="s">
        <v>22</v>
      </c>
      <c r="C35" s="8">
        <v>853043.28029999998</v>
      </c>
      <c r="D35" s="7">
        <v>0.18773024999999999</v>
      </c>
      <c r="E35"/>
      <c r="F35" s="8">
        <v>67162.899999999994</v>
      </c>
      <c r="G35" s="7">
        <v>0.27909034999999999</v>
      </c>
      <c r="H35"/>
      <c r="I35" s="8">
        <v>67917.039999999994</v>
      </c>
      <c r="J35" s="7">
        <v>0.22699142</v>
      </c>
      <c r="K35"/>
      <c r="L35" s="8">
        <v>69575.41</v>
      </c>
      <c r="M35" s="7">
        <v>0.18023655</v>
      </c>
      <c r="N35"/>
      <c r="O35" s="8">
        <v>63914.99</v>
      </c>
      <c r="P35" s="7">
        <v>0.26407130000000001</v>
      </c>
      <c r="Q35"/>
      <c r="R35" s="8">
        <v>73378.817200000005</v>
      </c>
      <c r="S35" s="7">
        <v>0.19747018</v>
      </c>
      <c r="T35"/>
      <c r="U35" s="8">
        <v>76597.146699999998</v>
      </c>
      <c r="V35" s="7">
        <v>0.16376909000000001</v>
      </c>
      <c r="W35"/>
      <c r="X35" s="8">
        <v>71144.228799999997</v>
      </c>
      <c r="Y35" s="7">
        <v>0.18600770999999999</v>
      </c>
      <c r="Z35"/>
      <c r="AA35" s="8">
        <v>67338.820800000001</v>
      </c>
      <c r="AB35" s="7">
        <v>0.19706879999999999</v>
      </c>
      <c r="AC35"/>
      <c r="AD35" s="8">
        <v>78673.397700000001</v>
      </c>
      <c r="AE35" s="7">
        <v>0.13255233</v>
      </c>
      <c r="AF35"/>
      <c r="AG35" s="8">
        <v>75512.525800000003</v>
      </c>
      <c r="AH35" s="7">
        <v>0.16577117999999999</v>
      </c>
      <c r="AI35"/>
      <c r="AJ35" s="8">
        <v>75515.551600000006</v>
      </c>
      <c r="AK35" s="7">
        <v>0.16899954</v>
      </c>
      <c r="AL35"/>
      <c r="AM35" s="8">
        <v>66312.451700000005</v>
      </c>
      <c r="AN35" s="7">
        <v>0.20939200999999999</v>
      </c>
    </row>
    <row r="36" spans="2:40" s="314" customFormat="1" ht="12.75" customHeight="1" x14ac:dyDescent="0.15">
      <c r="B36" s="5" t="s">
        <v>40</v>
      </c>
      <c r="C36" s="8">
        <v>667702.57550000004</v>
      </c>
      <c r="D36" s="7">
        <v>0.14694209999999999</v>
      </c>
      <c r="E36"/>
      <c r="F36" s="8">
        <v>21691.91</v>
      </c>
      <c r="G36" s="7">
        <v>9.0139090000000005E-2</v>
      </c>
      <c r="H36"/>
      <c r="I36" s="8">
        <v>66590.25</v>
      </c>
      <c r="J36" s="7">
        <v>0.22255704000000001</v>
      </c>
      <c r="K36"/>
      <c r="L36" s="8">
        <v>45619.77</v>
      </c>
      <c r="M36" s="7">
        <v>0.11817896</v>
      </c>
      <c r="N36"/>
      <c r="O36" s="8">
        <v>43825.07</v>
      </c>
      <c r="P36" s="7">
        <v>0.18106774</v>
      </c>
      <c r="Q36"/>
      <c r="R36" s="8">
        <v>54339.976600000002</v>
      </c>
      <c r="S36" s="7">
        <v>0.14623464</v>
      </c>
      <c r="T36"/>
      <c r="U36" s="8">
        <v>69243.296499999997</v>
      </c>
      <c r="V36" s="7">
        <v>0.14804613999999999</v>
      </c>
      <c r="W36"/>
      <c r="X36" s="8">
        <v>55363.89</v>
      </c>
      <c r="Y36" s="7">
        <v>0.14474976000000001</v>
      </c>
      <c r="Z36"/>
      <c r="AA36" s="8">
        <v>50309.6803</v>
      </c>
      <c r="AB36" s="7">
        <v>0.14723258</v>
      </c>
      <c r="AC36"/>
      <c r="AD36" s="8">
        <v>81383.026500000007</v>
      </c>
      <c r="AE36" s="7">
        <v>0.13711762999999999</v>
      </c>
      <c r="AF36"/>
      <c r="AG36" s="8">
        <v>66402.811900000001</v>
      </c>
      <c r="AH36" s="7">
        <v>0.14577280000000001</v>
      </c>
      <c r="AI36"/>
      <c r="AJ36" s="8">
        <v>64080.965100000001</v>
      </c>
      <c r="AK36" s="7">
        <v>0.14340958000000001</v>
      </c>
      <c r="AL36"/>
      <c r="AM36" s="8">
        <v>48851.928599999999</v>
      </c>
      <c r="AN36" s="7">
        <v>0.15425765999999999</v>
      </c>
    </row>
    <row r="37" spans="2:40" s="314" customFormat="1" ht="12.75" customHeight="1" x14ac:dyDescent="0.15">
      <c r="B37" s="325" t="s">
        <v>41</v>
      </c>
      <c r="C37" s="326">
        <v>3023238.2008000002</v>
      </c>
      <c r="D37" s="327">
        <v>0.66532764</v>
      </c>
      <c r="E37"/>
      <c r="F37" s="326">
        <v>151794.5</v>
      </c>
      <c r="G37" s="327">
        <v>0.63077055999999998</v>
      </c>
      <c r="H37"/>
      <c r="I37" s="326">
        <v>164698.03</v>
      </c>
      <c r="J37" s="327">
        <v>0.55045153999999996</v>
      </c>
      <c r="K37"/>
      <c r="L37" s="326">
        <v>270827.58</v>
      </c>
      <c r="M37" s="327">
        <v>0.70158449000000001</v>
      </c>
      <c r="N37"/>
      <c r="O37" s="326">
        <v>134296.81</v>
      </c>
      <c r="P37" s="327">
        <v>0.55486096000000007</v>
      </c>
      <c r="Q37"/>
      <c r="R37" s="326">
        <v>243875.62109999999</v>
      </c>
      <c r="S37" s="327">
        <v>0.65629517000000004</v>
      </c>
      <c r="T37"/>
      <c r="U37" s="326">
        <v>321873.86550000001</v>
      </c>
      <c r="V37" s="327">
        <v>0.68818477</v>
      </c>
      <c r="W37"/>
      <c r="X37" s="326">
        <v>255971.8812</v>
      </c>
      <c r="Y37" s="327">
        <v>0.66924252999999989</v>
      </c>
      <c r="Z37"/>
      <c r="AA37" s="326">
        <v>224053.59640000001</v>
      </c>
      <c r="AB37" s="327">
        <v>0.65569862999999995</v>
      </c>
      <c r="AC37"/>
      <c r="AD37" s="326">
        <v>433470.65980000002</v>
      </c>
      <c r="AE37" s="327">
        <v>0.73033004000000001</v>
      </c>
      <c r="AF37"/>
      <c r="AG37" s="326">
        <v>313607.3</v>
      </c>
      <c r="AH37" s="327">
        <v>0.68845601999999995</v>
      </c>
      <c r="AI37"/>
      <c r="AJ37" s="326">
        <v>307242.28049999999</v>
      </c>
      <c r="AK37" s="327">
        <v>0.68759088000000002</v>
      </c>
      <c r="AL37"/>
      <c r="AM37" s="326">
        <v>201526.07629999999</v>
      </c>
      <c r="AN37" s="327">
        <v>0.63635032999999996</v>
      </c>
    </row>
    <row r="38" spans="2:40" s="314" customFormat="1" ht="12.75" customHeight="1" x14ac:dyDescent="0.15">
      <c r="B38" s="8"/>
      <c r="C38" s="8"/>
      <c r="D38" s="8"/>
      <c r="E38"/>
      <c r="F38" s="8"/>
      <c r="G38" s="8"/>
      <c r="H38"/>
      <c r="I38" s="8"/>
      <c r="J38" s="8"/>
      <c r="K38"/>
      <c r="L38" s="8"/>
      <c r="M38" s="8"/>
      <c r="N38"/>
      <c r="O38" s="8"/>
      <c r="P38" s="8"/>
      <c r="Q38"/>
      <c r="R38" s="8"/>
      <c r="S38" s="8"/>
      <c r="T38"/>
      <c r="U38" s="8"/>
      <c r="V38" s="8"/>
      <c r="W38"/>
      <c r="X38" s="8"/>
      <c r="Y38" s="8"/>
      <c r="Z38"/>
      <c r="AA38" s="8"/>
      <c r="AB38" s="8"/>
      <c r="AC38"/>
      <c r="AD38" s="8"/>
      <c r="AE38" s="8"/>
      <c r="AF38"/>
      <c r="AG38" s="8"/>
      <c r="AH38" s="8"/>
      <c r="AI38"/>
      <c r="AJ38" s="8"/>
      <c r="AK38" s="8"/>
      <c r="AL38"/>
      <c r="AM38" s="8"/>
      <c r="AN38" s="8"/>
    </row>
    <row r="39" spans="2:40" s="314" customFormat="1" ht="14" x14ac:dyDescent="0.15">
      <c r="B39" s="328" t="s">
        <v>42</v>
      </c>
      <c r="C39" s="329"/>
      <c r="D39" s="329"/>
      <c r="E39"/>
      <c r="F39" s="329"/>
      <c r="G39" s="329"/>
      <c r="H39"/>
      <c r="I39" s="329"/>
      <c r="J39" s="329"/>
      <c r="K39"/>
      <c r="L39" s="329"/>
      <c r="M39" s="329"/>
      <c r="N39"/>
      <c r="O39" s="329"/>
      <c r="P39" s="329"/>
      <c r="Q39"/>
      <c r="R39" s="329"/>
      <c r="S39" s="329"/>
      <c r="T39"/>
      <c r="U39" s="329"/>
      <c r="V39" s="329"/>
      <c r="W39"/>
      <c r="X39" s="329"/>
      <c r="Y39" s="329"/>
      <c r="Z39"/>
      <c r="AA39" s="329"/>
      <c r="AB39" s="329"/>
      <c r="AC39"/>
      <c r="AD39" s="329"/>
      <c r="AE39" s="329"/>
      <c r="AF39"/>
      <c r="AG39" s="329"/>
      <c r="AH39" s="329"/>
      <c r="AI39"/>
      <c r="AJ39" s="329"/>
      <c r="AK39" s="329"/>
      <c r="AL39"/>
      <c r="AM39" s="329"/>
      <c r="AN39" s="329"/>
    </row>
    <row r="40" spans="2:40" s="314" customFormat="1" ht="12.75" customHeight="1" x14ac:dyDescent="0.15">
      <c r="B40" s="5" t="s">
        <v>43</v>
      </c>
      <c r="C40" s="8">
        <v>617934.25529999996</v>
      </c>
      <c r="D40" s="7">
        <v>0.60379589</v>
      </c>
      <c r="E40"/>
      <c r="F40" s="8">
        <v>38323.35</v>
      </c>
      <c r="G40" s="7">
        <v>0.59441058000000002</v>
      </c>
      <c r="H40"/>
      <c r="I40" s="8">
        <v>44606.1</v>
      </c>
      <c r="J40" s="7">
        <v>0.61870037</v>
      </c>
      <c r="K40"/>
      <c r="L40" s="8">
        <v>49815.839999999997</v>
      </c>
      <c r="M40" s="7">
        <v>0.58960055</v>
      </c>
      <c r="N40"/>
      <c r="O40" s="8">
        <v>29703.65</v>
      </c>
      <c r="P40" s="7">
        <v>0.58880298000000009</v>
      </c>
      <c r="Q40"/>
      <c r="R40" s="8">
        <v>50451.202100000002</v>
      </c>
      <c r="S40" s="7">
        <v>0.60449233999999996</v>
      </c>
      <c r="T40"/>
      <c r="U40" s="8">
        <v>52721.1999</v>
      </c>
      <c r="V40" s="7">
        <v>0.61207760999999994</v>
      </c>
      <c r="W40"/>
      <c r="X40" s="8">
        <v>79547.355100000001</v>
      </c>
      <c r="Y40" s="7">
        <v>0.68985293000000003</v>
      </c>
      <c r="Z40"/>
      <c r="AA40" s="8">
        <v>51325.902999999998</v>
      </c>
      <c r="AB40" s="7">
        <v>0.62545487999999994</v>
      </c>
      <c r="AC40"/>
      <c r="AD40" s="8">
        <v>60636.063600000001</v>
      </c>
      <c r="AE40" s="7">
        <v>0.57777042000000001</v>
      </c>
      <c r="AF40"/>
      <c r="AG40" s="8">
        <v>58840.238799999999</v>
      </c>
      <c r="AH40" s="7">
        <v>0.57219423000000003</v>
      </c>
      <c r="AI40"/>
      <c r="AJ40" s="8">
        <v>57426.522599999997</v>
      </c>
      <c r="AK40" s="7">
        <v>0.56764044000000002</v>
      </c>
      <c r="AL40"/>
      <c r="AM40" s="8">
        <v>44536.830199999997</v>
      </c>
      <c r="AN40" s="7">
        <v>0.58606891999999999</v>
      </c>
    </row>
    <row r="41" spans="2:40" s="314" customFormat="1" ht="12.75" customHeight="1" x14ac:dyDescent="0.15">
      <c r="B41" s="5" t="s">
        <v>44</v>
      </c>
      <c r="C41" s="8">
        <v>374585.2954</v>
      </c>
      <c r="D41" s="7">
        <v>0.36601475999999999</v>
      </c>
      <c r="E41"/>
      <c r="F41" s="8">
        <v>24210.97</v>
      </c>
      <c r="G41" s="7">
        <v>0.37552189000000002</v>
      </c>
      <c r="H41"/>
      <c r="I41" s="8">
        <v>25673.49</v>
      </c>
      <c r="J41" s="7">
        <v>0.35609922999999999</v>
      </c>
      <c r="K41"/>
      <c r="L41" s="8">
        <v>32110.15</v>
      </c>
      <c r="M41" s="7">
        <v>0.38004302000000001</v>
      </c>
      <c r="N41"/>
      <c r="O41" s="8">
        <v>20067.849999999999</v>
      </c>
      <c r="P41" s="7">
        <v>0.39779656000000002</v>
      </c>
      <c r="Q41"/>
      <c r="R41" s="8">
        <v>30209.246899999998</v>
      </c>
      <c r="S41" s="7">
        <v>0.36195884</v>
      </c>
      <c r="T41"/>
      <c r="U41" s="8">
        <v>30613.629099999998</v>
      </c>
      <c r="V41" s="7">
        <v>0.35541521999999998</v>
      </c>
      <c r="W41"/>
      <c r="X41" s="8">
        <v>33463.244700000003</v>
      </c>
      <c r="Y41" s="7">
        <v>0.29020094000000002</v>
      </c>
      <c r="Z41"/>
      <c r="AA41" s="8">
        <v>28435.816599999998</v>
      </c>
      <c r="AB41" s="7">
        <v>0.34651744000000001</v>
      </c>
      <c r="AC41"/>
      <c r="AD41" s="8">
        <v>40512.3053</v>
      </c>
      <c r="AE41" s="7">
        <v>0.38602130000000001</v>
      </c>
      <c r="AF41"/>
      <c r="AG41" s="8">
        <v>40192.393400000001</v>
      </c>
      <c r="AH41" s="7">
        <v>0.39085251999999998</v>
      </c>
      <c r="AI41"/>
      <c r="AJ41" s="8">
        <v>39940.550999999999</v>
      </c>
      <c r="AK41" s="7">
        <v>0.39479793000000002</v>
      </c>
      <c r="AL41"/>
      <c r="AM41" s="8">
        <v>29155.648399999998</v>
      </c>
      <c r="AN41" s="7">
        <v>0.38366492000000002</v>
      </c>
    </row>
    <row r="42" spans="2:40" s="314" customFormat="1" ht="12.75" customHeight="1" x14ac:dyDescent="0.15">
      <c r="B42" s="5" t="s">
        <v>45</v>
      </c>
      <c r="C42" s="8">
        <v>30896.26</v>
      </c>
      <c r="D42" s="7">
        <v>3.018935E-2</v>
      </c>
      <c r="E42"/>
      <c r="F42" s="8">
        <v>1938.54</v>
      </c>
      <c r="G42" s="7">
        <v>3.006754E-2</v>
      </c>
      <c r="H42"/>
      <c r="I42" s="8">
        <v>1816.86</v>
      </c>
      <c r="J42" s="7">
        <v>2.5200409999999999E-2</v>
      </c>
      <c r="K42"/>
      <c r="L42" s="8">
        <v>2564.84</v>
      </c>
      <c r="M42" s="7">
        <v>3.035643E-2</v>
      </c>
      <c r="N42"/>
      <c r="O42" s="8">
        <v>676.02</v>
      </c>
      <c r="P42" s="7">
        <v>1.3400459999999999E-2</v>
      </c>
      <c r="Q42"/>
      <c r="R42" s="8">
        <v>2800</v>
      </c>
      <c r="S42" s="7">
        <v>3.3548830000000002E-2</v>
      </c>
      <c r="T42"/>
      <c r="U42" s="8">
        <v>2800</v>
      </c>
      <c r="V42" s="7">
        <v>3.2507179999999997E-2</v>
      </c>
      <c r="W42"/>
      <c r="X42" s="8">
        <v>2300</v>
      </c>
      <c r="Y42" s="7">
        <v>1.9946129999999999E-2</v>
      </c>
      <c r="Z42"/>
      <c r="AA42" s="8">
        <v>2300</v>
      </c>
      <c r="AB42" s="7">
        <v>2.8027679999999999E-2</v>
      </c>
      <c r="AC42"/>
      <c r="AD42" s="8">
        <v>3800</v>
      </c>
      <c r="AE42" s="7">
        <v>3.6208280000000002E-2</v>
      </c>
      <c r="AF42"/>
      <c r="AG42" s="8">
        <v>3800</v>
      </c>
      <c r="AH42" s="7">
        <v>3.695325E-2</v>
      </c>
      <c r="AI42"/>
      <c r="AJ42" s="8">
        <v>3800</v>
      </c>
      <c r="AK42" s="7">
        <v>3.7561629999999999E-2</v>
      </c>
      <c r="AL42"/>
      <c r="AM42" s="8">
        <v>2300</v>
      </c>
      <c r="AN42" s="7">
        <v>3.0266149999999999E-2</v>
      </c>
    </row>
    <row r="43" spans="2:40" s="314" customFormat="1" ht="12.75" customHeight="1" x14ac:dyDescent="0.15">
      <c r="B43" s="325" t="s">
        <v>36</v>
      </c>
      <c r="C43" s="326">
        <v>1023415.8107</v>
      </c>
      <c r="D43" s="327">
        <v>1</v>
      </c>
      <c r="E43"/>
      <c r="F43" s="326">
        <v>64472.86</v>
      </c>
      <c r="G43" s="327">
        <v>1</v>
      </c>
      <c r="H43"/>
      <c r="I43" s="326">
        <v>72096.45</v>
      </c>
      <c r="J43" s="327">
        <v>1</v>
      </c>
      <c r="K43"/>
      <c r="L43" s="326">
        <v>84490.83</v>
      </c>
      <c r="M43" s="327">
        <v>1</v>
      </c>
      <c r="N43"/>
      <c r="O43" s="326">
        <v>50447.519999999997</v>
      </c>
      <c r="P43" s="327">
        <v>1</v>
      </c>
      <c r="Q43"/>
      <c r="R43" s="326">
        <v>83460.448999999993</v>
      </c>
      <c r="S43" s="327">
        <v>1</v>
      </c>
      <c r="T43"/>
      <c r="U43" s="326">
        <v>86134.828999999998</v>
      </c>
      <c r="V43" s="327">
        <v>1</v>
      </c>
      <c r="W43"/>
      <c r="X43" s="326">
        <v>115310.59970000001</v>
      </c>
      <c r="Y43" s="327">
        <v>1</v>
      </c>
      <c r="Z43"/>
      <c r="AA43" s="326">
        <v>82061.719599999997</v>
      </c>
      <c r="AB43" s="327">
        <v>1</v>
      </c>
      <c r="AC43"/>
      <c r="AD43" s="326">
        <v>104948.3689</v>
      </c>
      <c r="AE43" s="327">
        <v>1</v>
      </c>
      <c r="AF43"/>
      <c r="AG43" s="326">
        <v>102832.63219999999</v>
      </c>
      <c r="AH43" s="327">
        <v>1</v>
      </c>
      <c r="AI43"/>
      <c r="AJ43" s="326">
        <v>101167.07369999999</v>
      </c>
      <c r="AK43" s="327">
        <v>1</v>
      </c>
      <c r="AL43"/>
      <c r="AM43" s="326">
        <v>75992.478600000002</v>
      </c>
      <c r="AN43" s="327">
        <v>1</v>
      </c>
    </row>
    <row r="44" spans="2:40" s="314" customFormat="1" ht="12.75" customHeight="1" x14ac:dyDescent="0.15">
      <c r="B44" s="5" t="s">
        <v>46</v>
      </c>
      <c r="C44" s="8">
        <v>335786.18420000002</v>
      </c>
      <c r="D44" s="7">
        <v>0.54340115</v>
      </c>
      <c r="E44"/>
      <c r="F44" s="8">
        <v>26242.82</v>
      </c>
      <c r="G44" s="7">
        <v>0.68477363999999996</v>
      </c>
      <c r="H44"/>
      <c r="I44" s="8">
        <v>27696.07</v>
      </c>
      <c r="J44" s="7">
        <v>0.62090319000000005</v>
      </c>
      <c r="K44"/>
      <c r="L44" s="8">
        <v>24994.76</v>
      </c>
      <c r="M44" s="7">
        <v>0.50174321999999993</v>
      </c>
      <c r="N44"/>
      <c r="O44" s="8">
        <v>16270.38</v>
      </c>
      <c r="P44" s="7">
        <v>0.54775692999999992</v>
      </c>
      <c r="Q44"/>
      <c r="R44" s="8">
        <v>26658.896700000001</v>
      </c>
      <c r="S44" s="7">
        <v>0.52840954000000007</v>
      </c>
      <c r="T44"/>
      <c r="U44" s="8">
        <v>27407.995999999999</v>
      </c>
      <c r="V44" s="7">
        <v>0.51986670000000001</v>
      </c>
      <c r="W44"/>
      <c r="X44" s="8">
        <v>35350.627200000003</v>
      </c>
      <c r="Y44" s="7">
        <v>0.44439727000000001</v>
      </c>
      <c r="Z44"/>
      <c r="AA44" s="8">
        <v>26037.547999999999</v>
      </c>
      <c r="AB44" s="7">
        <v>0.50729838999999999</v>
      </c>
      <c r="AC44"/>
      <c r="AD44" s="8">
        <v>34023.900999999998</v>
      </c>
      <c r="AE44" s="7">
        <v>0.56111659000000003</v>
      </c>
      <c r="AF44"/>
      <c r="AG44" s="8">
        <v>33431.2788</v>
      </c>
      <c r="AH44" s="7">
        <v>0.56817034999999994</v>
      </c>
      <c r="AI44"/>
      <c r="AJ44" s="8">
        <v>32964.752500000002</v>
      </c>
      <c r="AK44" s="7">
        <v>0.57403357999999993</v>
      </c>
      <c r="AL44"/>
      <c r="AM44" s="8">
        <v>24707.153999999999</v>
      </c>
      <c r="AN44" s="7">
        <v>0.55475779999999997</v>
      </c>
    </row>
    <row r="45" spans="2:40" s="314" customFormat="1" ht="12.75" customHeight="1" x14ac:dyDescent="0.15">
      <c r="B45" s="5" t="s">
        <v>47</v>
      </c>
      <c r="C45" s="8">
        <v>72089.633100000006</v>
      </c>
      <c r="D45" s="7">
        <v>0.19245185000000001</v>
      </c>
      <c r="E45"/>
      <c r="F45" s="8">
        <v>8792.3700000000008</v>
      </c>
      <c r="G45" s="7">
        <v>0.36315645000000002</v>
      </c>
      <c r="H45"/>
      <c r="I45" s="8">
        <v>51.43</v>
      </c>
      <c r="J45" s="7">
        <v>2.0032299999999999E-3</v>
      </c>
      <c r="K45"/>
      <c r="L45" s="8">
        <v>8127.65</v>
      </c>
      <c r="M45" s="7">
        <v>0.25311778000000001</v>
      </c>
      <c r="N45"/>
      <c r="O45" s="8">
        <v>5059.76</v>
      </c>
      <c r="P45" s="7">
        <v>0.25213264000000002</v>
      </c>
      <c r="Q45"/>
      <c r="R45" s="8">
        <v>5548.8293999999996</v>
      </c>
      <c r="S45" s="7">
        <v>0.18367982999999999</v>
      </c>
      <c r="T45"/>
      <c r="U45" s="8">
        <v>5629.7057999999997</v>
      </c>
      <c r="V45" s="7">
        <v>0.18389541000000001</v>
      </c>
      <c r="W45"/>
      <c r="X45" s="8">
        <v>6244.4489000000003</v>
      </c>
      <c r="Y45" s="7">
        <v>0.1866062</v>
      </c>
      <c r="Z45"/>
      <c r="AA45" s="8">
        <v>5238.9633000000003</v>
      </c>
      <c r="AB45" s="7">
        <v>0.18423819</v>
      </c>
      <c r="AC45"/>
      <c r="AD45" s="8">
        <v>7412.2331000000004</v>
      </c>
      <c r="AE45" s="7">
        <v>0.18296250999999999</v>
      </c>
      <c r="AF45"/>
      <c r="AG45" s="8">
        <v>7348.2506999999996</v>
      </c>
      <c r="AH45" s="7">
        <v>0.18282689999999999</v>
      </c>
      <c r="AI45"/>
      <c r="AJ45" s="8">
        <v>7297.8822</v>
      </c>
      <c r="AK45" s="7">
        <v>0.18271862</v>
      </c>
      <c r="AL45"/>
      <c r="AM45" s="8">
        <v>5338.1097</v>
      </c>
      <c r="AN45" s="7">
        <v>0.18309006999999999</v>
      </c>
    </row>
    <row r="46" spans="2:40" s="314" customFormat="1" ht="12.75" customHeight="1" x14ac:dyDescent="0.15">
      <c r="B46" s="5" t="s">
        <v>48</v>
      </c>
      <c r="C46" s="8">
        <v>951.73</v>
      </c>
      <c r="D46" s="7">
        <v>3.0804049999999999E-2</v>
      </c>
      <c r="E46"/>
      <c r="F46" s="8">
        <v>479.39</v>
      </c>
      <c r="G46" s="7">
        <v>0.24729435999999999</v>
      </c>
      <c r="H46"/>
      <c r="I46" s="8">
        <v>-229.65</v>
      </c>
      <c r="J46" s="7">
        <v>-0.12639939</v>
      </c>
      <c r="K46"/>
      <c r="L46" s="8">
        <v>145.01</v>
      </c>
      <c r="M46" s="7">
        <v>5.653764E-2</v>
      </c>
      <c r="N46"/>
      <c r="O46" s="8">
        <v>556.98</v>
      </c>
      <c r="P46" s="7">
        <v>0.82391053999999997</v>
      </c>
      <c r="Q46"/>
      <c r="R46" s="8">
        <v>0</v>
      </c>
      <c r="S46" s="7">
        <v>0</v>
      </c>
      <c r="T46"/>
      <c r="U46" s="8">
        <v>0</v>
      </c>
      <c r="V46" s="7">
        <v>0</v>
      </c>
      <c r="W46"/>
      <c r="X46" s="8">
        <v>0</v>
      </c>
      <c r="Y46" s="7">
        <v>0</v>
      </c>
      <c r="Z46"/>
      <c r="AA46" s="8">
        <v>0</v>
      </c>
      <c r="AB46" s="7">
        <v>0</v>
      </c>
      <c r="AC46"/>
      <c r="AD46" s="8">
        <v>0</v>
      </c>
      <c r="AE46" s="7">
        <v>0</v>
      </c>
      <c r="AF46"/>
      <c r="AG46" s="8">
        <v>0</v>
      </c>
      <c r="AH46" s="7">
        <v>0</v>
      </c>
      <c r="AI46"/>
      <c r="AJ46" s="8">
        <v>0</v>
      </c>
      <c r="AK46" s="7">
        <v>0</v>
      </c>
      <c r="AL46"/>
      <c r="AM46" s="8">
        <v>0</v>
      </c>
      <c r="AN46" s="7">
        <v>0</v>
      </c>
    </row>
    <row r="47" spans="2:40" s="314" customFormat="1" ht="12.75" customHeight="1" x14ac:dyDescent="0.15">
      <c r="B47" s="325" t="s">
        <v>49</v>
      </c>
      <c r="C47" s="326">
        <v>408827.54719999997</v>
      </c>
      <c r="D47" s="327">
        <v>0.39947355000000001</v>
      </c>
      <c r="E47"/>
      <c r="F47" s="326">
        <v>35514.58</v>
      </c>
      <c r="G47" s="327">
        <v>0.55084542999999997</v>
      </c>
      <c r="H47"/>
      <c r="I47" s="326">
        <v>27517.85</v>
      </c>
      <c r="J47" s="327">
        <v>0.38168107000000001</v>
      </c>
      <c r="K47"/>
      <c r="L47" s="326">
        <v>33267.42</v>
      </c>
      <c r="M47" s="327">
        <v>0.39374000999999997</v>
      </c>
      <c r="N47"/>
      <c r="O47" s="326">
        <v>21887.119999999999</v>
      </c>
      <c r="P47" s="327">
        <v>0.43385919000000001</v>
      </c>
      <c r="Q47"/>
      <c r="R47" s="326">
        <v>32207.7261</v>
      </c>
      <c r="S47" s="327">
        <v>0.38590405999999999</v>
      </c>
      <c r="T47"/>
      <c r="U47" s="326">
        <v>33037.701800000003</v>
      </c>
      <c r="V47" s="327">
        <v>0.38355799000000002</v>
      </c>
      <c r="W47"/>
      <c r="X47" s="326">
        <v>41595.076099999998</v>
      </c>
      <c r="Y47" s="327">
        <v>0.36072205000000002</v>
      </c>
      <c r="Z47"/>
      <c r="AA47" s="326">
        <v>31276.511299999998</v>
      </c>
      <c r="AB47" s="327">
        <v>0.38113399999999997</v>
      </c>
      <c r="AC47"/>
      <c r="AD47" s="326">
        <v>41436.133999999998</v>
      </c>
      <c r="AE47" s="327">
        <v>0.39482399000000001</v>
      </c>
      <c r="AF47"/>
      <c r="AG47" s="326">
        <v>40779.529499999997</v>
      </c>
      <c r="AH47" s="327">
        <v>0.39656215000000011</v>
      </c>
      <c r="AI47"/>
      <c r="AJ47" s="326">
        <v>40262.634700000002</v>
      </c>
      <c r="AK47" s="327">
        <v>0.39798160999999999</v>
      </c>
      <c r="AL47"/>
      <c r="AM47" s="326">
        <v>30045.2637</v>
      </c>
      <c r="AN47" s="327">
        <v>0.39537155000000002</v>
      </c>
    </row>
    <row r="48" spans="2:40" s="314" customFormat="1" ht="12.75" customHeight="1" x14ac:dyDescent="0.15">
      <c r="B48" s="5" t="s">
        <v>22</v>
      </c>
      <c r="C48" s="8">
        <v>388984.89840000001</v>
      </c>
      <c r="D48" s="7">
        <v>0.3800849</v>
      </c>
      <c r="E48"/>
      <c r="F48" s="8">
        <v>34690.769999999997</v>
      </c>
      <c r="G48" s="7">
        <v>0.53806779999999998</v>
      </c>
      <c r="H48"/>
      <c r="I48" s="8">
        <v>30636.639999999999</v>
      </c>
      <c r="J48" s="7">
        <v>0.42493965</v>
      </c>
      <c r="K48"/>
      <c r="L48" s="8">
        <v>25326.17</v>
      </c>
      <c r="M48" s="7">
        <v>0.29975052000000002</v>
      </c>
      <c r="N48"/>
      <c r="O48" s="8">
        <v>28143.119999999999</v>
      </c>
      <c r="P48" s="7">
        <v>0.55786924999999998</v>
      </c>
      <c r="Q48"/>
      <c r="R48" s="8">
        <v>36402.261400000003</v>
      </c>
      <c r="S48" s="7">
        <v>0.43616181999999998</v>
      </c>
      <c r="T48"/>
      <c r="U48" s="8">
        <v>33477.261700000003</v>
      </c>
      <c r="V48" s="7">
        <v>0.38866115000000001</v>
      </c>
      <c r="W48"/>
      <c r="X48" s="8">
        <v>31566.419699999999</v>
      </c>
      <c r="Y48" s="7">
        <v>0.27375124000000001</v>
      </c>
      <c r="Z48"/>
      <c r="AA48" s="8">
        <v>33786.904699999999</v>
      </c>
      <c r="AB48" s="7">
        <v>0.41172553000000001</v>
      </c>
      <c r="AC48"/>
      <c r="AD48" s="8">
        <v>34228.779300000002</v>
      </c>
      <c r="AE48" s="7">
        <v>0.32614874999999999</v>
      </c>
      <c r="AF48"/>
      <c r="AG48" s="8">
        <v>34466.246599999999</v>
      </c>
      <c r="AH48" s="7">
        <v>0.33516837999999999</v>
      </c>
      <c r="AI48"/>
      <c r="AJ48" s="8">
        <v>34568.315300000002</v>
      </c>
      <c r="AK48" s="7">
        <v>0.34169532000000002</v>
      </c>
      <c r="AL48"/>
      <c r="AM48" s="8">
        <v>31692.009699999999</v>
      </c>
      <c r="AN48" s="7">
        <v>0.41704140000000001</v>
      </c>
    </row>
    <row r="49" spans="2:40" s="314" customFormat="1" ht="12.75" customHeight="1" x14ac:dyDescent="0.15">
      <c r="B49" s="5" t="s">
        <v>40</v>
      </c>
      <c r="C49" s="8">
        <v>47746.45</v>
      </c>
      <c r="D49" s="7">
        <v>4.6654010000000003E-2</v>
      </c>
      <c r="E49"/>
      <c r="F49" s="8">
        <v>2477.83</v>
      </c>
      <c r="G49" s="7">
        <v>3.8432139999999997E-2</v>
      </c>
      <c r="H49"/>
      <c r="I49" s="8">
        <v>5260.07</v>
      </c>
      <c r="J49" s="7">
        <v>7.2958789999999996E-2</v>
      </c>
      <c r="K49"/>
      <c r="L49" s="8">
        <v>6568.36</v>
      </c>
      <c r="M49" s="7">
        <v>7.7740509999999999E-2</v>
      </c>
      <c r="N49"/>
      <c r="O49" s="8">
        <v>4011.79</v>
      </c>
      <c r="P49" s="7">
        <v>7.9524030000000009E-2</v>
      </c>
      <c r="Q49"/>
      <c r="R49" s="8">
        <v>3703.55</v>
      </c>
      <c r="S49" s="7">
        <v>4.4374909999999997E-2</v>
      </c>
      <c r="T49"/>
      <c r="U49" s="8">
        <v>2803.55</v>
      </c>
      <c r="V49" s="7">
        <v>3.2548390000000003E-2</v>
      </c>
      <c r="W49"/>
      <c r="X49" s="8">
        <v>2403.5500000000002</v>
      </c>
      <c r="Y49" s="7">
        <v>2.0844140000000001E-2</v>
      </c>
      <c r="Z49"/>
      <c r="AA49" s="8">
        <v>2803.55</v>
      </c>
      <c r="AB49" s="7">
        <v>3.416392E-2</v>
      </c>
      <c r="AC49"/>
      <c r="AD49" s="8">
        <v>3753.55</v>
      </c>
      <c r="AE49" s="7">
        <v>3.5765680000000001E-2</v>
      </c>
      <c r="AF49"/>
      <c r="AG49" s="8">
        <v>2603.5500000000002</v>
      </c>
      <c r="AH49" s="7">
        <v>2.5318319999999998E-2</v>
      </c>
      <c r="AI49"/>
      <c r="AJ49" s="8">
        <v>9003.5499999999993</v>
      </c>
      <c r="AK49" s="7">
        <v>8.8996840000000008E-2</v>
      </c>
      <c r="AL49"/>
      <c r="AM49" s="8">
        <v>2353.5500000000002</v>
      </c>
      <c r="AN49" s="7">
        <v>3.0970830000000001E-2</v>
      </c>
    </row>
    <row r="50" spans="2:40" s="314" customFormat="1" ht="12.75" customHeight="1" x14ac:dyDescent="0.15">
      <c r="B50" s="325" t="s">
        <v>41</v>
      </c>
      <c r="C50" s="326">
        <v>177856.91510000001</v>
      </c>
      <c r="D50" s="327">
        <v>0.17378753999999999</v>
      </c>
      <c r="E50"/>
      <c r="F50" s="326">
        <v>-8210.32</v>
      </c>
      <c r="G50" s="327">
        <v>-0.12734537000000001</v>
      </c>
      <c r="H50"/>
      <c r="I50" s="326">
        <v>8681.89</v>
      </c>
      <c r="J50" s="327">
        <v>0.12042049000000001</v>
      </c>
      <c r="K50"/>
      <c r="L50" s="326">
        <v>19328.88</v>
      </c>
      <c r="M50" s="327">
        <v>0.22876896999999999</v>
      </c>
      <c r="N50"/>
      <c r="O50" s="326">
        <v>-3594.51</v>
      </c>
      <c r="P50" s="327">
        <v>-7.1252460000000004E-2</v>
      </c>
      <c r="Q50"/>
      <c r="R50" s="326">
        <v>11146.9115</v>
      </c>
      <c r="S50" s="327">
        <v>0.13355921000000001</v>
      </c>
      <c r="T50"/>
      <c r="U50" s="326">
        <v>16816.315500000001</v>
      </c>
      <c r="V50" s="327">
        <v>0.19523246999999999</v>
      </c>
      <c r="W50"/>
      <c r="X50" s="326">
        <v>39745.553899999999</v>
      </c>
      <c r="Y50" s="327">
        <v>0.34468257000000002</v>
      </c>
      <c r="Z50"/>
      <c r="AA50" s="326">
        <v>14194.7536</v>
      </c>
      <c r="AB50" s="327">
        <v>0.17297656</v>
      </c>
      <c r="AC50"/>
      <c r="AD50" s="326">
        <v>25529.905599999998</v>
      </c>
      <c r="AE50" s="327">
        <v>0.24326158000000001</v>
      </c>
      <c r="AF50"/>
      <c r="AG50" s="326">
        <v>24983.306100000002</v>
      </c>
      <c r="AH50" s="327">
        <v>0.24295115</v>
      </c>
      <c r="AI50"/>
      <c r="AJ50" s="326">
        <v>17332.573700000001</v>
      </c>
      <c r="AK50" s="327">
        <v>0.17132623</v>
      </c>
      <c r="AL50"/>
      <c r="AM50" s="326">
        <v>11901.655199999999</v>
      </c>
      <c r="AN50" s="327">
        <v>0.15661623</v>
      </c>
    </row>
    <row r="51" spans="2:40" s="314" customFormat="1" ht="12.75" customHeight="1" x14ac:dyDescent="0.15">
      <c r="B51" s="8"/>
      <c r="C51" s="8"/>
      <c r="D51" s="8"/>
      <c r="E51"/>
      <c r="F51" s="8"/>
      <c r="G51" s="8"/>
      <c r="H51"/>
      <c r="I51" s="8"/>
      <c r="J51" s="8"/>
      <c r="K51"/>
      <c r="L51" s="8"/>
      <c r="M51" s="8"/>
      <c r="N51"/>
      <c r="O51" s="8"/>
      <c r="P51" s="8"/>
      <c r="Q51"/>
      <c r="R51" s="8"/>
      <c r="S51" s="8"/>
      <c r="T51"/>
      <c r="U51" s="8"/>
      <c r="V51" s="8"/>
      <c r="W51"/>
      <c r="X51" s="8"/>
      <c r="Y51" s="8"/>
      <c r="Z51"/>
      <c r="AA51" s="8"/>
      <c r="AB51" s="8"/>
      <c r="AC51"/>
      <c r="AD51" s="8"/>
      <c r="AE51" s="8"/>
      <c r="AF51"/>
      <c r="AG51" s="8"/>
      <c r="AH51" s="8"/>
      <c r="AI51"/>
      <c r="AJ51" s="8"/>
      <c r="AK51" s="8"/>
      <c r="AL51"/>
      <c r="AM51" s="8"/>
      <c r="AN51" s="8"/>
    </row>
    <row r="52" spans="2:40" s="314" customFormat="1" ht="14" x14ac:dyDescent="0.15">
      <c r="B52" s="328" t="s">
        <v>50</v>
      </c>
      <c r="C52" s="329"/>
      <c r="D52" s="329"/>
      <c r="E52"/>
      <c r="F52" s="329"/>
      <c r="G52" s="329"/>
      <c r="H52"/>
      <c r="I52" s="329"/>
      <c r="J52" s="329"/>
      <c r="K52"/>
      <c r="L52" s="329"/>
      <c r="M52" s="329"/>
      <c r="N52"/>
      <c r="O52" s="329"/>
      <c r="P52" s="329"/>
      <c r="Q52"/>
      <c r="R52" s="329"/>
      <c r="S52" s="329"/>
      <c r="T52"/>
      <c r="U52" s="329"/>
      <c r="V52" s="329"/>
      <c r="W52"/>
      <c r="X52" s="329"/>
      <c r="Y52" s="329"/>
      <c r="Z52"/>
      <c r="AA52" s="329"/>
      <c r="AB52" s="329"/>
      <c r="AC52"/>
      <c r="AD52" s="329"/>
      <c r="AE52" s="329"/>
      <c r="AF52"/>
      <c r="AG52" s="329"/>
      <c r="AH52" s="329"/>
      <c r="AI52"/>
      <c r="AJ52" s="329"/>
      <c r="AK52" s="329"/>
      <c r="AL52"/>
      <c r="AM52" s="329"/>
      <c r="AN52" s="329"/>
    </row>
    <row r="53" spans="2:40" s="314" customFormat="1" ht="12.75" customHeight="1" x14ac:dyDescent="0.15">
      <c r="B53" s="5" t="s">
        <v>37</v>
      </c>
      <c r="C53" s="8">
        <v>209743.67</v>
      </c>
      <c r="D53" s="7">
        <v>1</v>
      </c>
      <c r="E53"/>
      <c r="F53" s="8">
        <v>14064.68</v>
      </c>
      <c r="G53" s="7">
        <v>1</v>
      </c>
      <c r="H53"/>
      <c r="I53" s="8">
        <v>14696.31</v>
      </c>
      <c r="J53" s="7">
        <v>1</v>
      </c>
      <c r="K53"/>
      <c r="L53" s="8">
        <v>17658.939999999999</v>
      </c>
      <c r="M53" s="7">
        <v>1</v>
      </c>
      <c r="N53"/>
      <c r="O53" s="8">
        <v>12764.54</v>
      </c>
      <c r="P53" s="7">
        <v>1</v>
      </c>
      <c r="Q53"/>
      <c r="R53" s="8">
        <v>18044.64</v>
      </c>
      <c r="S53" s="7">
        <v>1</v>
      </c>
      <c r="T53"/>
      <c r="U53" s="8">
        <v>20886.72</v>
      </c>
      <c r="V53" s="7">
        <v>1</v>
      </c>
      <c r="W53"/>
      <c r="X53" s="8">
        <v>18152.16</v>
      </c>
      <c r="Y53" s="7">
        <v>1</v>
      </c>
      <c r="Z53"/>
      <c r="AA53" s="8">
        <v>15826.88</v>
      </c>
      <c r="AB53" s="7">
        <v>1</v>
      </c>
      <c r="AC53"/>
      <c r="AD53" s="8">
        <v>21853.919999999998</v>
      </c>
      <c r="AE53" s="7">
        <v>1</v>
      </c>
      <c r="AF53"/>
      <c r="AG53" s="8">
        <v>20658.560000000001</v>
      </c>
      <c r="AH53" s="7">
        <v>1</v>
      </c>
      <c r="AI53"/>
      <c r="AJ53" s="8">
        <v>20331.2</v>
      </c>
      <c r="AK53" s="7">
        <v>1</v>
      </c>
      <c r="AL53"/>
      <c r="AM53" s="8">
        <v>14805.12</v>
      </c>
      <c r="AN53" s="7">
        <v>1</v>
      </c>
    </row>
    <row r="54" spans="2:40" s="314" customFormat="1" ht="12.75" customHeight="1" x14ac:dyDescent="0.15">
      <c r="B54" s="5" t="s">
        <v>49</v>
      </c>
      <c r="C54" s="8">
        <v>9311.1749999999993</v>
      </c>
      <c r="D54" s="7">
        <v>4.4393120000000001E-2</v>
      </c>
      <c r="E54"/>
      <c r="F54" s="8">
        <v>488.12</v>
      </c>
      <c r="G54" s="7">
        <v>3.4705380000000001E-2</v>
      </c>
      <c r="H54"/>
      <c r="I54" s="8">
        <v>1618.53</v>
      </c>
      <c r="J54" s="7">
        <v>0.11013173</v>
      </c>
      <c r="K54"/>
      <c r="L54" s="8">
        <v>1039.6099999999999</v>
      </c>
      <c r="M54" s="7">
        <v>5.8871600000000003E-2</v>
      </c>
      <c r="N54"/>
      <c r="O54" s="8">
        <v>-193.98</v>
      </c>
      <c r="P54" s="7">
        <v>-1.519679E-2</v>
      </c>
      <c r="Q54"/>
      <c r="R54" s="8">
        <v>784.83399999999995</v>
      </c>
      <c r="S54" s="7">
        <v>4.3494020000000001E-2</v>
      </c>
      <c r="T54"/>
      <c r="U54" s="8">
        <v>814.05700000000002</v>
      </c>
      <c r="V54" s="7">
        <v>3.897486E-2</v>
      </c>
      <c r="W54"/>
      <c r="X54" s="8">
        <v>737.99599999999998</v>
      </c>
      <c r="Y54" s="7">
        <v>4.0656100000000001E-2</v>
      </c>
      <c r="Z54"/>
      <c r="AA54" s="8">
        <v>594.22799999999995</v>
      </c>
      <c r="AB54" s="7">
        <v>3.7545490000000001E-2</v>
      </c>
      <c r="AC54"/>
      <c r="AD54" s="8">
        <v>1224.002</v>
      </c>
      <c r="AE54" s="7">
        <v>5.6008349999999998E-2</v>
      </c>
      <c r="AF54"/>
      <c r="AG54" s="8">
        <v>811.71100000000001</v>
      </c>
      <c r="AH54" s="7">
        <v>3.929175E-2</v>
      </c>
      <c r="AI54"/>
      <c r="AJ54" s="8">
        <v>808.34500000000003</v>
      </c>
      <c r="AK54" s="7">
        <v>3.9758839999999997E-2</v>
      </c>
      <c r="AL54"/>
      <c r="AM54" s="8">
        <v>583.72199999999998</v>
      </c>
      <c r="AN54" s="7">
        <v>3.9427039999999997E-2</v>
      </c>
    </row>
    <row r="55" spans="2:40" s="314" customFormat="1" ht="12.75" customHeight="1" x14ac:dyDescent="0.15">
      <c r="B55" s="5" t="s">
        <v>22</v>
      </c>
      <c r="C55" s="8">
        <v>0</v>
      </c>
      <c r="D55" s="7">
        <v>0</v>
      </c>
      <c r="E55"/>
      <c r="F55" s="8">
        <v>0</v>
      </c>
      <c r="G55" s="7">
        <v>0</v>
      </c>
      <c r="H55"/>
      <c r="I55" s="8">
        <v>0</v>
      </c>
      <c r="J55" s="7">
        <v>0</v>
      </c>
      <c r="K55"/>
      <c r="L55" s="8">
        <v>0</v>
      </c>
      <c r="M55" s="7">
        <v>0</v>
      </c>
      <c r="N55"/>
      <c r="O55" s="8">
        <v>0</v>
      </c>
      <c r="P55" s="7">
        <v>0</v>
      </c>
      <c r="Q55"/>
      <c r="R55" s="8">
        <v>0</v>
      </c>
      <c r="S55" s="7">
        <v>0</v>
      </c>
      <c r="T55"/>
      <c r="U55" s="8">
        <v>0</v>
      </c>
      <c r="V55" s="7">
        <v>0</v>
      </c>
      <c r="W55"/>
      <c r="X55" s="8">
        <v>0</v>
      </c>
      <c r="Y55" s="7">
        <v>0</v>
      </c>
      <c r="Z55"/>
      <c r="AA55" s="8">
        <v>0</v>
      </c>
      <c r="AB55" s="7">
        <v>0</v>
      </c>
      <c r="AC55"/>
      <c r="AD55" s="8">
        <v>0</v>
      </c>
      <c r="AE55" s="7">
        <v>0</v>
      </c>
      <c r="AF55"/>
      <c r="AG55" s="8">
        <v>0</v>
      </c>
      <c r="AH55" s="7">
        <v>0</v>
      </c>
      <c r="AI55"/>
      <c r="AJ55" s="8">
        <v>0</v>
      </c>
      <c r="AK55" s="7">
        <v>0</v>
      </c>
      <c r="AL55"/>
      <c r="AM55" s="8">
        <v>0</v>
      </c>
      <c r="AN55" s="7">
        <v>0</v>
      </c>
    </row>
    <row r="56" spans="2:40" s="314" customFormat="1" ht="12.75" customHeight="1" x14ac:dyDescent="0.15">
      <c r="B56" s="5" t="s">
        <v>40</v>
      </c>
      <c r="C56" s="8">
        <v>0</v>
      </c>
      <c r="D56" s="7">
        <v>0</v>
      </c>
      <c r="E56"/>
      <c r="F56" s="8">
        <v>0</v>
      </c>
      <c r="G56" s="7">
        <v>0</v>
      </c>
      <c r="H56"/>
      <c r="I56" s="8">
        <v>0</v>
      </c>
      <c r="J56" s="7">
        <v>0</v>
      </c>
      <c r="K56"/>
      <c r="L56" s="8">
        <v>0</v>
      </c>
      <c r="M56" s="7">
        <v>0</v>
      </c>
      <c r="N56"/>
      <c r="O56" s="8">
        <v>0</v>
      </c>
      <c r="P56" s="7">
        <v>0</v>
      </c>
      <c r="Q56"/>
      <c r="R56" s="8">
        <v>0</v>
      </c>
      <c r="S56" s="7">
        <v>0</v>
      </c>
      <c r="T56"/>
      <c r="U56" s="8">
        <v>0</v>
      </c>
      <c r="V56" s="7">
        <v>0</v>
      </c>
      <c r="W56"/>
      <c r="X56" s="8">
        <v>0</v>
      </c>
      <c r="Y56" s="7">
        <v>0</v>
      </c>
      <c r="Z56"/>
      <c r="AA56" s="8">
        <v>0</v>
      </c>
      <c r="AB56" s="7">
        <v>0</v>
      </c>
      <c r="AC56"/>
      <c r="AD56" s="8">
        <v>0</v>
      </c>
      <c r="AE56" s="7">
        <v>0</v>
      </c>
      <c r="AF56"/>
      <c r="AG56" s="8">
        <v>0</v>
      </c>
      <c r="AH56" s="7">
        <v>0</v>
      </c>
      <c r="AI56"/>
      <c r="AJ56" s="8">
        <v>0</v>
      </c>
      <c r="AK56" s="7">
        <v>0</v>
      </c>
      <c r="AL56"/>
      <c r="AM56" s="8">
        <v>0</v>
      </c>
      <c r="AN56" s="7">
        <v>0</v>
      </c>
    </row>
    <row r="57" spans="2:40" s="314" customFormat="1" ht="12.75" customHeight="1" x14ac:dyDescent="0.15">
      <c r="B57" s="325" t="s">
        <v>41</v>
      </c>
      <c r="C57" s="326">
        <v>200432.495</v>
      </c>
      <c r="D57" s="327">
        <v>0.95560687999999994</v>
      </c>
      <c r="E57"/>
      <c r="F57" s="326">
        <v>13576.56</v>
      </c>
      <c r="G57" s="327">
        <v>0.96529461999999999</v>
      </c>
      <c r="H57"/>
      <c r="I57" s="326">
        <v>13077.78</v>
      </c>
      <c r="J57" s="327">
        <v>0.88986827000000002</v>
      </c>
      <c r="K57"/>
      <c r="L57" s="326">
        <v>16619.330000000002</v>
      </c>
      <c r="M57" s="327">
        <v>0.94112840000000009</v>
      </c>
      <c r="N57"/>
      <c r="O57" s="326">
        <v>12958.52</v>
      </c>
      <c r="P57" s="327">
        <v>1.0151967900000001</v>
      </c>
      <c r="Q57"/>
      <c r="R57" s="326">
        <v>17259.806</v>
      </c>
      <c r="S57" s="327">
        <v>0.95650597999999998</v>
      </c>
      <c r="T57"/>
      <c r="U57" s="326">
        <v>20072.663</v>
      </c>
      <c r="V57" s="327">
        <v>0.96102513999999994</v>
      </c>
      <c r="W57"/>
      <c r="X57" s="326">
        <v>17414.164000000001</v>
      </c>
      <c r="Y57" s="327">
        <v>0.95934389999999992</v>
      </c>
      <c r="Z57"/>
      <c r="AA57" s="326">
        <v>15232.652</v>
      </c>
      <c r="AB57" s="327">
        <v>0.96245451000000004</v>
      </c>
      <c r="AC57"/>
      <c r="AD57" s="326">
        <v>20629.918000000001</v>
      </c>
      <c r="AE57" s="327">
        <v>0.94399164999999996</v>
      </c>
      <c r="AF57"/>
      <c r="AG57" s="326">
        <v>19846.848999999998</v>
      </c>
      <c r="AH57" s="327">
        <v>0.96070825000000004</v>
      </c>
      <c r="AI57"/>
      <c r="AJ57" s="326">
        <v>19522.855</v>
      </c>
      <c r="AK57" s="327">
        <v>0.96024116000000004</v>
      </c>
      <c r="AL57"/>
      <c r="AM57" s="326">
        <v>14221.397999999999</v>
      </c>
      <c r="AN57" s="327">
        <v>0.96057295999999992</v>
      </c>
    </row>
    <row r="58" spans="2:40" s="314" customFormat="1" ht="12.75" customHeight="1" x14ac:dyDescent="0.15">
      <c r="B58" s="8"/>
      <c r="C58" s="8"/>
      <c r="D58" s="8"/>
      <c r="E58"/>
      <c r="F58" s="8"/>
      <c r="G58" s="8"/>
      <c r="H58"/>
      <c r="I58" s="8"/>
      <c r="J58" s="8"/>
      <c r="K58"/>
      <c r="L58" s="8"/>
      <c r="M58" s="8"/>
      <c r="N58"/>
      <c r="O58" s="8"/>
      <c r="P58" s="8"/>
      <c r="Q58"/>
      <c r="R58" s="8"/>
      <c r="S58" s="8"/>
      <c r="T58"/>
      <c r="U58" s="8"/>
      <c r="V58" s="8"/>
      <c r="W58"/>
      <c r="X58" s="8"/>
      <c r="Y58" s="8"/>
      <c r="Z58"/>
      <c r="AA58" s="8"/>
      <c r="AB58" s="8"/>
      <c r="AC58"/>
      <c r="AD58" s="8"/>
      <c r="AE58" s="8"/>
      <c r="AF58"/>
      <c r="AG58" s="8"/>
      <c r="AH58" s="8"/>
      <c r="AI58"/>
      <c r="AJ58" s="8"/>
      <c r="AK58" s="8"/>
      <c r="AL58"/>
      <c r="AM58" s="8"/>
      <c r="AN58" s="8"/>
    </row>
    <row r="59" spans="2:40" s="314" customFormat="1" ht="14" x14ac:dyDescent="0.15">
      <c r="B59" s="328" t="s">
        <v>38</v>
      </c>
      <c r="C59" s="329"/>
      <c r="D59" s="329"/>
      <c r="E59"/>
      <c r="F59" s="329"/>
      <c r="G59" s="329"/>
      <c r="H59"/>
      <c r="I59" s="329"/>
      <c r="J59" s="329"/>
      <c r="K59"/>
      <c r="L59" s="329"/>
      <c r="M59" s="329"/>
      <c r="N59"/>
      <c r="O59" s="329"/>
      <c r="P59" s="329"/>
      <c r="Q59"/>
      <c r="R59" s="329"/>
      <c r="S59" s="329"/>
      <c r="T59"/>
      <c r="U59" s="329"/>
      <c r="V59" s="329"/>
      <c r="W59"/>
      <c r="X59" s="329"/>
      <c r="Y59" s="329"/>
      <c r="Z59"/>
      <c r="AA59" s="329"/>
      <c r="AB59" s="329"/>
      <c r="AC59"/>
      <c r="AD59" s="329"/>
      <c r="AE59" s="329"/>
      <c r="AF59"/>
      <c r="AG59" s="329"/>
      <c r="AH59" s="329"/>
      <c r="AI59"/>
      <c r="AJ59" s="329"/>
      <c r="AK59" s="329"/>
      <c r="AL59"/>
      <c r="AM59" s="329"/>
      <c r="AN59" s="329"/>
    </row>
    <row r="60" spans="2:40" s="314" customFormat="1" ht="12.75" customHeight="1" x14ac:dyDescent="0.15">
      <c r="B60" s="325" t="s">
        <v>38</v>
      </c>
      <c r="C60" s="326">
        <v>84372.746599999999</v>
      </c>
      <c r="D60" s="327">
        <v>0.40226600000000001</v>
      </c>
      <c r="E60"/>
      <c r="F60" s="326">
        <v>12995.92</v>
      </c>
      <c r="G60" s="327">
        <v>0.92401106999999993</v>
      </c>
      <c r="H60"/>
      <c r="I60" s="326">
        <v>5886.08</v>
      </c>
      <c r="J60" s="327">
        <v>0.40051414000000002</v>
      </c>
      <c r="K60"/>
      <c r="L60" s="326">
        <v>4587.46</v>
      </c>
      <c r="M60" s="327">
        <v>0.25978116000000001</v>
      </c>
      <c r="N60"/>
      <c r="O60" s="326">
        <v>3850.1</v>
      </c>
      <c r="P60" s="327">
        <v>0.30162465999999999</v>
      </c>
      <c r="Q60"/>
      <c r="R60" s="326">
        <v>6274.6050999999998</v>
      </c>
      <c r="S60" s="327">
        <v>0.34772681</v>
      </c>
      <c r="T60"/>
      <c r="U60" s="326">
        <v>7908.6432000000004</v>
      </c>
      <c r="V60" s="327">
        <v>0.37864457000000001</v>
      </c>
      <c r="W60"/>
      <c r="X60" s="326">
        <v>6459.66</v>
      </c>
      <c r="Y60" s="327">
        <v>0.35586178000000002</v>
      </c>
      <c r="Z60"/>
      <c r="AA60" s="326">
        <v>5766.4357</v>
      </c>
      <c r="AB60" s="327">
        <v>0.36434443999999999</v>
      </c>
      <c r="AC60"/>
      <c r="AD60" s="326">
        <v>10047.4604</v>
      </c>
      <c r="AE60" s="327">
        <v>0.45975551999999997</v>
      </c>
      <c r="AF60"/>
      <c r="AG60" s="326">
        <v>7701.3847999999998</v>
      </c>
      <c r="AH60" s="327">
        <v>0.37279388000000002</v>
      </c>
      <c r="AI60"/>
      <c r="AJ60" s="326">
        <v>7553.7596000000003</v>
      </c>
      <c r="AK60" s="327">
        <v>0.37153534999999999</v>
      </c>
      <c r="AL60"/>
      <c r="AM60" s="326">
        <v>5341.2377999999999</v>
      </c>
      <c r="AN60" s="327">
        <v>0.36076963999999989</v>
      </c>
    </row>
    <row r="61" spans="2:40" s="314" customFormat="1" ht="12.75" customHeight="1" x14ac:dyDescent="0.15">
      <c r="B61" s="8"/>
      <c r="C61" s="8"/>
      <c r="D61" s="8"/>
      <c r="E61"/>
      <c r="F61" s="8"/>
      <c r="G61" s="8"/>
      <c r="H61"/>
      <c r="I61" s="8"/>
      <c r="J61" s="8"/>
      <c r="K61"/>
      <c r="L61" s="8"/>
      <c r="M61" s="8"/>
      <c r="N61"/>
      <c r="O61" s="8"/>
      <c r="P61" s="8"/>
      <c r="Q61"/>
      <c r="R61" s="8"/>
      <c r="S61" s="8"/>
      <c r="T61"/>
      <c r="U61" s="8"/>
      <c r="V61" s="8"/>
      <c r="W61"/>
      <c r="X61" s="8"/>
      <c r="Y61" s="8"/>
      <c r="Z61"/>
      <c r="AA61" s="8"/>
      <c r="AB61" s="8"/>
      <c r="AC61"/>
      <c r="AD61" s="8"/>
      <c r="AE61" s="8"/>
      <c r="AF61"/>
      <c r="AG61" s="8"/>
      <c r="AH61" s="8"/>
      <c r="AI61"/>
      <c r="AJ61" s="8"/>
      <c r="AK61" s="8"/>
      <c r="AL61"/>
      <c r="AM61" s="8"/>
      <c r="AN61" s="8"/>
    </row>
    <row r="62" spans="2:40" s="314" customFormat="1" ht="14" x14ac:dyDescent="0.15">
      <c r="B62" s="328" t="s">
        <v>51</v>
      </c>
      <c r="C62" s="329"/>
      <c r="D62" s="329"/>
      <c r="E62"/>
      <c r="F62" s="329"/>
      <c r="G62" s="329"/>
      <c r="H62"/>
      <c r="I62" s="329"/>
      <c r="J62" s="329"/>
      <c r="K62"/>
      <c r="L62" s="329"/>
      <c r="M62" s="329"/>
      <c r="N62"/>
      <c r="O62" s="329"/>
      <c r="P62" s="329"/>
      <c r="Q62"/>
      <c r="R62" s="329"/>
      <c r="S62" s="329"/>
      <c r="T62"/>
      <c r="U62" s="329"/>
      <c r="V62" s="329"/>
      <c r="W62"/>
      <c r="X62" s="329"/>
      <c r="Y62" s="329"/>
      <c r="Z62"/>
      <c r="AA62" s="329"/>
      <c r="AB62" s="329"/>
      <c r="AC62"/>
      <c r="AD62" s="329"/>
      <c r="AE62" s="329"/>
      <c r="AF62"/>
      <c r="AG62" s="329"/>
      <c r="AH62" s="329"/>
      <c r="AI62"/>
      <c r="AJ62" s="329"/>
      <c r="AK62" s="329"/>
      <c r="AL62"/>
      <c r="AM62" s="329"/>
      <c r="AN62" s="329"/>
    </row>
    <row r="63" spans="2:40" s="314" customFormat="1" ht="12.75" customHeight="1" x14ac:dyDescent="0.15">
      <c r="B63" s="325" t="s">
        <v>52</v>
      </c>
      <c r="C63" s="326">
        <v>3485900.3572999998</v>
      </c>
      <c r="D63" s="327">
        <v>0.59470965999999992</v>
      </c>
      <c r="E63"/>
      <c r="F63" s="326">
        <v>170156.66</v>
      </c>
      <c r="G63" s="327">
        <v>0.51223806999999999</v>
      </c>
      <c r="H63"/>
      <c r="I63" s="326">
        <v>192343.78</v>
      </c>
      <c r="J63" s="327">
        <v>0.49081795</v>
      </c>
      <c r="K63"/>
      <c r="L63" s="326">
        <v>311363.25</v>
      </c>
      <c r="M63" s="327">
        <v>0.63187607999999995</v>
      </c>
      <c r="N63"/>
      <c r="O63" s="326">
        <v>147510.92000000001</v>
      </c>
      <c r="P63" s="327">
        <v>0.47722867000000002</v>
      </c>
      <c r="Q63"/>
      <c r="R63" s="326">
        <v>278556.9437</v>
      </c>
      <c r="S63" s="327">
        <v>0.58108466999999997</v>
      </c>
      <c r="T63"/>
      <c r="U63" s="326">
        <v>366671.48719999997</v>
      </c>
      <c r="V63" s="327">
        <v>0.62932283</v>
      </c>
      <c r="W63"/>
      <c r="X63" s="326">
        <v>319591.25910000002</v>
      </c>
      <c r="Y63" s="327">
        <v>0.61177216000000001</v>
      </c>
      <c r="Z63"/>
      <c r="AA63" s="326">
        <v>259247.4376</v>
      </c>
      <c r="AB63" s="327">
        <v>0.58211133999999998</v>
      </c>
      <c r="AC63"/>
      <c r="AD63" s="326">
        <v>489677.94380000001</v>
      </c>
      <c r="AE63" s="327">
        <v>0.67044561000000003</v>
      </c>
      <c r="AF63"/>
      <c r="AG63" s="326">
        <v>366138.83990000002</v>
      </c>
      <c r="AH63" s="327">
        <v>0.62404864999999998</v>
      </c>
      <c r="AI63"/>
      <c r="AJ63" s="326">
        <v>351651.46870000003</v>
      </c>
      <c r="AK63" s="327">
        <v>0.61062175000000007</v>
      </c>
      <c r="AL63"/>
      <c r="AM63" s="326">
        <v>232990.36730000001</v>
      </c>
      <c r="AN63" s="327">
        <v>0.56437460000000006</v>
      </c>
    </row>
    <row r="64" spans="2:40" s="314" customFormat="1" ht="12.75" customHeight="1" x14ac:dyDescent="0.15">
      <c r="B64" s="8"/>
      <c r="C64" s="8"/>
      <c r="D64" s="8"/>
      <c r="E64"/>
      <c r="F64" s="8"/>
      <c r="G64" s="8"/>
      <c r="H64"/>
      <c r="I64" s="8"/>
      <c r="J64" s="8"/>
      <c r="K64"/>
      <c r="L64" s="8"/>
      <c r="M64" s="8"/>
      <c r="N64"/>
      <c r="O64" s="8"/>
      <c r="P64" s="8"/>
      <c r="Q64"/>
      <c r="R64" s="8"/>
      <c r="S64" s="8"/>
      <c r="T64"/>
      <c r="U64" s="8"/>
      <c r="V64" s="8"/>
      <c r="W64"/>
      <c r="X64" s="8"/>
      <c r="Y64" s="8"/>
      <c r="Z64"/>
      <c r="AA64" s="8"/>
      <c r="AB64" s="8"/>
      <c r="AC64"/>
      <c r="AD64" s="8"/>
      <c r="AE64" s="8"/>
      <c r="AF64"/>
      <c r="AG64" s="8"/>
      <c r="AH64" s="8"/>
      <c r="AI64"/>
      <c r="AJ64" s="8"/>
      <c r="AK64" s="8"/>
      <c r="AL64"/>
      <c r="AM64" s="8"/>
      <c r="AN64" s="8"/>
    </row>
    <row r="65" spans="2:40" s="314" customFormat="1" ht="14" x14ac:dyDescent="0.15">
      <c r="B65" s="328" t="s">
        <v>53</v>
      </c>
      <c r="C65" s="329"/>
      <c r="D65" s="329"/>
      <c r="E65"/>
      <c r="F65" s="329"/>
      <c r="G65" s="329"/>
      <c r="H65"/>
      <c r="I65" s="329"/>
      <c r="J65" s="329"/>
      <c r="K65"/>
      <c r="L65" s="329"/>
      <c r="M65" s="329"/>
      <c r="N65"/>
      <c r="O65" s="329"/>
      <c r="P65" s="329"/>
      <c r="Q65"/>
      <c r="R65" s="329"/>
      <c r="S65" s="329"/>
      <c r="T65"/>
      <c r="U65" s="329"/>
      <c r="V65" s="329"/>
      <c r="W65"/>
      <c r="X65" s="329"/>
      <c r="Y65" s="329"/>
      <c r="Z65"/>
      <c r="AA65" s="329"/>
      <c r="AB65" s="329"/>
      <c r="AC65"/>
      <c r="AD65" s="329"/>
      <c r="AE65" s="329"/>
      <c r="AF65"/>
      <c r="AG65" s="329"/>
      <c r="AH65" s="329"/>
      <c r="AI65"/>
      <c r="AJ65" s="329"/>
      <c r="AK65" s="329"/>
      <c r="AL65"/>
      <c r="AM65" s="329"/>
      <c r="AN65" s="329"/>
    </row>
    <row r="66" spans="2:40" s="314" customFormat="1" ht="12.75" customHeight="1" x14ac:dyDescent="0.15">
      <c r="B66" s="5" t="s">
        <v>22</v>
      </c>
      <c r="C66" s="8">
        <v>204401.37549999999</v>
      </c>
      <c r="D66" s="7">
        <v>3.4871760000000002E-2</v>
      </c>
      <c r="E66"/>
      <c r="F66" s="8">
        <v>16941.580000000002</v>
      </c>
      <c r="G66" s="7">
        <v>5.1000780000000003E-2</v>
      </c>
      <c r="H66"/>
      <c r="I66" s="8">
        <v>16084.79</v>
      </c>
      <c r="J66" s="7">
        <v>4.104476E-2</v>
      </c>
      <c r="K66"/>
      <c r="L66" s="8">
        <v>19304.47</v>
      </c>
      <c r="M66" s="7">
        <v>3.9176210000000003E-2</v>
      </c>
      <c r="N66"/>
      <c r="O66" s="8">
        <v>19056.830000000002</v>
      </c>
      <c r="P66" s="7">
        <v>6.1652829999999999E-2</v>
      </c>
      <c r="Q66"/>
      <c r="R66" s="8">
        <v>16587.930700000001</v>
      </c>
      <c r="S66" s="7">
        <v>3.4603309999999998E-2</v>
      </c>
      <c r="T66"/>
      <c r="U66" s="8">
        <v>18065.437999999998</v>
      </c>
      <c r="V66" s="7">
        <v>3.1005939999999999E-2</v>
      </c>
      <c r="W66"/>
      <c r="X66" s="8">
        <v>16387.350299999998</v>
      </c>
      <c r="Y66" s="7">
        <v>3.1369210000000002E-2</v>
      </c>
      <c r="Z66"/>
      <c r="AA66" s="8">
        <v>15311.4197</v>
      </c>
      <c r="AB66" s="7">
        <v>3.4380090000000002E-2</v>
      </c>
      <c r="AC66"/>
      <c r="AD66" s="8">
        <v>18065.437999999998</v>
      </c>
      <c r="AE66" s="7">
        <v>2.4734409999999998E-2</v>
      </c>
      <c r="AF66"/>
      <c r="AG66" s="8">
        <v>16387.350299999998</v>
      </c>
      <c r="AH66" s="7">
        <v>2.7930670000000001E-2</v>
      </c>
      <c r="AI66"/>
      <c r="AJ66" s="8">
        <v>16826.8465</v>
      </c>
      <c r="AK66" s="7">
        <v>2.9218810000000001E-2</v>
      </c>
      <c r="AL66"/>
      <c r="AM66" s="8">
        <v>15381.932000000001</v>
      </c>
      <c r="AN66" s="7">
        <v>3.7259790000000001E-2</v>
      </c>
    </row>
    <row r="67" spans="2:40" s="314" customFormat="1" ht="12.75" customHeight="1" x14ac:dyDescent="0.15">
      <c r="B67" s="5" t="s">
        <v>40</v>
      </c>
      <c r="C67" s="8">
        <v>154455.40900000001</v>
      </c>
      <c r="D67" s="7">
        <v>2.6350760000000001E-2</v>
      </c>
      <c r="E67"/>
      <c r="F67" s="8">
        <v>7467.76</v>
      </c>
      <c r="G67" s="7">
        <v>2.2480880000000002E-2</v>
      </c>
      <c r="H67"/>
      <c r="I67" s="8">
        <v>14561.45</v>
      </c>
      <c r="J67" s="7">
        <v>3.7157540000000003E-2</v>
      </c>
      <c r="K67"/>
      <c r="L67" s="8">
        <v>9056.64</v>
      </c>
      <c r="M67" s="7">
        <v>1.8379409999999999E-2</v>
      </c>
      <c r="N67"/>
      <c r="O67" s="8">
        <v>9486.27</v>
      </c>
      <c r="P67" s="7">
        <v>3.069007E-2</v>
      </c>
      <c r="Q67"/>
      <c r="R67" s="8">
        <v>14366.802299999999</v>
      </c>
      <c r="S67" s="7">
        <v>2.9969920000000001E-2</v>
      </c>
      <c r="T67"/>
      <c r="U67" s="8">
        <v>14360.4118</v>
      </c>
      <c r="V67" s="7">
        <v>2.4646950000000001E-2</v>
      </c>
      <c r="W67"/>
      <c r="X67" s="8">
        <v>13417.6278</v>
      </c>
      <c r="Y67" s="7">
        <v>2.5684470000000001E-2</v>
      </c>
      <c r="Z67"/>
      <c r="AA67" s="8">
        <v>12781.607</v>
      </c>
      <c r="AB67" s="7">
        <v>2.8699680000000002E-2</v>
      </c>
      <c r="AC67"/>
      <c r="AD67" s="8">
        <v>15809.3336</v>
      </c>
      <c r="AE67" s="7">
        <v>2.164545E-2</v>
      </c>
      <c r="AF67"/>
      <c r="AG67" s="8">
        <v>14407.225</v>
      </c>
      <c r="AH67" s="7">
        <v>2.455574E-2</v>
      </c>
      <c r="AI67"/>
      <c r="AJ67" s="8">
        <v>16332.7446</v>
      </c>
      <c r="AK67" s="7">
        <v>2.836083E-2</v>
      </c>
      <c r="AL67"/>
      <c r="AM67" s="8">
        <v>12407.536899999999</v>
      </c>
      <c r="AN67" s="7">
        <v>3.0054879999999999E-2</v>
      </c>
    </row>
    <row r="68" spans="2:40" s="314" customFormat="1" ht="12.75" customHeight="1" x14ac:dyDescent="0.15">
      <c r="B68" s="325" t="s">
        <v>41</v>
      </c>
      <c r="C68" s="326">
        <v>-358856.78460000001</v>
      </c>
      <c r="D68" s="327">
        <v>-6.1222520000000002E-2</v>
      </c>
      <c r="E68"/>
      <c r="F68" s="326">
        <v>-24409.34</v>
      </c>
      <c r="G68" s="327">
        <v>-7.3481660000000004E-2</v>
      </c>
      <c r="H68"/>
      <c r="I68" s="326">
        <v>-30646.240000000002</v>
      </c>
      <c r="J68" s="327">
        <v>-7.8202290000000008E-2</v>
      </c>
      <c r="K68"/>
      <c r="L68" s="326">
        <v>-28361.11</v>
      </c>
      <c r="M68" s="327">
        <v>-5.7555630000000003E-2</v>
      </c>
      <c r="N68"/>
      <c r="O68" s="326">
        <v>-28543.1</v>
      </c>
      <c r="P68" s="327">
        <v>-9.2342899999999992E-2</v>
      </c>
      <c r="Q68"/>
      <c r="R68" s="326">
        <v>-30954.732899999999</v>
      </c>
      <c r="S68" s="327">
        <v>-6.4573229999999995E-2</v>
      </c>
      <c r="T68"/>
      <c r="U68" s="326">
        <v>-32425.8498</v>
      </c>
      <c r="V68" s="327">
        <v>-5.5652890000000003E-2</v>
      </c>
      <c r="W68"/>
      <c r="X68" s="326">
        <v>-29804.978200000001</v>
      </c>
      <c r="Y68" s="327">
        <v>-5.7053680000000002E-2</v>
      </c>
      <c r="Z68"/>
      <c r="AA68" s="326">
        <v>-28093.0268</v>
      </c>
      <c r="AB68" s="327">
        <v>-6.3079770000000007E-2</v>
      </c>
      <c r="AC68"/>
      <c r="AD68" s="326">
        <v>-33874.7716</v>
      </c>
      <c r="AE68" s="327">
        <v>-4.6379849999999993E-2</v>
      </c>
      <c r="AF68"/>
      <c r="AG68" s="326">
        <v>-30794.5753</v>
      </c>
      <c r="AH68" s="327">
        <v>-5.2486409999999997E-2</v>
      </c>
      <c r="AI68"/>
      <c r="AJ68" s="326">
        <v>-33159.591099999998</v>
      </c>
      <c r="AK68" s="327">
        <v>-5.7579650000000003E-2</v>
      </c>
      <c r="AL68"/>
      <c r="AM68" s="326">
        <v>-27789.4689</v>
      </c>
      <c r="AN68" s="327">
        <v>-6.7314670000000007E-2</v>
      </c>
    </row>
    <row r="69" spans="2:40" s="314" customFormat="1" ht="12.75" customHeight="1" x14ac:dyDescent="0.15">
      <c r="B69" s="8"/>
      <c r="C69" s="8"/>
      <c r="D69" s="8"/>
      <c r="E69"/>
      <c r="F69" s="8"/>
      <c r="G69" s="8"/>
      <c r="H69"/>
      <c r="I69" s="8"/>
      <c r="J69" s="8"/>
      <c r="K69"/>
      <c r="L69" s="8"/>
      <c r="M69" s="8"/>
      <c r="N69"/>
      <c r="O69" s="8"/>
      <c r="P69" s="8"/>
      <c r="Q69"/>
      <c r="R69" s="8"/>
      <c r="S69" s="8"/>
      <c r="T69"/>
      <c r="U69" s="8"/>
      <c r="V69" s="8"/>
      <c r="W69"/>
      <c r="X69" s="8"/>
      <c r="Y69" s="8"/>
      <c r="Z69"/>
      <c r="AA69" s="8"/>
      <c r="AB69" s="8"/>
      <c r="AC69"/>
      <c r="AD69" s="8"/>
      <c r="AE69" s="8"/>
      <c r="AF69"/>
      <c r="AG69" s="8"/>
      <c r="AH69" s="8"/>
      <c r="AI69"/>
      <c r="AJ69" s="8"/>
      <c r="AK69" s="8"/>
      <c r="AL69"/>
      <c r="AM69" s="8"/>
      <c r="AN69" s="8"/>
    </row>
    <row r="70" spans="2:40" s="314" customFormat="1" ht="14" x14ac:dyDescent="0.15">
      <c r="B70" s="328" t="s">
        <v>54</v>
      </c>
      <c r="C70" s="329"/>
      <c r="D70" s="329"/>
      <c r="E70"/>
      <c r="F70" s="329"/>
      <c r="G70" s="329"/>
      <c r="H70"/>
      <c r="I70" s="329"/>
      <c r="J70" s="329"/>
      <c r="K70"/>
      <c r="L70" s="329"/>
      <c r="M70" s="329"/>
      <c r="N70"/>
      <c r="O70" s="329"/>
      <c r="P70" s="329"/>
      <c r="Q70"/>
      <c r="R70" s="329"/>
      <c r="S70" s="329"/>
      <c r="T70"/>
      <c r="U70" s="329"/>
      <c r="V70" s="329"/>
      <c r="W70"/>
      <c r="X70" s="329"/>
      <c r="Y70" s="329"/>
      <c r="Z70"/>
      <c r="AA70" s="329"/>
      <c r="AB70" s="329"/>
      <c r="AC70"/>
      <c r="AD70" s="329"/>
      <c r="AE70" s="329"/>
      <c r="AF70"/>
      <c r="AG70" s="329"/>
      <c r="AH70" s="329"/>
      <c r="AI70"/>
      <c r="AJ70" s="329"/>
      <c r="AK70" s="329"/>
      <c r="AL70"/>
      <c r="AM70" s="329"/>
      <c r="AN70" s="329"/>
    </row>
    <row r="71" spans="2:40" s="314" customFormat="1" ht="12.75" customHeight="1" x14ac:dyDescent="0.15">
      <c r="B71" s="5" t="s">
        <v>55</v>
      </c>
      <c r="C71" s="8">
        <v>30784.01</v>
      </c>
      <c r="D71" s="7">
        <v>5.2518900000000004E-3</v>
      </c>
      <c r="E71"/>
      <c r="F71" s="8">
        <v>3440.87</v>
      </c>
      <c r="G71" s="7">
        <v>1.035836E-2</v>
      </c>
      <c r="H71"/>
      <c r="I71" s="8">
        <v>5503.35</v>
      </c>
      <c r="J71" s="7">
        <v>1.404331E-2</v>
      </c>
      <c r="K71"/>
      <c r="L71" s="8">
        <v>2150</v>
      </c>
      <c r="M71" s="7">
        <v>4.3631799999999986E-3</v>
      </c>
      <c r="N71"/>
      <c r="O71" s="8">
        <v>2304.4299999999998</v>
      </c>
      <c r="P71" s="7">
        <v>7.4553100000000006E-3</v>
      </c>
      <c r="Q71"/>
      <c r="R71" s="8">
        <v>2173.17</v>
      </c>
      <c r="S71" s="7">
        <v>4.5333500000000002E-3</v>
      </c>
      <c r="T71"/>
      <c r="U71" s="8">
        <v>2173.17</v>
      </c>
      <c r="V71" s="7">
        <v>3.7298399999999999E-3</v>
      </c>
      <c r="W71"/>
      <c r="X71" s="8">
        <v>2173.17</v>
      </c>
      <c r="Y71" s="7">
        <v>4.1599499999999999E-3</v>
      </c>
      <c r="Z71"/>
      <c r="AA71" s="8">
        <v>2173.17</v>
      </c>
      <c r="AB71" s="7">
        <v>4.8796100000000004E-3</v>
      </c>
      <c r="AC71"/>
      <c r="AD71" s="8">
        <v>2173.17</v>
      </c>
      <c r="AE71" s="7">
        <v>2.9754099999999999E-3</v>
      </c>
      <c r="AF71"/>
      <c r="AG71" s="8">
        <v>2173.17</v>
      </c>
      <c r="AH71" s="7">
        <v>3.7039600000000001E-3</v>
      </c>
      <c r="AI71"/>
      <c r="AJ71" s="8">
        <v>2173.17</v>
      </c>
      <c r="AK71" s="7">
        <v>3.7735799999999999E-3</v>
      </c>
      <c r="AL71"/>
      <c r="AM71" s="8">
        <v>2173.17</v>
      </c>
      <c r="AN71" s="7">
        <v>5.2640899999999999E-3</v>
      </c>
    </row>
    <row r="72" spans="2:40" s="314" customFormat="1" ht="12.75" customHeight="1" x14ac:dyDescent="0.15">
      <c r="B72" s="5" t="s">
        <v>56</v>
      </c>
      <c r="C72" s="8">
        <v>68747.58</v>
      </c>
      <c r="D72" s="7">
        <v>1.172863E-2</v>
      </c>
      <c r="E72"/>
      <c r="F72" s="8">
        <v>5347.77</v>
      </c>
      <c r="G72" s="7">
        <v>1.6098879999999999E-2</v>
      </c>
      <c r="H72"/>
      <c r="I72" s="8">
        <v>1012.37</v>
      </c>
      <c r="J72" s="7">
        <v>2.5833399999999999E-3</v>
      </c>
      <c r="K72"/>
      <c r="L72" s="8">
        <v>6771.92</v>
      </c>
      <c r="M72" s="7">
        <v>1.3742839999999999E-2</v>
      </c>
      <c r="N72"/>
      <c r="O72" s="8">
        <v>3234.16</v>
      </c>
      <c r="P72" s="7">
        <v>1.0463180000000001E-2</v>
      </c>
      <c r="Q72"/>
      <c r="R72" s="8">
        <v>5798.92</v>
      </c>
      <c r="S72" s="7">
        <v>1.2096859999999999E-2</v>
      </c>
      <c r="T72"/>
      <c r="U72" s="8">
        <v>7278.92</v>
      </c>
      <c r="V72" s="7">
        <v>1.2492899999999999E-2</v>
      </c>
      <c r="W72"/>
      <c r="X72" s="8">
        <v>5798.92</v>
      </c>
      <c r="Y72" s="7">
        <v>1.1100479999999999E-2</v>
      </c>
      <c r="Z72"/>
      <c r="AA72" s="8">
        <v>7348.92</v>
      </c>
      <c r="AB72" s="7">
        <v>1.6501180000000001E-2</v>
      </c>
      <c r="AC72"/>
      <c r="AD72" s="8">
        <v>7278.92</v>
      </c>
      <c r="AE72" s="7">
        <v>9.9659799999999993E-3</v>
      </c>
      <c r="AF72"/>
      <c r="AG72" s="8">
        <v>5798.92</v>
      </c>
      <c r="AH72" s="7">
        <v>9.8837000000000005E-3</v>
      </c>
      <c r="AI72"/>
      <c r="AJ72" s="8">
        <v>5798.92</v>
      </c>
      <c r="AK72" s="7">
        <v>1.006948E-2</v>
      </c>
      <c r="AL72"/>
      <c r="AM72" s="8">
        <v>7278.92</v>
      </c>
      <c r="AN72" s="7">
        <v>1.7631790000000001E-2</v>
      </c>
    </row>
    <row r="73" spans="2:40" s="314" customFormat="1" ht="12.75" customHeight="1" x14ac:dyDescent="0.15">
      <c r="B73" s="5" t="s">
        <v>40</v>
      </c>
      <c r="C73" s="8">
        <v>-20</v>
      </c>
      <c r="D73" s="7">
        <v>-3.41E-6</v>
      </c>
      <c r="E73"/>
      <c r="F73" s="8">
        <v>0</v>
      </c>
      <c r="G73" s="7">
        <v>0</v>
      </c>
      <c r="H73"/>
      <c r="I73" s="8">
        <v>-2100</v>
      </c>
      <c r="J73" s="7">
        <v>-5.3587300000000008E-3</v>
      </c>
      <c r="K73"/>
      <c r="L73" s="8">
        <v>0</v>
      </c>
      <c r="M73" s="7">
        <v>0</v>
      </c>
      <c r="N73"/>
      <c r="O73" s="8">
        <v>0</v>
      </c>
      <c r="P73" s="7">
        <v>0</v>
      </c>
      <c r="Q73"/>
      <c r="R73" s="8">
        <v>260</v>
      </c>
      <c r="S73" s="7">
        <v>5.4237000000000003E-4</v>
      </c>
      <c r="T73"/>
      <c r="U73" s="8">
        <v>260</v>
      </c>
      <c r="V73" s="7">
        <v>4.4623999999999998E-4</v>
      </c>
      <c r="W73"/>
      <c r="X73" s="8">
        <v>260</v>
      </c>
      <c r="Y73" s="7">
        <v>4.9770000000000001E-4</v>
      </c>
      <c r="Z73"/>
      <c r="AA73" s="8">
        <v>260</v>
      </c>
      <c r="AB73" s="7">
        <v>5.8379999999999999E-4</v>
      </c>
      <c r="AC73"/>
      <c r="AD73" s="8">
        <v>260</v>
      </c>
      <c r="AE73" s="7">
        <v>3.5597999999999999E-4</v>
      </c>
      <c r="AF73"/>
      <c r="AG73" s="8">
        <v>260</v>
      </c>
      <c r="AH73" s="7">
        <v>4.4315000000000001E-4</v>
      </c>
      <c r="AI73"/>
      <c r="AJ73" s="8">
        <v>260</v>
      </c>
      <c r="AK73" s="7">
        <v>4.5146999999999999E-4</v>
      </c>
      <c r="AL73"/>
      <c r="AM73" s="8">
        <v>260</v>
      </c>
      <c r="AN73" s="7">
        <v>6.2979999999999991E-4</v>
      </c>
    </row>
    <row r="74" spans="2:40" s="314" customFormat="1" ht="12.75" customHeight="1" x14ac:dyDescent="0.15">
      <c r="B74" s="325" t="s">
        <v>41</v>
      </c>
      <c r="C74" s="326">
        <v>-99511.59</v>
      </c>
      <c r="D74" s="327">
        <v>-1.697711E-2</v>
      </c>
      <c r="E74"/>
      <c r="F74" s="326">
        <v>-8788.64</v>
      </c>
      <c r="G74" s="327">
        <v>-2.645724E-2</v>
      </c>
      <c r="H74"/>
      <c r="I74" s="326">
        <v>-4415.72</v>
      </c>
      <c r="J74" s="327">
        <v>-1.1267920000000001E-2</v>
      </c>
      <c r="K74"/>
      <c r="L74" s="326">
        <v>-8921.92</v>
      </c>
      <c r="M74" s="327">
        <v>-1.810602E-2</v>
      </c>
      <c r="N74"/>
      <c r="O74" s="326">
        <v>-5538.59</v>
      </c>
      <c r="P74" s="327">
        <v>-1.79185E-2</v>
      </c>
      <c r="Q74"/>
      <c r="R74" s="326">
        <v>-8232.09</v>
      </c>
      <c r="S74" s="327">
        <v>-1.717258E-2</v>
      </c>
      <c r="T74"/>
      <c r="U74" s="326">
        <v>-9712.09</v>
      </c>
      <c r="V74" s="327">
        <v>-1.666898E-2</v>
      </c>
      <c r="W74"/>
      <c r="X74" s="326">
        <v>-8232.09</v>
      </c>
      <c r="Y74" s="327">
        <v>-1.575814E-2</v>
      </c>
      <c r="Z74"/>
      <c r="AA74" s="326">
        <v>-9782.09</v>
      </c>
      <c r="AB74" s="327">
        <v>-2.1964600000000001E-2</v>
      </c>
      <c r="AC74"/>
      <c r="AD74" s="326">
        <v>-9712.09</v>
      </c>
      <c r="AE74" s="327">
        <v>-1.3297369999999999E-2</v>
      </c>
      <c r="AF74"/>
      <c r="AG74" s="326">
        <v>-8232.09</v>
      </c>
      <c r="AH74" s="327">
        <v>-1.4030809999999999E-2</v>
      </c>
      <c r="AI74"/>
      <c r="AJ74" s="326">
        <v>-8232.09</v>
      </c>
      <c r="AK74" s="327">
        <v>-1.429453E-2</v>
      </c>
      <c r="AL74"/>
      <c r="AM74" s="326">
        <v>-9712.09</v>
      </c>
      <c r="AN74" s="327">
        <v>-2.352568E-2</v>
      </c>
    </row>
    <row r="75" spans="2:40" s="314" customFormat="1" ht="12.75" customHeight="1" x14ac:dyDescent="0.15">
      <c r="B75" s="8"/>
      <c r="C75" s="8"/>
      <c r="D75" s="8"/>
      <c r="E75"/>
      <c r="F75" s="8"/>
      <c r="G75" s="8"/>
      <c r="H75"/>
      <c r="I75" s="8"/>
      <c r="J75" s="8"/>
      <c r="K75"/>
      <c r="L75" s="8"/>
      <c r="M75" s="8"/>
      <c r="N75"/>
      <c r="O75" s="8"/>
      <c r="P75" s="8"/>
      <c r="Q75"/>
      <c r="R75" s="8"/>
      <c r="S75" s="8"/>
      <c r="T75"/>
      <c r="U75" s="8"/>
      <c r="V75" s="8"/>
      <c r="W75"/>
      <c r="X75" s="8"/>
      <c r="Y75" s="8"/>
      <c r="Z75"/>
      <c r="AA75" s="8"/>
      <c r="AB75" s="8"/>
      <c r="AC75"/>
      <c r="AD75" s="8"/>
      <c r="AE75" s="8"/>
      <c r="AF75"/>
      <c r="AG75" s="8"/>
      <c r="AH75" s="8"/>
      <c r="AI75"/>
      <c r="AJ75" s="8"/>
      <c r="AK75" s="8"/>
      <c r="AL75"/>
      <c r="AM75" s="8"/>
      <c r="AN75" s="8"/>
    </row>
    <row r="76" spans="2:40" s="314" customFormat="1" ht="14" x14ac:dyDescent="0.15">
      <c r="B76" s="328" t="s">
        <v>57</v>
      </c>
      <c r="C76" s="329"/>
      <c r="D76" s="329"/>
      <c r="E76"/>
      <c r="F76" s="329"/>
      <c r="G76" s="329"/>
      <c r="H76"/>
      <c r="I76" s="329"/>
      <c r="J76" s="329"/>
      <c r="K76"/>
      <c r="L76" s="329"/>
      <c r="M76" s="329"/>
      <c r="N76"/>
      <c r="O76" s="329"/>
      <c r="P76" s="329"/>
      <c r="Q76"/>
      <c r="R76" s="329"/>
      <c r="S76" s="329"/>
      <c r="T76"/>
      <c r="U76" s="329"/>
      <c r="V76" s="329"/>
      <c r="W76"/>
      <c r="X76" s="329"/>
      <c r="Y76" s="329"/>
      <c r="Z76"/>
      <c r="AA76" s="329"/>
      <c r="AB76" s="329"/>
      <c r="AC76"/>
      <c r="AD76" s="329"/>
      <c r="AE76" s="329"/>
      <c r="AF76"/>
      <c r="AG76" s="329"/>
      <c r="AH76" s="329"/>
      <c r="AI76"/>
      <c r="AJ76" s="329"/>
      <c r="AK76" s="329"/>
      <c r="AL76"/>
      <c r="AM76" s="329"/>
      <c r="AN76" s="329"/>
    </row>
    <row r="77" spans="2:40" s="314" customFormat="1" ht="12.75" customHeight="1" x14ac:dyDescent="0.15">
      <c r="B77" s="5" t="s">
        <v>22</v>
      </c>
      <c r="C77" s="8">
        <v>58754.773200000003</v>
      </c>
      <c r="D77" s="7">
        <v>1.0023819999999999E-2</v>
      </c>
      <c r="E77"/>
      <c r="F77" s="8">
        <v>4982.74</v>
      </c>
      <c r="G77" s="7">
        <v>1.4999999999999999E-2</v>
      </c>
      <c r="H77"/>
      <c r="I77" s="8">
        <v>2399.4299999999998</v>
      </c>
      <c r="J77" s="7">
        <v>6.1228000000000003E-3</v>
      </c>
      <c r="K77"/>
      <c r="L77" s="8">
        <v>4926.5600000000004</v>
      </c>
      <c r="M77" s="7">
        <v>9.9978900000000006E-3</v>
      </c>
      <c r="N77"/>
      <c r="O77" s="8">
        <v>3090.14</v>
      </c>
      <c r="P77" s="7">
        <v>9.9972499999999992E-3</v>
      </c>
      <c r="Q77"/>
      <c r="R77" s="8">
        <v>4793.7411000000002</v>
      </c>
      <c r="S77" s="7">
        <v>0.01</v>
      </c>
      <c r="T77"/>
      <c r="U77" s="8">
        <v>5826.4449999999997</v>
      </c>
      <c r="V77" s="7">
        <v>0.01</v>
      </c>
      <c r="W77"/>
      <c r="X77" s="8">
        <v>5224.0241999999998</v>
      </c>
      <c r="Y77" s="7">
        <v>0.01</v>
      </c>
      <c r="Z77"/>
      <c r="AA77" s="8">
        <v>4453.5712999999996</v>
      </c>
      <c r="AB77" s="7">
        <v>0.01</v>
      </c>
      <c r="AC77"/>
      <c r="AD77" s="8">
        <v>7303.7682999999997</v>
      </c>
      <c r="AE77" s="7">
        <v>0.01</v>
      </c>
      <c r="AF77"/>
      <c r="AG77" s="8">
        <v>5867.1521000000002</v>
      </c>
      <c r="AH77" s="7">
        <v>0.01</v>
      </c>
      <c r="AI77"/>
      <c r="AJ77" s="8">
        <v>5758.9083000000001</v>
      </c>
      <c r="AK77" s="7">
        <v>0.01</v>
      </c>
      <c r="AL77"/>
      <c r="AM77" s="8">
        <v>4128.2929000000004</v>
      </c>
      <c r="AN77" s="7">
        <v>0.01</v>
      </c>
    </row>
    <row r="78" spans="2:40" s="314" customFormat="1" ht="12.75" customHeight="1" x14ac:dyDescent="0.15">
      <c r="B78" s="5" t="s">
        <v>40</v>
      </c>
      <c r="C78" s="8">
        <v>364707.09789999999</v>
      </c>
      <c r="D78" s="7">
        <v>6.2220610000000003E-2</v>
      </c>
      <c r="E78"/>
      <c r="F78" s="8">
        <v>33128.94</v>
      </c>
      <c r="G78" s="7">
        <v>9.9731059999999996E-2</v>
      </c>
      <c r="H78"/>
      <c r="I78" s="8">
        <v>18648.509999999998</v>
      </c>
      <c r="J78" s="7">
        <v>4.7586789999999997E-2</v>
      </c>
      <c r="K78"/>
      <c r="L78" s="8">
        <v>31164.240000000002</v>
      </c>
      <c r="M78" s="7">
        <v>6.3244259999999997E-2</v>
      </c>
      <c r="N78"/>
      <c r="O78" s="8">
        <v>25108</v>
      </c>
      <c r="P78" s="7">
        <v>8.1229629999999997E-2</v>
      </c>
      <c r="Q78"/>
      <c r="R78" s="8">
        <v>28875.161599999999</v>
      </c>
      <c r="S78" s="7">
        <v>6.0235129999999998E-2</v>
      </c>
      <c r="T78"/>
      <c r="U78" s="8">
        <v>34390.145400000001</v>
      </c>
      <c r="V78" s="7">
        <v>5.9024229999999997E-2</v>
      </c>
      <c r="W78"/>
      <c r="X78" s="8">
        <v>30093.489300000001</v>
      </c>
      <c r="Y78" s="7">
        <v>5.7605950000000003E-2</v>
      </c>
      <c r="Z78"/>
      <c r="AA78" s="8">
        <v>28122.005300000001</v>
      </c>
      <c r="AB78" s="7">
        <v>6.3144840000000008E-2</v>
      </c>
      <c r="AC78"/>
      <c r="AD78" s="8">
        <v>41181.083500000001</v>
      </c>
      <c r="AE78" s="7">
        <v>5.6383339999999997E-2</v>
      </c>
      <c r="AF78"/>
      <c r="AG78" s="8">
        <v>34071.411599999999</v>
      </c>
      <c r="AH78" s="7">
        <v>5.8071460000000012E-2</v>
      </c>
      <c r="AI78"/>
      <c r="AJ78" s="8">
        <v>33270.732100000001</v>
      </c>
      <c r="AK78" s="7">
        <v>5.777264E-2</v>
      </c>
      <c r="AL78"/>
      <c r="AM78" s="8">
        <v>26653.379099999998</v>
      </c>
      <c r="AN78" s="7">
        <v>6.4562709999999995E-2</v>
      </c>
    </row>
    <row r="79" spans="2:40" s="314" customFormat="1" ht="12.75" customHeight="1" x14ac:dyDescent="0.15">
      <c r="B79" s="325" t="s">
        <v>41</v>
      </c>
      <c r="C79" s="326">
        <v>-423461.8714</v>
      </c>
      <c r="D79" s="327">
        <v>-7.2244420000000004E-2</v>
      </c>
      <c r="E79"/>
      <c r="F79" s="326">
        <v>-38111.68</v>
      </c>
      <c r="G79" s="327">
        <v>-0.11473106</v>
      </c>
      <c r="H79"/>
      <c r="I79" s="326">
        <v>-21047.94</v>
      </c>
      <c r="J79" s="327">
        <v>-5.3709600000000003E-2</v>
      </c>
      <c r="K79"/>
      <c r="L79" s="326">
        <v>-36090.800000000003</v>
      </c>
      <c r="M79" s="327">
        <v>-7.3242149999999992E-2</v>
      </c>
      <c r="N79"/>
      <c r="O79" s="326">
        <v>-28198.14</v>
      </c>
      <c r="P79" s="327">
        <v>-9.1226879999999996E-2</v>
      </c>
      <c r="Q79"/>
      <c r="R79" s="326">
        <v>-33668.902699999999</v>
      </c>
      <c r="S79" s="327">
        <v>-7.0235130000000007E-2</v>
      </c>
      <c r="T79"/>
      <c r="U79" s="326">
        <v>-40216.590400000001</v>
      </c>
      <c r="V79" s="327">
        <v>-6.9024229999999992E-2</v>
      </c>
      <c r="W79"/>
      <c r="X79" s="326">
        <v>-35317.513500000001</v>
      </c>
      <c r="Y79" s="327">
        <v>-6.7605949999999998E-2</v>
      </c>
      <c r="Z79"/>
      <c r="AA79" s="326">
        <v>-32575.5766</v>
      </c>
      <c r="AB79" s="327">
        <v>-7.3144840000000003E-2</v>
      </c>
      <c r="AC79"/>
      <c r="AD79" s="326">
        <v>-48484.851900000001</v>
      </c>
      <c r="AE79" s="327">
        <v>-6.6383339999999999E-2</v>
      </c>
      <c r="AF79"/>
      <c r="AG79" s="326">
        <v>-39938.563800000004</v>
      </c>
      <c r="AH79" s="327">
        <v>-6.807146E-2</v>
      </c>
      <c r="AI79"/>
      <c r="AJ79" s="326">
        <v>-39029.640399999997</v>
      </c>
      <c r="AK79" s="327">
        <v>-6.7772639999999995E-2</v>
      </c>
      <c r="AL79"/>
      <c r="AM79" s="326">
        <v>-30781.6721</v>
      </c>
      <c r="AN79" s="327">
        <v>-7.4562710000000004E-2</v>
      </c>
    </row>
    <row r="80" spans="2:40" s="314" customFormat="1" ht="12.75" customHeight="1" x14ac:dyDescent="0.15">
      <c r="B80" s="8"/>
      <c r="C80" s="8"/>
      <c r="D80" s="8"/>
      <c r="E80"/>
      <c r="F80" s="8"/>
      <c r="G80" s="8"/>
      <c r="H80"/>
      <c r="I80" s="8"/>
      <c r="J80" s="8"/>
      <c r="K80"/>
      <c r="L80" s="8"/>
      <c r="M80" s="8"/>
      <c r="N80"/>
      <c r="O80" s="8"/>
      <c r="P80" s="8"/>
      <c r="Q80"/>
      <c r="R80" s="8"/>
      <c r="S80" s="8"/>
      <c r="T80"/>
      <c r="U80" s="8"/>
      <c r="V80" s="8"/>
      <c r="W80"/>
      <c r="X80" s="8"/>
      <c r="Y80" s="8"/>
      <c r="Z80"/>
      <c r="AA80" s="8"/>
      <c r="AB80" s="8"/>
      <c r="AC80"/>
      <c r="AD80" s="8"/>
      <c r="AE80" s="8"/>
      <c r="AF80"/>
      <c r="AG80" s="8"/>
      <c r="AH80" s="8"/>
      <c r="AI80"/>
      <c r="AJ80" s="8"/>
      <c r="AK80" s="8"/>
      <c r="AL80"/>
      <c r="AM80" s="8"/>
      <c r="AN80" s="8"/>
    </row>
    <row r="81" spans="2:40" s="314" customFormat="1" ht="14" x14ac:dyDescent="0.15">
      <c r="B81" s="328" t="s">
        <v>58</v>
      </c>
      <c r="C81" s="329"/>
      <c r="D81" s="329"/>
      <c r="E81"/>
      <c r="F81" s="329"/>
      <c r="G81" s="329"/>
      <c r="H81"/>
      <c r="I81" s="329"/>
      <c r="J81" s="329"/>
      <c r="K81"/>
      <c r="L81" s="329"/>
      <c r="M81" s="329"/>
      <c r="N81"/>
      <c r="O81" s="329"/>
      <c r="P81" s="329"/>
      <c r="Q81"/>
      <c r="R81" s="329"/>
      <c r="S81" s="329"/>
      <c r="T81"/>
      <c r="U81" s="329"/>
      <c r="V81" s="329"/>
      <c r="W81"/>
      <c r="X81" s="329"/>
      <c r="Y81" s="329"/>
      <c r="Z81"/>
      <c r="AA81" s="329"/>
      <c r="AB81" s="329"/>
      <c r="AC81"/>
      <c r="AD81" s="329"/>
      <c r="AE81" s="329"/>
      <c r="AF81"/>
      <c r="AG81" s="329"/>
      <c r="AH81" s="329"/>
      <c r="AI81"/>
      <c r="AJ81" s="329"/>
      <c r="AK81" s="329"/>
      <c r="AL81"/>
      <c r="AM81" s="329"/>
      <c r="AN81" s="329"/>
    </row>
    <row r="82" spans="2:40" s="314" customFormat="1" ht="12.75" customHeight="1" x14ac:dyDescent="0.15">
      <c r="B82" s="5" t="s">
        <v>22</v>
      </c>
      <c r="C82" s="8">
        <v>71629.429099999994</v>
      </c>
      <c r="D82" s="7">
        <v>1.222029E-2</v>
      </c>
      <c r="E82"/>
      <c r="F82" s="8">
        <v>8739.06</v>
      </c>
      <c r="G82" s="7">
        <v>2.630799E-2</v>
      </c>
      <c r="H82"/>
      <c r="I82" s="8">
        <v>8928.3799999999992</v>
      </c>
      <c r="J82" s="7">
        <v>2.2783210000000002E-2</v>
      </c>
      <c r="K82"/>
      <c r="L82" s="8">
        <v>8742.68</v>
      </c>
      <c r="M82" s="7">
        <v>1.7742270000000001E-2</v>
      </c>
      <c r="N82"/>
      <c r="O82" s="8">
        <v>2519.9299999999998</v>
      </c>
      <c r="P82" s="7">
        <v>8.1525E-3</v>
      </c>
      <c r="Q82"/>
      <c r="R82" s="8">
        <v>5635.0700999999999</v>
      </c>
      <c r="S82" s="7">
        <v>1.1755059999999999E-2</v>
      </c>
      <c r="T82"/>
      <c r="U82" s="8">
        <v>5478.2348000000002</v>
      </c>
      <c r="V82" s="7">
        <v>9.4023600000000002E-3</v>
      </c>
      <c r="W82"/>
      <c r="X82" s="8">
        <v>4938.9041999999999</v>
      </c>
      <c r="Y82" s="7">
        <v>9.4542099999999994E-3</v>
      </c>
      <c r="Z82"/>
      <c r="AA82" s="8">
        <v>4969.7464</v>
      </c>
      <c r="AB82" s="7">
        <v>1.115901E-2</v>
      </c>
      <c r="AC82"/>
      <c r="AD82" s="8">
        <v>5852.1710999999996</v>
      </c>
      <c r="AE82" s="7">
        <v>8.0125400000000003E-3</v>
      </c>
      <c r="AF82"/>
      <c r="AG82" s="8">
        <v>5852.1710999999996</v>
      </c>
      <c r="AH82" s="7">
        <v>9.9744699999999992E-3</v>
      </c>
      <c r="AI82"/>
      <c r="AJ82" s="8">
        <v>5953.1812</v>
      </c>
      <c r="AK82" s="7">
        <v>1.033734E-2</v>
      </c>
      <c r="AL82"/>
      <c r="AM82" s="8">
        <v>4019.9002</v>
      </c>
      <c r="AN82" s="7">
        <v>9.73744E-3</v>
      </c>
    </row>
    <row r="83" spans="2:40" s="314" customFormat="1" ht="12.75" customHeight="1" x14ac:dyDescent="0.15">
      <c r="B83" s="5" t="s">
        <v>40</v>
      </c>
      <c r="C83" s="8">
        <v>106218.16</v>
      </c>
      <c r="D83" s="7">
        <v>1.812128E-2</v>
      </c>
      <c r="E83"/>
      <c r="F83" s="8">
        <v>6710.3</v>
      </c>
      <c r="G83" s="7">
        <v>2.0200630000000001E-2</v>
      </c>
      <c r="H83"/>
      <c r="I83" s="8">
        <v>6664.65</v>
      </c>
      <c r="J83" s="7">
        <v>1.700668E-2</v>
      </c>
      <c r="K83"/>
      <c r="L83" s="8">
        <v>7452.37</v>
      </c>
      <c r="M83" s="7">
        <v>1.512373E-2</v>
      </c>
      <c r="N83"/>
      <c r="O83" s="8">
        <v>12645.89</v>
      </c>
      <c r="P83" s="7">
        <v>4.09121E-2</v>
      </c>
      <c r="Q83"/>
      <c r="R83" s="8">
        <v>10848.03</v>
      </c>
      <c r="S83" s="7">
        <v>2.2629570000000002E-2</v>
      </c>
      <c r="T83"/>
      <c r="U83" s="8">
        <v>8599.9699999999993</v>
      </c>
      <c r="V83" s="7">
        <v>1.4760240000000001E-2</v>
      </c>
      <c r="W83"/>
      <c r="X83" s="8">
        <v>10732.58</v>
      </c>
      <c r="Y83" s="7">
        <v>2.0544659999999999E-2</v>
      </c>
      <c r="Z83"/>
      <c r="AA83" s="8">
        <v>8166.66</v>
      </c>
      <c r="AB83" s="7">
        <v>1.8337329999999999E-2</v>
      </c>
      <c r="AC83"/>
      <c r="AD83" s="8">
        <v>8599.9699999999993</v>
      </c>
      <c r="AE83" s="7">
        <v>1.1774700000000001E-2</v>
      </c>
      <c r="AF83"/>
      <c r="AG83" s="8">
        <v>8516.66</v>
      </c>
      <c r="AH83" s="7">
        <v>1.451583E-2</v>
      </c>
      <c r="AI83"/>
      <c r="AJ83" s="8">
        <v>8681.11</v>
      </c>
      <c r="AK83" s="7">
        <v>1.5074229999999999E-2</v>
      </c>
      <c r="AL83"/>
      <c r="AM83" s="8">
        <v>8599.9699999999993</v>
      </c>
      <c r="AN83" s="7">
        <v>2.0831780000000001E-2</v>
      </c>
    </row>
    <row r="84" spans="2:40" s="314" customFormat="1" ht="12.75" customHeight="1" x14ac:dyDescent="0.15">
      <c r="B84" s="325" t="s">
        <v>41</v>
      </c>
      <c r="C84" s="326">
        <v>-177847.58910000001</v>
      </c>
      <c r="D84" s="327">
        <v>-3.0341570000000002E-2</v>
      </c>
      <c r="E84"/>
      <c r="F84" s="326">
        <v>-15449.36</v>
      </c>
      <c r="G84" s="327">
        <v>-4.6508609999999999E-2</v>
      </c>
      <c r="H84"/>
      <c r="I84" s="326">
        <v>-15593.03</v>
      </c>
      <c r="J84" s="327">
        <v>-3.9789900000000003E-2</v>
      </c>
      <c r="K84"/>
      <c r="L84" s="326">
        <v>-16195.05</v>
      </c>
      <c r="M84" s="327">
        <v>-3.2865999999999999E-2</v>
      </c>
      <c r="N84"/>
      <c r="O84" s="326">
        <v>-15165.82</v>
      </c>
      <c r="P84" s="327">
        <v>-4.90646E-2</v>
      </c>
      <c r="Q84"/>
      <c r="R84" s="326">
        <v>-16483.1001</v>
      </c>
      <c r="S84" s="327">
        <v>-3.4384629999999999E-2</v>
      </c>
      <c r="T84"/>
      <c r="U84" s="326">
        <v>-14078.2048</v>
      </c>
      <c r="V84" s="327">
        <v>-2.4162599999999999E-2</v>
      </c>
      <c r="W84"/>
      <c r="X84" s="326">
        <v>-15671.484200000001</v>
      </c>
      <c r="Y84" s="327">
        <v>-2.999887E-2</v>
      </c>
      <c r="Z84"/>
      <c r="AA84" s="326">
        <v>-13136.4064</v>
      </c>
      <c r="AB84" s="327">
        <v>-2.9496339999999999E-2</v>
      </c>
      <c r="AC84"/>
      <c r="AD84" s="326">
        <v>-14452.141100000001</v>
      </c>
      <c r="AE84" s="327">
        <v>-1.9787240000000001E-2</v>
      </c>
      <c r="AF84"/>
      <c r="AG84" s="326">
        <v>-14368.831099999999</v>
      </c>
      <c r="AH84" s="327">
        <v>-2.44903E-2</v>
      </c>
      <c r="AI84"/>
      <c r="AJ84" s="326">
        <v>-14634.2912</v>
      </c>
      <c r="AK84" s="327">
        <v>-2.5411570000000001E-2</v>
      </c>
      <c r="AL84"/>
      <c r="AM84" s="326">
        <v>-12619.870199999999</v>
      </c>
      <c r="AN84" s="327">
        <v>-3.0569220000000001E-2</v>
      </c>
    </row>
    <row r="85" spans="2:40" s="314" customFormat="1" ht="12.75" customHeight="1" x14ac:dyDescent="0.15">
      <c r="B85" s="8"/>
      <c r="C85" s="8"/>
      <c r="D85" s="8"/>
      <c r="E85"/>
      <c r="F85" s="8"/>
      <c r="G85" s="8"/>
      <c r="H85"/>
      <c r="I85" s="8"/>
      <c r="J85" s="8"/>
      <c r="K85"/>
      <c r="L85" s="8"/>
      <c r="M85" s="8"/>
      <c r="N85"/>
      <c r="O85" s="8"/>
      <c r="P85" s="8"/>
      <c r="Q85"/>
      <c r="R85" s="8"/>
      <c r="S85" s="8"/>
      <c r="T85"/>
      <c r="U85" s="8"/>
      <c r="V85" s="8"/>
      <c r="W85"/>
      <c r="X85" s="8"/>
      <c r="Y85" s="8"/>
      <c r="Z85"/>
      <c r="AA85" s="8"/>
      <c r="AB85" s="8"/>
      <c r="AC85"/>
      <c r="AD85" s="8"/>
      <c r="AE85" s="8"/>
      <c r="AF85"/>
      <c r="AG85" s="8"/>
      <c r="AH85" s="8"/>
      <c r="AI85"/>
      <c r="AJ85" s="8"/>
      <c r="AK85" s="8"/>
      <c r="AL85"/>
      <c r="AM85" s="8"/>
      <c r="AN85" s="8"/>
    </row>
    <row r="86" spans="2:40" s="314" customFormat="1" ht="14" x14ac:dyDescent="0.15">
      <c r="B86" s="328" t="s">
        <v>59</v>
      </c>
      <c r="C86" s="329"/>
      <c r="D86" s="329"/>
      <c r="E86"/>
      <c r="F86" s="329"/>
      <c r="G86" s="329"/>
      <c r="H86"/>
      <c r="I86" s="329"/>
      <c r="J86" s="329"/>
      <c r="K86"/>
      <c r="L86" s="329"/>
      <c r="M86" s="329"/>
      <c r="N86"/>
      <c r="O86" s="329"/>
      <c r="P86" s="329"/>
      <c r="Q86"/>
      <c r="R86" s="329"/>
      <c r="S86" s="329"/>
      <c r="T86"/>
      <c r="U86" s="329"/>
      <c r="V86" s="329"/>
      <c r="W86"/>
      <c r="X86" s="329"/>
      <c r="Y86" s="329"/>
      <c r="Z86"/>
      <c r="AA86" s="329"/>
      <c r="AB86" s="329"/>
      <c r="AC86"/>
      <c r="AD86" s="329"/>
      <c r="AE86" s="329"/>
      <c r="AF86"/>
      <c r="AG86" s="329"/>
      <c r="AH86" s="329"/>
      <c r="AI86"/>
      <c r="AJ86" s="329"/>
      <c r="AK86" s="329"/>
      <c r="AL86"/>
      <c r="AM86" s="329"/>
      <c r="AN86" s="329"/>
    </row>
    <row r="87" spans="2:40" s="314" customFormat="1" ht="12.75" customHeight="1" x14ac:dyDescent="0.15">
      <c r="B87" s="325" t="s">
        <v>41</v>
      </c>
      <c r="C87" s="326">
        <v>-249207.36</v>
      </c>
      <c r="D87" s="327">
        <v>-4.2515850000000001E-2</v>
      </c>
      <c r="E87"/>
      <c r="F87" s="326">
        <v>-25320.38</v>
      </c>
      <c r="G87" s="327">
        <v>-7.6224239999999999E-2</v>
      </c>
      <c r="H87"/>
      <c r="I87" s="326">
        <v>-17981.04</v>
      </c>
      <c r="J87" s="327">
        <v>-4.5883559999999997E-2</v>
      </c>
      <c r="K87"/>
      <c r="L87" s="326">
        <v>-23473.38</v>
      </c>
      <c r="M87" s="327">
        <v>-4.7636539999999998E-2</v>
      </c>
      <c r="N87"/>
      <c r="O87" s="326">
        <v>-19362.16</v>
      </c>
      <c r="P87" s="327">
        <v>-6.2640639999999997E-2</v>
      </c>
      <c r="Q87"/>
      <c r="R87" s="326">
        <v>-17863.8</v>
      </c>
      <c r="S87" s="327">
        <v>-3.726484E-2</v>
      </c>
      <c r="T87"/>
      <c r="U87" s="326">
        <v>-21129.9</v>
      </c>
      <c r="V87" s="327">
        <v>-3.6265510000000001E-2</v>
      </c>
      <c r="W87"/>
      <c r="X87" s="326">
        <v>-18217.2</v>
      </c>
      <c r="Y87" s="327">
        <v>-3.4871970000000002E-2</v>
      </c>
      <c r="Z87"/>
      <c r="AA87" s="326">
        <v>-16119.6</v>
      </c>
      <c r="AB87" s="327">
        <v>-3.6194770000000001E-2</v>
      </c>
      <c r="AC87"/>
      <c r="AD87" s="326">
        <v>-22241.4</v>
      </c>
      <c r="AE87" s="327">
        <v>-3.0451949999999998E-2</v>
      </c>
      <c r="AF87"/>
      <c r="AG87" s="326">
        <v>-22698.2</v>
      </c>
      <c r="AH87" s="327">
        <v>-3.8686909999999998E-2</v>
      </c>
      <c r="AI87"/>
      <c r="AJ87" s="326">
        <v>-24086.5</v>
      </c>
      <c r="AK87" s="327">
        <v>-4.1824769999999997E-2</v>
      </c>
      <c r="AL87"/>
      <c r="AM87" s="326">
        <v>-20713.8</v>
      </c>
      <c r="AN87" s="327">
        <v>-5.0175219999999993E-2</v>
      </c>
    </row>
    <row r="88" spans="2:40" s="314" customFormat="1" ht="12.75" customHeight="1" x14ac:dyDescent="0.15">
      <c r="B88" s="8"/>
      <c r="C88" s="8"/>
      <c r="D88" s="8"/>
      <c r="E88"/>
      <c r="F88" s="8"/>
      <c r="G88" s="8"/>
      <c r="H88"/>
      <c r="I88" s="8"/>
      <c r="J88" s="8"/>
      <c r="K88"/>
      <c r="L88" s="8"/>
      <c r="M88" s="8"/>
      <c r="N88"/>
      <c r="O88" s="8"/>
      <c r="P88" s="8"/>
      <c r="Q88"/>
      <c r="R88" s="8"/>
      <c r="S88" s="8"/>
      <c r="T88"/>
      <c r="U88" s="8"/>
      <c r="V88" s="8"/>
      <c r="W88"/>
      <c r="X88" s="8"/>
      <c r="Y88" s="8"/>
      <c r="Z88"/>
      <c r="AA88" s="8"/>
      <c r="AB88" s="8"/>
      <c r="AC88"/>
      <c r="AD88" s="8"/>
      <c r="AE88" s="8"/>
      <c r="AF88"/>
      <c r="AG88" s="8"/>
      <c r="AH88" s="8"/>
      <c r="AI88"/>
      <c r="AJ88" s="8"/>
      <c r="AK88" s="8"/>
      <c r="AL88"/>
      <c r="AM88" s="8"/>
      <c r="AN88" s="8"/>
    </row>
    <row r="89" spans="2:40" s="314" customFormat="1" ht="12.75" customHeight="1" x14ac:dyDescent="0.15">
      <c r="B89" s="325" t="s">
        <v>23</v>
      </c>
      <c r="C89" s="326">
        <v>2177015.1627000002</v>
      </c>
      <c r="D89" s="327">
        <v>0.37140819000000003</v>
      </c>
      <c r="E89"/>
      <c r="F89" s="326">
        <v>58077.26</v>
      </c>
      <c r="G89" s="327">
        <v>0.17483525999999999</v>
      </c>
      <c r="H89"/>
      <c r="I89" s="326">
        <v>102659.81</v>
      </c>
      <c r="J89" s="327">
        <v>0.26196468000000001</v>
      </c>
      <c r="K89"/>
      <c r="L89" s="326">
        <v>198320.99</v>
      </c>
      <c r="M89" s="327">
        <v>0.40246975000000001</v>
      </c>
      <c r="N89"/>
      <c r="O89" s="326">
        <v>50703.11</v>
      </c>
      <c r="P89" s="327">
        <v>0.16403516000000001</v>
      </c>
      <c r="Q89"/>
      <c r="R89" s="326">
        <v>171354.318</v>
      </c>
      <c r="S89" s="327">
        <v>0.35745426000000002</v>
      </c>
      <c r="T89"/>
      <c r="U89" s="326">
        <v>249108.85219999999</v>
      </c>
      <c r="V89" s="327">
        <v>0.42754861999999999</v>
      </c>
      <c r="W89"/>
      <c r="X89" s="326">
        <v>212347.9933</v>
      </c>
      <c r="Y89" s="327">
        <v>0.40648356000000002</v>
      </c>
      <c r="Z89"/>
      <c r="AA89" s="326">
        <v>159540.7378</v>
      </c>
      <c r="AB89" s="327">
        <v>0.35823102000000001</v>
      </c>
      <c r="AC89"/>
      <c r="AD89" s="326">
        <v>360912.68930000003</v>
      </c>
      <c r="AE89" s="327">
        <v>0.49414585999999999</v>
      </c>
      <c r="AF89"/>
      <c r="AG89" s="326">
        <v>250106.57980000001</v>
      </c>
      <c r="AH89" s="327">
        <v>0.42628275999999998</v>
      </c>
      <c r="AI89"/>
      <c r="AJ89" s="326">
        <v>232509.3561</v>
      </c>
      <c r="AK89" s="327">
        <v>0.4037386</v>
      </c>
      <c r="AL89"/>
      <c r="AM89" s="326">
        <v>131373.4662</v>
      </c>
      <c r="AN89" s="327">
        <v>0.31822708999999999</v>
      </c>
    </row>
    <row r="90" spans="2:40" s="314" customFormat="1" ht="12.75" customHeight="1" x14ac:dyDescent="0.15">
      <c r="B90" s="8"/>
      <c r="C90" s="8"/>
      <c r="D90" s="8"/>
      <c r="E90"/>
      <c r="F90" s="8"/>
      <c r="G90" s="8"/>
      <c r="H90"/>
      <c r="I90" s="8"/>
      <c r="J90" s="8"/>
      <c r="K90"/>
      <c r="L90" s="8"/>
      <c r="M90" s="8"/>
      <c r="N90"/>
      <c r="O90" s="8"/>
      <c r="P90" s="8"/>
      <c r="Q90"/>
      <c r="R90" s="8"/>
      <c r="S90" s="8"/>
      <c r="T90"/>
      <c r="U90" s="8"/>
      <c r="V90" s="8"/>
      <c r="W90"/>
      <c r="X90" s="8"/>
      <c r="Y90" s="8"/>
      <c r="Z90"/>
      <c r="AA90" s="8"/>
      <c r="AB90" s="8"/>
      <c r="AC90"/>
      <c r="AD90" s="8"/>
      <c r="AE90" s="8"/>
      <c r="AF90"/>
      <c r="AG90" s="8"/>
      <c r="AH90" s="8"/>
      <c r="AI90"/>
      <c r="AJ90" s="8"/>
      <c r="AK90" s="8"/>
      <c r="AL90"/>
      <c r="AM90" s="8"/>
      <c r="AN90" s="8"/>
    </row>
    <row r="91" spans="2:40" s="314" customFormat="1" ht="12.75" customHeight="1" x14ac:dyDescent="0.15">
      <c r="B91" s="325" t="s">
        <v>60</v>
      </c>
      <c r="C91" s="326">
        <v>0</v>
      </c>
      <c r="D91" s="327">
        <v>0</v>
      </c>
      <c r="E91"/>
      <c r="F91" s="326">
        <v>0</v>
      </c>
      <c r="G91" s="327">
        <v>0</v>
      </c>
      <c r="H91"/>
      <c r="I91" s="326">
        <v>0</v>
      </c>
      <c r="J91" s="327">
        <v>0</v>
      </c>
      <c r="K91"/>
      <c r="L91" s="326">
        <v>0</v>
      </c>
      <c r="M91" s="327">
        <v>0</v>
      </c>
      <c r="N91"/>
      <c r="O91" s="326">
        <v>0</v>
      </c>
      <c r="P91" s="327">
        <v>0</v>
      </c>
      <c r="Q91"/>
      <c r="R91" s="326">
        <v>0</v>
      </c>
      <c r="S91" s="327">
        <v>0</v>
      </c>
      <c r="T91"/>
      <c r="U91" s="326">
        <v>0</v>
      </c>
      <c r="V91" s="327">
        <v>0</v>
      </c>
      <c r="W91"/>
      <c r="X91" s="326">
        <v>0</v>
      </c>
      <c r="Y91" s="327">
        <v>0</v>
      </c>
      <c r="Z91"/>
      <c r="AA91" s="326">
        <v>0</v>
      </c>
      <c r="AB91" s="327">
        <v>0</v>
      </c>
      <c r="AC91"/>
      <c r="AD91" s="326">
        <v>0</v>
      </c>
      <c r="AE91" s="327">
        <v>0</v>
      </c>
      <c r="AF91"/>
      <c r="AG91" s="326">
        <v>0</v>
      </c>
      <c r="AH91" s="327">
        <v>0</v>
      </c>
      <c r="AI91"/>
      <c r="AJ91" s="326">
        <v>0</v>
      </c>
      <c r="AK91" s="327">
        <v>0</v>
      </c>
      <c r="AL91"/>
      <c r="AM91" s="326">
        <v>0</v>
      </c>
      <c r="AN91" s="327">
        <v>0</v>
      </c>
    </row>
    <row r="92" spans="2:40" s="314" customFormat="1" ht="12.75" customHeight="1" x14ac:dyDescent="0.15">
      <c r="B92" s="5" t="s">
        <v>61</v>
      </c>
      <c r="C92" s="8">
        <v>0</v>
      </c>
      <c r="D92" s="7">
        <v>0</v>
      </c>
      <c r="E92"/>
      <c r="F92" s="8">
        <v>0</v>
      </c>
      <c r="G92" s="7">
        <v>0</v>
      </c>
      <c r="H92"/>
      <c r="I92" s="8">
        <v>0</v>
      </c>
      <c r="J92" s="7">
        <v>0</v>
      </c>
      <c r="K92"/>
      <c r="L92" s="8">
        <v>0</v>
      </c>
      <c r="M92" s="7">
        <v>0</v>
      </c>
      <c r="N92"/>
      <c r="O92" s="8">
        <v>0</v>
      </c>
      <c r="P92" s="7">
        <v>0</v>
      </c>
      <c r="Q92"/>
      <c r="R92" s="8">
        <v>0</v>
      </c>
      <c r="S92" s="7">
        <v>0</v>
      </c>
      <c r="T92"/>
      <c r="U92" s="8">
        <v>0</v>
      </c>
      <c r="V92" s="7">
        <v>0</v>
      </c>
      <c r="W92"/>
      <c r="X92" s="8">
        <v>0</v>
      </c>
      <c r="Y92" s="7">
        <v>0</v>
      </c>
      <c r="Z92"/>
      <c r="AA92" s="8">
        <v>0</v>
      </c>
      <c r="AB92" s="7">
        <v>0</v>
      </c>
      <c r="AC92"/>
      <c r="AD92" s="8">
        <v>0</v>
      </c>
      <c r="AE92" s="7">
        <v>0</v>
      </c>
      <c r="AF92"/>
      <c r="AG92" s="8">
        <v>0</v>
      </c>
      <c r="AH92" s="7">
        <v>0</v>
      </c>
      <c r="AI92"/>
      <c r="AJ92" s="8">
        <v>0</v>
      </c>
      <c r="AK92" s="7">
        <v>0</v>
      </c>
      <c r="AL92"/>
      <c r="AM92" s="8">
        <v>0</v>
      </c>
      <c r="AN92" s="7">
        <v>0</v>
      </c>
    </row>
    <row r="93" spans="2:40" s="314" customFormat="1" ht="12.75" customHeight="1" x14ac:dyDescent="0.15">
      <c r="B93" s="5" t="s">
        <v>62</v>
      </c>
      <c r="C93" s="8">
        <v>0</v>
      </c>
      <c r="D93" s="7">
        <v>0</v>
      </c>
      <c r="E93"/>
      <c r="F93" s="8">
        <v>0</v>
      </c>
      <c r="G93" s="7">
        <v>0</v>
      </c>
      <c r="H93"/>
      <c r="I93" s="8">
        <v>0</v>
      </c>
      <c r="J93" s="7">
        <v>0</v>
      </c>
      <c r="K93"/>
      <c r="L93" s="8">
        <v>0</v>
      </c>
      <c r="M93" s="7">
        <v>0</v>
      </c>
      <c r="N93"/>
      <c r="O93" s="8">
        <v>0</v>
      </c>
      <c r="P93" s="7">
        <v>0</v>
      </c>
      <c r="Q93"/>
      <c r="R93" s="8">
        <v>0</v>
      </c>
      <c r="S93" s="7">
        <v>0</v>
      </c>
      <c r="T93"/>
      <c r="U93" s="8">
        <v>0</v>
      </c>
      <c r="V93" s="7">
        <v>0</v>
      </c>
      <c r="W93"/>
      <c r="X93" s="8">
        <v>0</v>
      </c>
      <c r="Y93" s="7">
        <v>0</v>
      </c>
      <c r="Z93"/>
      <c r="AA93" s="8">
        <v>0</v>
      </c>
      <c r="AB93" s="7">
        <v>0</v>
      </c>
      <c r="AC93"/>
      <c r="AD93" s="8">
        <v>0</v>
      </c>
      <c r="AE93" s="7">
        <v>0</v>
      </c>
      <c r="AF93"/>
      <c r="AG93" s="8">
        <v>0</v>
      </c>
      <c r="AH93" s="7">
        <v>0</v>
      </c>
      <c r="AI93"/>
      <c r="AJ93" s="8">
        <v>0</v>
      </c>
      <c r="AK93" s="7">
        <v>0</v>
      </c>
      <c r="AL93"/>
      <c r="AM93" s="8">
        <v>0</v>
      </c>
      <c r="AN93" s="7">
        <v>0</v>
      </c>
    </row>
    <row r="94" spans="2:40" s="314" customFormat="1" ht="12.75" customHeight="1" x14ac:dyDescent="0.15">
      <c r="B94" s="5" t="s">
        <v>63</v>
      </c>
      <c r="C94" s="8">
        <v>0</v>
      </c>
      <c r="D94" s="7">
        <v>0</v>
      </c>
      <c r="E94"/>
      <c r="F94" s="8">
        <v>0</v>
      </c>
      <c r="G94" s="7">
        <v>0</v>
      </c>
      <c r="H94"/>
      <c r="I94" s="8">
        <v>0</v>
      </c>
      <c r="J94" s="7">
        <v>0</v>
      </c>
      <c r="K94"/>
      <c r="L94" s="8">
        <v>0</v>
      </c>
      <c r="M94" s="7">
        <v>0</v>
      </c>
      <c r="N94"/>
      <c r="O94" s="8">
        <v>0</v>
      </c>
      <c r="P94" s="7">
        <v>0</v>
      </c>
      <c r="Q94"/>
      <c r="R94" s="8">
        <v>0</v>
      </c>
      <c r="S94" s="7">
        <v>0</v>
      </c>
      <c r="T94"/>
      <c r="U94" s="8">
        <v>0</v>
      </c>
      <c r="V94" s="7">
        <v>0</v>
      </c>
      <c r="W94"/>
      <c r="X94" s="8">
        <v>0</v>
      </c>
      <c r="Y94" s="7">
        <v>0</v>
      </c>
      <c r="Z94"/>
      <c r="AA94" s="8">
        <v>0</v>
      </c>
      <c r="AB94" s="7">
        <v>0</v>
      </c>
      <c r="AC94"/>
      <c r="AD94" s="8">
        <v>0</v>
      </c>
      <c r="AE94" s="7">
        <v>0</v>
      </c>
      <c r="AF94"/>
      <c r="AG94" s="8">
        <v>0</v>
      </c>
      <c r="AH94" s="7">
        <v>0</v>
      </c>
      <c r="AI94"/>
      <c r="AJ94" s="8">
        <v>0</v>
      </c>
      <c r="AK94" s="7">
        <v>0</v>
      </c>
      <c r="AL94"/>
      <c r="AM94" s="8">
        <v>0</v>
      </c>
      <c r="AN94" s="7">
        <v>0</v>
      </c>
    </row>
    <row r="95" spans="2:40" s="314" customFormat="1" ht="12.75" customHeight="1" x14ac:dyDescent="0.15">
      <c r="B95" s="5" t="s">
        <v>64</v>
      </c>
      <c r="C95" s="8">
        <v>0</v>
      </c>
      <c r="D95" s="7">
        <v>0</v>
      </c>
      <c r="E95"/>
      <c r="F95" s="8">
        <v>0</v>
      </c>
      <c r="G95" s="7">
        <v>0</v>
      </c>
      <c r="H95"/>
      <c r="I95" s="8">
        <v>0</v>
      </c>
      <c r="J95" s="7">
        <v>0</v>
      </c>
      <c r="K95"/>
      <c r="L95" s="8">
        <v>0</v>
      </c>
      <c r="M95" s="7">
        <v>0</v>
      </c>
      <c r="N95"/>
      <c r="O95" s="8">
        <v>0</v>
      </c>
      <c r="P95" s="7">
        <v>0</v>
      </c>
      <c r="Q95"/>
      <c r="R95" s="8">
        <v>0</v>
      </c>
      <c r="S95" s="7">
        <v>0</v>
      </c>
      <c r="T95"/>
      <c r="U95" s="8">
        <v>0</v>
      </c>
      <c r="V95" s="7">
        <v>0</v>
      </c>
      <c r="W95"/>
      <c r="X95" s="8">
        <v>0</v>
      </c>
      <c r="Y95" s="7">
        <v>0</v>
      </c>
      <c r="Z95"/>
      <c r="AA95" s="8">
        <v>0</v>
      </c>
      <c r="AB95" s="7">
        <v>0</v>
      </c>
      <c r="AC95"/>
      <c r="AD95" s="8">
        <v>0</v>
      </c>
      <c r="AE95" s="7">
        <v>0</v>
      </c>
      <c r="AF95"/>
      <c r="AG95" s="8">
        <v>0</v>
      </c>
      <c r="AH95" s="7">
        <v>0</v>
      </c>
      <c r="AI95"/>
      <c r="AJ95" s="8">
        <v>0</v>
      </c>
      <c r="AK95" s="7">
        <v>0</v>
      </c>
      <c r="AL95"/>
      <c r="AM95" s="8">
        <v>0</v>
      </c>
      <c r="AN95" s="7">
        <v>0</v>
      </c>
    </row>
    <row r="96" spans="2:40" s="314" customFormat="1" ht="12.75" customHeight="1" x14ac:dyDescent="0.15">
      <c r="B96" s="8"/>
      <c r="C96" s="8"/>
      <c r="D96" s="8"/>
      <c r="E96"/>
      <c r="F96" s="8"/>
      <c r="G96" s="8"/>
      <c r="H96"/>
      <c r="I96" s="8"/>
      <c r="J96" s="8"/>
      <c r="K96"/>
      <c r="L96" s="8"/>
      <c r="M96" s="8"/>
      <c r="N96"/>
      <c r="O96" s="8"/>
      <c r="P96" s="8"/>
      <c r="Q96"/>
      <c r="R96" s="8"/>
      <c r="S96" s="8"/>
      <c r="T96"/>
      <c r="U96" s="8"/>
      <c r="V96" s="8"/>
      <c r="W96"/>
      <c r="X96" s="8"/>
      <c r="Y96" s="8"/>
      <c r="Z96"/>
      <c r="AA96" s="8"/>
      <c r="AB96" s="8"/>
      <c r="AC96"/>
      <c r="AD96" s="8"/>
      <c r="AE96" s="8"/>
      <c r="AF96"/>
      <c r="AG96" s="8"/>
      <c r="AH96" s="8"/>
      <c r="AI96"/>
      <c r="AJ96" s="8"/>
      <c r="AK96" s="8"/>
      <c r="AL96"/>
      <c r="AM96" s="8"/>
      <c r="AN96" s="8"/>
    </row>
    <row r="97" spans="2:40" s="314" customFormat="1" ht="12.75" customHeight="1" x14ac:dyDescent="0.15">
      <c r="B97" s="325" t="s">
        <v>65</v>
      </c>
      <c r="C97" s="326">
        <v>8000</v>
      </c>
      <c r="D97" s="327">
        <v>1.36483E-3</v>
      </c>
      <c r="E97"/>
      <c r="F97" s="326">
        <v>0</v>
      </c>
      <c r="G97" s="327">
        <v>0</v>
      </c>
      <c r="H97"/>
      <c r="I97" s="326">
        <v>0</v>
      </c>
      <c r="J97" s="327">
        <v>0</v>
      </c>
      <c r="K97"/>
      <c r="L97" s="326">
        <v>0</v>
      </c>
      <c r="M97" s="327">
        <v>0</v>
      </c>
      <c r="N97"/>
      <c r="O97" s="326">
        <v>0</v>
      </c>
      <c r="P97" s="327">
        <v>0</v>
      </c>
      <c r="Q97"/>
      <c r="R97" s="326">
        <v>1000</v>
      </c>
      <c r="S97" s="327">
        <v>2.0860499999999999E-3</v>
      </c>
      <c r="T97"/>
      <c r="U97" s="326">
        <v>1000</v>
      </c>
      <c r="V97" s="327">
        <v>1.71631E-3</v>
      </c>
      <c r="W97"/>
      <c r="X97" s="326">
        <v>1000</v>
      </c>
      <c r="Y97" s="327">
        <v>1.9142300000000001E-3</v>
      </c>
      <c r="Z97"/>
      <c r="AA97" s="326">
        <v>1000</v>
      </c>
      <c r="AB97" s="327">
        <v>2.2453899999999999E-3</v>
      </c>
      <c r="AC97"/>
      <c r="AD97" s="326">
        <v>1000</v>
      </c>
      <c r="AE97" s="327">
        <v>1.3691599999999999E-3</v>
      </c>
      <c r="AF97"/>
      <c r="AG97" s="326">
        <v>1000</v>
      </c>
      <c r="AH97" s="327">
        <v>1.7044E-3</v>
      </c>
      <c r="AI97"/>
      <c r="AJ97" s="326">
        <v>1000</v>
      </c>
      <c r="AK97" s="327">
        <v>1.7364399999999999E-3</v>
      </c>
      <c r="AL97"/>
      <c r="AM97" s="326">
        <v>1000</v>
      </c>
      <c r="AN97" s="327">
        <v>2.42231E-3</v>
      </c>
    </row>
    <row r="98" spans="2:40" s="314" customFormat="1" ht="12.75" customHeight="1" x14ac:dyDescent="0.15">
      <c r="B98" s="5" t="s">
        <v>66</v>
      </c>
      <c r="C98" s="8">
        <v>0</v>
      </c>
      <c r="D98" s="7">
        <v>0</v>
      </c>
      <c r="E98"/>
      <c r="F98" s="8">
        <v>0</v>
      </c>
      <c r="G98" s="7">
        <v>0</v>
      </c>
      <c r="H98"/>
      <c r="I98" s="8">
        <v>0</v>
      </c>
      <c r="J98" s="7">
        <v>0</v>
      </c>
      <c r="K98"/>
      <c r="L98" s="8">
        <v>0</v>
      </c>
      <c r="M98" s="7">
        <v>0</v>
      </c>
      <c r="N98"/>
      <c r="O98" s="8">
        <v>0</v>
      </c>
      <c r="P98" s="7">
        <v>0</v>
      </c>
      <c r="Q98"/>
      <c r="R98" s="8">
        <v>0</v>
      </c>
      <c r="S98" s="7">
        <v>0</v>
      </c>
      <c r="T98"/>
      <c r="U98" s="8">
        <v>0</v>
      </c>
      <c r="V98" s="7">
        <v>0</v>
      </c>
      <c r="W98"/>
      <c r="X98" s="8">
        <v>0</v>
      </c>
      <c r="Y98" s="7">
        <v>0</v>
      </c>
      <c r="Z98"/>
      <c r="AA98" s="8">
        <v>0</v>
      </c>
      <c r="AB98" s="7">
        <v>0</v>
      </c>
      <c r="AC98"/>
      <c r="AD98" s="8">
        <v>0</v>
      </c>
      <c r="AE98" s="7">
        <v>0</v>
      </c>
      <c r="AF98"/>
      <c r="AG98" s="8">
        <v>0</v>
      </c>
      <c r="AH98" s="7">
        <v>0</v>
      </c>
      <c r="AI98"/>
      <c r="AJ98" s="8">
        <v>0</v>
      </c>
      <c r="AK98" s="7">
        <v>0</v>
      </c>
      <c r="AL98"/>
      <c r="AM98" s="8">
        <v>0</v>
      </c>
      <c r="AN98" s="7">
        <v>0</v>
      </c>
    </row>
    <row r="99" spans="2:40" s="314" customFormat="1" ht="12.75" customHeight="1" x14ac:dyDescent="0.15">
      <c r="B99" s="5" t="s">
        <v>67</v>
      </c>
      <c r="C99" s="8">
        <v>8000</v>
      </c>
      <c r="D99" s="7">
        <v>1.36483E-3</v>
      </c>
      <c r="E99"/>
      <c r="F99" s="8">
        <v>0</v>
      </c>
      <c r="G99" s="7">
        <v>0</v>
      </c>
      <c r="H99"/>
      <c r="I99" s="8">
        <v>0</v>
      </c>
      <c r="J99" s="7">
        <v>0</v>
      </c>
      <c r="K99"/>
      <c r="L99" s="8">
        <v>0</v>
      </c>
      <c r="M99" s="7">
        <v>0</v>
      </c>
      <c r="N99"/>
      <c r="O99" s="8">
        <v>0</v>
      </c>
      <c r="P99" s="7">
        <v>0</v>
      </c>
      <c r="Q99"/>
      <c r="R99" s="8">
        <v>1000</v>
      </c>
      <c r="S99" s="7">
        <v>2.0860499999999999E-3</v>
      </c>
      <c r="T99"/>
      <c r="U99" s="8">
        <v>1000</v>
      </c>
      <c r="V99" s="7">
        <v>1.71631E-3</v>
      </c>
      <c r="W99"/>
      <c r="X99" s="8">
        <v>1000</v>
      </c>
      <c r="Y99" s="7">
        <v>1.9142300000000001E-3</v>
      </c>
      <c r="Z99"/>
      <c r="AA99" s="8">
        <v>1000</v>
      </c>
      <c r="AB99" s="7">
        <v>2.2453899999999999E-3</v>
      </c>
      <c r="AC99"/>
      <c r="AD99" s="8">
        <v>1000</v>
      </c>
      <c r="AE99" s="7">
        <v>1.3691599999999999E-3</v>
      </c>
      <c r="AF99"/>
      <c r="AG99" s="8">
        <v>1000</v>
      </c>
      <c r="AH99" s="7">
        <v>1.7044E-3</v>
      </c>
      <c r="AI99"/>
      <c r="AJ99" s="8">
        <v>1000</v>
      </c>
      <c r="AK99" s="7">
        <v>1.7364399999999999E-3</v>
      </c>
      <c r="AL99"/>
      <c r="AM99" s="8">
        <v>1000</v>
      </c>
      <c r="AN99" s="7">
        <v>2.42231E-3</v>
      </c>
    </row>
    <row r="100" spans="2:40" s="314" customFormat="1" ht="12.75" customHeight="1" x14ac:dyDescent="0.15">
      <c r="B100" s="8"/>
      <c r="C100" s="8"/>
      <c r="D100" s="8"/>
      <c r="E100"/>
      <c r="F100" s="8"/>
      <c r="G100" s="8"/>
      <c r="H100"/>
      <c r="I100" s="8"/>
      <c r="J100" s="8"/>
      <c r="K100"/>
      <c r="L100" s="8"/>
      <c r="M100" s="8"/>
      <c r="N100"/>
      <c r="O100" s="8"/>
      <c r="P100" s="8"/>
      <c r="Q100"/>
      <c r="R100" s="8"/>
      <c r="S100" s="8"/>
      <c r="T100"/>
      <c r="U100" s="8"/>
      <c r="V100" s="8"/>
      <c r="W100"/>
      <c r="X100" s="8"/>
      <c r="Y100" s="8"/>
      <c r="Z100"/>
      <c r="AA100" s="8"/>
      <c r="AB100" s="8"/>
      <c r="AC100"/>
      <c r="AD100" s="8"/>
      <c r="AE100" s="8"/>
      <c r="AF100"/>
      <c r="AG100" s="8"/>
      <c r="AH100" s="8"/>
      <c r="AI100"/>
      <c r="AJ100" s="8"/>
      <c r="AK100" s="8"/>
      <c r="AL100"/>
      <c r="AM100" s="8"/>
      <c r="AN100" s="8"/>
    </row>
    <row r="101" spans="2:40" s="314" customFormat="1" ht="12.75" customHeight="1" x14ac:dyDescent="0.15">
      <c r="B101" s="325" t="s">
        <v>68</v>
      </c>
      <c r="C101" s="326">
        <v>-8000</v>
      </c>
      <c r="D101" s="327">
        <v>-1.36483E-3</v>
      </c>
      <c r="E101"/>
      <c r="F101" s="326">
        <v>0</v>
      </c>
      <c r="G101" s="327">
        <v>0</v>
      </c>
      <c r="H101"/>
      <c r="I101" s="326">
        <v>0</v>
      </c>
      <c r="J101" s="327">
        <v>0</v>
      </c>
      <c r="K101"/>
      <c r="L101" s="326">
        <v>0</v>
      </c>
      <c r="M101" s="327">
        <v>0</v>
      </c>
      <c r="N101"/>
      <c r="O101" s="326">
        <v>0</v>
      </c>
      <c r="P101" s="327">
        <v>0</v>
      </c>
      <c r="Q101"/>
      <c r="R101" s="326">
        <v>-1000</v>
      </c>
      <c r="S101" s="327">
        <v>-2.0860499999999999E-3</v>
      </c>
      <c r="T101"/>
      <c r="U101" s="326">
        <v>-1000</v>
      </c>
      <c r="V101" s="327">
        <v>-1.71631E-3</v>
      </c>
      <c r="W101"/>
      <c r="X101" s="326">
        <v>-1000</v>
      </c>
      <c r="Y101" s="327">
        <v>-1.9142300000000001E-3</v>
      </c>
      <c r="Z101"/>
      <c r="AA101" s="326">
        <v>-1000</v>
      </c>
      <c r="AB101" s="327">
        <v>-2.2453899999999999E-3</v>
      </c>
      <c r="AC101"/>
      <c r="AD101" s="326">
        <v>-1000</v>
      </c>
      <c r="AE101" s="327">
        <v>-1.3691599999999999E-3</v>
      </c>
      <c r="AF101"/>
      <c r="AG101" s="326">
        <v>-1000</v>
      </c>
      <c r="AH101" s="327">
        <v>-1.7044E-3</v>
      </c>
      <c r="AI101"/>
      <c r="AJ101" s="326">
        <v>-1000</v>
      </c>
      <c r="AK101" s="327">
        <v>-1.7364399999999999E-3</v>
      </c>
      <c r="AL101"/>
      <c r="AM101" s="326">
        <v>-1000</v>
      </c>
      <c r="AN101" s="327">
        <v>-2.42231E-3</v>
      </c>
    </row>
    <row r="102" spans="2:40" s="314" customFormat="1" ht="12.75" customHeight="1" x14ac:dyDescent="0.15">
      <c r="B102" s="8"/>
      <c r="C102" s="8"/>
      <c r="D102" s="8"/>
      <c r="E102"/>
      <c r="F102" s="8"/>
      <c r="G102" s="8"/>
      <c r="H102"/>
      <c r="I102" s="8"/>
      <c r="J102" s="8"/>
      <c r="K102"/>
      <c r="L102" s="8"/>
      <c r="M102" s="8"/>
      <c r="N102"/>
      <c r="O102" s="8"/>
      <c r="P102" s="8"/>
      <c r="Q102"/>
      <c r="R102" s="8"/>
      <c r="S102" s="8"/>
      <c r="T102"/>
      <c r="U102" s="8"/>
      <c r="V102" s="8"/>
      <c r="W102"/>
      <c r="X102" s="8"/>
      <c r="Y102" s="8"/>
      <c r="Z102"/>
      <c r="AA102" s="8"/>
      <c r="AB102" s="8"/>
      <c r="AC102"/>
      <c r="AD102" s="8"/>
      <c r="AE102" s="8"/>
      <c r="AF102"/>
      <c r="AG102" s="8"/>
      <c r="AH102" s="8"/>
      <c r="AI102"/>
      <c r="AJ102" s="8"/>
      <c r="AK102" s="8"/>
      <c r="AL102"/>
      <c r="AM102" s="8"/>
      <c r="AN102" s="8"/>
    </row>
    <row r="103" spans="2:40" s="314" customFormat="1" ht="12.75" customHeight="1" x14ac:dyDescent="0.15">
      <c r="B103" s="325" t="s">
        <v>69</v>
      </c>
      <c r="C103" s="326">
        <v>2169015.1627000002</v>
      </c>
      <c r="D103" s="327">
        <v>0.37004335999999999</v>
      </c>
      <c r="E103"/>
      <c r="F103" s="326">
        <v>58077.26</v>
      </c>
      <c r="G103" s="327">
        <v>0.17483525999999999</v>
      </c>
      <c r="H103"/>
      <c r="I103" s="326">
        <v>102659.81</v>
      </c>
      <c r="J103" s="327">
        <v>0.26196468000000001</v>
      </c>
      <c r="K103"/>
      <c r="L103" s="326">
        <v>198320.99</v>
      </c>
      <c r="M103" s="327">
        <v>0.40246975000000001</v>
      </c>
      <c r="N103"/>
      <c r="O103" s="326">
        <v>50703.11</v>
      </c>
      <c r="P103" s="327">
        <v>0.16403516000000001</v>
      </c>
      <c r="Q103"/>
      <c r="R103" s="326">
        <v>170354.318</v>
      </c>
      <c r="S103" s="327">
        <v>0.35536821000000002</v>
      </c>
      <c r="T103"/>
      <c r="U103" s="326">
        <v>248108.85219999999</v>
      </c>
      <c r="V103" s="327">
        <v>0.42583230999999999</v>
      </c>
      <c r="W103"/>
      <c r="X103" s="326">
        <v>211347.9933</v>
      </c>
      <c r="Y103" s="327">
        <v>0.40456932000000001</v>
      </c>
      <c r="Z103"/>
      <c r="AA103" s="326">
        <v>158540.7378</v>
      </c>
      <c r="AB103" s="327">
        <v>0.35598563</v>
      </c>
      <c r="AC103"/>
      <c r="AD103" s="326">
        <v>359912.68930000003</v>
      </c>
      <c r="AE103" s="327">
        <v>0.49277670000000001</v>
      </c>
      <c r="AF103"/>
      <c r="AG103" s="326">
        <v>249106.57980000001</v>
      </c>
      <c r="AH103" s="327">
        <v>0.42457834999999999</v>
      </c>
      <c r="AI103"/>
      <c r="AJ103" s="326">
        <v>231509.3561</v>
      </c>
      <c r="AK103" s="327">
        <v>0.40200216</v>
      </c>
      <c r="AL103"/>
      <c r="AM103" s="326">
        <v>130373.4662</v>
      </c>
      <c r="AN103" s="327">
        <v>0.31580479</v>
      </c>
    </row>
    <row r="104" spans="2:40" s="314" customFormat="1" ht="12.75" customHeight="1" x14ac:dyDescent="0.15">
      <c r="B104" s="8"/>
      <c r="C104" s="8"/>
      <c r="D104" s="8"/>
      <c r="E104"/>
      <c r="F104" s="8"/>
      <c r="G104" s="8"/>
      <c r="H104"/>
      <c r="I104" s="8"/>
      <c r="J104" s="8"/>
      <c r="K104"/>
      <c r="L104" s="8"/>
      <c r="M104" s="8"/>
      <c r="N104"/>
      <c r="O104" s="8"/>
      <c r="P104" s="8"/>
      <c r="Q104"/>
      <c r="R104" s="8"/>
      <c r="S104" s="8"/>
      <c r="T104"/>
      <c r="U104" s="8"/>
      <c r="V104" s="8"/>
      <c r="W104"/>
      <c r="X104" s="8"/>
      <c r="Y104" s="8"/>
      <c r="Z104"/>
      <c r="AA104" s="8"/>
      <c r="AB104" s="8"/>
      <c r="AC104"/>
      <c r="AD104" s="8"/>
      <c r="AE104" s="8"/>
      <c r="AF104"/>
      <c r="AG104" s="8"/>
      <c r="AH104" s="8"/>
      <c r="AI104"/>
      <c r="AJ104" s="8"/>
      <c r="AK104" s="8"/>
      <c r="AL104"/>
      <c r="AM104" s="8"/>
      <c r="AN104" s="8"/>
    </row>
    <row r="105" spans="2:40" s="314" customFormat="1" ht="12.75" customHeight="1" x14ac:dyDescent="0.15">
      <c r="B105" s="325" t="s">
        <v>70</v>
      </c>
      <c r="C105" s="326">
        <v>67902.44</v>
      </c>
      <c r="D105" s="327">
        <v>1.158445E-2</v>
      </c>
      <c r="E105"/>
      <c r="F105" s="326">
        <v>6000.42</v>
      </c>
      <c r="G105" s="327">
        <v>1.8063610000000001E-2</v>
      </c>
      <c r="H105"/>
      <c r="I105" s="326">
        <v>3931.29</v>
      </c>
      <c r="J105" s="327">
        <v>1.0031770000000001E-2</v>
      </c>
      <c r="K105"/>
      <c r="L105" s="326">
        <v>8938.59</v>
      </c>
      <c r="M105" s="327">
        <v>1.8139849999999999E-2</v>
      </c>
      <c r="N105"/>
      <c r="O105" s="326">
        <v>8373.5</v>
      </c>
      <c r="P105" s="327">
        <v>2.7090019999999999E-2</v>
      </c>
      <c r="Q105"/>
      <c r="R105" s="326">
        <v>5082.33</v>
      </c>
      <c r="S105" s="327">
        <v>1.060201E-2</v>
      </c>
      <c r="T105"/>
      <c r="U105" s="326">
        <v>5082.33</v>
      </c>
      <c r="V105" s="327">
        <v>8.7228700000000006E-3</v>
      </c>
      <c r="W105"/>
      <c r="X105" s="326">
        <v>5082.33</v>
      </c>
      <c r="Y105" s="327">
        <v>9.7287599999999995E-3</v>
      </c>
      <c r="Z105"/>
      <c r="AA105" s="326">
        <v>5082.33</v>
      </c>
      <c r="AB105" s="327">
        <v>1.141181E-2</v>
      </c>
      <c r="AC105"/>
      <c r="AD105" s="326">
        <v>5082.33</v>
      </c>
      <c r="AE105" s="327">
        <v>6.9584999999999994E-3</v>
      </c>
      <c r="AF105"/>
      <c r="AG105" s="326">
        <v>5082.33</v>
      </c>
      <c r="AH105" s="327">
        <v>8.6623499999999992E-3</v>
      </c>
      <c r="AI105"/>
      <c r="AJ105" s="326">
        <v>5082.33</v>
      </c>
      <c r="AK105" s="327">
        <v>8.8251600000000003E-3</v>
      </c>
      <c r="AL105"/>
      <c r="AM105" s="326">
        <v>5082.33</v>
      </c>
      <c r="AN105" s="327">
        <v>1.2310969999999999E-2</v>
      </c>
    </row>
    <row r="106" spans="2:40" s="314" customFormat="1" ht="12.75" customHeight="1" x14ac:dyDescent="0.15">
      <c r="B106" s="5" t="s">
        <v>71</v>
      </c>
      <c r="C106" s="8">
        <v>37076.080000000002</v>
      </c>
      <c r="D106" s="7">
        <v>6.3253399999999996E-3</v>
      </c>
      <c r="E106"/>
      <c r="F106" s="8">
        <v>4081.55</v>
      </c>
      <c r="G106" s="7">
        <v>1.2287060000000001E-2</v>
      </c>
      <c r="H106"/>
      <c r="I106" s="8">
        <v>2012.42</v>
      </c>
      <c r="J106" s="7">
        <v>5.1352400000000001E-3</v>
      </c>
      <c r="K106"/>
      <c r="L106" s="8">
        <v>7019.72</v>
      </c>
      <c r="M106" s="7">
        <v>1.424572E-2</v>
      </c>
      <c r="N106"/>
      <c r="O106" s="8">
        <v>6454.63</v>
      </c>
      <c r="P106" s="7">
        <v>2.0882080000000001E-2</v>
      </c>
      <c r="Q106"/>
      <c r="R106" s="8">
        <v>2188.4699999999998</v>
      </c>
      <c r="S106" s="7">
        <v>4.5652699999999997E-3</v>
      </c>
      <c r="T106"/>
      <c r="U106" s="8">
        <v>2188.4699999999998</v>
      </c>
      <c r="V106" s="7">
        <v>3.7561000000000001E-3</v>
      </c>
      <c r="W106"/>
      <c r="X106" s="8">
        <v>2188.4699999999998</v>
      </c>
      <c r="Y106" s="7">
        <v>4.1892400000000003E-3</v>
      </c>
      <c r="Z106"/>
      <c r="AA106" s="8">
        <v>2188.4699999999998</v>
      </c>
      <c r="AB106" s="7">
        <v>4.9139700000000001E-3</v>
      </c>
      <c r="AC106"/>
      <c r="AD106" s="8">
        <v>2188.4699999999998</v>
      </c>
      <c r="AE106" s="7">
        <v>2.99636E-3</v>
      </c>
      <c r="AF106"/>
      <c r="AG106" s="8">
        <v>2188.4699999999998</v>
      </c>
      <c r="AH106" s="7">
        <v>3.73004E-3</v>
      </c>
      <c r="AI106"/>
      <c r="AJ106" s="8">
        <v>2188.4699999999998</v>
      </c>
      <c r="AK106" s="7">
        <v>3.80015E-3</v>
      </c>
      <c r="AL106"/>
      <c r="AM106" s="8">
        <v>2188.4699999999998</v>
      </c>
      <c r="AN106" s="7">
        <v>5.3011500000000001E-3</v>
      </c>
    </row>
    <row r="107" spans="2:40" s="314" customFormat="1" ht="12.75" customHeight="1" x14ac:dyDescent="0.15">
      <c r="B107" s="5" t="s">
        <v>72</v>
      </c>
      <c r="C107" s="8">
        <v>0</v>
      </c>
      <c r="D107" s="7">
        <v>0</v>
      </c>
      <c r="E107"/>
      <c r="F107" s="8">
        <v>0</v>
      </c>
      <c r="G107" s="7">
        <v>0</v>
      </c>
      <c r="H107"/>
      <c r="I107" s="8">
        <v>0</v>
      </c>
      <c r="J107" s="7">
        <v>0</v>
      </c>
      <c r="K107"/>
      <c r="L107" s="8">
        <v>0</v>
      </c>
      <c r="M107" s="7">
        <v>0</v>
      </c>
      <c r="N107"/>
      <c r="O107" s="8">
        <v>0</v>
      </c>
      <c r="P107" s="7">
        <v>0</v>
      </c>
      <c r="Q107"/>
      <c r="R107" s="8">
        <v>0</v>
      </c>
      <c r="S107" s="7">
        <v>0</v>
      </c>
      <c r="T107"/>
      <c r="U107" s="8">
        <v>0</v>
      </c>
      <c r="V107" s="7">
        <v>0</v>
      </c>
      <c r="W107"/>
      <c r="X107" s="8">
        <v>0</v>
      </c>
      <c r="Y107" s="7">
        <v>0</v>
      </c>
      <c r="Z107"/>
      <c r="AA107" s="8">
        <v>0</v>
      </c>
      <c r="AB107" s="7">
        <v>0</v>
      </c>
      <c r="AC107"/>
      <c r="AD107" s="8">
        <v>0</v>
      </c>
      <c r="AE107" s="7">
        <v>0</v>
      </c>
      <c r="AF107"/>
      <c r="AG107" s="8">
        <v>0</v>
      </c>
      <c r="AH107" s="7">
        <v>0</v>
      </c>
      <c r="AI107"/>
      <c r="AJ107" s="8">
        <v>0</v>
      </c>
      <c r="AK107" s="7">
        <v>0</v>
      </c>
      <c r="AL107"/>
      <c r="AM107" s="8">
        <v>0</v>
      </c>
      <c r="AN107" s="7">
        <v>0</v>
      </c>
    </row>
    <row r="108" spans="2:40" s="314" customFormat="1" ht="12.75" customHeight="1" x14ac:dyDescent="0.15">
      <c r="B108" s="5" t="s">
        <v>73</v>
      </c>
      <c r="C108" s="8">
        <v>8000</v>
      </c>
      <c r="D108" s="7">
        <v>1.36483E-3</v>
      </c>
      <c r="E108"/>
      <c r="F108" s="8">
        <v>0</v>
      </c>
      <c r="G108" s="7">
        <v>0</v>
      </c>
      <c r="H108"/>
      <c r="I108" s="8">
        <v>0</v>
      </c>
      <c r="J108" s="7">
        <v>0</v>
      </c>
      <c r="K108"/>
      <c r="L108" s="8">
        <v>0</v>
      </c>
      <c r="M108" s="7">
        <v>0</v>
      </c>
      <c r="N108"/>
      <c r="O108" s="8">
        <v>0</v>
      </c>
      <c r="P108" s="7">
        <v>0</v>
      </c>
      <c r="Q108"/>
      <c r="R108" s="8">
        <v>1000</v>
      </c>
      <c r="S108" s="7">
        <v>2.0860499999999999E-3</v>
      </c>
      <c r="T108"/>
      <c r="U108" s="8">
        <v>1000</v>
      </c>
      <c r="V108" s="7">
        <v>1.71631E-3</v>
      </c>
      <c r="W108"/>
      <c r="X108" s="8">
        <v>1000</v>
      </c>
      <c r="Y108" s="7">
        <v>1.9142300000000001E-3</v>
      </c>
      <c r="Z108"/>
      <c r="AA108" s="8">
        <v>1000</v>
      </c>
      <c r="AB108" s="7">
        <v>2.2453899999999999E-3</v>
      </c>
      <c r="AC108"/>
      <c r="AD108" s="8">
        <v>1000</v>
      </c>
      <c r="AE108" s="7">
        <v>1.3691599999999999E-3</v>
      </c>
      <c r="AF108"/>
      <c r="AG108" s="8">
        <v>1000</v>
      </c>
      <c r="AH108" s="7">
        <v>1.7044E-3</v>
      </c>
      <c r="AI108"/>
      <c r="AJ108" s="8">
        <v>1000</v>
      </c>
      <c r="AK108" s="7">
        <v>1.7364399999999999E-3</v>
      </c>
      <c r="AL108"/>
      <c r="AM108" s="8">
        <v>1000</v>
      </c>
      <c r="AN108" s="7">
        <v>2.42231E-3</v>
      </c>
    </row>
    <row r="109" spans="2:40" s="314" customFormat="1" ht="12.75" customHeight="1" x14ac:dyDescent="0.15">
      <c r="B109" s="5" t="s">
        <v>74</v>
      </c>
      <c r="C109" s="8">
        <v>823.84</v>
      </c>
      <c r="D109" s="7">
        <v>1.4055E-4</v>
      </c>
      <c r="E109"/>
      <c r="F109" s="8">
        <v>0</v>
      </c>
      <c r="G109" s="7">
        <v>0</v>
      </c>
      <c r="H109"/>
      <c r="I109" s="8">
        <v>0</v>
      </c>
      <c r="J109" s="7">
        <v>0</v>
      </c>
      <c r="K109"/>
      <c r="L109" s="8">
        <v>0</v>
      </c>
      <c r="M109" s="7">
        <v>0</v>
      </c>
      <c r="N109"/>
      <c r="O109" s="8">
        <v>0</v>
      </c>
      <c r="P109" s="7">
        <v>0</v>
      </c>
      <c r="Q109"/>
      <c r="R109" s="8">
        <v>102.98</v>
      </c>
      <c r="S109" s="7">
        <v>2.1482000000000001E-4</v>
      </c>
      <c r="T109"/>
      <c r="U109" s="8">
        <v>102.98</v>
      </c>
      <c r="V109" s="7">
        <v>1.7674999999999999E-4</v>
      </c>
      <c r="W109"/>
      <c r="X109" s="8">
        <v>102.98</v>
      </c>
      <c r="Y109" s="7">
        <v>1.9713E-4</v>
      </c>
      <c r="Z109"/>
      <c r="AA109" s="8">
        <v>102.98</v>
      </c>
      <c r="AB109" s="7">
        <v>2.3122999999999999E-4</v>
      </c>
      <c r="AC109"/>
      <c r="AD109" s="8">
        <v>102.98</v>
      </c>
      <c r="AE109" s="7">
        <v>1.4100000000000001E-4</v>
      </c>
      <c r="AF109"/>
      <c r="AG109" s="8">
        <v>102.98</v>
      </c>
      <c r="AH109" s="7">
        <v>1.7552E-4</v>
      </c>
      <c r="AI109"/>
      <c r="AJ109" s="8">
        <v>102.98</v>
      </c>
      <c r="AK109" s="7">
        <v>1.7882E-4</v>
      </c>
      <c r="AL109"/>
      <c r="AM109" s="8">
        <v>102.98</v>
      </c>
      <c r="AN109" s="7">
        <v>2.4945000000000002E-4</v>
      </c>
    </row>
    <row r="110" spans="2:40" s="314" customFormat="1" ht="12.75" customHeight="1" x14ac:dyDescent="0.15">
      <c r="B110" s="5" t="s">
        <v>75</v>
      </c>
      <c r="C110" s="8">
        <v>22002.52</v>
      </c>
      <c r="D110" s="7">
        <v>3.7537199999999999E-3</v>
      </c>
      <c r="E110"/>
      <c r="F110" s="8">
        <v>1918.87</v>
      </c>
      <c r="G110" s="7">
        <v>5.7765500000000001E-3</v>
      </c>
      <c r="H110"/>
      <c r="I110" s="8">
        <v>1918.87</v>
      </c>
      <c r="J110" s="7">
        <v>4.8965199999999997E-3</v>
      </c>
      <c r="K110"/>
      <c r="L110" s="8">
        <v>1918.87</v>
      </c>
      <c r="M110" s="7">
        <v>3.89413E-3</v>
      </c>
      <c r="N110"/>
      <c r="O110" s="8">
        <v>1918.87</v>
      </c>
      <c r="P110" s="7">
        <v>6.2079500000000003E-3</v>
      </c>
      <c r="Q110"/>
      <c r="R110" s="8">
        <v>1790.88</v>
      </c>
      <c r="S110" s="7">
        <v>3.7358700000000001E-3</v>
      </c>
      <c r="T110"/>
      <c r="U110" s="8">
        <v>1790.88</v>
      </c>
      <c r="V110" s="7">
        <v>3.0737099999999999E-3</v>
      </c>
      <c r="W110"/>
      <c r="X110" s="8">
        <v>1790.88</v>
      </c>
      <c r="Y110" s="7">
        <v>3.42816E-3</v>
      </c>
      <c r="Z110"/>
      <c r="AA110" s="8">
        <v>1790.88</v>
      </c>
      <c r="AB110" s="7">
        <v>4.0212199999999998E-3</v>
      </c>
      <c r="AC110"/>
      <c r="AD110" s="8">
        <v>1790.88</v>
      </c>
      <c r="AE110" s="7">
        <v>2.4519899999999998E-3</v>
      </c>
      <c r="AF110"/>
      <c r="AG110" s="8">
        <v>1790.88</v>
      </c>
      <c r="AH110" s="7">
        <v>3.0523799999999999E-3</v>
      </c>
      <c r="AI110"/>
      <c r="AJ110" s="8">
        <v>1790.88</v>
      </c>
      <c r="AK110" s="7">
        <v>3.10976E-3</v>
      </c>
      <c r="AL110"/>
      <c r="AM110" s="8">
        <v>1790.88</v>
      </c>
      <c r="AN110" s="7">
        <v>4.3380600000000004E-3</v>
      </c>
    </row>
    <row r="111" spans="2:40" s="314" customFormat="1" ht="12.75" customHeight="1" x14ac:dyDescent="0.15">
      <c r="B111" s="5" t="s">
        <v>76</v>
      </c>
      <c r="C111" s="8">
        <v>0</v>
      </c>
      <c r="D111" s="7">
        <v>0</v>
      </c>
      <c r="E111"/>
      <c r="F111" s="8">
        <v>0</v>
      </c>
      <c r="G111" s="7">
        <v>0</v>
      </c>
      <c r="H111"/>
      <c r="I111" s="8">
        <v>0</v>
      </c>
      <c r="J111" s="7">
        <v>0</v>
      </c>
      <c r="K111"/>
      <c r="L111" s="8">
        <v>0</v>
      </c>
      <c r="M111" s="7">
        <v>0</v>
      </c>
      <c r="N111"/>
      <c r="O111" s="8">
        <v>0</v>
      </c>
      <c r="P111" s="7">
        <v>0</v>
      </c>
      <c r="Q111"/>
      <c r="R111" s="8">
        <v>0</v>
      </c>
      <c r="S111" s="7">
        <v>0</v>
      </c>
      <c r="T111"/>
      <c r="U111" s="8">
        <v>0</v>
      </c>
      <c r="V111" s="7">
        <v>0</v>
      </c>
      <c r="W111"/>
      <c r="X111" s="8">
        <v>0</v>
      </c>
      <c r="Y111" s="7">
        <v>0</v>
      </c>
      <c r="Z111"/>
      <c r="AA111" s="8">
        <v>0</v>
      </c>
      <c r="AB111" s="7">
        <v>0</v>
      </c>
      <c r="AC111"/>
      <c r="AD111" s="8">
        <v>0</v>
      </c>
      <c r="AE111" s="7">
        <v>0</v>
      </c>
      <c r="AF111"/>
      <c r="AG111" s="8">
        <v>0</v>
      </c>
      <c r="AH111" s="7">
        <v>0</v>
      </c>
      <c r="AI111"/>
      <c r="AJ111" s="8">
        <v>0</v>
      </c>
      <c r="AK111" s="7">
        <v>0</v>
      </c>
      <c r="AL111"/>
      <c r="AM111" s="8">
        <v>0</v>
      </c>
      <c r="AN111" s="7">
        <v>0</v>
      </c>
    </row>
    <row r="112" spans="2:40" s="314" customFormat="1" ht="12.75" customHeight="1" x14ac:dyDescent="0.15">
      <c r="B112" s="5" t="s">
        <v>77</v>
      </c>
      <c r="C112" s="8">
        <v>0</v>
      </c>
      <c r="D112" s="7">
        <v>0</v>
      </c>
      <c r="E112"/>
      <c r="F112" s="8">
        <v>0</v>
      </c>
      <c r="G112" s="7">
        <v>0</v>
      </c>
      <c r="H112"/>
      <c r="I112" s="8">
        <v>0</v>
      </c>
      <c r="J112" s="7">
        <v>0</v>
      </c>
      <c r="K112"/>
      <c r="L112" s="8">
        <v>0</v>
      </c>
      <c r="M112" s="7">
        <v>0</v>
      </c>
      <c r="N112"/>
      <c r="O112" s="8">
        <v>0</v>
      </c>
      <c r="P112" s="7">
        <v>0</v>
      </c>
      <c r="Q112"/>
      <c r="R112" s="8">
        <v>0</v>
      </c>
      <c r="S112" s="7">
        <v>0</v>
      </c>
      <c r="T112"/>
      <c r="U112" s="8">
        <v>0</v>
      </c>
      <c r="V112" s="7">
        <v>0</v>
      </c>
      <c r="W112"/>
      <c r="X112" s="8">
        <v>0</v>
      </c>
      <c r="Y112" s="7">
        <v>0</v>
      </c>
      <c r="Z112"/>
      <c r="AA112" s="8">
        <v>0</v>
      </c>
      <c r="AB112" s="7">
        <v>0</v>
      </c>
      <c r="AC112"/>
      <c r="AD112" s="8">
        <v>0</v>
      </c>
      <c r="AE112" s="7">
        <v>0</v>
      </c>
      <c r="AF112"/>
      <c r="AG112" s="8">
        <v>0</v>
      </c>
      <c r="AH112" s="7">
        <v>0</v>
      </c>
      <c r="AI112"/>
      <c r="AJ112" s="8">
        <v>0</v>
      </c>
      <c r="AK112" s="7">
        <v>0</v>
      </c>
      <c r="AL112"/>
      <c r="AM112" s="8">
        <v>0</v>
      </c>
      <c r="AN112" s="7">
        <v>0</v>
      </c>
    </row>
    <row r="113" spans="2:40" s="314" customFormat="1" ht="12.75" customHeight="1" x14ac:dyDescent="0.15">
      <c r="B113" s="5" t="s">
        <v>78</v>
      </c>
      <c r="C113" s="8">
        <v>0</v>
      </c>
      <c r="D113" s="7">
        <v>0</v>
      </c>
      <c r="E113"/>
      <c r="F113" s="8">
        <v>0</v>
      </c>
      <c r="G113" s="7">
        <v>0</v>
      </c>
      <c r="H113"/>
      <c r="I113" s="8">
        <v>0</v>
      </c>
      <c r="J113" s="7">
        <v>0</v>
      </c>
      <c r="K113"/>
      <c r="L113" s="8">
        <v>0</v>
      </c>
      <c r="M113" s="7">
        <v>0</v>
      </c>
      <c r="N113"/>
      <c r="O113" s="8">
        <v>0</v>
      </c>
      <c r="P113" s="7">
        <v>0</v>
      </c>
      <c r="Q113"/>
      <c r="R113" s="8">
        <v>0</v>
      </c>
      <c r="S113" s="7">
        <v>0</v>
      </c>
      <c r="T113"/>
      <c r="U113" s="8">
        <v>0</v>
      </c>
      <c r="V113" s="7">
        <v>0</v>
      </c>
      <c r="W113"/>
      <c r="X113" s="8">
        <v>0</v>
      </c>
      <c r="Y113" s="7">
        <v>0</v>
      </c>
      <c r="Z113"/>
      <c r="AA113" s="8">
        <v>0</v>
      </c>
      <c r="AB113" s="7">
        <v>0</v>
      </c>
      <c r="AC113"/>
      <c r="AD113" s="8">
        <v>0</v>
      </c>
      <c r="AE113" s="7">
        <v>0</v>
      </c>
      <c r="AF113"/>
      <c r="AG113" s="8">
        <v>0</v>
      </c>
      <c r="AH113" s="7">
        <v>0</v>
      </c>
      <c r="AI113"/>
      <c r="AJ113" s="8">
        <v>0</v>
      </c>
      <c r="AK113" s="7">
        <v>0</v>
      </c>
      <c r="AL113"/>
      <c r="AM113" s="8">
        <v>0</v>
      </c>
      <c r="AN113" s="7">
        <v>0</v>
      </c>
    </row>
    <row r="114" spans="2:40" s="314" customFormat="1" ht="12.75" customHeight="1" x14ac:dyDescent="0.15">
      <c r="B114" s="5" t="s">
        <v>79</v>
      </c>
      <c r="C114" s="8">
        <v>0</v>
      </c>
      <c r="D114" s="7">
        <v>0</v>
      </c>
      <c r="E114"/>
      <c r="F114" s="8">
        <v>0</v>
      </c>
      <c r="G114" s="7">
        <v>0</v>
      </c>
      <c r="H114"/>
      <c r="I114" s="8">
        <v>0</v>
      </c>
      <c r="J114" s="7">
        <v>0</v>
      </c>
      <c r="K114"/>
      <c r="L114" s="8">
        <v>0</v>
      </c>
      <c r="M114" s="7">
        <v>0</v>
      </c>
      <c r="N114"/>
      <c r="O114" s="8">
        <v>0</v>
      </c>
      <c r="P114" s="7">
        <v>0</v>
      </c>
      <c r="Q114"/>
      <c r="R114" s="8">
        <v>0</v>
      </c>
      <c r="S114" s="7">
        <v>0</v>
      </c>
      <c r="T114"/>
      <c r="U114" s="8">
        <v>0</v>
      </c>
      <c r="V114" s="7">
        <v>0</v>
      </c>
      <c r="W114"/>
      <c r="X114" s="8">
        <v>0</v>
      </c>
      <c r="Y114" s="7">
        <v>0</v>
      </c>
      <c r="Z114"/>
      <c r="AA114" s="8">
        <v>0</v>
      </c>
      <c r="AB114" s="7">
        <v>0</v>
      </c>
      <c r="AC114"/>
      <c r="AD114" s="8">
        <v>0</v>
      </c>
      <c r="AE114" s="7">
        <v>0</v>
      </c>
      <c r="AF114"/>
      <c r="AG114" s="8">
        <v>0</v>
      </c>
      <c r="AH114" s="7">
        <v>0</v>
      </c>
      <c r="AI114"/>
      <c r="AJ114" s="8">
        <v>0</v>
      </c>
      <c r="AK114" s="7">
        <v>0</v>
      </c>
      <c r="AL114"/>
      <c r="AM114" s="8">
        <v>0</v>
      </c>
      <c r="AN114" s="7">
        <v>0</v>
      </c>
    </row>
    <row r="115" spans="2:40" s="314" customFormat="1" ht="12.75" customHeight="1" x14ac:dyDescent="0.15">
      <c r="B115" s="5" t="s">
        <v>80</v>
      </c>
      <c r="C115" s="8">
        <v>0</v>
      </c>
      <c r="D115" s="7">
        <v>0</v>
      </c>
      <c r="E115"/>
      <c r="F115" s="8">
        <v>0</v>
      </c>
      <c r="G115" s="7">
        <v>0</v>
      </c>
      <c r="H115"/>
      <c r="I115" s="8">
        <v>0</v>
      </c>
      <c r="J115" s="7">
        <v>0</v>
      </c>
      <c r="K115"/>
      <c r="L115" s="8">
        <v>0</v>
      </c>
      <c r="M115" s="7">
        <v>0</v>
      </c>
      <c r="N115"/>
      <c r="O115" s="8">
        <v>0</v>
      </c>
      <c r="P115" s="7">
        <v>0</v>
      </c>
      <c r="Q115"/>
      <c r="R115" s="8">
        <v>0</v>
      </c>
      <c r="S115" s="7">
        <v>0</v>
      </c>
      <c r="T115"/>
      <c r="U115" s="8">
        <v>0</v>
      </c>
      <c r="V115" s="7">
        <v>0</v>
      </c>
      <c r="W115"/>
      <c r="X115" s="8">
        <v>0</v>
      </c>
      <c r="Y115" s="7">
        <v>0</v>
      </c>
      <c r="Z115"/>
      <c r="AA115" s="8">
        <v>0</v>
      </c>
      <c r="AB115" s="7">
        <v>0</v>
      </c>
      <c r="AC115"/>
      <c r="AD115" s="8">
        <v>0</v>
      </c>
      <c r="AE115" s="7">
        <v>0</v>
      </c>
      <c r="AF115"/>
      <c r="AG115" s="8">
        <v>0</v>
      </c>
      <c r="AH115" s="7">
        <v>0</v>
      </c>
      <c r="AI115"/>
      <c r="AJ115" s="8">
        <v>0</v>
      </c>
      <c r="AK115" s="7">
        <v>0</v>
      </c>
      <c r="AL115"/>
      <c r="AM115" s="8">
        <v>0</v>
      </c>
      <c r="AN115" s="7">
        <v>0</v>
      </c>
    </row>
    <row r="116" spans="2:40" s="314" customFormat="1" ht="12.75" customHeight="1" x14ac:dyDescent="0.15">
      <c r="B116" s="8"/>
      <c r="C116" s="8"/>
      <c r="D116" s="8"/>
      <c r="E116"/>
      <c r="F116" s="8"/>
      <c r="G116" s="8"/>
      <c r="H116"/>
      <c r="I116" s="8"/>
      <c r="J116" s="8"/>
      <c r="K116"/>
      <c r="L116" s="8"/>
      <c r="M116" s="8"/>
      <c r="N116"/>
      <c r="O116" s="8"/>
      <c r="P116" s="8"/>
      <c r="Q116"/>
      <c r="R116" s="8"/>
      <c r="S116" s="8"/>
      <c r="T116"/>
      <c r="U116" s="8"/>
      <c r="V116" s="8"/>
      <c r="W116"/>
      <c r="X116" s="8"/>
      <c r="Y116" s="8"/>
      <c r="Z116"/>
      <c r="AA116" s="8"/>
      <c r="AB116" s="8"/>
      <c r="AC116"/>
      <c r="AD116" s="8"/>
      <c r="AE116" s="8"/>
      <c r="AF116"/>
      <c r="AG116" s="8"/>
      <c r="AH116" s="8"/>
      <c r="AI116"/>
      <c r="AJ116" s="8"/>
      <c r="AK116" s="8"/>
      <c r="AL116"/>
      <c r="AM116" s="8"/>
      <c r="AN116" s="8"/>
    </row>
    <row r="117" spans="2:40" s="314" customFormat="1" ht="12.75" customHeight="1" x14ac:dyDescent="0.15">
      <c r="B117" s="325" t="s">
        <v>81</v>
      </c>
      <c r="C117" s="326">
        <v>0</v>
      </c>
      <c r="D117" s="327">
        <v>0</v>
      </c>
      <c r="E117"/>
      <c r="F117" s="326">
        <v>0</v>
      </c>
      <c r="G117" s="327">
        <v>0</v>
      </c>
      <c r="H117"/>
      <c r="I117" s="326">
        <v>0</v>
      </c>
      <c r="J117" s="327">
        <v>0</v>
      </c>
      <c r="K117"/>
      <c r="L117" s="326">
        <v>0</v>
      </c>
      <c r="M117" s="327">
        <v>0</v>
      </c>
      <c r="N117"/>
      <c r="O117" s="326">
        <v>0</v>
      </c>
      <c r="P117" s="327">
        <v>0</v>
      </c>
      <c r="Q117"/>
      <c r="R117" s="326">
        <v>0</v>
      </c>
      <c r="S117" s="327">
        <v>0</v>
      </c>
      <c r="T117"/>
      <c r="U117" s="326">
        <v>0</v>
      </c>
      <c r="V117" s="327">
        <v>0</v>
      </c>
      <c r="W117"/>
      <c r="X117" s="326">
        <v>0</v>
      </c>
      <c r="Y117" s="327">
        <v>0</v>
      </c>
      <c r="Z117"/>
      <c r="AA117" s="326">
        <v>0</v>
      </c>
      <c r="AB117" s="327">
        <v>0</v>
      </c>
      <c r="AC117"/>
      <c r="AD117" s="326">
        <v>0</v>
      </c>
      <c r="AE117" s="327">
        <v>0</v>
      </c>
      <c r="AF117"/>
      <c r="AG117" s="326">
        <v>0</v>
      </c>
      <c r="AH117" s="327">
        <v>0</v>
      </c>
      <c r="AI117"/>
      <c r="AJ117" s="326">
        <v>0</v>
      </c>
      <c r="AK117" s="327">
        <v>0</v>
      </c>
      <c r="AL117"/>
      <c r="AM117" s="326">
        <v>0</v>
      </c>
      <c r="AN117" s="327">
        <v>0</v>
      </c>
    </row>
    <row r="118" spans="2:40" s="314" customFormat="1" ht="12.75" customHeight="1" x14ac:dyDescent="0.15">
      <c r="B118" s="5" t="s">
        <v>82</v>
      </c>
      <c r="C118" s="8">
        <v>0</v>
      </c>
      <c r="D118" s="7">
        <v>0</v>
      </c>
      <c r="E118"/>
      <c r="F118" s="8">
        <v>0</v>
      </c>
      <c r="G118" s="7">
        <v>0</v>
      </c>
      <c r="H118"/>
      <c r="I118" s="8">
        <v>0</v>
      </c>
      <c r="J118" s="7">
        <v>0</v>
      </c>
      <c r="K118"/>
      <c r="L118" s="8">
        <v>0</v>
      </c>
      <c r="M118" s="7">
        <v>0</v>
      </c>
      <c r="N118"/>
      <c r="O118" s="8">
        <v>0</v>
      </c>
      <c r="P118" s="7">
        <v>0</v>
      </c>
      <c r="Q118"/>
      <c r="R118" s="8">
        <v>0</v>
      </c>
      <c r="S118" s="7">
        <v>0</v>
      </c>
      <c r="T118"/>
      <c r="U118" s="8">
        <v>0</v>
      </c>
      <c r="V118" s="7">
        <v>0</v>
      </c>
      <c r="W118"/>
      <c r="X118" s="8">
        <v>0</v>
      </c>
      <c r="Y118" s="7">
        <v>0</v>
      </c>
      <c r="Z118"/>
      <c r="AA118" s="8">
        <v>0</v>
      </c>
      <c r="AB118" s="7">
        <v>0</v>
      </c>
      <c r="AC118"/>
      <c r="AD118" s="8">
        <v>0</v>
      </c>
      <c r="AE118" s="7">
        <v>0</v>
      </c>
      <c r="AF118"/>
      <c r="AG118" s="8">
        <v>0</v>
      </c>
      <c r="AH118" s="7">
        <v>0</v>
      </c>
      <c r="AI118"/>
      <c r="AJ118" s="8">
        <v>0</v>
      </c>
      <c r="AK118" s="7">
        <v>0</v>
      </c>
      <c r="AL118"/>
      <c r="AM118" s="8">
        <v>0</v>
      </c>
      <c r="AN118" s="7">
        <v>0</v>
      </c>
    </row>
    <row r="119" spans="2:40" s="314" customFormat="1" ht="12.75" customHeight="1" x14ac:dyDescent="0.15">
      <c r="B119" s="5" t="s">
        <v>83</v>
      </c>
      <c r="C119" s="8">
        <v>0</v>
      </c>
      <c r="D119" s="7">
        <v>0</v>
      </c>
      <c r="E119"/>
      <c r="F119" s="8">
        <v>0</v>
      </c>
      <c r="G119" s="7">
        <v>0</v>
      </c>
      <c r="H119"/>
      <c r="I119" s="8">
        <v>0</v>
      </c>
      <c r="J119" s="7">
        <v>0</v>
      </c>
      <c r="K119"/>
      <c r="L119" s="8">
        <v>0</v>
      </c>
      <c r="M119" s="7">
        <v>0</v>
      </c>
      <c r="N119"/>
      <c r="O119" s="8">
        <v>0</v>
      </c>
      <c r="P119" s="7">
        <v>0</v>
      </c>
      <c r="Q119"/>
      <c r="R119" s="8">
        <v>0</v>
      </c>
      <c r="S119" s="7">
        <v>0</v>
      </c>
      <c r="T119"/>
      <c r="U119" s="8">
        <v>0</v>
      </c>
      <c r="V119" s="7">
        <v>0</v>
      </c>
      <c r="W119"/>
      <c r="X119" s="8">
        <v>0</v>
      </c>
      <c r="Y119" s="7">
        <v>0</v>
      </c>
      <c r="Z119"/>
      <c r="AA119" s="8">
        <v>0</v>
      </c>
      <c r="AB119" s="7">
        <v>0</v>
      </c>
      <c r="AC119"/>
      <c r="AD119" s="8">
        <v>0</v>
      </c>
      <c r="AE119" s="7">
        <v>0</v>
      </c>
      <c r="AF119"/>
      <c r="AG119" s="8">
        <v>0</v>
      </c>
      <c r="AH119" s="7">
        <v>0</v>
      </c>
      <c r="AI119"/>
      <c r="AJ119" s="8">
        <v>0</v>
      </c>
      <c r="AK119" s="7">
        <v>0</v>
      </c>
      <c r="AL119"/>
      <c r="AM119" s="8">
        <v>0</v>
      </c>
      <c r="AN119" s="7">
        <v>0</v>
      </c>
    </row>
    <row r="120" spans="2:40" s="314" customFormat="1" ht="12.75" customHeight="1" x14ac:dyDescent="0.15">
      <c r="B120" s="8"/>
      <c r="C120" s="8"/>
      <c r="D120" s="8"/>
      <c r="E120"/>
      <c r="F120" s="8"/>
      <c r="G120" s="8"/>
      <c r="H120"/>
      <c r="I120" s="8"/>
      <c r="J120" s="8"/>
      <c r="K120"/>
      <c r="L120" s="8"/>
      <c r="M120" s="8"/>
      <c r="N120"/>
      <c r="O120" s="8"/>
      <c r="P120" s="8"/>
      <c r="Q120"/>
      <c r="R120" s="8"/>
      <c r="S120" s="8"/>
      <c r="T120"/>
      <c r="U120" s="8"/>
      <c r="V120" s="8"/>
      <c r="W120"/>
      <c r="X120" s="8"/>
      <c r="Y120" s="8"/>
      <c r="Z120"/>
      <c r="AA120" s="8"/>
      <c r="AB120" s="8"/>
      <c r="AC120"/>
      <c r="AD120" s="8"/>
      <c r="AE120" s="8"/>
      <c r="AF120"/>
      <c r="AG120" s="8"/>
      <c r="AH120" s="8"/>
      <c r="AI120"/>
      <c r="AJ120" s="8"/>
      <c r="AK120" s="8"/>
      <c r="AL120"/>
      <c r="AM120" s="8"/>
      <c r="AN120" s="8"/>
    </row>
    <row r="121" spans="2:40" s="314" customFormat="1" ht="12.75" customHeight="1" x14ac:dyDescent="0.15">
      <c r="B121" s="325" t="s">
        <v>84</v>
      </c>
      <c r="C121" s="326">
        <v>2101112.7226999998</v>
      </c>
      <c r="D121" s="327">
        <v>0.35845891000000002</v>
      </c>
      <c r="E121"/>
      <c r="F121" s="326">
        <v>52076.84</v>
      </c>
      <c r="G121" s="327">
        <v>0.15677165000000001</v>
      </c>
      <c r="H121"/>
      <c r="I121" s="326">
        <v>98728.52</v>
      </c>
      <c r="J121" s="327">
        <v>0.25193292</v>
      </c>
      <c r="K121"/>
      <c r="L121" s="326">
        <v>189382.39999999999</v>
      </c>
      <c r="M121" s="327">
        <v>0.38432989999999989</v>
      </c>
      <c r="N121"/>
      <c r="O121" s="326">
        <v>42329.61</v>
      </c>
      <c r="P121" s="327">
        <v>0.13694513999999999</v>
      </c>
      <c r="Q121"/>
      <c r="R121" s="326">
        <v>165271.98800000001</v>
      </c>
      <c r="S121" s="327">
        <v>0.34476620000000002</v>
      </c>
      <c r="T121"/>
      <c r="U121" s="326">
        <v>243026.52220000001</v>
      </c>
      <c r="V121" s="327">
        <v>0.41710944</v>
      </c>
      <c r="W121"/>
      <c r="X121" s="326">
        <v>206265.66329999999</v>
      </c>
      <c r="Y121" s="327">
        <v>0.39484056000000001</v>
      </c>
      <c r="Z121"/>
      <c r="AA121" s="326">
        <v>153458.40779999999</v>
      </c>
      <c r="AB121" s="327">
        <v>0.34457381999999998</v>
      </c>
      <c r="AC121"/>
      <c r="AD121" s="326">
        <v>354830.35930000001</v>
      </c>
      <c r="AE121" s="327">
        <v>0.48581819999999998</v>
      </c>
      <c r="AF121"/>
      <c r="AG121" s="326">
        <v>244024.24979999999</v>
      </c>
      <c r="AH121" s="327">
        <v>0.41591600999999989</v>
      </c>
      <c r="AI121"/>
      <c r="AJ121" s="326">
        <v>226427.02609999999</v>
      </c>
      <c r="AK121" s="327">
        <v>0.39317698999999989</v>
      </c>
      <c r="AL121"/>
      <c r="AM121" s="326">
        <v>125291.13619999999</v>
      </c>
      <c r="AN121" s="327">
        <v>0.30349380999999997</v>
      </c>
    </row>
    <row r="122" spans="2:40" s="314" customFormat="1" ht="12.75" customHeight="1" x14ac:dyDescent="0.15">
      <c r="B122" s="5" t="s">
        <v>85</v>
      </c>
      <c r="C122" s="8">
        <v>176027.31</v>
      </c>
      <c r="D122" s="7">
        <v>3.0031019999999999E-2</v>
      </c>
      <c r="E122"/>
      <c r="F122" s="8">
        <v>10157.030000000001</v>
      </c>
      <c r="G122" s="7">
        <v>3.057663E-2</v>
      </c>
      <c r="H122"/>
      <c r="I122" s="8">
        <v>11752.46</v>
      </c>
      <c r="J122" s="7">
        <v>2.998963E-2</v>
      </c>
      <c r="K122"/>
      <c r="L122" s="8">
        <v>0</v>
      </c>
      <c r="M122" s="7">
        <v>0</v>
      </c>
      <c r="N122"/>
      <c r="O122" s="8">
        <v>24050.11</v>
      </c>
      <c r="P122" s="7">
        <v>7.7807139999999997E-2</v>
      </c>
      <c r="Q122"/>
      <c r="R122" s="8">
        <v>14381.2233</v>
      </c>
      <c r="S122" s="7">
        <v>0.03</v>
      </c>
      <c r="T122"/>
      <c r="U122" s="8">
        <v>17479.334999999999</v>
      </c>
      <c r="V122" s="7">
        <v>0.03</v>
      </c>
      <c r="W122"/>
      <c r="X122" s="8">
        <v>15672.0726</v>
      </c>
      <c r="Y122" s="7">
        <v>0.03</v>
      </c>
      <c r="Z122"/>
      <c r="AA122" s="8">
        <v>13360.714</v>
      </c>
      <c r="AB122" s="7">
        <v>0.03</v>
      </c>
      <c r="AC122"/>
      <c r="AD122" s="8">
        <v>21911.305</v>
      </c>
      <c r="AE122" s="7">
        <v>0.03</v>
      </c>
      <c r="AF122"/>
      <c r="AG122" s="8">
        <v>17601.456399999999</v>
      </c>
      <c r="AH122" s="7">
        <v>0.03</v>
      </c>
      <c r="AI122"/>
      <c r="AJ122" s="8">
        <v>17276.724900000001</v>
      </c>
      <c r="AK122" s="7">
        <v>0.03</v>
      </c>
      <c r="AL122"/>
      <c r="AM122" s="8">
        <v>12384.8788</v>
      </c>
      <c r="AN122" s="7">
        <v>0.03</v>
      </c>
    </row>
    <row r="123" spans="2:40" s="314" customFormat="1" ht="12.75" customHeight="1" x14ac:dyDescent="0.15">
      <c r="B123" s="8"/>
      <c r="C123" s="8"/>
      <c r="D123" s="8"/>
      <c r="E123"/>
      <c r="F123" s="8"/>
      <c r="G123" s="8"/>
      <c r="H123"/>
      <c r="I123" s="8"/>
      <c r="J123" s="8"/>
      <c r="K123"/>
      <c r="L123" s="8"/>
      <c r="M123" s="8"/>
      <c r="N123"/>
      <c r="O123" s="8"/>
      <c r="P123" s="8"/>
      <c r="Q123"/>
      <c r="R123" s="8"/>
      <c r="S123" s="8"/>
      <c r="T123"/>
      <c r="U123" s="8"/>
      <c r="V123" s="8"/>
      <c r="W123"/>
      <c r="X123" s="8"/>
      <c r="Y123" s="8"/>
      <c r="Z123"/>
      <c r="AA123" s="8"/>
      <c r="AB123" s="8"/>
      <c r="AC123"/>
      <c r="AD123" s="8"/>
      <c r="AE123" s="8"/>
      <c r="AF123"/>
      <c r="AG123" s="8"/>
      <c r="AH123" s="8"/>
      <c r="AI123"/>
      <c r="AJ123" s="8"/>
      <c r="AK123" s="8"/>
      <c r="AL123"/>
      <c r="AM123" s="8"/>
      <c r="AN123" s="8"/>
    </row>
    <row r="124" spans="2:40" s="314" customFormat="1" ht="12.75" customHeight="1" x14ac:dyDescent="0.15">
      <c r="B124" s="325" t="s">
        <v>86</v>
      </c>
      <c r="C124" s="326">
        <v>1925085.4125999999</v>
      </c>
      <c r="D124" s="327">
        <v>0.32842789000000011</v>
      </c>
      <c r="E124"/>
      <c r="F124" s="326">
        <v>41919.81</v>
      </c>
      <c r="G124" s="327">
        <v>0.12619501999999999</v>
      </c>
      <c r="H124"/>
      <c r="I124" s="326">
        <v>86976.06</v>
      </c>
      <c r="J124" s="327">
        <v>0.22194328999999999</v>
      </c>
      <c r="K124"/>
      <c r="L124" s="326">
        <v>189382.39999999999</v>
      </c>
      <c r="M124" s="327">
        <v>0.38432989999999989</v>
      </c>
      <c r="N124"/>
      <c r="O124" s="326">
        <v>18279.5</v>
      </c>
      <c r="P124" s="327">
        <v>5.9138009999999998E-2</v>
      </c>
      <c r="Q124"/>
      <c r="R124" s="326">
        <v>150890.7647</v>
      </c>
      <c r="S124" s="327">
        <v>0.3147662</v>
      </c>
      <c r="T124"/>
      <c r="U124" s="326">
        <v>225547.18719999999</v>
      </c>
      <c r="V124" s="327">
        <v>0.38710944000000003</v>
      </c>
      <c r="W124"/>
      <c r="X124" s="326">
        <v>190593.5907</v>
      </c>
      <c r="Y124" s="327">
        <v>0.36484055999999998</v>
      </c>
      <c r="Z124"/>
      <c r="AA124" s="326">
        <v>140097.69380000001</v>
      </c>
      <c r="AB124" s="327">
        <v>0.31457382</v>
      </c>
      <c r="AC124"/>
      <c r="AD124" s="326">
        <v>332919.05430000002</v>
      </c>
      <c r="AE124" s="327">
        <v>0.45581820000000001</v>
      </c>
      <c r="AF124"/>
      <c r="AG124" s="326">
        <v>226422.79329999999</v>
      </c>
      <c r="AH124" s="327">
        <v>0.38591600999999998</v>
      </c>
      <c r="AI124"/>
      <c r="AJ124" s="326">
        <v>209150.30119999999</v>
      </c>
      <c r="AK124" s="327">
        <v>0.36317698999999998</v>
      </c>
      <c r="AL124"/>
      <c r="AM124" s="326">
        <v>112906.2574</v>
      </c>
      <c r="AN124" s="327">
        <v>0.27349381</v>
      </c>
    </row>
    <row r="125" spans="2:40" s="314" customFormat="1" ht="12.75" customHeight="1" x14ac:dyDescent="0.15">
      <c r="B125" s="5" t="s">
        <v>87</v>
      </c>
      <c r="C125" s="8">
        <v>0</v>
      </c>
      <c r="D125" s="7">
        <v>0</v>
      </c>
      <c r="E125"/>
      <c r="F125" s="8">
        <v>0</v>
      </c>
      <c r="G125" s="7">
        <v>0</v>
      </c>
      <c r="H125"/>
      <c r="I125" s="8">
        <v>0</v>
      </c>
      <c r="J125" s="7">
        <v>0</v>
      </c>
      <c r="K125"/>
      <c r="L125" s="8">
        <v>0</v>
      </c>
      <c r="M125" s="7">
        <v>0</v>
      </c>
      <c r="N125"/>
      <c r="O125" s="8">
        <v>0</v>
      </c>
      <c r="P125" s="7">
        <v>0</v>
      </c>
      <c r="Q125"/>
      <c r="R125" s="8">
        <v>0</v>
      </c>
      <c r="S125" s="7">
        <v>0</v>
      </c>
      <c r="T125"/>
      <c r="U125" s="8">
        <v>0</v>
      </c>
      <c r="V125" s="7">
        <v>0</v>
      </c>
      <c r="W125"/>
      <c r="X125" s="8">
        <v>0</v>
      </c>
      <c r="Y125" s="7">
        <v>0</v>
      </c>
      <c r="Z125"/>
      <c r="AA125" s="8">
        <v>0</v>
      </c>
      <c r="AB125" s="7">
        <v>0</v>
      </c>
      <c r="AC125"/>
      <c r="AD125" s="8">
        <v>0</v>
      </c>
      <c r="AE125" s="7">
        <v>0</v>
      </c>
      <c r="AF125"/>
      <c r="AG125" s="8">
        <v>0</v>
      </c>
      <c r="AH125" s="7">
        <v>0</v>
      </c>
      <c r="AI125"/>
      <c r="AJ125" s="8">
        <v>0</v>
      </c>
      <c r="AK125" s="7">
        <v>0</v>
      </c>
      <c r="AL125"/>
      <c r="AM125" s="8">
        <v>0</v>
      </c>
      <c r="AN125" s="7">
        <v>0</v>
      </c>
    </row>
    <row r="126" spans="2:40" s="314" customFormat="1" ht="12.75" customHeight="1" x14ac:dyDescent="0.15">
      <c r="B126" s="8"/>
      <c r="C126" s="8"/>
      <c r="D126" s="8"/>
      <c r="E126"/>
      <c r="F126" s="8"/>
      <c r="G126" s="8"/>
      <c r="H126"/>
      <c r="I126" s="8"/>
      <c r="J126" s="8"/>
      <c r="K126"/>
      <c r="L126" s="8"/>
      <c r="M126" s="8"/>
      <c r="N126"/>
      <c r="O126" s="8"/>
      <c r="P126" s="8"/>
      <c r="Q126"/>
      <c r="R126" s="8"/>
      <c r="S126" s="8"/>
      <c r="T126"/>
      <c r="U126" s="8"/>
      <c r="V126" s="8"/>
      <c r="W126"/>
      <c r="X126" s="8"/>
      <c r="Y126" s="8"/>
      <c r="Z126"/>
      <c r="AA126" s="8"/>
      <c r="AB126" s="8"/>
      <c r="AC126"/>
      <c r="AD126" s="8"/>
      <c r="AE126" s="8"/>
      <c r="AF126"/>
      <c r="AG126" s="8"/>
      <c r="AH126" s="8"/>
      <c r="AI126"/>
      <c r="AJ126" s="8"/>
      <c r="AK126" s="8"/>
      <c r="AL126"/>
      <c r="AM126" s="8"/>
      <c r="AN126" s="8"/>
    </row>
    <row r="127" spans="2:40" s="314" customFormat="1" ht="12.75" customHeight="1" x14ac:dyDescent="0.15">
      <c r="B127" s="325" t="s">
        <v>88</v>
      </c>
      <c r="C127" s="326">
        <v>1925085.4125999999</v>
      </c>
      <c r="D127" s="327">
        <v>0.32842789000000011</v>
      </c>
      <c r="E127"/>
      <c r="F127" s="326">
        <v>41919.81</v>
      </c>
      <c r="G127" s="327">
        <v>0.12619501999999999</v>
      </c>
      <c r="H127"/>
      <c r="I127" s="326">
        <v>86976.06</v>
      </c>
      <c r="J127" s="327">
        <v>0.22194328999999999</v>
      </c>
      <c r="K127"/>
      <c r="L127" s="326">
        <v>189382.39999999999</v>
      </c>
      <c r="M127" s="327">
        <v>0.38432989999999989</v>
      </c>
      <c r="N127"/>
      <c r="O127" s="326">
        <v>18279.5</v>
      </c>
      <c r="P127" s="327">
        <v>5.9138009999999998E-2</v>
      </c>
      <c r="Q127"/>
      <c r="R127" s="326">
        <v>150890.7647</v>
      </c>
      <c r="S127" s="327">
        <v>0.3147662</v>
      </c>
      <c r="T127"/>
      <c r="U127" s="326">
        <v>225547.18719999999</v>
      </c>
      <c r="V127" s="327">
        <v>0.38710944000000003</v>
      </c>
      <c r="W127"/>
      <c r="X127" s="326">
        <v>190593.5907</v>
      </c>
      <c r="Y127" s="327">
        <v>0.36484055999999998</v>
      </c>
      <c r="Z127"/>
      <c r="AA127" s="326">
        <v>140097.69380000001</v>
      </c>
      <c r="AB127" s="327">
        <v>0.31457382</v>
      </c>
      <c r="AC127"/>
      <c r="AD127" s="326">
        <v>332919.05430000002</v>
      </c>
      <c r="AE127" s="327">
        <v>0.45581820000000001</v>
      </c>
      <c r="AF127"/>
      <c r="AG127" s="326">
        <v>226422.79329999999</v>
      </c>
      <c r="AH127" s="327">
        <v>0.38591600999999998</v>
      </c>
      <c r="AI127"/>
      <c r="AJ127" s="326">
        <v>209150.30119999999</v>
      </c>
      <c r="AK127" s="327">
        <v>0.36317698999999998</v>
      </c>
      <c r="AL127"/>
      <c r="AM127" s="326">
        <v>112906.2574</v>
      </c>
      <c r="AN127" s="327">
        <v>0.27349381</v>
      </c>
    </row>
    <row r="128" spans="2:40" s="314" customFormat="1" ht="12.75" customHeight="1" x14ac:dyDescent="0.15">
      <c r="B128" s="8"/>
      <c r="C128" s="8"/>
      <c r="D128" s="8"/>
      <c r="E128"/>
      <c r="F128" s="8"/>
      <c r="G128" s="8"/>
      <c r="H128"/>
      <c r="I128" s="8"/>
      <c r="J128" s="8"/>
      <c r="K128"/>
      <c r="L128" s="8"/>
      <c r="M128" s="8"/>
      <c r="N128"/>
      <c r="O128" s="8"/>
      <c r="P128" s="8"/>
      <c r="Q128"/>
      <c r="R128" s="8"/>
      <c r="S128" s="8"/>
      <c r="T128"/>
      <c r="U128" s="8"/>
      <c r="V128" s="8"/>
      <c r="W128"/>
      <c r="X128" s="8"/>
      <c r="Y128" s="8"/>
      <c r="Z128"/>
      <c r="AA128" s="8"/>
      <c r="AB128" s="8"/>
      <c r="AC128"/>
      <c r="AD128" s="8"/>
      <c r="AE128" s="8"/>
      <c r="AF128"/>
      <c r="AG128" s="8"/>
      <c r="AH128" s="8"/>
      <c r="AI128"/>
      <c r="AJ128" s="8"/>
      <c r="AK128" s="8"/>
      <c r="AL128"/>
      <c r="AM128" s="8"/>
      <c r="AN128" s="8"/>
    </row>
    <row r="129" spans="2:40" s="314" customFormat="1" ht="12.75" customHeight="1" x14ac:dyDescent="0.15">
      <c r="B129" s="325" t="s">
        <v>89</v>
      </c>
      <c r="C129" s="326">
        <v>176155.38</v>
      </c>
      <c r="D129" s="327">
        <v>3.0052869999999999E-2</v>
      </c>
      <c r="E129"/>
      <c r="F129" s="326">
        <v>10091.06</v>
      </c>
      <c r="G129" s="327">
        <v>3.0378039999999999E-2</v>
      </c>
      <c r="H129"/>
      <c r="I129" s="326">
        <v>11946.5</v>
      </c>
      <c r="J129" s="327">
        <v>3.0484770000000001E-2</v>
      </c>
      <c r="K129"/>
      <c r="L129" s="326">
        <v>14779.68</v>
      </c>
      <c r="M129" s="327">
        <v>2.999367E-2</v>
      </c>
      <c r="N129"/>
      <c r="O129" s="326">
        <v>9270.43</v>
      </c>
      <c r="P129" s="327">
        <v>2.9991779999999999E-2</v>
      </c>
      <c r="Q129"/>
      <c r="R129" s="326">
        <v>14381.2233</v>
      </c>
      <c r="S129" s="327">
        <v>0.03</v>
      </c>
      <c r="T129"/>
      <c r="U129" s="326">
        <v>17479.334999999999</v>
      </c>
      <c r="V129" s="327">
        <v>0.03</v>
      </c>
      <c r="W129"/>
      <c r="X129" s="326">
        <v>15672.0726</v>
      </c>
      <c r="Y129" s="327">
        <v>0.03</v>
      </c>
      <c r="Z129"/>
      <c r="AA129" s="326">
        <v>13360.714</v>
      </c>
      <c r="AB129" s="327">
        <v>0.03</v>
      </c>
      <c r="AC129"/>
      <c r="AD129" s="326">
        <v>21911.305</v>
      </c>
      <c r="AE129" s="327">
        <v>0.03</v>
      </c>
      <c r="AF129"/>
      <c r="AG129" s="326">
        <v>17601.456399999999</v>
      </c>
      <c r="AH129" s="327">
        <v>0.03</v>
      </c>
      <c r="AI129"/>
      <c r="AJ129" s="326">
        <v>17276.724900000001</v>
      </c>
      <c r="AK129" s="327">
        <v>0.03</v>
      </c>
      <c r="AL129"/>
      <c r="AM129" s="326">
        <v>12384.8788</v>
      </c>
      <c r="AN129" s="327">
        <v>0.03</v>
      </c>
    </row>
    <row r="130" spans="2:40" s="314" customFormat="1" ht="12.75" customHeight="1" x14ac:dyDescent="0.15">
      <c r="B130" s="5" t="s">
        <v>90</v>
      </c>
      <c r="C130" s="8">
        <v>176155.38</v>
      </c>
      <c r="D130" s="7">
        <v>3.0052869999999999E-2</v>
      </c>
      <c r="E130"/>
      <c r="F130" s="8">
        <v>10091.06</v>
      </c>
      <c r="G130" s="7">
        <v>3.0378039999999999E-2</v>
      </c>
      <c r="H130"/>
      <c r="I130" s="8">
        <v>11946.5</v>
      </c>
      <c r="J130" s="7">
        <v>3.0484770000000001E-2</v>
      </c>
      <c r="K130"/>
      <c r="L130" s="8">
        <v>14779.68</v>
      </c>
      <c r="M130" s="7">
        <v>2.999367E-2</v>
      </c>
      <c r="N130"/>
      <c r="O130" s="8">
        <v>9270.43</v>
      </c>
      <c r="P130" s="7">
        <v>2.9991779999999999E-2</v>
      </c>
      <c r="Q130"/>
      <c r="R130" s="8">
        <v>14381.2233</v>
      </c>
      <c r="S130" s="7">
        <v>0.03</v>
      </c>
      <c r="T130"/>
      <c r="U130" s="8">
        <v>17479.334999999999</v>
      </c>
      <c r="V130" s="7">
        <v>0.03</v>
      </c>
      <c r="W130"/>
      <c r="X130" s="8">
        <v>15672.0726</v>
      </c>
      <c r="Y130" s="7">
        <v>0.03</v>
      </c>
      <c r="Z130"/>
      <c r="AA130" s="8">
        <v>13360.714</v>
      </c>
      <c r="AB130" s="7">
        <v>0.03</v>
      </c>
      <c r="AC130"/>
      <c r="AD130" s="8">
        <v>21911.305</v>
      </c>
      <c r="AE130" s="7">
        <v>0.03</v>
      </c>
      <c r="AF130"/>
      <c r="AG130" s="8">
        <v>17601.456399999999</v>
      </c>
      <c r="AH130" s="7">
        <v>0.03</v>
      </c>
      <c r="AI130"/>
      <c r="AJ130" s="8">
        <v>17276.724900000001</v>
      </c>
      <c r="AK130" s="7">
        <v>0.03</v>
      </c>
      <c r="AL130"/>
      <c r="AM130" s="8">
        <v>12384.8788</v>
      </c>
      <c r="AN130" s="7">
        <v>0.03</v>
      </c>
    </row>
    <row r="131" spans="2:40" s="314" customFormat="1" ht="12.75" customHeight="1" x14ac:dyDescent="0.15">
      <c r="B131" s="5" t="s">
        <v>91</v>
      </c>
      <c r="C131" s="8">
        <v>0</v>
      </c>
      <c r="D131" s="7">
        <v>0</v>
      </c>
      <c r="E131"/>
      <c r="F131" s="8">
        <v>0</v>
      </c>
      <c r="G131" s="7">
        <v>0</v>
      </c>
      <c r="H131"/>
      <c r="I131" s="8">
        <v>0</v>
      </c>
      <c r="J131" s="7">
        <v>0</v>
      </c>
      <c r="K131"/>
      <c r="L131" s="8">
        <v>0</v>
      </c>
      <c r="M131" s="7">
        <v>0</v>
      </c>
      <c r="N131"/>
      <c r="O131" s="8">
        <v>0</v>
      </c>
      <c r="P131" s="7">
        <v>0</v>
      </c>
      <c r="Q131"/>
      <c r="R131" s="8">
        <v>0</v>
      </c>
      <c r="S131" s="7">
        <v>0</v>
      </c>
      <c r="T131"/>
      <c r="U131" s="8">
        <v>0</v>
      </c>
      <c r="V131" s="7">
        <v>0</v>
      </c>
      <c r="W131"/>
      <c r="X131" s="8">
        <v>0</v>
      </c>
      <c r="Y131" s="7">
        <v>0</v>
      </c>
      <c r="Z131"/>
      <c r="AA131" s="8">
        <v>0</v>
      </c>
      <c r="AB131" s="7">
        <v>0</v>
      </c>
      <c r="AC131"/>
      <c r="AD131" s="8">
        <v>0</v>
      </c>
      <c r="AE131" s="7">
        <v>0</v>
      </c>
      <c r="AF131"/>
      <c r="AG131" s="8">
        <v>0</v>
      </c>
      <c r="AH131" s="7">
        <v>0</v>
      </c>
      <c r="AI131"/>
      <c r="AJ131" s="8">
        <v>0</v>
      </c>
      <c r="AK131" s="7">
        <v>0</v>
      </c>
      <c r="AL131"/>
      <c r="AM131" s="8">
        <v>0</v>
      </c>
      <c r="AN131" s="7">
        <v>0</v>
      </c>
    </row>
    <row r="132" spans="2:40" s="314" customFormat="1" ht="12.75" customHeight="1" x14ac:dyDescent="0.15">
      <c r="B132" s="5" t="s">
        <v>92</v>
      </c>
      <c r="C132" s="8">
        <v>0</v>
      </c>
      <c r="D132" s="7">
        <v>0</v>
      </c>
      <c r="E132"/>
      <c r="F132" s="8">
        <v>0</v>
      </c>
      <c r="G132" s="7">
        <v>0</v>
      </c>
      <c r="H132"/>
      <c r="I132" s="8">
        <v>0</v>
      </c>
      <c r="J132" s="7">
        <v>0</v>
      </c>
      <c r="K132"/>
      <c r="L132" s="8">
        <v>0</v>
      </c>
      <c r="M132" s="7">
        <v>0</v>
      </c>
      <c r="N132"/>
      <c r="O132" s="8">
        <v>0</v>
      </c>
      <c r="P132" s="7">
        <v>0</v>
      </c>
      <c r="Q132"/>
      <c r="R132" s="8">
        <v>0</v>
      </c>
      <c r="S132" s="7">
        <v>0</v>
      </c>
      <c r="T132"/>
      <c r="U132" s="8">
        <v>0</v>
      </c>
      <c r="V132" s="7">
        <v>0</v>
      </c>
      <c r="W132"/>
      <c r="X132" s="8">
        <v>0</v>
      </c>
      <c r="Y132" s="7">
        <v>0</v>
      </c>
      <c r="Z132"/>
      <c r="AA132" s="8">
        <v>0</v>
      </c>
      <c r="AB132" s="7">
        <v>0</v>
      </c>
      <c r="AC132"/>
      <c r="AD132" s="8">
        <v>0</v>
      </c>
      <c r="AE132" s="7">
        <v>0</v>
      </c>
      <c r="AF132"/>
      <c r="AG132" s="8">
        <v>0</v>
      </c>
      <c r="AH132" s="7">
        <v>0</v>
      </c>
      <c r="AI132"/>
      <c r="AJ132" s="8">
        <v>0</v>
      </c>
      <c r="AK132" s="7">
        <v>0</v>
      </c>
      <c r="AL132"/>
      <c r="AM132" s="8">
        <v>0</v>
      </c>
      <c r="AN132" s="7">
        <v>0</v>
      </c>
    </row>
    <row r="133" spans="2:40" s="314" customFormat="1" ht="12.75" customHeight="1" x14ac:dyDescent="0.15">
      <c r="B133" s="8"/>
      <c r="C133" s="8"/>
      <c r="D133" s="8"/>
      <c r="E133"/>
      <c r="F133" s="8"/>
      <c r="G133" s="8"/>
      <c r="H133"/>
      <c r="I133" s="8"/>
      <c r="J133" s="8"/>
      <c r="K133"/>
      <c r="L133" s="8"/>
      <c r="M133" s="8"/>
      <c r="N133"/>
      <c r="O133" s="8"/>
      <c r="P133" s="8"/>
      <c r="Q133"/>
      <c r="R133" s="8"/>
      <c r="S133" s="8"/>
      <c r="T133"/>
      <c r="U133" s="8"/>
      <c r="V133" s="8"/>
      <c r="W133"/>
      <c r="X133" s="8"/>
      <c r="Y133" s="8"/>
      <c r="Z133"/>
      <c r="AA133" s="8"/>
      <c r="AB133" s="8"/>
      <c r="AC133"/>
      <c r="AD133" s="8"/>
      <c r="AE133" s="8"/>
      <c r="AF133"/>
      <c r="AG133" s="8"/>
      <c r="AH133" s="8"/>
      <c r="AI133"/>
      <c r="AJ133" s="8"/>
      <c r="AK133" s="8"/>
      <c r="AL133"/>
      <c r="AM133" s="8"/>
      <c r="AN133" s="8"/>
    </row>
    <row r="134" spans="2:40" s="314" customFormat="1" ht="12.75" customHeight="1" x14ac:dyDescent="0.15">
      <c r="B134" s="325" t="s">
        <v>93</v>
      </c>
      <c r="C134" s="326">
        <v>1748930.0325</v>
      </c>
      <c r="D134" s="327">
        <v>0.29837501999999999</v>
      </c>
      <c r="E134"/>
      <c r="F134" s="326">
        <v>31828.75</v>
      </c>
      <c r="G134" s="327">
        <v>9.5816979999999996E-2</v>
      </c>
      <c r="H134"/>
      <c r="I134" s="326">
        <v>75029.56</v>
      </c>
      <c r="J134" s="327">
        <v>0.19145851999999999</v>
      </c>
      <c r="K134"/>
      <c r="L134" s="326">
        <v>174602.72</v>
      </c>
      <c r="M134" s="327">
        <v>0.35433624000000002</v>
      </c>
      <c r="N134"/>
      <c r="O134" s="326">
        <v>9009.07</v>
      </c>
      <c r="P134" s="327">
        <v>2.9146229999999999E-2</v>
      </c>
      <c r="Q134"/>
      <c r="R134" s="326">
        <v>136509.54139999999</v>
      </c>
      <c r="S134" s="327">
        <v>0.28476620000000002</v>
      </c>
      <c r="T134"/>
      <c r="U134" s="326">
        <v>208067.85209999999</v>
      </c>
      <c r="V134" s="327">
        <v>0.35710944</v>
      </c>
      <c r="W134"/>
      <c r="X134" s="326">
        <v>174921.51809999999</v>
      </c>
      <c r="Y134" s="327">
        <v>0.33484056000000001</v>
      </c>
      <c r="Z134"/>
      <c r="AA134" s="326">
        <v>126736.97990000001</v>
      </c>
      <c r="AB134" s="327">
        <v>0.28457381999999998</v>
      </c>
      <c r="AC134"/>
      <c r="AD134" s="326">
        <v>311007.74930000002</v>
      </c>
      <c r="AE134" s="327">
        <v>0.42581819999999998</v>
      </c>
      <c r="AF134"/>
      <c r="AG134" s="326">
        <v>208821.33689999999</v>
      </c>
      <c r="AH134" s="327">
        <v>0.35591600999999989</v>
      </c>
      <c r="AI134"/>
      <c r="AJ134" s="326">
        <v>191873.57620000001</v>
      </c>
      <c r="AK134" s="327">
        <v>0.33317699000000001</v>
      </c>
      <c r="AL134"/>
      <c r="AM134" s="326">
        <v>100521.3786</v>
      </c>
      <c r="AN134" s="327">
        <v>0.24349381</v>
      </c>
    </row>
    <row r="135" spans="2:40" s="314" customFormat="1" ht="12.75" customHeight="1" x14ac:dyDescent="0.15">
      <c r="B135" s="8"/>
      <c r="C135" s="8"/>
      <c r="D135" s="8"/>
      <c r="E135"/>
      <c r="F135" s="8"/>
      <c r="G135" s="8"/>
      <c r="H135"/>
      <c r="I135" s="8"/>
      <c r="J135" s="8"/>
      <c r="K135"/>
      <c r="L135" s="8"/>
      <c r="M135" s="8"/>
      <c r="N135"/>
      <c r="O135" s="8"/>
      <c r="P135" s="8"/>
      <c r="Q135"/>
      <c r="R135" s="8"/>
      <c r="S135" s="8"/>
      <c r="T135"/>
      <c r="U135" s="8"/>
      <c r="V135" s="8"/>
      <c r="W135"/>
      <c r="X135" s="8"/>
      <c r="Y135" s="8"/>
      <c r="Z135"/>
      <c r="AA135" s="8"/>
      <c r="AB135" s="8"/>
      <c r="AC135"/>
      <c r="AD135" s="8"/>
      <c r="AE135" s="8"/>
      <c r="AF135"/>
      <c r="AG135" s="8"/>
      <c r="AH135" s="8"/>
      <c r="AI135"/>
      <c r="AJ135" s="8"/>
      <c r="AK135" s="8"/>
      <c r="AL135"/>
      <c r="AM135" s="8"/>
      <c r="AN135" s="8"/>
    </row>
    <row r="136" spans="2:40" s="314" customFormat="1" ht="12.75" customHeight="1" x14ac:dyDescent="0.15">
      <c r="B136" s="325" t="s">
        <v>94</v>
      </c>
      <c r="C136" s="326">
        <v>1311250.02</v>
      </c>
      <c r="D136" s="327">
        <v>0.22370492</v>
      </c>
      <c r="E136"/>
      <c r="F136" s="326">
        <v>109089.02</v>
      </c>
      <c r="G136" s="327">
        <v>0.32840059999999999</v>
      </c>
      <c r="H136"/>
      <c r="I136" s="326">
        <v>109089.02</v>
      </c>
      <c r="J136" s="327">
        <v>0.27837057999999998</v>
      </c>
      <c r="K136"/>
      <c r="L136" s="326">
        <v>0</v>
      </c>
      <c r="M136" s="327">
        <v>0</v>
      </c>
      <c r="N136"/>
      <c r="O136" s="326">
        <v>220359.82</v>
      </c>
      <c r="P136" s="327">
        <v>0.71291009999999999</v>
      </c>
      <c r="Q136"/>
      <c r="R136" s="326">
        <v>109089.02</v>
      </c>
      <c r="S136" s="327">
        <v>0.22756551999999999</v>
      </c>
      <c r="T136"/>
      <c r="U136" s="326">
        <v>109089.02</v>
      </c>
      <c r="V136" s="327">
        <v>0.18723084000000001</v>
      </c>
      <c r="W136"/>
      <c r="X136" s="326">
        <v>109089.02</v>
      </c>
      <c r="Y136" s="327">
        <v>0.20882181</v>
      </c>
      <c r="Z136"/>
      <c r="AA136" s="326">
        <v>109089.02</v>
      </c>
      <c r="AB136" s="327">
        <v>0.24494727999999999</v>
      </c>
      <c r="AC136"/>
      <c r="AD136" s="326">
        <v>109089.02</v>
      </c>
      <c r="AE136" s="327">
        <v>0.14935991000000001</v>
      </c>
      <c r="AF136"/>
      <c r="AG136" s="326">
        <v>109089.02</v>
      </c>
      <c r="AH136" s="327">
        <v>0.18593181</v>
      </c>
      <c r="AI136"/>
      <c r="AJ136" s="326">
        <v>109089.02</v>
      </c>
      <c r="AK136" s="327">
        <v>0.18942655999999999</v>
      </c>
      <c r="AL136"/>
      <c r="AM136" s="326">
        <v>109089.02</v>
      </c>
      <c r="AN136" s="327">
        <v>0.26424729000000002</v>
      </c>
    </row>
    <row r="137" spans="2:40" s="314" customFormat="1" ht="12.75" customHeight="1" x14ac:dyDescent="0.15">
      <c r="B137" s="5" t="s">
        <v>95</v>
      </c>
      <c r="C137" s="8">
        <v>1311250.02</v>
      </c>
      <c r="D137" s="7">
        <v>0.22370492</v>
      </c>
      <c r="E137"/>
      <c r="F137" s="8">
        <v>109089.02</v>
      </c>
      <c r="G137" s="7">
        <v>0.32840059999999999</v>
      </c>
      <c r="H137"/>
      <c r="I137" s="8">
        <v>109089.02</v>
      </c>
      <c r="J137" s="7">
        <v>0.27837057999999998</v>
      </c>
      <c r="K137"/>
      <c r="L137" s="8">
        <v>0</v>
      </c>
      <c r="M137" s="7">
        <v>0</v>
      </c>
      <c r="N137"/>
      <c r="O137" s="8">
        <v>220359.82</v>
      </c>
      <c r="P137" s="7">
        <v>0.71291009999999999</v>
      </c>
      <c r="Q137"/>
      <c r="R137" s="8">
        <v>109089.02</v>
      </c>
      <c r="S137" s="7">
        <v>0.22756551999999999</v>
      </c>
      <c r="T137"/>
      <c r="U137" s="8">
        <v>109089.02</v>
      </c>
      <c r="V137" s="7">
        <v>0.18723084000000001</v>
      </c>
      <c r="W137"/>
      <c r="X137" s="8">
        <v>109089.02</v>
      </c>
      <c r="Y137" s="7">
        <v>0.20882181</v>
      </c>
      <c r="Z137"/>
      <c r="AA137" s="8">
        <v>109089.02</v>
      </c>
      <c r="AB137" s="7">
        <v>0.24494727999999999</v>
      </c>
      <c r="AC137"/>
      <c r="AD137" s="8">
        <v>109089.02</v>
      </c>
      <c r="AE137" s="7">
        <v>0.14935991000000001</v>
      </c>
      <c r="AF137"/>
      <c r="AG137" s="8">
        <v>109089.02</v>
      </c>
      <c r="AH137" s="7">
        <v>0.18593181</v>
      </c>
      <c r="AI137"/>
      <c r="AJ137" s="8">
        <v>109089.02</v>
      </c>
      <c r="AK137" s="7">
        <v>0.18942655999999999</v>
      </c>
      <c r="AL137"/>
      <c r="AM137" s="8">
        <v>109089.02</v>
      </c>
      <c r="AN137" s="7">
        <v>0.26424729000000002</v>
      </c>
    </row>
    <row r="138" spans="2:40" s="314" customFormat="1" ht="12.75" customHeight="1" x14ac:dyDescent="0.15">
      <c r="B138" s="5" t="s">
        <v>96</v>
      </c>
      <c r="C138" s="8">
        <v>0</v>
      </c>
      <c r="D138" s="7">
        <v>0</v>
      </c>
      <c r="E138"/>
      <c r="F138" s="8">
        <v>0</v>
      </c>
      <c r="G138" s="7">
        <v>0</v>
      </c>
      <c r="H138"/>
      <c r="I138" s="8">
        <v>0</v>
      </c>
      <c r="J138" s="7">
        <v>0</v>
      </c>
      <c r="K138"/>
      <c r="L138" s="8">
        <v>0</v>
      </c>
      <c r="M138" s="7">
        <v>0</v>
      </c>
      <c r="N138"/>
      <c r="O138" s="8">
        <v>0</v>
      </c>
      <c r="P138" s="7">
        <v>0</v>
      </c>
      <c r="Q138"/>
      <c r="R138" s="8">
        <v>0</v>
      </c>
      <c r="S138" s="7">
        <v>0</v>
      </c>
      <c r="T138"/>
      <c r="U138" s="8">
        <v>0</v>
      </c>
      <c r="V138" s="7">
        <v>0</v>
      </c>
      <c r="W138"/>
      <c r="X138" s="8">
        <v>0</v>
      </c>
      <c r="Y138" s="7">
        <v>0</v>
      </c>
      <c r="Z138"/>
      <c r="AA138" s="8">
        <v>0</v>
      </c>
      <c r="AB138" s="7">
        <v>0</v>
      </c>
      <c r="AC138"/>
      <c r="AD138" s="8">
        <v>0</v>
      </c>
      <c r="AE138" s="7">
        <v>0</v>
      </c>
      <c r="AF138"/>
      <c r="AG138" s="8">
        <v>0</v>
      </c>
      <c r="AH138" s="7">
        <v>0</v>
      </c>
      <c r="AI138"/>
      <c r="AJ138" s="8">
        <v>0</v>
      </c>
      <c r="AK138" s="7">
        <v>0</v>
      </c>
      <c r="AL138"/>
      <c r="AM138" s="8">
        <v>0</v>
      </c>
      <c r="AN138" s="7">
        <v>0</v>
      </c>
    </row>
    <row r="139" spans="2:40" s="314" customFormat="1" ht="12.75" customHeight="1" x14ac:dyDescent="0.15">
      <c r="B139" s="5" t="s">
        <v>97</v>
      </c>
      <c r="C139" s="8">
        <v>0</v>
      </c>
      <c r="D139" s="7">
        <v>0</v>
      </c>
      <c r="E139"/>
      <c r="F139" s="8">
        <v>0</v>
      </c>
      <c r="G139" s="7">
        <v>0</v>
      </c>
      <c r="H139"/>
      <c r="I139" s="8">
        <v>0</v>
      </c>
      <c r="J139" s="7">
        <v>0</v>
      </c>
      <c r="K139"/>
      <c r="L139" s="8">
        <v>0</v>
      </c>
      <c r="M139" s="7">
        <v>0</v>
      </c>
      <c r="N139"/>
      <c r="O139" s="8">
        <v>0</v>
      </c>
      <c r="P139" s="7">
        <v>0</v>
      </c>
      <c r="Q139"/>
      <c r="R139" s="8">
        <v>0</v>
      </c>
      <c r="S139" s="7">
        <v>0</v>
      </c>
      <c r="T139"/>
      <c r="U139" s="8">
        <v>0</v>
      </c>
      <c r="V139" s="7">
        <v>0</v>
      </c>
      <c r="W139"/>
      <c r="X139" s="8">
        <v>0</v>
      </c>
      <c r="Y139" s="7">
        <v>0</v>
      </c>
      <c r="Z139"/>
      <c r="AA139" s="8">
        <v>0</v>
      </c>
      <c r="AB139" s="7">
        <v>0</v>
      </c>
      <c r="AC139"/>
      <c r="AD139" s="8">
        <v>0</v>
      </c>
      <c r="AE139" s="7">
        <v>0</v>
      </c>
      <c r="AF139"/>
      <c r="AG139" s="8">
        <v>0</v>
      </c>
      <c r="AH139" s="7">
        <v>0</v>
      </c>
      <c r="AI139"/>
      <c r="AJ139" s="8">
        <v>0</v>
      </c>
      <c r="AK139" s="7">
        <v>0</v>
      </c>
      <c r="AL139"/>
      <c r="AM139" s="8">
        <v>0</v>
      </c>
      <c r="AN139" s="7">
        <v>0</v>
      </c>
    </row>
    <row r="140" spans="2:40" s="314" customFormat="1" ht="12.75" customHeight="1" x14ac:dyDescent="0.15">
      <c r="B140" s="8"/>
      <c r="C140" s="8"/>
      <c r="D140" s="8"/>
      <c r="E140"/>
      <c r="F140" s="8"/>
      <c r="G140" s="8"/>
      <c r="H140"/>
      <c r="I140" s="8"/>
      <c r="J140" s="8"/>
      <c r="K140"/>
      <c r="L140" s="8"/>
      <c r="M140" s="8"/>
      <c r="N140"/>
      <c r="O140" s="8"/>
      <c r="P140" s="8"/>
      <c r="Q140"/>
      <c r="R140" s="8"/>
      <c r="S140" s="8"/>
      <c r="T140"/>
      <c r="U140" s="8"/>
      <c r="V140" s="8"/>
      <c r="W140"/>
      <c r="X140" s="8"/>
      <c r="Y140" s="8"/>
      <c r="Z140"/>
      <c r="AA140" s="8"/>
      <c r="AB140" s="8"/>
      <c r="AC140"/>
      <c r="AD140" s="8"/>
      <c r="AE140" s="8"/>
      <c r="AF140"/>
      <c r="AG140" s="8"/>
      <c r="AH140" s="8"/>
      <c r="AI140"/>
      <c r="AJ140" s="8"/>
      <c r="AK140" s="8"/>
      <c r="AL140"/>
      <c r="AM140" s="8"/>
      <c r="AN140" s="8"/>
    </row>
    <row r="141" spans="2:40" s="314" customFormat="1" ht="12.75" customHeight="1" x14ac:dyDescent="0.15">
      <c r="B141" s="325" t="s">
        <v>98</v>
      </c>
      <c r="C141" s="326">
        <v>437680.01250000001</v>
      </c>
      <c r="D141" s="327">
        <v>7.4670100000000003E-2</v>
      </c>
      <c r="E141"/>
      <c r="F141" s="326">
        <v>-77260.27</v>
      </c>
      <c r="G141" s="327">
        <v>-0.23258361999999999</v>
      </c>
      <c r="H141"/>
      <c r="I141" s="326">
        <v>-34059.46</v>
      </c>
      <c r="J141" s="327">
        <v>-8.6912059999999999E-2</v>
      </c>
      <c r="K141"/>
      <c r="L141" s="326">
        <v>174602.72</v>
      </c>
      <c r="M141" s="327">
        <v>0.35433624000000002</v>
      </c>
      <c r="N141"/>
      <c r="O141" s="326">
        <v>-211350.75</v>
      </c>
      <c r="P141" s="327">
        <v>-0.68376386999999994</v>
      </c>
      <c r="Q141"/>
      <c r="R141" s="326">
        <v>27420.521400000001</v>
      </c>
      <c r="S141" s="327">
        <v>5.7200670000000002E-2</v>
      </c>
      <c r="T141"/>
      <c r="U141" s="326">
        <v>98978.8321</v>
      </c>
      <c r="V141" s="327">
        <v>0.16987859999999999</v>
      </c>
      <c r="W141"/>
      <c r="X141" s="326">
        <v>65832.498099999997</v>
      </c>
      <c r="Y141" s="327">
        <v>0.12601875000000001</v>
      </c>
      <c r="Z141"/>
      <c r="AA141" s="326">
        <v>17647.959900000002</v>
      </c>
      <c r="AB141" s="327">
        <v>3.962653E-2</v>
      </c>
      <c r="AC141"/>
      <c r="AD141" s="326">
        <v>201918.72930000001</v>
      </c>
      <c r="AE141" s="327">
        <v>0.27645829</v>
      </c>
      <c r="AF141"/>
      <c r="AG141" s="326">
        <v>99732.316900000005</v>
      </c>
      <c r="AH141" s="327">
        <v>0.1699842</v>
      </c>
      <c r="AI141"/>
      <c r="AJ141" s="326">
        <v>82784.556200000006</v>
      </c>
      <c r="AK141" s="327">
        <v>0.14375043000000001</v>
      </c>
      <c r="AL141"/>
      <c r="AM141" s="326">
        <v>-8567.6414000000004</v>
      </c>
      <c r="AN141" s="327">
        <v>-2.075347E-2</v>
      </c>
    </row>
    <row r="142" spans="2:40" s="314" customFormat="1" ht="12.75" customHeight="1" x14ac:dyDescent="0.15">
      <c r="B142" s="5" t="s">
        <v>99</v>
      </c>
      <c r="C142" s="8">
        <v>0</v>
      </c>
      <c r="D142" s="7">
        <v>0</v>
      </c>
      <c r="E142"/>
      <c r="F142" s="8">
        <v>0</v>
      </c>
      <c r="G142" s="7">
        <v>0</v>
      </c>
      <c r="H142"/>
      <c r="I142" s="8">
        <v>0</v>
      </c>
      <c r="J142" s="7">
        <v>0</v>
      </c>
      <c r="K142"/>
      <c r="L142" s="8">
        <v>0</v>
      </c>
      <c r="M142" s="7">
        <v>0</v>
      </c>
      <c r="N142"/>
      <c r="O142" s="8">
        <v>0</v>
      </c>
      <c r="P142" s="7">
        <v>0</v>
      </c>
      <c r="Q142"/>
      <c r="R142" s="8">
        <v>0</v>
      </c>
      <c r="S142" s="7">
        <v>0</v>
      </c>
      <c r="T142"/>
      <c r="U142" s="8">
        <v>0</v>
      </c>
      <c r="V142" s="7">
        <v>0</v>
      </c>
      <c r="W142"/>
      <c r="X142" s="8">
        <v>0</v>
      </c>
      <c r="Y142" s="7">
        <v>0</v>
      </c>
      <c r="Z142"/>
      <c r="AA142" s="8">
        <v>0</v>
      </c>
      <c r="AB142" s="7">
        <v>0</v>
      </c>
      <c r="AC142"/>
      <c r="AD142" s="8">
        <v>0</v>
      </c>
      <c r="AE142" s="7">
        <v>0</v>
      </c>
      <c r="AF142"/>
      <c r="AG142" s="8">
        <v>0</v>
      </c>
      <c r="AH142" s="7">
        <v>0</v>
      </c>
      <c r="AI142"/>
      <c r="AJ142" s="8">
        <v>0</v>
      </c>
      <c r="AK142" s="7">
        <v>0</v>
      </c>
      <c r="AL142"/>
      <c r="AM142" s="8">
        <v>0</v>
      </c>
      <c r="AN142" s="7">
        <v>0</v>
      </c>
    </row>
    <row r="143" spans="2:40" s="314" customFormat="1" ht="12.75" customHeight="1" x14ac:dyDescent="0.15">
      <c r="B143" s="8"/>
      <c r="C143" s="8"/>
      <c r="D143" s="8"/>
      <c r="E143"/>
      <c r="F143" s="8"/>
      <c r="G143" s="8"/>
      <c r="H143"/>
      <c r="I143" s="8"/>
      <c r="J143" s="8"/>
      <c r="K143"/>
      <c r="L143" s="8"/>
      <c r="M143" s="8"/>
      <c r="N143"/>
      <c r="O143" s="8"/>
      <c r="P143" s="8"/>
      <c r="Q143"/>
      <c r="R143" s="8"/>
      <c r="S143" s="8"/>
      <c r="T143"/>
      <c r="U143" s="8"/>
      <c r="V143" s="8"/>
      <c r="W143"/>
      <c r="X143" s="8"/>
      <c r="Y143" s="8"/>
      <c r="Z143"/>
      <c r="AA143" s="8"/>
      <c r="AB143" s="8"/>
      <c r="AC143"/>
      <c r="AD143" s="8"/>
      <c r="AE143" s="8"/>
      <c r="AF143"/>
      <c r="AG143" s="8"/>
      <c r="AH143" s="8"/>
      <c r="AI143"/>
      <c r="AJ143" s="8"/>
      <c r="AK143" s="8"/>
      <c r="AL143"/>
      <c r="AM143" s="8"/>
      <c r="AN143" s="8"/>
    </row>
    <row r="144" spans="2:40" s="314" customFormat="1" ht="12.75" customHeight="1" x14ac:dyDescent="0.15">
      <c r="B144" s="325" t="s">
        <v>100</v>
      </c>
      <c r="C144" s="326">
        <v>437680.01250000001</v>
      </c>
      <c r="D144" s="327">
        <v>7.4670100000000003E-2</v>
      </c>
      <c r="E144"/>
      <c r="F144" s="326">
        <v>-77260.27</v>
      </c>
      <c r="G144" s="327">
        <v>-0.23258361999999999</v>
      </c>
      <c r="H144"/>
      <c r="I144" s="326">
        <v>-34059.46</v>
      </c>
      <c r="J144" s="327">
        <v>-8.6912059999999999E-2</v>
      </c>
      <c r="K144"/>
      <c r="L144" s="326">
        <v>174602.72</v>
      </c>
      <c r="M144" s="327">
        <v>0.35433624000000002</v>
      </c>
      <c r="N144"/>
      <c r="O144" s="326">
        <v>-211350.75</v>
      </c>
      <c r="P144" s="327">
        <v>-0.68376386999999994</v>
      </c>
      <c r="Q144"/>
      <c r="R144" s="326">
        <v>27420.521400000001</v>
      </c>
      <c r="S144" s="327">
        <v>5.7200670000000002E-2</v>
      </c>
      <c r="T144"/>
      <c r="U144" s="326">
        <v>98978.8321</v>
      </c>
      <c r="V144" s="327">
        <v>0.16987859999999999</v>
      </c>
      <c r="W144"/>
      <c r="X144" s="326">
        <v>65832.498099999997</v>
      </c>
      <c r="Y144" s="327">
        <v>0.12601875000000001</v>
      </c>
      <c r="Z144"/>
      <c r="AA144" s="326">
        <v>17647.959900000002</v>
      </c>
      <c r="AB144" s="327">
        <v>3.962653E-2</v>
      </c>
      <c r="AC144"/>
      <c r="AD144" s="326">
        <v>201918.72930000001</v>
      </c>
      <c r="AE144" s="327">
        <v>0.27645829</v>
      </c>
      <c r="AF144"/>
      <c r="AG144" s="326">
        <v>99732.316900000005</v>
      </c>
      <c r="AH144" s="327">
        <v>0.1699842</v>
      </c>
      <c r="AI144"/>
      <c r="AJ144" s="326">
        <v>82784.556200000006</v>
      </c>
      <c r="AK144" s="327">
        <v>0.14375043000000001</v>
      </c>
      <c r="AL144"/>
      <c r="AM144" s="326">
        <v>-8567.6414000000004</v>
      </c>
      <c r="AN144" s="327">
        <v>-2.075347E-2</v>
      </c>
    </row>
    <row r="145" spans="2:40" s="314" customFormat="1" ht="12.75" customHeight="1" x14ac:dyDescent="0.15">
      <c r="B145" s="5" t="s">
        <v>101</v>
      </c>
      <c r="C145" s="8">
        <v>0</v>
      </c>
      <c r="D145" s="7">
        <v>0</v>
      </c>
      <c r="E145"/>
      <c r="F145" s="8">
        <v>0</v>
      </c>
      <c r="G145" s="7">
        <v>0</v>
      </c>
      <c r="H145"/>
      <c r="I145" s="8">
        <v>0</v>
      </c>
      <c r="J145" s="7">
        <v>0</v>
      </c>
      <c r="K145"/>
      <c r="L145" s="8">
        <v>0</v>
      </c>
      <c r="M145" s="7">
        <v>0</v>
      </c>
      <c r="N145"/>
      <c r="O145" s="8">
        <v>0</v>
      </c>
      <c r="P145" s="7">
        <v>0</v>
      </c>
      <c r="Q145"/>
      <c r="R145" s="8">
        <v>0</v>
      </c>
      <c r="S145" s="7">
        <v>0</v>
      </c>
      <c r="T145"/>
      <c r="U145" s="8">
        <v>0</v>
      </c>
      <c r="V145" s="7">
        <v>0</v>
      </c>
      <c r="W145"/>
      <c r="X145" s="8">
        <v>0</v>
      </c>
      <c r="Y145" s="7">
        <v>0</v>
      </c>
      <c r="Z145"/>
      <c r="AA145" s="8">
        <v>0</v>
      </c>
      <c r="AB145" s="7">
        <v>0</v>
      </c>
      <c r="AC145"/>
      <c r="AD145" s="8">
        <v>0</v>
      </c>
      <c r="AE145" s="7">
        <v>0</v>
      </c>
      <c r="AF145"/>
      <c r="AG145" s="8">
        <v>0</v>
      </c>
      <c r="AH145" s="7">
        <v>0</v>
      </c>
      <c r="AI145"/>
      <c r="AJ145" s="8">
        <v>0</v>
      </c>
      <c r="AK145" s="7">
        <v>0</v>
      </c>
      <c r="AL145"/>
      <c r="AM145" s="8">
        <v>0</v>
      </c>
      <c r="AN145" s="7">
        <v>0</v>
      </c>
    </row>
    <row r="146" spans="2:40" s="314" customFormat="1" ht="12.75" customHeight="1" x14ac:dyDescent="0.15">
      <c r="B146" s="8"/>
      <c r="C146" s="8"/>
      <c r="D146" s="8"/>
      <c r="E146"/>
      <c r="F146" s="8"/>
      <c r="G146" s="8"/>
      <c r="H146"/>
      <c r="I146" s="8"/>
      <c r="J146" s="8"/>
      <c r="K146"/>
      <c r="L146" s="8"/>
      <c r="M146" s="8"/>
      <c r="N146"/>
      <c r="O146" s="8"/>
      <c r="P146" s="8"/>
      <c r="Q146"/>
      <c r="R146" s="8"/>
      <c r="S146" s="8"/>
      <c r="T146"/>
      <c r="U146" s="8"/>
      <c r="V146" s="8"/>
      <c r="W146"/>
      <c r="X146" s="8"/>
      <c r="Y146" s="8"/>
      <c r="Z146"/>
      <c r="AA146" s="8"/>
      <c r="AB146" s="8"/>
      <c r="AC146"/>
      <c r="AD146" s="8"/>
      <c r="AE146" s="8"/>
      <c r="AF146"/>
      <c r="AG146" s="8"/>
      <c r="AH146" s="8"/>
      <c r="AI146"/>
      <c r="AJ146" s="8"/>
      <c r="AK146" s="8"/>
      <c r="AL146"/>
      <c r="AM146" s="8"/>
      <c r="AN146" s="8"/>
    </row>
    <row r="147" spans="2:40" s="314" customFormat="1" ht="12.75" customHeight="1" x14ac:dyDescent="0.15">
      <c r="B147" s="325" t="s">
        <v>102</v>
      </c>
      <c r="C147" s="326">
        <v>437680.01250000001</v>
      </c>
      <c r="D147" s="327">
        <v>7.4670100000000003E-2</v>
      </c>
      <c r="E147"/>
      <c r="F147" s="326">
        <v>-77260.27</v>
      </c>
      <c r="G147" s="327">
        <v>-0.23258361999999999</v>
      </c>
      <c r="H147"/>
      <c r="I147" s="326">
        <v>-34059.46</v>
      </c>
      <c r="J147" s="327">
        <v>-8.6912059999999999E-2</v>
      </c>
      <c r="K147"/>
      <c r="L147" s="326">
        <v>174602.72</v>
      </c>
      <c r="M147" s="327">
        <v>0.35433624000000002</v>
      </c>
      <c r="N147"/>
      <c r="O147" s="326">
        <v>-211350.75</v>
      </c>
      <c r="P147" s="327">
        <v>-0.68376386999999994</v>
      </c>
      <c r="Q147"/>
      <c r="R147" s="326">
        <v>27420.521400000001</v>
      </c>
      <c r="S147" s="327">
        <v>5.7200670000000002E-2</v>
      </c>
      <c r="T147"/>
      <c r="U147" s="326">
        <v>98978.8321</v>
      </c>
      <c r="V147" s="327">
        <v>0.16987859999999999</v>
      </c>
      <c r="W147"/>
      <c r="X147" s="326">
        <v>65832.498099999997</v>
      </c>
      <c r="Y147" s="327">
        <v>0.12601875000000001</v>
      </c>
      <c r="Z147"/>
      <c r="AA147" s="326">
        <v>17647.959900000002</v>
      </c>
      <c r="AB147" s="327">
        <v>3.962653E-2</v>
      </c>
      <c r="AC147"/>
      <c r="AD147" s="326">
        <v>201918.72930000001</v>
      </c>
      <c r="AE147" s="327">
        <v>0.27645829</v>
      </c>
      <c r="AF147"/>
      <c r="AG147" s="326">
        <v>99732.316900000005</v>
      </c>
      <c r="AH147" s="327">
        <v>0.1699842</v>
      </c>
      <c r="AI147"/>
      <c r="AJ147" s="326">
        <v>82784.556200000006</v>
      </c>
      <c r="AK147" s="327">
        <v>0.14375043000000001</v>
      </c>
      <c r="AL147"/>
      <c r="AM147" s="326">
        <v>-8567.6414000000004</v>
      </c>
      <c r="AN147" s="327">
        <v>-2.075347E-2</v>
      </c>
    </row>
    <row r="148" spans="2:40" s="314" customFormat="1" ht="12.75" customHeight="1" x14ac:dyDescent="0.15">
      <c r="B148" s="5" t="s">
        <v>103</v>
      </c>
      <c r="C148" s="8">
        <v>0</v>
      </c>
      <c r="D148" s="7">
        <v>0</v>
      </c>
      <c r="E148"/>
      <c r="F148" s="8">
        <v>0</v>
      </c>
      <c r="G148" s="7">
        <v>0</v>
      </c>
      <c r="H148"/>
      <c r="I148" s="8">
        <v>0</v>
      </c>
      <c r="J148" s="7">
        <v>0</v>
      </c>
      <c r="K148"/>
      <c r="L148" s="8">
        <v>0</v>
      </c>
      <c r="M148" s="7">
        <v>0</v>
      </c>
      <c r="N148"/>
      <c r="O148" s="8">
        <v>0</v>
      </c>
      <c r="P148" s="7">
        <v>0</v>
      </c>
      <c r="Q148"/>
      <c r="R148" s="8">
        <v>0</v>
      </c>
      <c r="S148" s="7">
        <v>0</v>
      </c>
      <c r="T148"/>
      <c r="U148" s="8">
        <v>0</v>
      </c>
      <c r="V148" s="7">
        <v>0</v>
      </c>
      <c r="W148"/>
      <c r="X148" s="8">
        <v>0</v>
      </c>
      <c r="Y148" s="7">
        <v>0</v>
      </c>
      <c r="Z148"/>
      <c r="AA148" s="8">
        <v>0</v>
      </c>
      <c r="AB148" s="7">
        <v>0</v>
      </c>
      <c r="AC148"/>
      <c r="AD148" s="8">
        <v>0</v>
      </c>
      <c r="AE148" s="7">
        <v>0</v>
      </c>
      <c r="AF148"/>
      <c r="AG148" s="8">
        <v>0</v>
      </c>
      <c r="AH148" s="7">
        <v>0</v>
      </c>
      <c r="AI148"/>
      <c r="AJ148" s="8">
        <v>0</v>
      </c>
      <c r="AK148" s="7">
        <v>0</v>
      </c>
      <c r="AL148"/>
      <c r="AM148" s="8">
        <v>0</v>
      </c>
      <c r="AN148" s="7">
        <v>0</v>
      </c>
    </row>
    <row r="149" spans="2:40" s="314" customFormat="1" ht="12.75" customHeight="1" x14ac:dyDescent="0.15">
      <c r="B149" s="8"/>
      <c r="C149" s="8"/>
      <c r="D149" s="8"/>
      <c r="E149"/>
      <c r="F149" s="8"/>
      <c r="G149" s="8"/>
      <c r="H149"/>
      <c r="I149" s="8"/>
      <c r="J149" s="8"/>
      <c r="K149"/>
      <c r="L149" s="8"/>
      <c r="M149" s="8"/>
      <c r="N149"/>
      <c r="O149" s="8"/>
      <c r="P149" s="8"/>
      <c r="Q149"/>
      <c r="R149" s="8"/>
      <c r="S149" s="8"/>
      <c r="T149"/>
      <c r="U149" s="8"/>
      <c r="V149" s="8"/>
      <c r="W149"/>
      <c r="X149" s="8"/>
      <c r="Y149" s="8"/>
      <c r="Z149"/>
      <c r="AA149" s="8"/>
      <c r="AB149" s="8"/>
      <c r="AC149"/>
      <c r="AD149" s="8"/>
      <c r="AE149" s="8"/>
      <c r="AF149"/>
      <c r="AG149" s="8"/>
      <c r="AH149" s="8"/>
      <c r="AI149"/>
      <c r="AJ149" s="8"/>
      <c r="AK149" s="8"/>
      <c r="AL149"/>
      <c r="AM149" s="8"/>
      <c r="AN149" s="8"/>
    </row>
    <row r="150" spans="2:40" s="314" customFormat="1" ht="12.75" customHeight="1" x14ac:dyDescent="0.15">
      <c r="B150" s="325" t="s">
        <v>104</v>
      </c>
      <c r="C150" s="326">
        <v>437680.01250000001</v>
      </c>
      <c r="D150" s="327">
        <v>7.4670100000000003E-2</v>
      </c>
      <c r="E150"/>
      <c r="F150" s="326">
        <v>-77260.27</v>
      </c>
      <c r="G150" s="327">
        <v>-0.23258361999999999</v>
      </c>
      <c r="H150"/>
      <c r="I150" s="326">
        <v>-34059.46</v>
      </c>
      <c r="J150" s="327">
        <v>-8.6912059999999999E-2</v>
      </c>
      <c r="K150"/>
      <c r="L150" s="326">
        <v>174602.72</v>
      </c>
      <c r="M150" s="327">
        <v>0.35433624000000002</v>
      </c>
      <c r="N150"/>
      <c r="O150" s="326">
        <v>-211350.75</v>
      </c>
      <c r="P150" s="327">
        <v>-0.68376386999999994</v>
      </c>
      <c r="Q150"/>
      <c r="R150" s="326">
        <v>27420.521400000001</v>
      </c>
      <c r="S150" s="327">
        <v>5.7200670000000002E-2</v>
      </c>
      <c r="T150"/>
      <c r="U150" s="326">
        <v>98978.8321</v>
      </c>
      <c r="V150" s="327">
        <v>0.16987859999999999</v>
      </c>
      <c r="W150"/>
      <c r="X150" s="326">
        <v>65832.498099999997</v>
      </c>
      <c r="Y150" s="327">
        <v>0.12601875000000001</v>
      </c>
      <c r="Z150"/>
      <c r="AA150" s="326">
        <v>17647.959900000002</v>
      </c>
      <c r="AB150" s="327">
        <v>3.962653E-2</v>
      </c>
      <c r="AC150"/>
      <c r="AD150" s="326">
        <v>201918.72930000001</v>
      </c>
      <c r="AE150" s="327">
        <v>0.27645829</v>
      </c>
      <c r="AF150"/>
      <c r="AG150" s="326">
        <v>99732.316900000005</v>
      </c>
      <c r="AH150" s="327">
        <v>0.1699842</v>
      </c>
      <c r="AI150"/>
      <c r="AJ150" s="326">
        <v>82784.556200000006</v>
      </c>
      <c r="AK150" s="327">
        <v>0.14375043000000001</v>
      </c>
      <c r="AL150"/>
      <c r="AM150" s="326">
        <v>-8567.6414000000004</v>
      </c>
      <c r="AN150" s="327">
        <v>-2.075347E-2</v>
      </c>
    </row>
    <row r="151" spans="2:40" s="314" customFormat="1" ht="12.75" customHeight="1" x14ac:dyDescent="0.15">
      <c r="B151" s="8"/>
      <c r="C151" s="8"/>
      <c r="D151" s="8"/>
      <c r="E151"/>
      <c r="F151" s="8"/>
      <c r="G151" s="8"/>
      <c r="H151"/>
      <c r="I151" s="8"/>
      <c r="J151" s="8"/>
      <c r="K151"/>
      <c r="L151" s="8"/>
      <c r="M151" s="8"/>
      <c r="N151"/>
      <c r="O151" s="8"/>
      <c r="P151" s="8"/>
      <c r="Q151"/>
      <c r="R151" s="8"/>
      <c r="S151" s="8"/>
      <c r="T151"/>
      <c r="U151" s="8"/>
      <c r="V151" s="8"/>
      <c r="W151"/>
      <c r="X151" s="8"/>
      <c r="Y151" s="8"/>
      <c r="Z151"/>
      <c r="AA151" s="8"/>
      <c r="AB151" s="8"/>
      <c r="AC151"/>
      <c r="AD151" s="8"/>
      <c r="AE151" s="8"/>
      <c r="AF151"/>
      <c r="AG151" s="8"/>
      <c r="AH151" s="8"/>
      <c r="AI151"/>
      <c r="AJ151" s="8"/>
      <c r="AK151" s="8"/>
      <c r="AL151"/>
      <c r="AM151" s="8"/>
      <c r="AN151" s="8"/>
    </row>
    <row r="152" spans="2:40" s="314" customFormat="1" ht="14" x14ac:dyDescent="0.15">
      <c r="B152" s="328" t="s">
        <v>105</v>
      </c>
      <c r="C152" s="329"/>
      <c r="D152" s="329"/>
      <c r="E152"/>
      <c r="F152" s="329"/>
      <c r="G152" s="329"/>
      <c r="H152"/>
      <c r="I152" s="329"/>
      <c r="J152" s="329"/>
      <c r="K152"/>
      <c r="L152" s="329"/>
      <c r="M152" s="329"/>
      <c r="N152"/>
      <c r="O152" s="329"/>
      <c r="P152" s="329"/>
      <c r="Q152"/>
      <c r="R152" s="329"/>
      <c r="S152" s="329"/>
      <c r="T152"/>
      <c r="U152" s="329"/>
      <c r="V152" s="329"/>
      <c r="W152"/>
      <c r="X152" s="329"/>
      <c r="Y152" s="329"/>
      <c r="Z152"/>
      <c r="AA152" s="329"/>
      <c r="AB152" s="329"/>
      <c r="AC152"/>
      <c r="AD152" s="329"/>
      <c r="AE152" s="329"/>
      <c r="AF152"/>
      <c r="AG152" s="329"/>
      <c r="AH152" s="329"/>
      <c r="AI152"/>
      <c r="AJ152" s="329"/>
      <c r="AK152" s="329"/>
      <c r="AL152"/>
      <c r="AM152" s="329"/>
      <c r="AN152" s="329"/>
    </row>
    <row r="153" spans="2:40" s="314" customFormat="1" ht="12.75" customHeight="1" x14ac:dyDescent="0.15">
      <c r="B153" s="5" t="s">
        <v>106</v>
      </c>
      <c r="C153" s="6">
        <v>445680.01250000001</v>
      </c>
      <c r="D153" s="7">
        <v>7.6034940000000009E-2</v>
      </c>
      <c r="E153"/>
      <c r="F153" s="8">
        <v>-77260.27</v>
      </c>
      <c r="G153" s="7">
        <v>-0.23258361999999999</v>
      </c>
      <c r="H153"/>
      <c r="I153" s="8">
        <v>-34059.46</v>
      </c>
      <c r="J153" s="7">
        <v>-8.6912059999999999E-2</v>
      </c>
      <c r="K153"/>
      <c r="L153" s="8">
        <v>174602.72</v>
      </c>
      <c r="M153" s="7">
        <v>0.35433624000000002</v>
      </c>
      <c r="N153"/>
      <c r="O153" s="8">
        <v>-211350.75</v>
      </c>
      <c r="P153" s="7">
        <v>-0.68376386999999994</v>
      </c>
      <c r="Q153"/>
      <c r="R153" s="8">
        <v>28420.521400000001</v>
      </c>
      <c r="S153" s="7">
        <v>5.9286730000000003E-2</v>
      </c>
      <c r="T153"/>
      <c r="U153" s="8">
        <v>99978.8321</v>
      </c>
      <c r="V153" s="7">
        <v>0.17159490999999999</v>
      </c>
      <c r="W153"/>
      <c r="X153" s="8">
        <v>66832.498099999997</v>
      </c>
      <c r="Y153" s="7">
        <v>0.12793298</v>
      </c>
      <c r="Z153"/>
      <c r="AA153" s="8">
        <v>18647.959900000002</v>
      </c>
      <c r="AB153" s="7">
        <v>4.1871919999999993E-2</v>
      </c>
      <c r="AC153"/>
      <c r="AD153" s="8">
        <v>202918.72930000001</v>
      </c>
      <c r="AE153" s="7">
        <v>0.27782743999999998</v>
      </c>
      <c r="AF153"/>
      <c r="AG153" s="8">
        <v>100732.31690000001</v>
      </c>
      <c r="AH153" s="7">
        <v>0.17168860999999999</v>
      </c>
      <c r="AI153"/>
      <c r="AJ153" s="8">
        <v>83784.556200000006</v>
      </c>
      <c r="AK153" s="7">
        <v>0.14548686999999999</v>
      </c>
      <c r="AL153"/>
      <c r="AM153" s="8">
        <v>-7567.6414000000004</v>
      </c>
      <c r="AN153" s="7">
        <v>-1.8331159999999999E-2</v>
      </c>
    </row>
    <row r="154" spans="2:40" s="314" customFormat="1" ht="12.75" customHeight="1" x14ac:dyDescent="0.15">
      <c r="B154" s="5" t="s">
        <v>107</v>
      </c>
      <c r="C154" s="6">
        <v>437680.01250000001</v>
      </c>
      <c r="D154" s="7">
        <v>7.4670100000000003E-2</v>
      </c>
      <c r="E154"/>
      <c r="F154" s="8">
        <v>-77260.27</v>
      </c>
      <c r="G154" s="7">
        <v>-0.23258361999999999</v>
      </c>
      <c r="H154"/>
      <c r="I154" s="8">
        <v>-34059.46</v>
      </c>
      <c r="J154" s="7">
        <v>-8.6912059999999999E-2</v>
      </c>
      <c r="K154"/>
      <c r="L154" s="8">
        <v>174602.72</v>
      </c>
      <c r="M154" s="7">
        <v>0.35433624000000002</v>
      </c>
      <c r="N154"/>
      <c r="O154" s="8">
        <v>-211350.75</v>
      </c>
      <c r="P154" s="7">
        <v>-0.68376386999999994</v>
      </c>
      <c r="Q154"/>
      <c r="R154" s="8">
        <v>27420.521400000001</v>
      </c>
      <c r="S154" s="7">
        <v>5.7200670000000002E-2</v>
      </c>
      <c r="T154"/>
      <c r="U154" s="8">
        <v>98978.8321</v>
      </c>
      <c r="V154" s="7">
        <v>0.16987859999999999</v>
      </c>
      <c r="W154"/>
      <c r="X154" s="8">
        <v>65832.498099999997</v>
      </c>
      <c r="Y154" s="7">
        <v>0.12601875000000001</v>
      </c>
      <c r="Z154"/>
      <c r="AA154" s="8">
        <v>17647.959900000002</v>
      </c>
      <c r="AB154" s="7">
        <v>3.962653E-2</v>
      </c>
      <c r="AC154"/>
      <c r="AD154" s="8">
        <v>201918.72930000001</v>
      </c>
      <c r="AE154" s="7">
        <v>0.27645829</v>
      </c>
      <c r="AF154"/>
      <c r="AG154" s="8">
        <v>99732.316900000005</v>
      </c>
      <c r="AH154" s="7">
        <v>0.1699842</v>
      </c>
      <c r="AI154"/>
      <c r="AJ154" s="8">
        <v>82784.556200000006</v>
      </c>
      <c r="AK154" s="7">
        <v>0.14375043000000001</v>
      </c>
      <c r="AL154"/>
      <c r="AM154" s="8">
        <v>-8567.6414000000004</v>
      </c>
      <c r="AN154" s="7">
        <v>-2.075347E-2</v>
      </c>
    </row>
    <row r="155" spans="2:40" s="314" customFormat="1" ht="12.75" customHeight="1" x14ac:dyDescent="0.15">
      <c r="B155" s="325" t="s">
        <v>108</v>
      </c>
      <c r="C155" s="330">
        <v>273513.84330000001</v>
      </c>
      <c r="D155" s="327">
        <v>4.6662639999999998E-2</v>
      </c>
      <c r="E155"/>
      <c r="F155" s="326">
        <v>16454.75</v>
      </c>
      <c r="G155" s="327">
        <v>4.953523E-2</v>
      </c>
      <c r="H155"/>
      <c r="I155" s="326">
        <v>18928.669999999998</v>
      </c>
      <c r="J155" s="327">
        <v>4.8301700000000003E-2</v>
      </c>
      <c r="K155"/>
      <c r="L155" s="326">
        <v>22706.240000000002</v>
      </c>
      <c r="M155" s="327">
        <v>4.6079719999999998E-2</v>
      </c>
      <c r="N155"/>
      <c r="O155" s="326">
        <v>15360.57</v>
      </c>
      <c r="P155" s="327">
        <v>4.9694659999999988E-2</v>
      </c>
      <c r="Q155"/>
      <c r="R155" s="326">
        <v>22504.964400000001</v>
      </c>
      <c r="S155" s="327">
        <v>4.6946559999999998E-2</v>
      </c>
      <c r="T155"/>
      <c r="U155" s="326">
        <v>26635.78</v>
      </c>
      <c r="V155" s="327">
        <v>4.5715319999999997E-2</v>
      </c>
      <c r="W155"/>
      <c r="X155" s="326">
        <v>24226.096799999999</v>
      </c>
      <c r="Y155" s="327">
        <v>4.6374400000000003E-2</v>
      </c>
      <c r="Z155"/>
      <c r="AA155" s="326">
        <v>21144.2853</v>
      </c>
      <c r="AB155" s="327">
        <v>4.7477150000000003E-2</v>
      </c>
      <c r="AC155"/>
      <c r="AD155" s="326">
        <v>32545.0733</v>
      </c>
      <c r="AE155" s="327">
        <v>4.4559290000000001E-2</v>
      </c>
      <c r="AF155"/>
      <c r="AG155" s="326">
        <v>26798.6086</v>
      </c>
      <c r="AH155" s="327">
        <v>4.5675670000000002E-2</v>
      </c>
      <c r="AI155"/>
      <c r="AJ155" s="326">
        <v>26365.6332</v>
      </c>
      <c r="AK155" s="327">
        <v>4.5782349999999999E-2</v>
      </c>
      <c r="AL155"/>
      <c r="AM155" s="326">
        <v>19843.171699999999</v>
      </c>
      <c r="AN155" s="327">
        <v>4.8066289999999998E-2</v>
      </c>
    </row>
    <row r="156" spans="2:40" s="314" customFormat="1" ht="12.75" customHeight="1" x14ac:dyDescent="0.15">
      <c r="B156" s="5" t="s">
        <v>109</v>
      </c>
      <c r="C156" s="6">
        <v>0</v>
      </c>
      <c r="D156" s="7">
        <v>0</v>
      </c>
      <c r="E156"/>
      <c r="F156" s="8">
        <v>0</v>
      </c>
      <c r="G156" s="7">
        <v>0</v>
      </c>
      <c r="H156"/>
      <c r="I156" s="8">
        <v>0</v>
      </c>
      <c r="J156" s="7">
        <v>0</v>
      </c>
      <c r="K156"/>
      <c r="L156" s="8">
        <v>0</v>
      </c>
      <c r="M156" s="7">
        <v>0</v>
      </c>
      <c r="N156"/>
      <c r="O156" s="8">
        <v>0</v>
      </c>
      <c r="P156" s="7">
        <v>0</v>
      </c>
      <c r="Q156"/>
      <c r="R156" s="8">
        <v>0</v>
      </c>
      <c r="S156" s="7">
        <v>0</v>
      </c>
      <c r="T156"/>
      <c r="U156" s="8">
        <v>0</v>
      </c>
      <c r="V156" s="7">
        <v>0</v>
      </c>
      <c r="W156"/>
      <c r="X156" s="8">
        <v>0</v>
      </c>
      <c r="Y156" s="7">
        <v>0</v>
      </c>
      <c r="Z156"/>
      <c r="AA156" s="8">
        <v>0</v>
      </c>
      <c r="AB156" s="7">
        <v>0</v>
      </c>
      <c r="AC156"/>
      <c r="AD156" s="8">
        <v>0</v>
      </c>
      <c r="AE156" s="7">
        <v>0</v>
      </c>
      <c r="AF156"/>
      <c r="AG156" s="8">
        <v>0</v>
      </c>
      <c r="AH156" s="7">
        <v>0</v>
      </c>
      <c r="AI156"/>
      <c r="AJ156" s="8">
        <v>0</v>
      </c>
      <c r="AK156" s="7">
        <v>0</v>
      </c>
      <c r="AL156"/>
      <c r="AM156" s="8">
        <v>0</v>
      </c>
      <c r="AN156" s="7">
        <v>0</v>
      </c>
    </row>
    <row r="157" spans="2:40" s="314" customFormat="1" ht="12.75" customHeight="1" x14ac:dyDescent="0.15">
      <c r="B157" s="5" t="s">
        <v>110</v>
      </c>
      <c r="C157" s="6">
        <v>0</v>
      </c>
      <c r="D157" s="7">
        <v>0</v>
      </c>
      <c r="E157"/>
      <c r="F157" s="8">
        <v>0</v>
      </c>
      <c r="G157" s="7">
        <v>0</v>
      </c>
      <c r="H157"/>
      <c r="I157" s="8">
        <v>0</v>
      </c>
      <c r="J157" s="7">
        <v>0</v>
      </c>
      <c r="K157"/>
      <c r="L157" s="8">
        <v>0</v>
      </c>
      <c r="M157" s="7">
        <v>0</v>
      </c>
      <c r="N157"/>
      <c r="O157" s="8">
        <v>0</v>
      </c>
      <c r="P157" s="7">
        <v>0</v>
      </c>
      <c r="Q157"/>
      <c r="R157" s="8">
        <v>0</v>
      </c>
      <c r="S157" s="7">
        <v>0</v>
      </c>
      <c r="T157"/>
      <c r="U157" s="8">
        <v>0</v>
      </c>
      <c r="V157" s="7">
        <v>0</v>
      </c>
      <c r="W157"/>
      <c r="X157" s="8">
        <v>0</v>
      </c>
      <c r="Y157" s="7">
        <v>0</v>
      </c>
      <c r="Z157"/>
      <c r="AA157" s="8">
        <v>0</v>
      </c>
      <c r="AB157" s="7">
        <v>0</v>
      </c>
      <c r="AC157"/>
      <c r="AD157" s="8">
        <v>0</v>
      </c>
      <c r="AE157" s="7">
        <v>0</v>
      </c>
      <c r="AF157"/>
      <c r="AG157" s="8">
        <v>0</v>
      </c>
      <c r="AH157" s="7">
        <v>0</v>
      </c>
      <c r="AI157"/>
      <c r="AJ157" s="8">
        <v>0</v>
      </c>
      <c r="AK157" s="7">
        <v>0</v>
      </c>
      <c r="AL157"/>
      <c r="AM157" s="8">
        <v>0</v>
      </c>
      <c r="AN157" s="7">
        <v>0</v>
      </c>
    </row>
    <row r="158" spans="2:40" s="314" customFormat="1" ht="12.75" customHeight="1" x14ac:dyDescent="0.15">
      <c r="B158" s="5" t="s">
        <v>111</v>
      </c>
      <c r="C158" s="6">
        <v>38640</v>
      </c>
      <c r="D158" s="7">
        <v>6.5921499999999997E-3</v>
      </c>
      <c r="E158"/>
      <c r="F158" s="8">
        <v>3000</v>
      </c>
      <c r="G158" s="7">
        <v>9.0311699999999998E-3</v>
      </c>
      <c r="H158"/>
      <c r="I158" s="8">
        <v>3000</v>
      </c>
      <c r="J158" s="7">
        <v>7.6553200000000002E-3</v>
      </c>
      <c r="K158"/>
      <c r="L158" s="8">
        <v>3000</v>
      </c>
      <c r="M158" s="7">
        <v>6.0881599999999996E-3</v>
      </c>
      <c r="N158"/>
      <c r="O158" s="8">
        <v>3000</v>
      </c>
      <c r="P158" s="7">
        <v>9.7056299999999998E-3</v>
      </c>
      <c r="Q158"/>
      <c r="R158" s="8">
        <v>3330</v>
      </c>
      <c r="S158" s="7">
        <v>6.9465600000000009E-3</v>
      </c>
      <c r="T158"/>
      <c r="U158" s="8">
        <v>3330</v>
      </c>
      <c r="V158" s="7">
        <v>5.7153200000000003E-3</v>
      </c>
      <c r="W158"/>
      <c r="X158" s="8">
        <v>3330</v>
      </c>
      <c r="Y158" s="7">
        <v>6.3743999999999997E-3</v>
      </c>
      <c r="Z158"/>
      <c r="AA158" s="8">
        <v>3330</v>
      </c>
      <c r="AB158" s="7">
        <v>7.4771500000000001E-3</v>
      </c>
      <c r="AC158"/>
      <c r="AD158" s="8">
        <v>3330</v>
      </c>
      <c r="AE158" s="7">
        <v>4.5592899999999997E-3</v>
      </c>
      <c r="AF158"/>
      <c r="AG158" s="8">
        <v>3330</v>
      </c>
      <c r="AH158" s="7">
        <v>5.6756700000000007E-3</v>
      </c>
      <c r="AI158"/>
      <c r="AJ158" s="8">
        <v>3330</v>
      </c>
      <c r="AK158" s="7">
        <v>5.7823500000000003E-3</v>
      </c>
      <c r="AL158"/>
      <c r="AM158" s="8">
        <v>3330</v>
      </c>
      <c r="AN158" s="7">
        <v>8.0662900000000003E-3</v>
      </c>
    </row>
    <row r="159" spans="2:40" s="314" customFormat="1" ht="12.75" customHeight="1" x14ac:dyDescent="0.15">
      <c r="B159" s="5" t="s">
        <v>112</v>
      </c>
      <c r="C159" s="6">
        <v>58754.773200000003</v>
      </c>
      <c r="D159" s="7">
        <v>1.0023819999999999E-2</v>
      </c>
      <c r="E159"/>
      <c r="F159" s="8">
        <v>4982.74</v>
      </c>
      <c r="G159" s="7">
        <v>1.4999999999999999E-2</v>
      </c>
      <c r="H159"/>
      <c r="I159" s="8">
        <v>2399.4299999999998</v>
      </c>
      <c r="J159" s="7">
        <v>6.1228000000000003E-3</v>
      </c>
      <c r="K159"/>
      <c r="L159" s="8">
        <v>4926.5600000000004</v>
      </c>
      <c r="M159" s="7">
        <v>9.9978900000000006E-3</v>
      </c>
      <c r="N159"/>
      <c r="O159" s="8">
        <v>3090.14</v>
      </c>
      <c r="P159" s="7">
        <v>9.9972499999999992E-3</v>
      </c>
      <c r="Q159"/>
      <c r="R159" s="8">
        <v>4793.7411000000002</v>
      </c>
      <c r="S159" s="7">
        <v>0.01</v>
      </c>
      <c r="T159"/>
      <c r="U159" s="8">
        <v>5826.4449999999997</v>
      </c>
      <c r="V159" s="7">
        <v>0.01</v>
      </c>
      <c r="W159"/>
      <c r="X159" s="8">
        <v>5224.0241999999998</v>
      </c>
      <c r="Y159" s="7">
        <v>0.01</v>
      </c>
      <c r="Z159"/>
      <c r="AA159" s="8">
        <v>4453.5712999999996</v>
      </c>
      <c r="AB159" s="7">
        <v>0.01</v>
      </c>
      <c r="AC159"/>
      <c r="AD159" s="8">
        <v>7303.7682999999997</v>
      </c>
      <c r="AE159" s="7">
        <v>0.01</v>
      </c>
      <c r="AF159"/>
      <c r="AG159" s="8">
        <v>5867.1521000000002</v>
      </c>
      <c r="AH159" s="7">
        <v>0.01</v>
      </c>
      <c r="AI159"/>
      <c r="AJ159" s="8">
        <v>5758.9083000000001</v>
      </c>
      <c r="AK159" s="7">
        <v>0.01</v>
      </c>
      <c r="AL159"/>
      <c r="AM159" s="8">
        <v>4128.2929000000004</v>
      </c>
      <c r="AN159" s="7">
        <v>0.01</v>
      </c>
    </row>
    <row r="160" spans="2:40" s="314" customFormat="1" ht="12.75" customHeight="1" x14ac:dyDescent="0.15">
      <c r="B160" s="5" t="s">
        <v>113</v>
      </c>
      <c r="C160" s="6">
        <v>176155.38</v>
      </c>
      <c r="D160" s="7">
        <v>3.0052869999999999E-2</v>
      </c>
      <c r="E160"/>
      <c r="F160" s="8">
        <v>10091.06</v>
      </c>
      <c r="G160" s="7">
        <v>3.0378039999999999E-2</v>
      </c>
      <c r="H160"/>
      <c r="I160" s="8">
        <v>11946.5</v>
      </c>
      <c r="J160" s="7">
        <v>3.0484770000000001E-2</v>
      </c>
      <c r="K160"/>
      <c r="L160" s="8">
        <v>14779.68</v>
      </c>
      <c r="M160" s="7">
        <v>2.999367E-2</v>
      </c>
      <c r="N160"/>
      <c r="O160" s="8">
        <v>9270.43</v>
      </c>
      <c r="P160" s="7">
        <v>2.9991779999999999E-2</v>
      </c>
      <c r="Q160"/>
      <c r="R160" s="8">
        <v>14381.2233</v>
      </c>
      <c r="S160" s="7">
        <v>0.03</v>
      </c>
      <c r="T160"/>
      <c r="U160" s="8">
        <v>17479.334999999999</v>
      </c>
      <c r="V160" s="7">
        <v>0.03</v>
      </c>
      <c r="W160"/>
      <c r="X160" s="8">
        <v>15672.0726</v>
      </c>
      <c r="Y160" s="7">
        <v>0.03</v>
      </c>
      <c r="Z160"/>
      <c r="AA160" s="8">
        <v>13360.714</v>
      </c>
      <c r="AB160" s="7">
        <v>0.03</v>
      </c>
      <c r="AC160"/>
      <c r="AD160" s="8">
        <v>21911.305</v>
      </c>
      <c r="AE160" s="7">
        <v>0.03</v>
      </c>
      <c r="AF160"/>
      <c r="AG160" s="8">
        <v>17601.456399999999</v>
      </c>
      <c r="AH160" s="7">
        <v>0.03</v>
      </c>
      <c r="AI160"/>
      <c r="AJ160" s="8">
        <v>17276.724900000001</v>
      </c>
      <c r="AK160" s="7">
        <v>0.03</v>
      </c>
      <c r="AL160"/>
      <c r="AM160" s="8">
        <v>12384.8788</v>
      </c>
      <c r="AN160" s="7">
        <v>0.03</v>
      </c>
    </row>
    <row r="161" spans="2:40" s="314" customFormat="1" ht="12.75" customHeight="1" x14ac:dyDescent="0.15">
      <c r="B161" s="5" t="s">
        <v>114</v>
      </c>
      <c r="C161" s="6">
        <v>58718.463199999998</v>
      </c>
      <c r="D161" s="7">
        <v>1.001762E-2</v>
      </c>
      <c r="E161"/>
      <c r="F161" s="8">
        <v>3363.69</v>
      </c>
      <c r="G161" s="7">
        <v>1.0126019999999999E-2</v>
      </c>
      <c r="H161"/>
      <c r="I161" s="8">
        <v>3982.17</v>
      </c>
      <c r="J161" s="7">
        <v>1.01616E-2</v>
      </c>
      <c r="K161"/>
      <c r="L161" s="8">
        <v>4926.5600000000004</v>
      </c>
      <c r="M161" s="7">
        <v>9.9978900000000006E-3</v>
      </c>
      <c r="N161"/>
      <c r="O161" s="8">
        <v>3090.14</v>
      </c>
      <c r="P161" s="7">
        <v>9.9972499999999992E-3</v>
      </c>
      <c r="Q161"/>
      <c r="R161" s="8">
        <v>4793.7411000000002</v>
      </c>
      <c r="S161" s="7">
        <v>0.01</v>
      </c>
      <c r="T161"/>
      <c r="U161" s="8">
        <v>5826.4449999999997</v>
      </c>
      <c r="V161" s="7">
        <v>0.01</v>
      </c>
      <c r="W161"/>
      <c r="X161" s="8">
        <v>5224.0241999999998</v>
      </c>
      <c r="Y161" s="7">
        <v>0.01</v>
      </c>
      <c r="Z161"/>
      <c r="AA161" s="8">
        <v>4453.5712999999996</v>
      </c>
      <c r="AB161" s="7">
        <v>0.01</v>
      </c>
      <c r="AC161"/>
      <c r="AD161" s="8">
        <v>7303.7682999999997</v>
      </c>
      <c r="AE161" s="7">
        <v>0.01</v>
      </c>
      <c r="AF161"/>
      <c r="AG161" s="8">
        <v>5867.1521000000002</v>
      </c>
      <c r="AH161" s="7">
        <v>0.01</v>
      </c>
      <c r="AI161"/>
      <c r="AJ161" s="8">
        <v>5758.9083000000001</v>
      </c>
      <c r="AK161" s="7">
        <v>0.01</v>
      </c>
      <c r="AL161"/>
      <c r="AM161" s="8">
        <v>4128.2929000000004</v>
      </c>
      <c r="AN161" s="7">
        <v>0.01</v>
      </c>
    </row>
    <row r="162" spans="2:40" s="314" customFormat="1" ht="12.75" customHeight="1" x14ac:dyDescent="0.15">
      <c r="B162" s="325" t="s">
        <v>115</v>
      </c>
      <c r="C162" s="330">
        <v>389575.02769999998</v>
      </c>
      <c r="D162" s="327">
        <v>6.6463179999999997E-2</v>
      </c>
      <c r="E162"/>
      <c r="F162" s="326">
        <v>26160.13</v>
      </c>
      <c r="G162" s="327">
        <v>7.8752219999999998E-2</v>
      </c>
      <c r="H162"/>
      <c r="I162" s="326">
        <v>39486.93</v>
      </c>
      <c r="J162" s="327">
        <v>0.10076174</v>
      </c>
      <c r="K162"/>
      <c r="L162" s="326">
        <v>30045.58</v>
      </c>
      <c r="M162" s="327">
        <v>6.0974069999999998E-2</v>
      </c>
      <c r="N162"/>
      <c r="O162" s="326">
        <v>22751.8</v>
      </c>
      <c r="P162" s="327">
        <v>7.3606829999999998E-2</v>
      </c>
      <c r="Q162"/>
      <c r="R162" s="326">
        <v>29845.5651</v>
      </c>
      <c r="S162" s="327">
        <v>6.2259439999999999E-2</v>
      </c>
      <c r="T162"/>
      <c r="U162" s="326">
        <v>37392.0412</v>
      </c>
      <c r="V162" s="327">
        <v>6.4176430000000007E-2</v>
      </c>
      <c r="W162"/>
      <c r="X162" s="326">
        <v>31014.605100000001</v>
      </c>
      <c r="Y162" s="327">
        <v>5.9369180000000001E-2</v>
      </c>
      <c r="Z162"/>
      <c r="AA162" s="326">
        <v>27486.347399999999</v>
      </c>
      <c r="AB162" s="327">
        <v>6.1717540000000001E-2</v>
      </c>
      <c r="AC162"/>
      <c r="AD162" s="326">
        <v>47409.103199999998</v>
      </c>
      <c r="AE162" s="327">
        <v>6.4910469999999998E-2</v>
      </c>
      <c r="AF162"/>
      <c r="AG162" s="326">
        <v>36605.891799999998</v>
      </c>
      <c r="AH162" s="327">
        <v>6.2391240000000001E-2</v>
      </c>
      <c r="AI162"/>
      <c r="AJ162" s="326">
        <v>35909.521699999998</v>
      </c>
      <c r="AK162" s="327">
        <v>6.2354739999999999E-2</v>
      </c>
      <c r="AL162"/>
      <c r="AM162" s="326">
        <v>25467.512200000001</v>
      </c>
      <c r="AN162" s="327">
        <v>6.1690179999999997E-2</v>
      </c>
    </row>
    <row r="163" spans="2:40" s="314" customFormat="1" ht="12.75" customHeight="1" x14ac:dyDescent="0.15">
      <c r="B163" s="5" t="s">
        <v>116</v>
      </c>
      <c r="C163" s="6">
        <v>159808.49280000001</v>
      </c>
      <c r="D163" s="7">
        <v>2.726402E-2</v>
      </c>
      <c r="E163"/>
      <c r="F163" s="8">
        <v>8753.57</v>
      </c>
      <c r="G163" s="7">
        <v>2.6351670000000001E-2</v>
      </c>
      <c r="H163"/>
      <c r="I163" s="8">
        <v>12936.71</v>
      </c>
      <c r="J163" s="7">
        <v>3.3011569999999997E-2</v>
      </c>
      <c r="K163"/>
      <c r="L163" s="8">
        <v>11580.69</v>
      </c>
      <c r="M163" s="7">
        <v>2.350168E-2</v>
      </c>
      <c r="N163"/>
      <c r="O163" s="8">
        <v>8375.08</v>
      </c>
      <c r="P163" s="7">
        <v>2.709514E-2</v>
      </c>
      <c r="Q163"/>
      <c r="R163" s="8">
        <v>13005.8045</v>
      </c>
      <c r="S163" s="7">
        <v>2.71308E-2</v>
      </c>
      <c r="T163"/>
      <c r="U163" s="8">
        <v>16370.0008</v>
      </c>
      <c r="V163" s="7">
        <v>2.8096039999999999E-2</v>
      </c>
      <c r="W163"/>
      <c r="X163" s="8">
        <v>13386.8</v>
      </c>
      <c r="Y163" s="7">
        <v>2.5625459999999999E-2</v>
      </c>
      <c r="Z163"/>
      <c r="AA163" s="8">
        <v>11959.573399999999</v>
      </c>
      <c r="AB163" s="7">
        <v>2.6853889999999998E-2</v>
      </c>
      <c r="AC163"/>
      <c r="AD163" s="8">
        <v>20773.447899999999</v>
      </c>
      <c r="AE163" s="7">
        <v>2.8442100000000001E-2</v>
      </c>
      <c r="AF163"/>
      <c r="AG163" s="8">
        <v>15943.292299999999</v>
      </c>
      <c r="AH163" s="7">
        <v>2.7173820000000001E-2</v>
      </c>
      <c r="AI163"/>
      <c r="AJ163" s="8">
        <v>15639.357900000001</v>
      </c>
      <c r="AK163" s="7">
        <v>2.715681E-2</v>
      </c>
      <c r="AL163"/>
      <c r="AM163" s="8">
        <v>11084.165999999999</v>
      </c>
      <c r="AN163" s="7">
        <v>2.6849270000000001E-2</v>
      </c>
    </row>
    <row r="164" spans="2:40" s="314" customFormat="1" ht="12.75" customHeight="1" x14ac:dyDescent="0.15">
      <c r="B164" s="5" t="s">
        <v>117</v>
      </c>
      <c r="C164" s="6">
        <v>150444.36470000001</v>
      </c>
      <c r="D164" s="7">
        <v>2.5666459999999999E-2</v>
      </c>
      <c r="E164"/>
      <c r="F164" s="8">
        <v>8625.89</v>
      </c>
      <c r="G164" s="7">
        <v>2.5967299999999999E-2</v>
      </c>
      <c r="H164"/>
      <c r="I164" s="8">
        <v>18535.23</v>
      </c>
      <c r="J164" s="7">
        <v>4.7297730000000003E-2</v>
      </c>
      <c r="K164"/>
      <c r="L164" s="8">
        <v>11464.89</v>
      </c>
      <c r="M164" s="7">
        <v>2.3266680000000001E-2</v>
      </c>
      <c r="N164"/>
      <c r="O164" s="8">
        <v>7376.72</v>
      </c>
      <c r="P164" s="7">
        <v>2.3865230000000001E-2</v>
      </c>
      <c r="Q164"/>
      <c r="R164" s="8">
        <v>11490.134700000001</v>
      </c>
      <c r="S164" s="7">
        <v>2.3969029999999999E-2</v>
      </c>
      <c r="T164"/>
      <c r="U164" s="8">
        <v>14387.1034</v>
      </c>
      <c r="V164" s="7">
        <v>2.4692760000000001E-2</v>
      </c>
      <c r="W164"/>
      <c r="X164" s="8">
        <v>11975.953</v>
      </c>
      <c r="Y164" s="7">
        <v>2.2924770000000001E-2</v>
      </c>
      <c r="Z164"/>
      <c r="AA164" s="8">
        <v>10586.371499999999</v>
      </c>
      <c r="AB164" s="7">
        <v>2.377052E-2</v>
      </c>
      <c r="AC164"/>
      <c r="AD164" s="8">
        <v>18255.554400000001</v>
      </c>
      <c r="AE164" s="7">
        <v>2.499471E-2</v>
      </c>
      <c r="AF164"/>
      <c r="AG164" s="8">
        <v>14104.8423</v>
      </c>
      <c r="AH164" s="7">
        <v>2.404036E-2</v>
      </c>
      <c r="AI164"/>
      <c r="AJ164" s="8">
        <v>13835.999299999999</v>
      </c>
      <c r="AK164" s="7">
        <v>2.4025390000000001E-2</v>
      </c>
      <c r="AL164"/>
      <c r="AM164" s="8">
        <v>9805.6761000000006</v>
      </c>
      <c r="AN164" s="7">
        <v>2.3752369999999998E-2</v>
      </c>
    </row>
    <row r="165" spans="2:40" s="314" customFormat="1" ht="12.75" customHeight="1" x14ac:dyDescent="0.15">
      <c r="B165" s="5" t="s">
        <v>118</v>
      </c>
      <c r="C165" s="6">
        <v>33444.148500000003</v>
      </c>
      <c r="D165" s="7">
        <v>5.7057200000000001E-3</v>
      </c>
      <c r="E165"/>
      <c r="F165" s="8">
        <v>2110.5</v>
      </c>
      <c r="G165" s="7">
        <v>6.3534300000000002E-3</v>
      </c>
      <c r="H165"/>
      <c r="I165" s="8">
        <v>2485.09</v>
      </c>
      <c r="J165" s="7">
        <v>6.3413899999999997E-3</v>
      </c>
      <c r="K165"/>
      <c r="L165" s="8">
        <v>1000</v>
      </c>
      <c r="M165" s="7">
        <v>2.0293899999999998E-3</v>
      </c>
      <c r="N165"/>
      <c r="O165" s="8">
        <v>1000</v>
      </c>
      <c r="P165" s="7">
        <v>3.2352100000000001E-3</v>
      </c>
      <c r="Q165"/>
      <c r="R165" s="8">
        <v>2952.7552999999998</v>
      </c>
      <c r="S165" s="7">
        <v>6.1596099999999994E-3</v>
      </c>
      <c r="T165"/>
      <c r="U165" s="8">
        <v>3721.7145</v>
      </c>
      <c r="V165" s="7">
        <v>6.3876200000000001E-3</v>
      </c>
      <c r="W165"/>
      <c r="X165" s="8">
        <v>3039.84</v>
      </c>
      <c r="Y165" s="7">
        <v>5.8189599999999998E-3</v>
      </c>
      <c r="Z165"/>
      <c r="AA165" s="8">
        <v>2713.6167999999998</v>
      </c>
      <c r="AB165" s="7">
        <v>6.0931300000000004E-3</v>
      </c>
      <c r="AC165"/>
      <c r="AD165" s="8">
        <v>4728.2166999999999</v>
      </c>
      <c r="AE165" s="7">
        <v>6.4736699999999999E-3</v>
      </c>
      <c r="AF165"/>
      <c r="AG165" s="8">
        <v>3624.1810999999998</v>
      </c>
      <c r="AH165" s="7">
        <v>6.1770699999999998E-3</v>
      </c>
      <c r="AI165"/>
      <c r="AJ165" s="8">
        <v>3554.7103999999999</v>
      </c>
      <c r="AK165" s="7">
        <v>6.1725399999999998E-3</v>
      </c>
      <c r="AL165"/>
      <c r="AM165" s="8">
        <v>2513.5237000000002</v>
      </c>
      <c r="AN165" s="7">
        <v>6.08853E-3</v>
      </c>
    </row>
    <row r="166" spans="2:40" s="314" customFormat="1" ht="12.75" customHeight="1" x14ac:dyDescent="0.15">
      <c r="B166" s="5" t="s">
        <v>119</v>
      </c>
      <c r="C166" s="6">
        <v>45878.021800000002</v>
      </c>
      <c r="D166" s="7">
        <v>7.8269900000000007E-3</v>
      </c>
      <c r="E166"/>
      <c r="F166" s="8">
        <v>6670.17</v>
      </c>
      <c r="G166" s="7">
        <v>2.0079820000000002E-2</v>
      </c>
      <c r="H166"/>
      <c r="I166" s="8">
        <v>5529.9</v>
      </c>
      <c r="J166" s="7">
        <v>1.411106E-2</v>
      </c>
      <c r="K166"/>
      <c r="L166" s="8">
        <v>6000</v>
      </c>
      <c r="M166" s="7">
        <v>1.2176309999999999E-2</v>
      </c>
      <c r="N166"/>
      <c r="O166" s="8">
        <v>6000</v>
      </c>
      <c r="P166" s="7">
        <v>1.9411250000000001E-2</v>
      </c>
      <c r="Q166"/>
      <c r="R166" s="8">
        <v>2396.8705</v>
      </c>
      <c r="S166" s="7">
        <v>5.0000000000000001E-3</v>
      </c>
      <c r="T166"/>
      <c r="U166" s="8">
        <v>2913.2224999999999</v>
      </c>
      <c r="V166" s="7">
        <v>5.0000000000000001E-3</v>
      </c>
      <c r="W166"/>
      <c r="X166" s="8">
        <v>2612.0120999999999</v>
      </c>
      <c r="Y166" s="7">
        <v>5.0000000000000001E-3</v>
      </c>
      <c r="Z166"/>
      <c r="AA166" s="8">
        <v>2226.7856999999999</v>
      </c>
      <c r="AB166" s="7">
        <v>5.0000000000000001E-3</v>
      </c>
      <c r="AC166"/>
      <c r="AD166" s="8">
        <v>3651.8842</v>
      </c>
      <c r="AE166" s="7">
        <v>5.0000000000000001E-3</v>
      </c>
      <c r="AF166"/>
      <c r="AG166" s="8">
        <v>2933.5761000000002</v>
      </c>
      <c r="AH166" s="7">
        <v>5.0000000000000001E-3</v>
      </c>
      <c r="AI166"/>
      <c r="AJ166" s="8">
        <v>2879.4542000000001</v>
      </c>
      <c r="AK166" s="7">
        <v>5.0000000000000001E-3</v>
      </c>
      <c r="AL166"/>
      <c r="AM166" s="8">
        <v>2064.1464999999998</v>
      </c>
      <c r="AN166" s="7">
        <v>5.0000000000000001E-3</v>
      </c>
    </row>
    <row r="167" spans="2:40" s="314" customFormat="1" ht="12.75" customHeight="1" x14ac:dyDescent="0.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 s="314" customFormat="1" ht="14" x14ac:dyDescent="0.15">
      <c r="B168" t="s">
        <v>605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  <row r="169" spans="2:40" s="314" customFormat="1" ht="12.75" customHeight="1" x14ac:dyDescent="0.15"/>
    <row r="170" spans="2:40" s="314" customFormat="1" ht="12.75" customHeight="1" x14ac:dyDescent="0.15"/>
    <row r="171" spans="2:40" s="314" customFormat="1" ht="12.75" customHeight="1" x14ac:dyDescent="0.15"/>
    <row r="172" spans="2:40" s="314" customFormat="1" ht="12.75" customHeight="1" x14ac:dyDescent="0.15"/>
    <row r="173" spans="2:40" s="314" customFormat="1" ht="12.75" customHeight="1" x14ac:dyDescent="0.15"/>
  </sheetData>
  <sheetProtection formatCells="0" formatColumns="0" formatRows="0" insertColumns="0" insertRows="0" insertHyperlinks="0" deleteColumns="0" deleteRows="0" sort="0" autoFilter="0" pivotTables="0"/>
  <mergeCells count="13">
    <mergeCell ref="AM10:AN10"/>
    <mergeCell ref="U10:V10"/>
    <mergeCell ref="X10:Y10"/>
    <mergeCell ref="AA10:AB10"/>
    <mergeCell ref="AD10:AE10"/>
    <mergeCell ref="AG10:AH10"/>
    <mergeCell ref="AJ10:AK10"/>
    <mergeCell ref="R10:S10"/>
    <mergeCell ref="C10:D10"/>
    <mergeCell ref="F10:G10"/>
    <mergeCell ref="I10:J10"/>
    <mergeCell ref="L10:M10"/>
    <mergeCell ref="O10:P10"/>
  </mergeCells>
  <pageMargins left="0.5" right="0.5" top="0.5" bottom="0.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AF63-65DE-4856-A4E3-0F41F60DFFE5}">
  <sheetPr>
    <pageSetUpPr fitToPage="1"/>
  </sheetPr>
  <dimension ref="B2:AN168"/>
  <sheetViews>
    <sheetView zoomScale="80" zoomScaleNormal="80" workbookViewId="0">
      <pane xSplit="2" ySplit="10" topLeftCell="C11" activePane="bottomRight" state="frozen"/>
      <selection activeCell="I37" sqref="I37"/>
      <selection pane="topRight" activeCell="I37" sqref="I37"/>
      <selection pane="bottomLeft" activeCell="I37" sqref="I37"/>
      <selection pane="bottomRight" activeCell="I37" sqref="I37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14" x14ac:dyDescent="0.15">
      <c r="B3" s="288" t="s">
        <v>126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3" t="s">
        <v>8</v>
      </c>
      <c r="D10" s="344"/>
      <c r="F10" s="363" t="s">
        <v>9</v>
      </c>
      <c r="G10" s="344"/>
      <c r="I10" s="363" t="s">
        <v>10</v>
      </c>
      <c r="J10" s="344"/>
      <c r="L10" s="363" t="s">
        <v>11</v>
      </c>
      <c r="M10" s="344"/>
      <c r="O10" s="363" t="s">
        <v>12</v>
      </c>
      <c r="P10" s="344"/>
      <c r="R10" s="363" t="s">
        <v>13</v>
      </c>
      <c r="S10" s="344"/>
      <c r="U10" s="363" t="s">
        <v>14</v>
      </c>
      <c r="V10" s="344"/>
      <c r="X10" s="363" t="s">
        <v>15</v>
      </c>
      <c r="Y10" s="344"/>
      <c r="AA10" s="363" t="s">
        <v>16</v>
      </c>
      <c r="AB10" s="344"/>
      <c r="AD10" s="363" t="s">
        <v>17</v>
      </c>
      <c r="AE10" s="344"/>
      <c r="AG10" s="363" t="s">
        <v>18</v>
      </c>
      <c r="AH10" s="344"/>
      <c r="AJ10" s="363" t="s">
        <v>19</v>
      </c>
      <c r="AK10" s="344"/>
      <c r="AM10" s="363" t="s">
        <v>20</v>
      </c>
      <c r="AN10" s="344"/>
    </row>
    <row r="11" spans="2:40" ht="14" x14ac:dyDescent="0.15">
      <c r="B11" s="5" t="s">
        <v>21</v>
      </c>
      <c r="C11" s="6">
        <v>93365066.829699993</v>
      </c>
      <c r="D11" s="7">
        <v>1</v>
      </c>
      <c r="F11" s="6">
        <v>5324462.53</v>
      </c>
      <c r="G11" s="7">
        <v>1</v>
      </c>
      <c r="I11" s="6">
        <v>6311402.4699999997</v>
      </c>
      <c r="J11" s="7">
        <v>1</v>
      </c>
      <c r="L11" s="6">
        <v>8569487.6699999999</v>
      </c>
      <c r="M11" s="7">
        <v>1</v>
      </c>
      <c r="O11" s="6">
        <v>6313744.0499999998</v>
      </c>
      <c r="P11" s="7">
        <v>1</v>
      </c>
      <c r="R11" s="6">
        <v>8687115.6600000001</v>
      </c>
      <c r="S11" s="7">
        <v>1</v>
      </c>
      <c r="U11" s="6">
        <v>7353274.8399999999</v>
      </c>
      <c r="V11" s="7">
        <v>1</v>
      </c>
      <c r="X11" s="6">
        <v>6427992.7048000004</v>
      </c>
      <c r="Y11" s="7">
        <v>1</v>
      </c>
      <c r="AA11" s="6">
        <v>7105821.2424999997</v>
      </c>
      <c r="AB11" s="7">
        <v>1</v>
      </c>
      <c r="AD11" s="6">
        <v>10549865.398399999</v>
      </c>
      <c r="AE11" s="7">
        <v>1</v>
      </c>
      <c r="AG11" s="6">
        <v>10432178.8453</v>
      </c>
      <c r="AH11" s="7">
        <v>1</v>
      </c>
      <c r="AJ11" s="6">
        <v>9491176.3024000004</v>
      </c>
      <c r="AK11" s="7">
        <v>1</v>
      </c>
      <c r="AM11" s="6">
        <v>6798545.1162999999</v>
      </c>
      <c r="AN11" s="7">
        <v>1</v>
      </c>
    </row>
    <row r="12" spans="2:40" ht="14" x14ac:dyDescent="0.15">
      <c r="B12" s="5" t="s">
        <v>22</v>
      </c>
      <c r="C12" s="6">
        <v>34779702.941100001</v>
      </c>
      <c r="D12" s="7">
        <v>0.37251301999999997</v>
      </c>
      <c r="F12" s="6">
        <v>2616690.87</v>
      </c>
      <c r="G12" s="7">
        <v>0.49144694999999999</v>
      </c>
      <c r="I12" s="6">
        <v>2868718.3</v>
      </c>
      <c r="J12" s="7">
        <v>0.45452945</v>
      </c>
      <c r="L12" s="6">
        <v>2923326.94</v>
      </c>
      <c r="M12" s="7">
        <v>0.34113206000000001</v>
      </c>
      <c r="O12" s="6">
        <v>2774658.97</v>
      </c>
      <c r="P12" s="7">
        <v>0.43946332999999999</v>
      </c>
      <c r="R12" s="6">
        <v>2994095.05</v>
      </c>
      <c r="S12" s="7">
        <v>0.34465928000000001</v>
      </c>
      <c r="U12" s="6">
        <v>2987181.98</v>
      </c>
      <c r="V12" s="7">
        <v>0.40623830999999999</v>
      </c>
      <c r="X12" s="6">
        <v>2739108.9752000002</v>
      </c>
      <c r="Y12" s="7">
        <v>0.42612198000000001</v>
      </c>
      <c r="AA12" s="6">
        <v>2810959.4515</v>
      </c>
      <c r="AB12" s="7">
        <v>0.39558544000000001</v>
      </c>
      <c r="AD12" s="6">
        <v>3088133.0153999999</v>
      </c>
      <c r="AE12" s="7">
        <v>0.29271775999999999</v>
      </c>
      <c r="AG12" s="6">
        <v>3015853.8706999999</v>
      </c>
      <c r="AH12" s="7">
        <v>0.28909147000000002</v>
      </c>
      <c r="AJ12" s="6">
        <v>3172464.5776999998</v>
      </c>
      <c r="AK12" s="7">
        <v>0.3342541</v>
      </c>
      <c r="AM12" s="6">
        <v>2788510.9405999999</v>
      </c>
      <c r="AN12" s="7">
        <v>0.41016289</v>
      </c>
    </row>
    <row r="13" spans="2:40" ht="14" x14ac:dyDescent="0.15">
      <c r="B13" s="5" t="s">
        <v>23</v>
      </c>
      <c r="C13" s="6">
        <v>23766690.804400001</v>
      </c>
      <c r="D13" s="7">
        <v>0</v>
      </c>
      <c r="F13" s="6">
        <v>220835.82</v>
      </c>
      <c r="G13" s="7">
        <v>0</v>
      </c>
      <c r="I13" s="6">
        <v>761926.06</v>
      </c>
      <c r="J13" s="7">
        <v>0</v>
      </c>
      <c r="L13" s="6">
        <v>2656773.04</v>
      </c>
      <c r="M13" s="7">
        <v>0</v>
      </c>
      <c r="O13" s="6">
        <v>894056.98</v>
      </c>
      <c r="P13" s="7">
        <v>0</v>
      </c>
      <c r="R13" s="6">
        <v>2742367.6</v>
      </c>
      <c r="S13" s="7">
        <v>0</v>
      </c>
      <c r="U13" s="6">
        <v>1735525.65</v>
      </c>
      <c r="V13" s="7">
        <v>0</v>
      </c>
      <c r="X13" s="6">
        <v>978096.26859999995</v>
      </c>
      <c r="Y13" s="7">
        <v>0</v>
      </c>
      <c r="AA13" s="6">
        <v>1538941.5876</v>
      </c>
      <c r="AB13" s="7">
        <v>0</v>
      </c>
      <c r="AD13" s="6">
        <v>3849174.8672000002</v>
      </c>
      <c r="AE13" s="7">
        <v>0</v>
      </c>
      <c r="AG13" s="6">
        <v>3933579.7411000002</v>
      </c>
      <c r="AH13" s="7">
        <v>0</v>
      </c>
      <c r="AJ13" s="6">
        <v>3048474.3684999999</v>
      </c>
      <c r="AK13" s="7">
        <v>0</v>
      </c>
      <c r="AM13" s="6">
        <v>1406938.8214</v>
      </c>
      <c r="AN13" s="7">
        <v>0</v>
      </c>
    </row>
    <row r="14" spans="2:40" ht="14" x14ac:dyDescent="0.15">
      <c r="B14" s="5" t="s">
        <v>24</v>
      </c>
      <c r="C14" s="8">
        <v>824777</v>
      </c>
      <c r="D14" s="7">
        <v>0</v>
      </c>
      <c r="F14" s="8">
        <v>69827</v>
      </c>
      <c r="G14" s="7">
        <v>0</v>
      </c>
      <c r="I14" s="8">
        <v>63336</v>
      </c>
      <c r="J14" s="7">
        <v>0</v>
      </c>
      <c r="L14" s="8">
        <v>70122</v>
      </c>
      <c r="M14" s="7">
        <v>0</v>
      </c>
      <c r="O14" s="8">
        <v>67860</v>
      </c>
      <c r="P14" s="7">
        <v>0</v>
      </c>
      <c r="R14" s="8">
        <v>70122</v>
      </c>
      <c r="S14" s="7">
        <v>0</v>
      </c>
      <c r="U14" s="8">
        <v>67670</v>
      </c>
      <c r="V14" s="7">
        <v>0</v>
      </c>
      <c r="X14" s="8">
        <v>70060</v>
      </c>
      <c r="Y14" s="7">
        <v>0</v>
      </c>
      <c r="AA14" s="8">
        <v>70060</v>
      </c>
      <c r="AB14" s="7">
        <v>0</v>
      </c>
      <c r="AD14" s="8">
        <v>67800</v>
      </c>
      <c r="AE14" s="7">
        <v>0</v>
      </c>
      <c r="AG14" s="8">
        <v>70060</v>
      </c>
      <c r="AH14" s="7">
        <v>0</v>
      </c>
      <c r="AJ14" s="8">
        <v>67800</v>
      </c>
      <c r="AK14" s="7">
        <v>0</v>
      </c>
      <c r="AM14" s="8">
        <v>70060</v>
      </c>
      <c r="AN14" s="7">
        <v>0</v>
      </c>
    </row>
    <row r="15" spans="2:40" ht="14" x14ac:dyDescent="0.15">
      <c r="B15" s="5" t="s">
        <v>25</v>
      </c>
      <c r="C15" s="9">
        <v>500178</v>
      </c>
      <c r="D15" s="7">
        <v>0</v>
      </c>
      <c r="F15" s="9">
        <v>32112</v>
      </c>
      <c r="G15" s="7">
        <v>0</v>
      </c>
      <c r="I15" s="9">
        <v>39498</v>
      </c>
      <c r="J15" s="7">
        <v>0</v>
      </c>
      <c r="L15" s="9">
        <v>42839</v>
      </c>
      <c r="M15" s="7">
        <v>0</v>
      </c>
      <c r="O15" s="9">
        <v>36561</v>
      </c>
      <c r="P15" s="7">
        <v>0</v>
      </c>
      <c r="R15" s="9">
        <v>46413</v>
      </c>
      <c r="S15" s="7">
        <v>0</v>
      </c>
      <c r="U15" s="9">
        <v>42053</v>
      </c>
      <c r="V15" s="7">
        <v>0</v>
      </c>
      <c r="X15" s="9">
        <v>38554</v>
      </c>
      <c r="Y15" s="7">
        <v>0</v>
      </c>
      <c r="AA15" s="9">
        <v>39995</v>
      </c>
      <c r="AB15" s="7">
        <v>0</v>
      </c>
      <c r="AD15" s="9">
        <v>50790</v>
      </c>
      <c r="AE15" s="7">
        <v>0</v>
      </c>
      <c r="AG15" s="9">
        <v>46463</v>
      </c>
      <c r="AH15" s="7">
        <v>0</v>
      </c>
      <c r="AJ15" s="9">
        <v>47676</v>
      </c>
      <c r="AK15" s="7">
        <v>0</v>
      </c>
      <c r="AM15" s="9">
        <v>37224</v>
      </c>
      <c r="AN15" s="7">
        <v>0</v>
      </c>
    </row>
    <row r="16" spans="2:40" ht="14" x14ac:dyDescent="0.15">
      <c r="B16" s="5" t="s">
        <v>26</v>
      </c>
      <c r="C16" s="8">
        <v>60.950050740987997</v>
      </c>
      <c r="D16" s="7">
        <v>0</v>
      </c>
      <c r="F16" s="8">
        <v>46.311598665273003</v>
      </c>
      <c r="G16" s="7">
        <v>0</v>
      </c>
      <c r="I16" s="8">
        <v>62.755778704054997</v>
      </c>
      <c r="J16" s="7">
        <v>0</v>
      </c>
      <c r="L16" s="8">
        <v>61.525626764781002</v>
      </c>
      <c r="M16" s="7">
        <v>0</v>
      </c>
      <c r="O16" s="8">
        <v>54.435602711465002</v>
      </c>
      <c r="P16" s="7">
        <v>0</v>
      </c>
      <c r="R16" s="8">
        <v>66.626736259661996</v>
      </c>
      <c r="S16" s="7">
        <v>0</v>
      </c>
      <c r="U16" s="8">
        <v>62.735333234815997</v>
      </c>
      <c r="V16" s="7">
        <v>0</v>
      </c>
      <c r="X16" s="8">
        <v>55.202683414215997</v>
      </c>
      <c r="Y16" s="7">
        <v>0</v>
      </c>
      <c r="AA16" s="8">
        <v>57.238081644304998</v>
      </c>
      <c r="AB16" s="7">
        <v>0</v>
      </c>
      <c r="AD16" s="8">
        <v>75.084070796459997</v>
      </c>
      <c r="AE16" s="7">
        <v>0</v>
      </c>
      <c r="AG16" s="8">
        <v>66.485869254923998</v>
      </c>
      <c r="AH16" s="7">
        <v>0</v>
      </c>
      <c r="AJ16" s="8">
        <v>70.479351032447994</v>
      </c>
      <c r="AK16" s="7">
        <v>0</v>
      </c>
      <c r="AM16" s="8">
        <v>53.258635455323997</v>
      </c>
      <c r="AN16" s="7">
        <v>0</v>
      </c>
    </row>
    <row r="17" spans="2:40" ht="14" x14ac:dyDescent="0.15">
      <c r="B17" s="5" t="s">
        <v>27</v>
      </c>
      <c r="C17" s="9">
        <v>128.98868135344</v>
      </c>
      <c r="D17" s="7">
        <v>0</v>
      </c>
      <c r="F17" s="9">
        <v>107.43508283508</v>
      </c>
      <c r="G17" s="7">
        <v>0</v>
      </c>
      <c r="I17" s="9">
        <v>104.22678616639</v>
      </c>
      <c r="J17" s="7">
        <v>0</v>
      </c>
      <c r="L17" s="9">
        <v>136.64449683698999</v>
      </c>
      <c r="M17" s="7">
        <v>0</v>
      </c>
      <c r="O17" s="9">
        <v>121.31010475642999</v>
      </c>
      <c r="P17" s="7">
        <v>0</v>
      </c>
      <c r="R17" s="9">
        <v>133.33805097710001</v>
      </c>
      <c r="S17" s="7">
        <v>0</v>
      </c>
      <c r="U17" s="9">
        <v>130.38279789788999</v>
      </c>
      <c r="V17" s="7">
        <v>0</v>
      </c>
      <c r="X17" s="9">
        <v>115.46039545831999</v>
      </c>
      <c r="Y17" s="7">
        <v>0</v>
      </c>
      <c r="AA17" s="9">
        <v>125.79889655457001</v>
      </c>
      <c r="AB17" s="7">
        <v>0</v>
      </c>
      <c r="AD17" s="9">
        <v>140.69449732820999</v>
      </c>
      <c r="AE17" s="7">
        <v>0</v>
      </c>
      <c r="AG17" s="9">
        <v>160.53152302046999</v>
      </c>
      <c r="AH17" s="7">
        <v>0</v>
      </c>
      <c r="AJ17" s="9">
        <v>133.58938664527</v>
      </c>
      <c r="AK17" s="7">
        <v>0</v>
      </c>
      <c r="AM17" s="9">
        <v>121.79272396035</v>
      </c>
      <c r="AN17" s="7">
        <v>0</v>
      </c>
    </row>
    <row r="18" spans="2:40" ht="14" x14ac:dyDescent="0.15">
      <c r="B18" s="5" t="s">
        <v>28</v>
      </c>
      <c r="C18" s="6">
        <v>77.173226110814994</v>
      </c>
      <c r="D18" s="7">
        <v>0</v>
      </c>
      <c r="F18" s="6">
        <v>48.591846134016997</v>
      </c>
      <c r="G18" s="7">
        <v>0</v>
      </c>
      <c r="I18" s="6">
        <v>64.013126499937002</v>
      </c>
      <c r="J18" s="7">
        <v>0</v>
      </c>
      <c r="L18" s="6">
        <v>82.366131171386996</v>
      </c>
      <c r="M18" s="7">
        <v>0</v>
      </c>
      <c r="O18" s="6">
        <v>64.312067639256995</v>
      </c>
      <c r="P18" s="7">
        <v>0</v>
      </c>
      <c r="R18" s="6">
        <v>87.277687601609003</v>
      </c>
      <c r="S18" s="7">
        <v>0</v>
      </c>
      <c r="U18" s="6">
        <v>80.158066203635002</v>
      </c>
      <c r="V18" s="7">
        <v>0</v>
      </c>
      <c r="X18" s="6">
        <v>62.547389187839002</v>
      </c>
      <c r="Y18" s="7">
        <v>0</v>
      </c>
      <c r="AA18" s="6">
        <v>70.720623290036997</v>
      </c>
      <c r="AB18" s="7">
        <v>0</v>
      </c>
      <c r="AD18" s="6">
        <v>104.0565415826</v>
      </c>
      <c r="AE18" s="7">
        <v>0</v>
      </c>
      <c r="AG18" s="6">
        <v>105.22318233086</v>
      </c>
      <c r="AH18" s="7">
        <v>0</v>
      </c>
      <c r="AJ18" s="6">
        <v>92.708224154866997</v>
      </c>
      <c r="AK18" s="7">
        <v>0</v>
      </c>
      <c r="AM18" s="6">
        <v>63.798492102483998</v>
      </c>
      <c r="AN18" s="7">
        <v>0</v>
      </c>
    </row>
    <row r="19" spans="2:40" ht="14" x14ac:dyDescent="0.15">
      <c r="B19" s="5" t="s">
        <v>29</v>
      </c>
      <c r="C19" s="9">
        <v>113.20037638015999</v>
      </c>
      <c r="D19" s="7">
        <v>0</v>
      </c>
      <c r="F19" s="9">
        <v>76.252202299969994</v>
      </c>
      <c r="G19" s="7">
        <v>0</v>
      </c>
      <c r="I19" s="9">
        <v>99.649527440949996</v>
      </c>
      <c r="J19" s="7">
        <v>0</v>
      </c>
      <c r="L19" s="9">
        <v>122.20826088817</v>
      </c>
      <c r="M19" s="7">
        <v>0</v>
      </c>
      <c r="O19" s="9">
        <v>93.040731653403995</v>
      </c>
      <c r="P19" s="7">
        <v>0</v>
      </c>
      <c r="R19" s="9">
        <v>123.88573714384</v>
      </c>
      <c r="S19" s="7">
        <v>0</v>
      </c>
      <c r="U19" s="9">
        <v>108.66373341214999</v>
      </c>
      <c r="V19" s="7">
        <v>0</v>
      </c>
      <c r="X19" s="9">
        <v>91.749824504710006</v>
      </c>
      <c r="Y19" s="7">
        <v>0</v>
      </c>
      <c r="AA19" s="9">
        <v>101.42479649585999</v>
      </c>
      <c r="AB19" s="7">
        <v>0</v>
      </c>
      <c r="AD19" s="9">
        <v>155.60273448967999</v>
      </c>
      <c r="AE19" s="7">
        <v>0</v>
      </c>
      <c r="AG19" s="9">
        <v>148.90349479445999</v>
      </c>
      <c r="AH19" s="7">
        <v>0</v>
      </c>
      <c r="AJ19" s="9">
        <v>139.98785106784999</v>
      </c>
      <c r="AK19" s="7">
        <v>0</v>
      </c>
      <c r="AM19" s="9">
        <v>97.038896892663004</v>
      </c>
      <c r="AN19" s="7">
        <v>0</v>
      </c>
    </row>
    <row r="20" spans="2:40" ht="14" x14ac:dyDescent="0.15">
      <c r="B20" s="5" t="s">
        <v>30</v>
      </c>
      <c r="C20" s="8">
        <v>703694.62239999999</v>
      </c>
      <c r="D20" s="7">
        <v>0</v>
      </c>
      <c r="F20" s="8">
        <v>41920</v>
      </c>
      <c r="G20" s="7">
        <v>0</v>
      </c>
      <c r="I20" s="8">
        <v>52047</v>
      </c>
      <c r="J20" s="7">
        <v>0</v>
      </c>
      <c r="L20" s="8">
        <v>55473</v>
      </c>
      <c r="M20" s="7">
        <v>0</v>
      </c>
      <c r="O20" s="8">
        <v>51928</v>
      </c>
      <c r="P20" s="7">
        <v>0</v>
      </c>
      <c r="R20" s="8">
        <v>63671</v>
      </c>
      <c r="S20" s="7">
        <v>0</v>
      </c>
      <c r="U20" s="8">
        <v>59006</v>
      </c>
      <c r="V20" s="7">
        <v>0</v>
      </c>
      <c r="X20" s="8">
        <v>56747.132299999997</v>
      </c>
      <c r="Y20" s="7">
        <v>0</v>
      </c>
      <c r="AA20" s="8">
        <v>63873.067199999998</v>
      </c>
      <c r="AB20" s="7">
        <v>0</v>
      </c>
      <c r="AD20" s="8">
        <v>73456.2598</v>
      </c>
      <c r="AE20" s="7">
        <v>0</v>
      </c>
      <c r="AG20" s="8">
        <v>69038.665200000003</v>
      </c>
      <c r="AH20" s="7">
        <v>0</v>
      </c>
      <c r="AJ20" s="8">
        <v>62087.767800000001</v>
      </c>
      <c r="AK20" s="7">
        <v>0</v>
      </c>
      <c r="AM20" s="8">
        <v>54446.730100000001</v>
      </c>
      <c r="AN20" s="7">
        <v>0</v>
      </c>
    </row>
    <row r="21" spans="2:40" ht="14" x14ac:dyDescent="0.15">
      <c r="B21" s="5" t="s">
        <v>31</v>
      </c>
      <c r="C21" s="9">
        <v>1.399824592701</v>
      </c>
      <c r="D21" s="7">
        <v>0</v>
      </c>
      <c r="F21" s="9">
        <v>1.2963077493970001</v>
      </c>
      <c r="G21" s="7">
        <v>0</v>
      </c>
      <c r="I21" s="9">
        <v>1.3094573175333999</v>
      </c>
      <c r="J21" s="7">
        <v>0</v>
      </c>
      <c r="L21" s="9">
        <v>1.2857937556498</v>
      </c>
      <c r="M21" s="7">
        <v>0</v>
      </c>
      <c r="O21" s="9">
        <v>1.405739036275</v>
      </c>
      <c r="P21" s="7">
        <v>0</v>
      </c>
      <c r="R21" s="9">
        <v>1.3628210616437999</v>
      </c>
      <c r="S21" s="7">
        <v>0</v>
      </c>
      <c r="U21" s="9">
        <v>1.3899135514569001</v>
      </c>
      <c r="V21" s="7">
        <v>0</v>
      </c>
      <c r="X21" s="9">
        <v>1.4672820245636999</v>
      </c>
      <c r="Y21" s="7">
        <v>0</v>
      </c>
      <c r="AA21" s="9">
        <v>1.5928048477593999</v>
      </c>
      <c r="AB21" s="7">
        <v>0</v>
      </c>
      <c r="AD21" s="9">
        <v>1.4429500815212</v>
      </c>
      <c r="AE21" s="7">
        <v>0</v>
      </c>
      <c r="AG21" s="9">
        <v>1.4821525375697999</v>
      </c>
      <c r="AH21" s="7">
        <v>0</v>
      </c>
      <c r="AJ21" s="9">
        <v>1.2993150109867</v>
      </c>
      <c r="AK21" s="7">
        <v>0</v>
      </c>
      <c r="AM21" s="9">
        <v>1.4591892932757999</v>
      </c>
      <c r="AN21" s="7">
        <v>0</v>
      </c>
    </row>
    <row r="22" spans="2:40" ht="14" x14ac:dyDescent="0.15">
      <c r="B22" s="5" t="s">
        <v>32</v>
      </c>
      <c r="C22" s="8">
        <v>458108.49410000001</v>
      </c>
      <c r="D22" s="7">
        <v>0</v>
      </c>
      <c r="F22" s="8">
        <v>0</v>
      </c>
      <c r="G22" s="7">
        <v>0</v>
      </c>
      <c r="I22" s="8">
        <v>0</v>
      </c>
      <c r="J22" s="7">
        <v>0</v>
      </c>
      <c r="L22" s="8">
        <v>0</v>
      </c>
      <c r="M22" s="7">
        <v>0</v>
      </c>
      <c r="O22" s="8">
        <v>0</v>
      </c>
      <c r="P22" s="7">
        <v>0</v>
      </c>
      <c r="R22" s="8">
        <v>0</v>
      </c>
      <c r="S22" s="7">
        <v>0</v>
      </c>
      <c r="U22" s="8">
        <v>0</v>
      </c>
      <c r="V22" s="7">
        <v>0</v>
      </c>
      <c r="X22" s="8">
        <v>63786.389600000002</v>
      </c>
      <c r="Y22" s="7">
        <v>0</v>
      </c>
      <c r="AA22" s="8">
        <v>73320.082699999999</v>
      </c>
      <c r="AB22" s="7">
        <v>0</v>
      </c>
      <c r="AD22" s="8">
        <v>89230.291100000002</v>
      </c>
      <c r="AE22" s="7">
        <v>0</v>
      </c>
      <c r="AG22" s="8">
        <v>86488.837700000004</v>
      </c>
      <c r="AH22" s="7">
        <v>0</v>
      </c>
      <c r="AJ22" s="8">
        <v>80403.214099999997</v>
      </c>
      <c r="AK22" s="7">
        <v>0</v>
      </c>
      <c r="AM22" s="8">
        <v>64879.678899999999</v>
      </c>
      <c r="AN22" s="7">
        <v>0</v>
      </c>
    </row>
    <row r="23" spans="2:40" ht="14" x14ac:dyDescent="0.15">
      <c r="B23" s="5" t="s">
        <v>33</v>
      </c>
      <c r="C23" s="8">
        <v>548.89170000000001</v>
      </c>
      <c r="D23" s="7">
        <v>0</v>
      </c>
      <c r="F23" s="8">
        <v>595.76</v>
      </c>
      <c r="G23" s="7">
        <v>0</v>
      </c>
      <c r="I23" s="8">
        <v>583.63</v>
      </c>
      <c r="J23" s="7">
        <v>0</v>
      </c>
      <c r="L23" s="8">
        <v>571.70000000000005</v>
      </c>
      <c r="M23" s="7">
        <v>0</v>
      </c>
      <c r="O23" s="8">
        <v>563.1</v>
      </c>
      <c r="P23" s="7">
        <v>0</v>
      </c>
      <c r="R23" s="8">
        <v>560.92999999999995</v>
      </c>
      <c r="S23" s="7">
        <v>0</v>
      </c>
      <c r="U23" s="8">
        <v>567.21</v>
      </c>
      <c r="V23" s="7">
        <v>0</v>
      </c>
      <c r="X23" s="8">
        <v>508.67840000000001</v>
      </c>
      <c r="Y23" s="7">
        <v>0</v>
      </c>
      <c r="AA23" s="8">
        <v>520.33839999999998</v>
      </c>
      <c r="AB23" s="7">
        <v>0</v>
      </c>
      <c r="AD23" s="8">
        <v>526.33839999999998</v>
      </c>
      <c r="AE23" s="7">
        <v>0</v>
      </c>
      <c r="AG23" s="8">
        <v>529.33839999999998</v>
      </c>
      <c r="AH23" s="7">
        <v>0</v>
      </c>
      <c r="AJ23" s="8">
        <v>529.33839999999998</v>
      </c>
      <c r="AK23" s="7">
        <v>0</v>
      </c>
      <c r="AM23" s="8">
        <v>530.33839999999998</v>
      </c>
      <c r="AN23" s="7">
        <v>0</v>
      </c>
    </row>
    <row r="25" spans="2:40" ht="14" x14ac:dyDescent="0.15">
      <c r="B25" s="5" t="s">
        <v>34</v>
      </c>
      <c r="C25" s="8"/>
    </row>
    <row r="26" spans="2:40" x14ac:dyDescent="0.15">
      <c r="B26" s="8"/>
      <c r="C26" s="8"/>
      <c r="D26" s="8"/>
      <c r="F26" s="8"/>
      <c r="G26" s="8"/>
      <c r="I26" s="8"/>
      <c r="J26" s="8"/>
      <c r="L26" s="8"/>
      <c r="M26" s="8"/>
      <c r="O26" s="8"/>
      <c r="P26" s="8"/>
      <c r="R26" s="8"/>
      <c r="S26" s="8"/>
      <c r="U26" s="8"/>
      <c r="V26" s="8"/>
      <c r="X26" s="8"/>
      <c r="Y26" s="8"/>
      <c r="AA26" s="8"/>
      <c r="AB26" s="8"/>
      <c r="AD26" s="8"/>
      <c r="AE26" s="8"/>
      <c r="AG26" s="8"/>
      <c r="AH26" s="8"/>
      <c r="AJ26" s="8"/>
      <c r="AK26" s="8"/>
      <c r="AM26" s="8"/>
      <c r="AN26" s="8"/>
    </row>
    <row r="27" spans="2:40" ht="14" x14ac:dyDescent="0.15">
      <c r="B27" s="325" t="s">
        <v>21</v>
      </c>
      <c r="C27" s="326">
        <v>93365066.829699993</v>
      </c>
      <c r="D27" s="327">
        <v>1</v>
      </c>
      <c r="F27" s="326">
        <v>5324462.53</v>
      </c>
      <c r="G27" s="327">
        <v>1</v>
      </c>
      <c r="I27" s="326">
        <v>6311402.4699999997</v>
      </c>
      <c r="J27" s="327">
        <v>1</v>
      </c>
      <c r="L27" s="326">
        <v>8569487.6699999999</v>
      </c>
      <c r="M27" s="327">
        <v>1</v>
      </c>
      <c r="O27" s="326">
        <v>6313744.0499999998</v>
      </c>
      <c r="P27" s="327">
        <v>1</v>
      </c>
      <c r="R27" s="326">
        <v>8687115.6600000001</v>
      </c>
      <c r="S27" s="327">
        <v>1</v>
      </c>
      <c r="U27" s="326">
        <v>7353274.8399999999</v>
      </c>
      <c r="V27" s="327">
        <v>1</v>
      </c>
      <c r="X27" s="326">
        <v>6427992.7048000004</v>
      </c>
      <c r="Y27" s="327">
        <v>1</v>
      </c>
      <c r="AA27" s="326">
        <v>7105821.2424999997</v>
      </c>
      <c r="AB27" s="327">
        <v>1</v>
      </c>
      <c r="AD27" s="326">
        <v>10549865.398399999</v>
      </c>
      <c r="AE27" s="327">
        <v>1</v>
      </c>
      <c r="AG27" s="326">
        <v>10432178.8453</v>
      </c>
      <c r="AH27" s="327">
        <v>1</v>
      </c>
      <c r="AJ27" s="326">
        <v>9491176.3024000004</v>
      </c>
      <c r="AK27" s="327">
        <v>1</v>
      </c>
      <c r="AM27" s="326">
        <v>6798545.1162999999</v>
      </c>
      <c r="AN27" s="327">
        <v>1</v>
      </c>
    </row>
    <row r="28" spans="2:40" ht="14" x14ac:dyDescent="0.15">
      <c r="B28" s="5" t="s">
        <v>35</v>
      </c>
      <c r="C28" s="8">
        <v>64517300.662</v>
      </c>
      <c r="D28" s="7">
        <v>0.69102183999999989</v>
      </c>
      <c r="F28" s="8">
        <v>3449955.38</v>
      </c>
      <c r="G28" s="7">
        <v>0.64794434000000001</v>
      </c>
      <c r="I28" s="8">
        <v>4116749.6</v>
      </c>
      <c r="J28" s="7">
        <v>0.65227175999999998</v>
      </c>
      <c r="L28" s="8">
        <v>5853713.5999999996</v>
      </c>
      <c r="M28" s="7">
        <v>0.6830879299999999</v>
      </c>
      <c r="O28" s="8">
        <v>4435218.74</v>
      </c>
      <c r="P28" s="7">
        <v>0.70247046999999996</v>
      </c>
      <c r="R28" s="8">
        <v>6188618.96</v>
      </c>
      <c r="S28" s="7">
        <v>0.71239052999999997</v>
      </c>
      <c r="U28" s="8">
        <v>5482987.7999999998</v>
      </c>
      <c r="V28" s="7">
        <v>0.74565250000000005</v>
      </c>
      <c r="X28" s="8">
        <v>4451460.0865000002</v>
      </c>
      <c r="Y28" s="7">
        <v>0.69251169000000001</v>
      </c>
      <c r="AA28" s="8">
        <v>5031326.8677000003</v>
      </c>
      <c r="AB28" s="7">
        <v>0.70805706000000002</v>
      </c>
      <c r="AD28" s="8">
        <v>7145873.5192999998</v>
      </c>
      <c r="AE28" s="7">
        <v>0.67734262000000001</v>
      </c>
      <c r="AG28" s="8">
        <v>7458776.1540999999</v>
      </c>
      <c r="AH28" s="7">
        <v>0.71497778999999995</v>
      </c>
      <c r="AJ28" s="8">
        <v>6369007.5976999998</v>
      </c>
      <c r="AK28" s="7">
        <v>0.67104512999999999</v>
      </c>
      <c r="AM28" s="8">
        <v>4533612.3567000004</v>
      </c>
      <c r="AN28" s="7">
        <v>0.66685036999999991</v>
      </c>
    </row>
    <row r="29" spans="2:40" ht="14" x14ac:dyDescent="0.15">
      <c r="B29" s="5" t="s">
        <v>36</v>
      </c>
      <c r="C29" s="8">
        <v>24026075.908799998</v>
      </c>
      <c r="D29" s="7">
        <v>0.25733475</v>
      </c>
      <c r="F29" s="8">
        <v>1546693.83</v>
      </c>
      <c r="G29" s="7">
        <v>0.29048826</v>
      </c>
      <c r="I29" s="8">
        <v>1754002.11</v>
      </c>
      <c r="J29" s="7">
        <v>0.27791004000000002</v>
      </c>
      <c r="L29" s="8">
        <v>2276208.7799999998</v>
      </c>
      <c r="M29" s="7">
        <v>0.26561783999999999</v>
      </c>
      <c r="O29" s="8">
        <v>1497807.42</v>
      </c>
      <c r="P29" s="7">
        <v>0.23722967</v>
      </c>
      <c r="R29" s="8">
        <v>2052331.82</v>
      </c>
      <c r="S29" s="7">
        <v>0.23625009</v>
      </c>
      <c r="U29" s="8">
        <v>1755841.76</v>
      </c>
      <c r="V29" s="7">
        <v>0.23878363999999999</v>
      </c>
      <c r="X29" s="8">
        <v>1563065.3092</v>
      </c>
      <c r="Y29" s="7">
        <v>0.24316537999999999</v>
      </c>
      <c r="AA29" s="8">
        <v>1654962.7966</v>
      </c>
      <c r="AB29" s="7">
        <v>0.23290240000000001</v>
      </c>
      <c r="AD29" s="8">
        <v>2879229.9703000002</v>
      </c>
      <c r="AE29" s="7">
        <v>0.27291628000000001</v>
      </c>
      <c r="AG29" s="8">
        <v>2473366.6115999999</v>
      </c>
      <c r="AH29" s="7">
        <v>0.23709013000000001</v>
      </c>
      <c r="AJ29" s="8">
        <v>2666440.1875</v>
      </c>
      <c r="AK29" s="7">
        <v>0.28093885000000002</v>
      </c>
      <c r="AM29" s="8">
        <v>1906125.3136</v>
      </c>
      <c r="AN29" s="7">
        <v>0.28037253000000001</v>
      </c>
    </row>
    <row r="30" spans="2:40" ht="14" x14ac:dyDescent="0.15">
      <c r="B30" s="5" t="s">
        <v>37</v>
      </c>
      <c r="C30" s="8">
        <v>3701520.1025999999</v>
      </c>
      <c r="D30" s="7">
        <v>3.9645659999999999E-2</v>
      </c>
      <c r="F30" s="8">
        <v>263081.53999999998</v>
      </c>
      <c r="G30" s="7">
        <v>4.9409969999999998E-2</v>
      </c>
      <c r="I30" s="8">
        <v>310635.21999999997</v>
      </c>
      <c r="J30" s="7">
        <v>4.9218100000000001E-2</v>
      </c>
      <c r="L30" s="8">
        <v>303136.23</v>
      </c>
      <c r="M30" s="7">
        <v>3.53739E-2</v>
      </c>
      <c r="O30" s="8">
        <v>316090.71999999997</v>
      </c>
      <c r="P30" s="7">
        <v>5.0063910000000003E-2</v>
      </c>
      <c r="R30" s="8">
        <v>357555.59</v>
      </c>
      <c r="S30" s="7">
        <v>4.1159300000000003E-2</v>
      </c>
      <c r="U30" s="8">
        <v>65533.57</v>
      </c>
      <c r="V30" s="7">
        <v>8.9121600000000006E-3</v>
      </c>
      <c r="X30" s="8">
        <v>345619.98119999998</v>
      </c>
      <c r="Y30" s="7">
        <v>5.3767950000000002E-2</v>
      </c>
      <c r="AA30" s="8">
        <v>345372.14260000002</v>
      </c>
      <c r="AB30" s="7">
        <v>4.8604109999999999E-2</v>
      </c>
      <c r="AD30" s="8">
        <v>396617.44819999998</v>
      </c>
      <c r="AE30" s="7">
        <v>3.7594549999999997E-2</v>
      </c>
      <c r="AG30" s="8">
        <v>367281.6948</v>
      </c>
      <c r="AH30" s="7">
        <v>3.5206609999999999E-2</v>
      </c>
      <c r="AJ30" s="8">
        <v>340551.75760000001</v>
      </c>
      <c r="AK30" s="7">
        <v>3.5880879999999997E-2</v>
      </c>
      <c r="AM30" s="8">
        <v>290044.20819999999</v>
      </c>
      <c r="AN30" s="7">
        <v>4.2662690000000003E-2</v>
      </c>
    </row>
    <row r="31" spans="2:40" ht="14" x14ac:dyDescent="0.15">
      <c r="B31" s="5" t="s">
        <v>38</v>
      </c>
      <c r="C31" s="8">
        <v>1120170.156</v>
      </c>
      <c r="D31" s="7">
        <v>1.199774E-2</v>
      </c>
      <c r="F31" s="8">
        <v>64731.78</v>
      </c>
      <c r="G31" s="7">
        <v>1.215743E-2</v>
      </c>
      <c r="I31" s="8">
        <v>130015.54</v>
      </c>
      <c r="J31" s="7">
        <v>2.06001E-2</v>
      </c>
      <c r="L31" s="8">
        <v>136429.06</v>
      </c>
      <c r="M31" s="7">
        <v>1.592033E-2</v>
      </c>
      <c r="O31" s="8">
        <v>64627.17</v>
      </c>
      <c r="P31" s="7">
        <v>1.0235950000000001E-2</v>
      </c>
      <c r="R31" s="8">
        <v>88609.29</v>
      </c>
      <c r="S31" s="7">
        <v>1.020008E-2</v>
      </c>
      <c r="U31" s="8">
        <v>48911.71</v>
      </c>
      <c r="V31" s="7">
        <v>6.65169E-3</v>
      </c>
      <c r="X31" s="8">
        <v>67847.327699999994</v>
      </c>
      <c r="Y31" s="7">
        <v>1.055498E-2</v>
      </c>
      <c r="AA31" s="8">
        <v>74159.435700000002</v>
      </c>
      <c r="AB31" s="7">
        <v>1.043643E-2</v>
      </c>
      <c r="AD31" s="8">
        <v>128144.4604</v>
      </c>
      <c r="AE31" s="7">
        <v>1.2146550000000001E-2</v>
      </c>
      <c r="AG31" s="8">
        <v>132754.3848</v>
      </c>
      <c r="AH31" s="7">
        <v>1.2725469999999999E-2</v>
      </c>
      <c r="AJ31" s="8">
        <v>115176.7596</v>
      </c>
      <c r="AK31" s="7">
        <v>1.2135140000000001E-2</v>
      </c>
      <c r="AM31" s="8">
        <v>68763.237800000003</v>
      </c>
      <c r="AN31" s="7">
        <v>1.0114400000000001E-2</v>
      </c>
    </row>
    <row r="32" spans="2:40" x14ac:dyDescent="0.15">
      <c r="B32" s="8"/>
      <c r="C32" s="8"/>
      <c r="D32" s="8"/>
      <c r="F32" s="8"/>
      <c r="G32" s="8"/>
      <c r="I32" s="8"/>
      <c r="J32" s="8"/>
      <c r="L32" s="8"/>
      <c r="M32" s="8"/>
      <c r="O32" s="8"/>
      <c r="P32" s="8"/>
      <c r="R32" s="8"/>
      <c r="S32" s="8"/>
      <c r="U32" s="8"/>
      <c r="V32" s="8"/>
      <c r="X32" s="8"/>
      <c r="Y32" s="8"/>
      <c r="AA32" s="8"/>
      <c r="AB32" s="8"/>
      <c r="AD32" s="8"/>
      <c r="AE32" s="8"/>
      <c r="AG32" s="8"/>
      <c r="AH32" s="8"/>
      <c r="AJ32" s="8"/>
      <c r="AK32" s="8"/>
      <c r="AM32" s="8"/>
      <c r="AN32" s="8"/>
    </row>
    <row r="33" spans="2:40" ht="14" x14ac:dyDescent="0.15">
      <c r="B33" s="328" t="s">
        <v>39</v>
      </c>
      <c r="C33" s="329"/>
      <c r="D33" s="329"/>
      <c r="F33" s="329"/>
      <c r="G33" s="329"/>
      <c r="I33" s="329"/>
      <c r="J33" s="329"/>
      <c r="L33" s="329"/>
      <c r="M33" s="329"/>
      <c r="O33" s="329"/>
      <c r="P33" s="329"/>
      <c r="R33" s="329"/>
      <c r="S33" s="329"/>
      <c r="U33" s="329"/>
      <c r="V33" s="329"/>
      <c r="X33" s="329"/>
      <c r="Y33" s="329"/>
      <c r="AA33" s="329"/>
      <c r="AB33" s="329"/>
      <c r="AD33" s="329"/>
      <c r="AE33" s="329"/>
      <c r="AG33" s="329"/>
      <c r="AH33" s="329"/>
      <c r="AJ33" s="329"/>
      <c r="AK33" s="329"/>
      <c r="AM33" s="329"/>
      <c r="AN33" s="329"/>
    </row>
    <row r="34" spans="2:40" ht="14" x14ac:dyDescent="0.15">
      <c r="B34" s="325" t="s">
        <v>35</v>
      </c>
      <c r="C34" s="326">
        <v>64517300.662</v>
      </c>
      <c r="D34" s="327">
        <v>1</v>
      </c>
      <c r="F34" s="326">
        <v>3449955.38</v>
      </c>
      <c r="G34" s="327">
        <v>1</v>
      </c>
      <c r="I34" s="326">
        <v>4116749.6</v>
      </c>
      <c r="J34" s="327">
        <v>1</v>
      </c>
      <c r="L34" s="326">
        <v>5853713.5999999996</v>
      </c>
      <c r="M34" s="327">
        <v>1</v>
      </c>
      <c r="O34" s="326">
        <v>4435218.74</v>
      </c>
      <c r="P34" s="327">
        <v>1</v>
      </c>
      <c r="R34" s="326">
        <v>6188618.96</v>
      </c>
      <c r="S34" s="327">
        <v>1</v>
      </c>
      <c r="U34" s="326">
        <v>5482987.7999999998</v>
      </c>
      <c r="V34" s="327">
        <v>1</v>
      </c>
      <c r="X34" s="326">
        <v>4451460.0865000002</v>
      </c>
      <c r="Y34" s="327">
        <v>1</v>
      </c>
      <c r="AA34" s="326">
        <v>5031326.8677000003</v>
      </c>
      <c r="AB34" s="327">
        <v>1</v>
      </c>
      <c r="AD34" s="326">
        <v>7145873.5192999998</v>
      </c>
      <c r="AE34" s="327">
        <v>1</v>
      </c>
      <c r="AG34" s="326">
        <v>7458776.1540999999</v>
      </c>
      <c r="AH34" s="327">
        <v>1</v>
      </c>
      <c r="AJ34" s="326">
        <v>6369007.5976999998</v>
      </c>
      <c r="AK34" s="327">
        <v>1</v>
      </c>
      <c r="AM34" s="326">
        <v>4533612.3567000004</v>
      </c>
      <c r="AN34" s="327">
        <v>1</v>
      </c>
    </row>
    <row r="35" spans="2:40" ht="14" x14ac:dyDescent="0.15">
      <c r="B35" s="5" t="s">
        <v>22</v>
      </c>
      <c r="C35" s="8">
        <v>14323669.988</v>
      </c>
      <c r="D35" s="7">
        <v>0.22201285000000001</v>
      </c>
      <c r="F35" s="8">
        <v>1089377.46</v>
      </c>
      <c r="G35" s="7">
        <v>0.31576567</v>
      </c>
      <c r="I35" s="8">
        <v>1124226.54</v>
      </c>
      <c r="J35" s="7">
        <v>0.27308597000000001</v>
      </c>
      <c r="L35" s="8">
        <v>1214694.8</v>
      </c>
      <c r="M35" s="7">
        <v>0.20750841</v>
      </c>
      <c r="O35" s="8">
        <v>1131554.74</v>
      </c>
      <c r="P35" s="7">
        <v>0.25512941</v>
      </c>
      <c r="R35" s="8">
        <v>1248859.71</v>
      </c>
      <c r="S35" s="7">
        <v>0.20179942000000001</v>
      </c>
      <c r="U35" s="8">
        <v>1242012.27</v>
      </c>
      <c r="V35" s="7">
        <v>0.22652106999999999</v>
      </c>
      <c r="X35" s="8">
        <v>1151457.2501000001</v>
      </c>
      <c r="Y35" s="7">
        <v>0.25866957000000002</v>
      </c>
      <c r="AA35" s="8">
        <v>1155188.5537</v>
      </c>
      <c r="AB35" s="7">
        <v>0.22959919000000001</v>
      </c>
      <c r="AD35" s="8">
        <v>1299033.4224</v>
      </c>
      <c r="AE35" s="7">
        <v>0.18178791</v>
      </c>
      <c r="AG35" s="8">
        <v>1228759.662</v>
      </c>
      <c r="AH35" s="7">
        <v>0.16474011999999999</v>
      </c>
      <c r="AJ35" s="8">
        <v>1287744.4184000001</v>
      </c>
      <c r="AK35" s="7">
        <v>0.20218918</v>
      </c>
      <c r="AM35" s="8">
        <v>1150761.1614000001</v>
      </c>
      <c r="AN35" s="7">
        <v>0.25382874999999999</v>
      </c>
    </row>
    <row r="36" spans="2:40" ht="14" x14ac:dyDescent="0.15">
      <c r="B36" s="5" t="s">
        <v>40</v>
      </c>
      <c r="C36" s="8">
        <v>10594077.32</v>
      </c>
      <c r="D36" s="7">
        <v>0.16420522000000001</v>
      </c>
      <c r="F36" s="8">
        <v>663614.29</v>
      </c>
      <c r="G36" s="7">
        <v>0.19235446</v>
      </c>
      <c r="I36" s="8">
        <v>816665.75</v>
      </c>
      <c r="J36" s="7">
        <v>0.19837635000000001</v>
      </c>
      <c r="L36" s="8">
        <v>919030.25</v>
      </c>
      <c r="M36" s="7">
        <v>0.15699952</v>
      </c>
      <c r="O36" s="8">
        <v>779776.4</v>
      </c>
      <c r="P36" s="7">
        <v>0.17581463999999999</v>
      </c>
      <c r="R36" s="8">
        <v>956658.27</v>
      </c>
      <c r="S36" s="7">
        <v>0.15458348</v>
      </c>
      <c r="U36" s="8">
        <v>870302.88</v>
      </c>
      <c r="V36" s="7">
        <v>0.15872785</v>
      </c>
      <c r="X36" s="8">
        <v>793959.98320000002</v>
      </c>
      <c r="Y36" s="7">
        <v>0.17835945</v>
      </c>
      <c r="AA36" s="8">
        <v>862548.38410000002</v>
      </c>
      <c r="AB36" s="7">
        <v>0.17143557000000001</v>
      </c>
      <c r="AD36" s="8">
        <v>1105104.4102</v>
      </c>
      <c r="AE36" s="7">
        <v>0.15464931000000001</v>
      </c>
      <c r="AG36" s="8">
        <v>1115832.3483</v>
      </c>
      <c r="AH36" s="7">
        <v>0.14959992</v>
      </c>
      <c r="AJ36" s="8">
        <v>975842.27450000006</v>
      </c>
      <c r="AK36" s="7">
        <v>0.15321731999999999</v>
      </c>
      <c r="AM36" s="8">
        <v>734742.0797</v>
      </c>
      <c r="AN36" s="7">
        <v>0.16206548000000001</v>
      </c>
    </row>
    <row r="37" spans="2:40" ht="14" x14ac:dyDescent="0.15">
      <c r="B37" s="325" t="s">
        <v>41</v>
      </c>
      <c r="C37" s="326">
        <v>39599553.354099996</v>
      </c>
      <c r="D37" s="327">
        <v>0.61378193000000003</v>
      </c>
      <c r="F37" s="326">
        <v>1696963.63</v>
      </c>
      <c r="G37" s="327">
        <v>0.49187987999999999</v>
      </c>
      <c r="I37" s="326">
        <v>2175857.31</v>
      </c>
      <c r="J37" s="327">
        <v>0.52853768999999995</v>
      </c>
      <c r="L37" s="326">
        <v>3719988.55</v>
      </c>
      <c r="M37" s="327">
        <v>0.63549207000000008</v>
      </c>
      <c r="O37" s="326">
        <v>2523887.6</v>
      </c>
      <c r="P37" s="327">
        <v>0.56905594999999998</v>
      </c>
      <c r="R37" s="326">
        <v>3983100.98</v>
      </c>
      <c r="S37" s="327">
        <v>0.64361710000000005</v>
      </c>
      <c r="U37" s="326">
        <v>3370672.65</v>
      </c>
      <c r="V37" s="327">
        <v>0.61475108000000001</v>
      </c>
      <c r="X37" s="326">
        <v>2506042.8533000001</v>
      </c>
      <c r="Y37" s="327">
        <v>0.56297098000000001</v>
      </c>
      <c r="AA37" s="326">
        <v>3013589.9298</v>
      </c>
      <c r="AB37" s="327">
        <v>0.59896523999999995</v>
      </c>
      <c r="AD37" s="326">
        <v>4741735.6867000004</v>
      </c>
      <c r="AE37" s="327">
        <v>0.66356278000000002</v>
      </c>
      <c r="AG37" s="326">
        <v>5114184.1437999997</v>
      </c>
      <c r="AH37" s="327">
        <v>0.68565995999999996</v>
      </c>
      <c r="AJ37" s="326">
        <v>4105420.9049</v>
      </c>
      <c r="AK37" s="327">
        <v>0.64459350000000004</v>
      </c>
      <c r="AM37" s="326">
        <v>2648109.1156000001</v>
      </c>
      <c r="AN37" s="327">
        <v>0.58410577000000008</v>
      </c>
    </row>
    <row r="38" spans="2:40" x14ac:dyDescent="0.15">
      <c r="B38" s="8"/>
      <c r="C38" s="8"/>
      <c r="D38" s="8"/>
      <c r="F38" s="8"/>
      <c r="G38" s="8"/>
      <c r="I38" s="8"/>
      <c r="J38" s="8"/>
      <c r="L38" s="8"/>
      <c r="M38" s="8"/>
      <c r="O38" s="8"/>
      <c r="P38" s="8"/>
      <c r="R38" s="8"/>
      <c r="S38" s="8"/>
      <c r="U38" s="8"/>
      <c r="V38" s="8"/>
      <c r="X38" s="8"/>
      <c r="Y38" s="8"/>
      <c r="AA38" s="8"/>
      <c r="AB38" s="8"/>
      <c r="AD38" s="8"/>
      <c r="AE38" s="8"/>
      <c r="AG38" s="8"/>
      <c r="AH38" s="8"/>
      <c r="AJ38" s="8"/>
      <c r="AK38" s="8"/>
      <c r="AM38" s="8"/>
      <c r="AN38" s="8"/>
    </row>
    <row r="39" spans="2:40" ht="14" x14ac:dyDescent="0.15">
      <c r="B39" s="328" t="s">
        <v>42</v>
      </c>
      <c r="C39" s="329"/>
      <c r="D39" s="329"/>
      <c r="F39" s="329"/>
      <c r="G39" s="329"/>
      <c r="I39" s="329"/>
      <c r="J39" s="329"/>
      <c r="L39" s="329"/>
      <c r="M39" s="329"/>
      <c r="O39" s="329"/>
      <c r="P39" s="329"/>
      <c r="R39" s="329"/>
      <c r="S39" s="329"/>
      <c r="U39" s="329"/>
      <c r="V39" s="329"/>
      <c r="X39" s="329"/>
      <c r="Y39" s="329"/>
      <c r="AA39" s="329"/>
      <c r="AB39" s="329"/>
      <c r="AD39" s="329"/>
      <c r="AE39" s="329"/>
      <c r="AG39" s="329"/>
      <c r="AH39" s="329"/>
      <c r="AJ39" s="329"/>
      <c r="AK39" s="329"/>
      <c r="AM39" s="329"/>
      <c r="AN39" s="329"/>
    </row>
    <row r="40" spans="2:40" ht="14" x14ac:dyDescent="0.15">
      <c r="B40" s="5" t="s">
        <v>43</v>
      </c>
      <c r="C40" s="8">
        <v>14532983.2335</v>
      </c>
      <c r="D40" s="7">
        <v>0.60488375999999999</v>
      </c>
      <c r="F40" s="8">
        <v>900459.03</v>
      </c>
      <c r="G40" s="7">
        <v>0.58218311</v>
      </c>
      <c r="I40" s="8">
        <v>993559.98</v>
      </c>
      <c r="J40" s="7">
        <v>0.56645312999999997</v>
      </c>
      <c r="L40" s="8">
        <v>1336715.2</v>
      </c>
      <c r="M40" s="7">
        <v>0.58725508999999998</v>
      </c>
      <c r="O40" s="8">
        <v>921048.16</v>
      </c>
      <c r="P40" s="7">
        <v>0.61493096000000003</v>
      </c>
      <c r="R40" s="8">
        <v>1224473.42</v>
      </c>
      <c r="S40" s="7">
        <v>0.59662545999999994</v>
      </c>
      <c r="U40" s="8">
        <v>1043884.6</v>
      </c>
      <c r="V40" s="7">
        <v>0.59452088999999997</v>
      </c>
      <c r="X40" s="8">
        <v>984894.29449999996</v>
      </c>
      <c r="Y40" s="7">
        <v>0.63010438000000002</v>
      </c>
      <c r="AA40" s="8">
        <v>1058491.1115999999</v>
      </c>
      <c r="AB40" s="7">
        <v>0.63958605000000002</v>
      </c>
      <c r="AD40" s="8">
        <v>1779486.7441</v>
      </c>
      <c r="AE40" s="7">
        <v>0.61804259000000006</v>
      </c>
      <c r="AG40" s="8">
        <v>1528421.0526000001</v>
      </c>
      <c r="AH40" s="7">
        <v>0.61795168</v>
      </c>
      <c r="AJ40" s="8">
        <v>1596908.9813999999</v>
      </c>
      <c r="AK40" s="7">
        <v>0.59889172999999996</v>
      </c>
      <c r="AM40" s="8">
        <v>1164640.6592999999</v>
      </c>
      <c r="AN40" s="7">
        <v>0.61099899999999996</v>
      </c>
    </row>
    <row r="41" spans="2:40" ht="14" x14ac:dyDescent="0.15">
      <c r="B41" s="5" t="s">
        <v>44</v>
      </c>
      <c r="C41" s="8">
        <v>6891930.5657000002</v>
      </c>
      <c r="D41" s="7">
        <v>0.28685210999999999</v>
      </c>
      <c r="F41" s="8">
        <v>493168.45</v>
      </c>
      <c r="G41" s="7">
        <v>0.31885331</v>
      </c>
      <c r="I41" s="8">
        <v>556848.28</v>
      </c>
      <c r="J41" s="7">
        <v>0.31747298000000002</v>
      </c>
      <c r="L41" s="8">
        <v>690705.31</v>
      </c>
      <c r="M41" s="7">
        <v>0.30344549999999998</v>
      </c>
      <c r="O41" s="8">
        <v>442292.98</v>
      </c>
      <c r="P41" s="7">
        <v>0.29529361999999998</v>
      </c>
      <c r="R41" s="8">
        <v>603753.64</v>
      </c>
      <c r="S41" s="7">
        <v>0.29417935000000001</v>
      </c>
      <c r="U41" s="8">
        <v>499691.76</v>
      </c>
      <c r="V41" s="7">
        <v>0.28458814999999998</v>
      </c>
      <c r="X41" s="8">
        <v>449581.81479999999</v>
      </c>
      <c r="Y41" s="7">
        <v>0.2876283</v>
      </c>
      <c r="AA41" s="8">
        <v>496285.53519999998</v>
      </c>
      <c r="AB41" s="7">
        <v>0.29987715999999998</v>
      </c>
      <c r="AD41" s="8">
        <v>743654.15619999997</v>
      </c>
      <c r="AE41" s="7">
        <v>0.25828231000000001</v>
      </c>
      <c r="AG41" s="8">
        <v>659586.06909999996</v>
      </c>
      <c r="AH41" s="7">
        <v>0.26667542</v>
      </c>
      <c r="AJ41" s="8">
        <v>724677.42599999998</v>
      </c>
      <c r="AK41" s="7">
        <v>0.27177711999999998</v>
      </c>
      <c r="AM41" s="8">
        <v>531685.14439999999</v>
      </c>
      <c r="AN41" s="7">
        <v>0.27893504000000002</v>
      </c>
    </row>
    <row r="42" spans="2:40" ht="14" x14ac:dyDescent="0.15">
      <c r="B42" s="5" t="s">
        <v>45</v>
      </c>
      <c r="C42" s="8">
        <v>2601162.11</v>
      </c>
      <c r="D42" s="7">
        <v>0.10826413</v>
      </c>
      <c r="F42" s="8">
        <v>153066.35</v>
      </c>
      <c r="G42" s="7">
        <v>9.8963570000000001E-2</v>
      </c>
      <c r="I42" s="8">
        <v>203593.85</v>
      </c>
      <c r="J42" s="7">
        <v>0.11607389</v>
      </c>
      <c r="L42" s="8">
        <v>248788.27</v>
      </c>
      <c r="M42" s="7">
        <v>0.10929941</v>
      </c>
      <c r="O42" s="8">
        <v>134466.28</v>
      </c>
      <c r="P42" s="7">
        <v>8.977541E-2</v>
      </c>
      <c r="R42" s="8">
        <v>224104.76</v>
      </c>
      <c r="S42" s="7">
        <v>0.10919519</v>
      </c>
      <c r="U42" s="8">
        <v>212265.4</v>
      </c>
      <c r="V42" s="7">
        <v>0.12089096000000001</v>
      </c>
      <c r="X42" s="8">
        <v>128589.2</v>
      </c>
      <c r="Y42" s="7">
        <v>8.2267320000000005E-2</v>
      </c>
      <c r="AA42" s="8">
        <v>100186.15</v>
      </c>
      <c r="AB42" s="7">
        <v>6.0536800000000002E-2</v>
      </c>
      <c r="AD42" s="8">
        <v>356089.07</v>
      </c>
      <c r="AE42" s="7">
        <v>0.12367511</v>
      </c>
      <c r="AG42" s="8">
        <v>285359.49</v>
      </c>
      <c r="AH42" s="7">
        <v>0.1153729</v>
      </c>
      <c r="AJ42" s="8">
        <v>344853.78</v>
      </c>
      <c r="AK42" s="7">
        <v>0.12933115000000001</v>
      </c>
      <c r="AM42" s="8">
        <v>209799.51</v>
      </c>
      <c r="AN42" s="7">
        <v>0.11006596</v>
      </c>
    </row>
    <row r="43" spans="2:40" ht="14" x14ac:dyDescent="0.15">
      <c r="B43" s="325" t="s">
        <v>36</v>
      </c>
      <c r="C43" s="326">
        <v>24026075.908799998</v>
      </c>
      <c r="D43" s="327">
        <v>1</v>
      </c>
      <c r="F43" s="326">
        <v>1546693.83</v>
      </c>
      <c r="G43" s="327">
        <v>1</v>
      </c>
      <c r="I43" s="326">
        <v>1754002.11</v>
      </c>
      <c r="J43" s="327">
        <v>1</v>
      </c>
      <c r="L43" s="326">
        <v>2276208.7799999998</v>
      </c>
      <c r="M43" s="327">
        <v>1</v>
      </c>
      <c r="O43" s="326">
        <v>1497807.42</v>
      </c>
      <c r="P43" s="327">
        <v>1</v>
      </c>
      <c r="R43" s="326">
        <v>2052331.82</v>
      </c>
      <c r="S43" s="327">
        <v>1</v>
      </c>
      <c r="U43" s="326">
        <v>1755841.76</v>
      </c>
      <c r="V43" s="327">
        <v>1</v>
      </c>
      <c r="X43" s="326">
        <v>1563065.3092</v>
      </c>
      <c r="Y43" s="327">
        <v>1</v>
      </c>
      <c r="AA43" s="326">
        <v>1654962.7966</v>
      </c>
      <c r="AB43" s="327">
        <v>1</v>
      </c>
      <c r="AD43" s="326">
        <v>2879229.9703000002</v>
      </c>
      <c r="AE43" s="327">
        <v>1</v>
      </c>
      <c r="AG43" s="326">
        <v>2473366.6115999999</v>
      </c>
      <c r="AH43" s="327">
        <v>1</v>
      </c>
      <c r="AJ43" s="326">
        <v>2666440.1875</v>
      </c>
      <c r="AK43" s="327">
        <v>1</v>
      </c>
      <c r="AM43" s="326">
        <v>1906125.3136</v>
      </c>
      <c r="AN43" s="327">
        <v>1</v>
      </c>
    </row>
    <row r="44" spans="2:40" ht="14" x14ac:dyDescent="0.15">
      <c r="B44" s="5" t="s">
        <v>46</v>
      </c>
      <c r="C44" s="8">
        <v>4790996.2368999999</v>
      </c>
      <c r="D44" s="7">
        <v>0.32966364999999997</v>
      </c>
      <c r="F44" s="8">
        <v>319379.69</v>
      </c>
      <c r="G44" s="7">
        <v>0.35468541999999997</v>
      </c>
      <c r="I44" s="8">
        <v>398065.24</v>
      </c>
      <c r="J44" s="7">
        <v>0.40064539999999998</v>
      </c>
      <c r="L44" s="8">
        <v>442233.77</v>
      </c>
      <c r="M44" s="7">
        <v>0.33083618999999997</v>
      </c>
      <c r="O44" s="8">
        <v>331436.61</v>
      </c>
      <c r="P44" s="7">
        <v>0.35984720999999997</v>
      </c>
      <c r="R44" s="8">
        <v>420905.49</v>
      </c>
      <c r="S44" s="7">
        <v>0.34374408000000001</v>
      </c>
      <c r="U44" s="8">
        <v>389112.16</v>
      </c>
      <c r="V44" s="7">
        <v>0.37275399999999997</v>
      </c>
      <c r="X44" s="8">
        <v>310475.25280000002</v>
      </c>
      <c r="Y44" s="7">
        <v>0.31523712999999998</v>
      </c>
      <c r="AA44" s="8">
        <v>336092.12959999999</v>
      </c>
      <c r="AB44" s="7">
        <v>0.31752003000000001</v>
      </c>
      <c r="AD44" s="8">
        <v>540766.98970000003</v>
      </c>
      <c r="AE44" s="7">
        <v>0.30388929999999997</v>
      </c>
      <c r="AG44" s="8">
        <v>466472.42950000003</v>
      </c>
      <c r="AH44" s="7">
        <v>0.3051989</v>
      </c>
      <c r="AJ44" s="8">
        <v>483996.31150000001</v>
      </c>
      <c r="AK44" s="7">
        <v>0.30308321999999999</v>
      </c>
      <c r="AM44" s="8">
        <v>352060.16379999998</v>
      </c>
      <c r="AN44" s="7">
        <v>0.30229081000000002</v>
      </c>
    </row>
    <row r="45" spans="2:40" ht="14" x14ac:dyDescent="0.15">
      <c r="B45" s="5" t="s">
        <v>47</v>
      </c>
      <c r="C45" s="8">
        <v>1339594.2860000001</v>
      </c>
      <c r="D45" s="7">
        <v>0.19437140999999999</v>
      </c>
      <c r="F45" s="8">
        <v>103937.91</v>
      </c>
      <c r="G45" s="7">
        <v>0.21075538999999999</v>
      </c>
      <c r="I45" s="8">
        <v>100743.06</v>
      </c>
      <c r="J45" s="7">
        <v>0.18091652999999999</v>
      </c>
      <c r="L45" s="8">
        <v>141001.25</v>
      </c>
      <c r="M45" s="7">
        <v>0.20414097</v>
      </c>
      <c r="O45" s="8">
        <v>97707.36</v>
      </c>
      <c r="P45" s="7">
        <v>0.22091094</v>
      </c>
      <c r="R45" s="8">
        <v>131413.69</v>
      </c>
      <c r="S45" s="7">
        <v>0.21766110999999999</v>
      </c>
      <c r="U45" s="8">
        <v>116594.35</v>
      </c>
      <c r="V45" s="7">
        <v>0.23333254</v>
      </c>
      <c r="X45" s="8">
        <v>82109.130300000004</v>
      </c>
      <c r="Y45" s="7">
        <v>0.18263446</v>
      </c>
      <c r="AA45" s="8">
        <v>91249.336299999995</v>
      </c>
      <c r="AB45" s="7">
        <v>0.18386458999999999</v>
      </c>
      <c r="AD45" s="8">
        <v>132642.43119999999</v>
      </c>
      <c r="AE45" s="7">
        <v>0.17836574999999999</v>
      </c>
      <c r="AG45" s="8">
        <v>117633.25079999999</v>
      </c>
      <c r="AH45" s="7">
        <v>0.17834405</v>
      </c>
      <c r="AJ45" s="8">
        <v>128625.69319999999</v>
      </c>
      <c r="AK45" s="7">
        <v>0.17749371999999999</v>
      </c>
      <c r="AM45" s="8">
        <v>95936.824200000003</v>
      </c>
      <c r="AN45" s="7">
        <v>0.18043917000000001</v>
      </c>
    </row>
    <row r="46" spans="2:40" ht="14" x14ac:dyDescent="0.15">
      <c r="B46" s="5" t="s">
        <v>48</v>
      </c>
      <c r="C46" s="8">
        <v>180851.8866</v>
      </c>
      <c r="D46" s="7">
        <v>6.9527340000000007E-2</v>
      </c>
      <c r="F46" s="8">
        <v>17000.93</v>
      </c>
      <c r="G46" s="7">
        <v>0.11106902</v>
      </c>
      <c r="I46" s="8">
        <v>12524.56</v>
      </c>
      <c r="J46" s="7">
        <v>6.1517380000000003E-2</v>
      </c>
      <c r="L46" s="8">
        <v>13569.68</v>
      </c>
      <c r="M46" s="7">
        <v>5.4543090000000002E-2</v>
      </c>
      <c r="O46" s="8">
        <v>6542.23</v>
      </c>
      <c r="P46" s="7">
        <v>4.8653310000000012E-2</v>
      </c>
      <c r="R46" s="8">
        <v>19900.88</v>
      </c>
      <c r="S46" s="7">
        <v>8.8801679999999994E-2</v>
      </c>
      <c r="U46" s="8">
        <v>11830.84</v>
      </c>
      <c r="V46" s="7">
        <v>5.5736069999999999E-2</v>
      </c>
      <c r="X46" s="8">
        <v>11895.0731</v>
      </c>
      <c r="Y46" s="7">
        <v>9.2504449999999988E-2</v>
      </c>
      <c r="AA46" s="8">
        <v>9462.6934999999994</v>
      </c>
      <c r="AB46" s="7">
        <v>9.4451110000000005E-2</v>
      </c>
      <c r="AD46" s="8">
        <v>25840</v>
      </c>
      <c r="AE46" s="7">
        <v>7.2566110000000003E-2</v>
      </c>
      <c r="AG46" s="8">
        <v>17010</v>
      </c>
      <c r="AH46" s="7">
        <v>5.9609019999999999E-2</v>
      </c>
      <c r="AJ46" s="8">
        <v>21720</v>
      </c>
      <c r="AK46" s="7">
        <v>6.2983219999999993E-2</v>
      </c>
      <c r="AM46" s="8">
        <v>13555</v>
      </c>
      <c r="AN46" s="7">
        <v>6.4609300000000008E-2</v>
      </c>
    </row>
    <row r="47" spans="2:40" ht="14" x14ac:dyDescent="0.15">
      <c r="B47" s="325" t="s">
        <v>49</v>
      </c>
      <c r="C47" s="326">
        <v>6311442.4091999996</v>
      </c>
      <c r="D47" s="327">
        <v>0.26269134999999999</v>
      </c>
      <c r="F47" s="326">
        <v>440318.53</v>
      </c>
      <c r="G47" s="327">
        <v>0.28468369999999998</v>
      </c>
      <c r="I47" s="326">
        <v>511332.86</v>
      </c>
      <c r="J47" s="327">
        <v>0.29152350999999999</v>
      </c>
      <c r="L47" s="326">
        <v>596804.69999999995</v>
      </c>
      <c r="M47" s="327">
        <v>0.26219242999999998</v>
      </c>
      <c r="O47" s="326">
        <v>435686.2</v>
      </c>
      <c r="P47" s="327">
        <v>0.29088266000000002</v>
      </c>
      <c r="R47" s="326">
        <v>572220.06000000006</v>
      </c>
      <c r="S47" s="327">
        <v>0.27881458999999997</v>
      </c>
      <c r="U47" s="326">
        <v>517537.35</v>
      </c>
      <c r="V47" s="327">
        <v>0.29475170000000001</v>
      </c>
      <c r="X47" s="326">
        <v>404479.45600000001</v>
      </c>
      <c r="Y47" s="327">
        <v>0.25877323000000002</v>
      </c>
      <c r="AA47" s="326">
        <v>436804.15950000001</v>
      </c>
      <c r="AB47" s="327">
        <v>0.26393593999999998</v>
      </c>
      <c r="AD47" s="326">
        <v>699249.42070000002</v>
      </c>
      <c r="AE47" s="327">
        <v>0.24285987000000001</v>
      </c>
      <c r="AG47" s="326">
        <v>601115.68030000001</v>
      </c>
      <c r="AH47" s="327">
        <v>0.24303541000000001</v>
      </c>
      <c r="AJ47" s="326">
        <v>634342.00470000005</v>
      </c>
      <c r="AK47" s="327">
        <v>0.23789846000000001</v>
      </c>
      <c r="AM47" s="326">
        <v>461551.98800000001</v>
      </c>
      <c r="AN47" s="327">
        <v>0.24214147</v>
      </c>
    </row>
    <row r="48" spans="2:40" ht="14" x14ac:dyDescent="0.15">
      <c r="B48" s="5" t="s">
        <v>22</v>
      </c>
      <c r="C48" s="8">
        <v>13134664.7974</v>
      </c>
      <c r="D48" s="7">
        <v>0.54668373000000003</v>
      </c>
      <c r="F48" s="8">
        <v>1020658.59</v>
      </c>
      <c r="G48" s="7">
        <v>0.65989698000000008</v>
      </c>
      <c r="I48" s="8">
        <v>1105891.56</v>
      </c>
      <c r="J48" s="7">
        <v>0.63049613999999998</v>
      </c>
      <c r="L48" s="8">
        <v>1090327.3700000001</v>
      </c>
      <c r="M48" s="7">
        <v>0.47901026000000002</v>
      </c>
      <c r="O48" s="8">
        <v>1073735.55</v>
      </c>
      <c r="P48" s="7">
        <v>0.71687157000000001</v>
      </c>
      <c r="R48" s="8">
        <v>1133144</v>
      </c>
      <c r="S48" s="7">
        <v>0.55212514000000001</v>
      </c>
      <c r="U48" s="8">
        <v>1144538.79</v>
      </c>
      <c r="V48" s="7">
        <v>0.65184621000000009</v>
      </c>
      <c r="X48" s="8">
        <v>1000157.5167</v>
      </c>
      <c r="Y48" s="7">
        <v>0.63986931000000002</v>
      </c>
      <c r="AA48" s="8">
        <v>1059439.2087999999</v>
      </c>
      <c r="AB48" s="7">
        <v>0.64015893000000001</v>
      </c>
      <c r="AD48" s="8">
        <v>1146677.5262</v>
      </c>
      <c r="AE48" s="7">
        <v>0.39825840000000001</v>
      </c>
      <c r="AG48" s="8">
        <v>1122588.3049000001</v>
      </c>
      <c r="AH48" s="7">
        <v>0.45387056999999997</v>
      </c>
      <c r="AJ48" s="8">
        <v>1213643.5415000001</v>
      </c>
      <c r="AK48" s="7">
        <v>0.45515497999999999</v>
      </c>
      <c r="AM48" s="8">
        <v>1023862.8393</v>
      </c>
      <c r="AN48" s="7">
        <v>0.53714351000000005</v>
      </c>
    </row>
    <row r="49" spans="2:40" ht="14" x14ac:dyDescent="0.15">
      <c r="B49" s="5" t="s">
        <v>40</v>
      </c>
      <c r="C49" s="8">
        <v>1061049.1446</v>
      </c>
      <c r="D49" s="7">
        <v>4.4162399999999997E-2</v>
      </c>
      <c r="F49" s="8">
        <v>81976.23</v>
      </c>
      <c r="G49" s="7">
        <v>5.3000940000000003E-2</v>
      </c>
      <c r="I49" s="8">
        <v>76907.649999999994</v>
      </c>
      <c r="J49" s="7">
        <v>4.3846950000000003E-2</v>
      </c>
      <c r="L49" s="8">
        <v>95010.75</v>
      </c>
      <c r="M49" s="7">
        <v>4.174079E-2</v>
      </c>
      <c r="O49" s="8">
        <v>78602.12</v>
      </c>
      <c r="P49" s="7">
        <v>5.2478120000000003E-2</v>
      </c>
      <c r="R49" s="8">
        <v>62215.97</v>
      </c>
      <c r="S49" s="7">
        <v>3.0314770000000001E-2</v>
      </c>
      <c r="U49" s="8">
        <v>79080.23</v>
      </c>
      <c r="V49" s="7">
        <v>4.503836E-2</v>
      </c>
      <c r="X49" s="8">
        <v>80797.460800000001</v>
      </c>
      <c r="Y49" s="7">
        <v>5.1691670000000002E-2</v>
      </c>
      <c r="AA49" s="8">
        <v>88929.251799999998</v>
      </c>
      <c r="AB49" s="7">
        <v>5.373489E-2</v>
      </c>
      <c r="AD49" s="8">
        <v>120092.3165</v>
      </c>
      <c r="AE49" s="7">
        <v>4.1709870000000003E-2</v>
      </c>
      <c r="AG49" s="8">
        <v>101223.82889999999</v>
      </c>
      <c r="AH49" s="7">
        <v>4.0925529999999988E-2</v>
      </c>
      <c r="AJ49" s="8">
        <v>107348.0028</v>
      </c>
      <c r="AK49" s="7">
        <v>4.0258919999999997E-2</v>
      </c>
      <c r="AM49" s="8">
        <v>88865.333799999993</v>
      </c>
      <c r="AN49" s="7">
        <v>4.6620929999999998E-2</v>
      </c>
    </row>
    <row r="50" spans="2:40" ht="14" x14ac:dyDescent="0.15">
      <c r="B50" s="325" t="s">
        <v>41</v>
      </c>
      <c r="C50" s="326">
        <v>3518919.5575999999</v>
      </c>
      <c r="D50" s="327">
        <v>0.14646252000000001</v>
      </c>
      <c r="F50" s="326">
        <v>3740.48</v>
      </c>
      <c r="G50" s="327">
        <v>2.41837E-3</v>
      </c>
      <c r="I50" s="326">
        <v>59870.04</v>
      </c>
      <c r="J50" s="327">
        <v>3.413339E-2</v>
      </c>
      <c r="L50" s="326">
        <v>494065.96</v>
      </c>
      <c r="M50" s="327">
        <v>0.21705652</v>
      </c>
      <c r="O50" s="326">
        <v>-90216.45</v>
      </c>
      <c r="P50" s="327">
        <v>-6.0232340000000002E-2</v>
      </c>
      <c r="R50" s="326">
        <v>284751.78999999998</v>
      </c>
      <c r="S50" s="327">
        <v>0.13874549</v>
      </c>
      <c r="U50" s="326">
        <v>14685.39</v>
      </c>
      <c r="V50" s="327">
        <v>8.3637299999999998E-3</v>
      </c>
      <c r="X50" s="326">
        <v>77630.875499999995</v>
      </c>
      <c r="Y50" s="327">
        <v>4.9665790000000001E-2</v>
      </c>
      <c r="AA50" s="326">
        <v>69790.176600000006</v>
      </c>
      <c r="AB50" s="327">
        <v>4.2170239999999998E-2</v>
      </c>
      <c r="AD50" s="326">
        <v>913210.70680000004</v>
      </c>
      <c r="AE50" s="327">
        <v>0.31717184999999998</v>
      </c>
      <c r="AG50" s="326">
        <v>648438.79760000005</v>
      </c>
      <c r="AH50" s="327">
        <v>0.26216848999999998</v>
      </c>
      <c r="AJ50" s="326">
        <v>711106.63859999995</v>
      </c>
      <c r="AK50" s="327">
        <v>0.26668764</v>
      </c>
      <c r="AM50" s="326">
        <v>331845.15250000003</v>
      </c>
      <c r="AN50" s="327">
        <v>0.17409409000000001</v>
      </c>
    </row>
    <row r="51" spans="2:40" x14ac:dyDescent="0.15">
      <c r="B51" s="8"/>
      <c r="C51" s="8"/>
      <c r="D51" s="8"/>
      <c r="F51" s="8"/>
      <c r="G51" s="8"/>
      <c r="I51" s="8"/>
      <c r="J51" s="8"/>
      <c r="L51" s="8"/>
      <c r="M51" s="8"/>
      <c r="O51" s="8"/>
      <c r="P51" s="8"/>
      <c r="R51" s="8"/>
      <c r="S51" s="8"/>
      <c r="U51" s="8"/>
      <c r="V51" s="8"/>
      <c r="X51" s="8"/>
      <c r="Y51" s="8"/>
      <c r="AA51" s="8"/>
      <c r="AB51" s="8"/>
      <c r="AD51" s="8"/>
      <c r="AE51" s="8"/>
      <c r="AG51" s="8"/>
      <c r="AH51" s="8"/>
      <c r="AJ51" s="8"/>
      <c r="AK51" s="8"/>
      <c r="AM51" s="8"/>
      <c r="AN51" s="8"/>
    </row>
    <row r="52" spans="2:40" ht="14" x14ac:dyDescent="0.15">
      <c r="B52" s="328" t="s">
        <v>50</v>
      </c>
      <c r="C52" s="329"/>
      <c r="D52" s="329"/>
      <c r="F52" s="329"/>
      <c r="G52" s="329"/>
      <c r="I52" s="329"/>
      <c r="J52" s="329"/>
      <c r="L52" s="329"/>
      <c r="M52" s="329"/>
      <c r="O52" s="329"/>
      <c r="P52" s="329"/>
      <c r="R52" s="329"/>
      <c r="S52" s="329"/>
      <c r="U52" s="329"/>
      <c r="V52" s="329"/>
      <c r="X52" s="329"/>
      <c r="Y52" s="329"/>
      <c r="AA52" s="329"/>
      <c r="AB52" s="329"/>
      <c r="AD52" s="329"/>
      <c r="AE52" s="329"/>
      <c r="AG52" s="329"/>
      <c r="AH52" s="329"/>
      <c r="AJ52" s="329"/>
      <c r="AK52" s="329"/>
      <c r="AM52" s="329"/>
      <c r="AN52" s="329"/>
    </row>
    <row r="53" spans="2:40" ht="14" x14ac:dyDescent="0.15">
      <c r="B53" s="5" t="s">
        <v>37</v>
      </c>
      <c r="C53" s="8">
        <v>3701520.1025999999</v>
      </c>
      <c r="D53" s="7">
        <v>1</v>
      </c>
      <c r="F53" s="8">
        <v>263081.53999999998</v>
      </c>
      <c r="G53" s="7">
        <v>1</v>
      </c>
      <c r="I53" s="8">
        <v>310635.21999999997</v>
      </c>
      <c r="J53" s="7">
        <v>1</v>
      </c>
      <c r="L53" s="8">
        <v>303136.23</v>
      </c>
      <c r="M53" s="7">
        <v>1</v>
      </c>
      <c r="O53" s="8">
        <v>316090.71999999997</v>
      </c>
      <c r="P53" s="7">
        <v>1</v>
      </c>
      <c r="R53" s="8">
        <v>357555.59</v>
      </c>
      <c r="S53" s="7">
        <v>1</v>
      </c>
      <c r="U53" s="8">
        <v>65533.57</v>
      </c>
      <c r="V53" s="7">
        <v>1</v>
      </c>
      <c r="X53" s="8">
        <v>345619.98119999998</v>
      </c>
      <c r="Y53" s="7">
        <v>1</v>
      </c>
      <c r="AA53" s="8">
        <v>345372.14260000002</v>
      </c>
      <c r="AB53" s="7">
        <v>1</v>
      </c>
      <c r="AD53" s="8">
        <v>396617.44819999998</v>
      </c>
      <c r="AE53" s="7">
        <v>1</v>
      </c>
      <c r="AG53" s="8">
        <v>367281.6948</v>
      </c>
      <c r="AH53" s="7">
        <v>1</v>
      </c>
      <c r="AJ53" s="8">
        <v>340551.75760000001</v>
      </c>
      <c r="AK53" s="7">
        <v>1</v>
      </c>
      <c r="AM53" s="8">
        <v>290044.20819999999</v>
      </c>
      <c r="AN53" s="7">
        <v>1</v>
      </c>
    </row>
    <row r="54" spans="2:40" ht="14" x14ac:dyDescent="0.15">
      <c r="B54" s="5" t="s">
        <v>49</v>
      </c>
      <c r="C54" s="8">
        <v>417310.77380000002</v>
      </c>
      <c r="D54" s="7">
        <v>0.11274038</v>
      </c>
      <c r="F54" s="8">
        <v>15078.73</v>
      </c>
      <c r="G54" s="7">
        <v>5.73158E-2</v>
      </c>
      <c r="I54" s="8">
        <v>50228.54</v>
      </c>
      <c r="J54" s="7">
        <v>0.16169622</v>
      </c>
      <c r="L54" s="8">
        <v>59767.42</v>
      </c>
      <c r="M54" s="7">
        <v>0.19716357000000001</v>
      </c>
      <c r="O54" s="8">
        <v>24390.84</v>
      </c>
      <c r="P54" s="7">
        <v>7.7164049999999998E-2</v>
      </c>
      <c r="R54" s="8">
        <v>26184.42</v>
      </c>
      <c r="S54" s="7">
        <v>7.3231749999999998E-2</v>
      </c>
      <c r="U54" s="8">
        <v>25244.240000000002</v>
      </c>
      <c r="V54" s="7">
        <v>0.38521082000000001</v>
      </c>
      <c r="X54" s="8">
        <v>39218.542699999998</v>
      </c>
      <c r="Y54" s="7">
        <v>0.11347301999999999</v>
      </c>
      <c r="AA54" s="8">
        <v>36358.672599999998</v>
      </c>
      <c r="AB54" s="7">
        <v>0.1052739</v>
      </c>
      <c r="AD54" s="8">
        <v>48009.756699999998</v>
      </c>
      <c r="AE54" s="7">
        <v>0.12104802000000001</v>
      </c>
      <c r="AG54" s="8">
        <v>45537.918100000003</v>
      </c>
      <c r="AH54" s="7">
        <v>0.12398635</v>
      </c>
      <c r="AJ54" s="8">
        <v>26920.035100000001</v>
      </c>
      <c r="AK54" s="7">
        <v>7.9048290000000007E-2</v>
      </c>
      <c r="AM54" s="8">
        <v>20371.658599999999</v>
      </c>
      <c r="AN54" s="7">
        <v>7.0236389999999996E-2</v>
      </c>
    </row>
    <row r="55" spans="2:40" ht="14" x14ac:dyDescent="0.15">
      <c r="B55" s="5" t="s">
        <v>22</v>
      </c>
      <c r="C55" s="8">
        <v>778178.01049999997</v>
      </c>
      <c r="D55" s="7">
        <v>0.21023201</v>
      </c>
      <c r="F55" s="8">
        <v>38650.67</v>
      </c>
      <c r="G55" s="7">
        <v>0.14691517000000001</v>
      </c>
      <c r="I55" s="8">
        <v>63102.14</v>
      </c>
      <c r="J55" s="7">
        <v>0.20313903999999999</v>
      </c>
      <c r="L55" s="8">
        <v>53402.03</v>
      </c>
      <c r="M55" s="7">
        <v>0.17616512000000001</v>
      </c>
      <c r="O55" s="8">
        <v>65019.62</v>
      </c>
      <c r="P55" s="7">
        <v>0.20569924000000001</v>
      </c>
      <c r="R55" s="8">
        <v>68329.570000000007</v>
      </c>
      <c r="S55" s="7">
        <v>0.19110194999999999</v>
      </c>
      <c r="U55" s="8">
        <v>73509.2</v>
      </c>
      <c r="V55" s="7">
        <v>1.1217029700000001</v>
      </c>
      <c r="X55" s="8">
        <v>71883.457399999999</v>
      </c>
      <c r="Y55" s="7">
        <v>0.20798409000000001</v>
      </c>
      <c r="AA55" s="8">
        <v>74377.033599999995</v>
      </c>
      <c r="AB55" s="7">
        <v>0.21535330999999999</v>
      </c>
      <c r="AD55" s="8">
        <v>75170.2071</v>
      </c>
      <c r="AE55" s="7">
        <v>0.18952823999999999</v>
      </c>
      <c r="AG55" s="8">
        <v>73937.235700000005</v>
      </c>
      <c r="AH55" s="7">
        <v>0.20130934</v>
      </c>
      <c r="AJ55" s="8">
        <v>62039.130299999997</v>
      </c>
      <c r="AK55" s="7">
        <v>0.18217240000000001</v>
      </c>
      <c r="AM55" s="8">
        <v>58757.716399999998</v>
      </c>
      <c r="AN55" s="7">
        <v>0.20258192999999999</v>
      </c>
    </row>
    <row r="56" spans="2:40" ht="14" x14ac:dyDescent="0.15">
      <c r="B56" s="5" t="s">
        <v>40</v>
      </c>
      <c r="C56" s="8">
        <v>222004.06</v>
      </c>
      <c r="D56" s="7">
        <v>5.9976460000000002E-2</v>
      </c>
      <c r="F56" s="8">
        <v>14178.09</v>
      </c>
      <c r="G56" s="7">
        <v>5.3892379999999997E-2</v>
      </c>
      <c r="I56" s="8">
        <v>6669.85</v>
      </c>
      <c r="J56" s="7">
        <v>2.1471649999999998E-2</v>
      </c>
      <c r="L56" s="8">
        <v>20424.8</v>
      </c>
      <c r="M56" s="7">
        <v>6.7378289999999993E-2</v>
      </c>
      <c r="O56" s="8">
        <v>25670.03</v>
      </c>
      <c r="P56" s="7">
        <v>8.1210959999999999E-2</v>
      </c>
      <c r="R56" s="8">
        <v>25141.65</v>
      </c>
      <c r="S56" s="7">
        <v>7.0315359999999993E-2</v>
      </c>
      <c r="U56" s="8">
        <v>9613.9599999999991</v>
      </c>
      <c r="V56" s="7">
        <v>0.14670283000000001</v>
      </c>
      <c r="X56" s="8">
        <v>22941.279999999999</v>
      </c>
      <c r="Y56" s="7">
        <v>6.6377179999999994E-2</v>
      </c>
      <c r="AA56" s="8">
        <v>21018.28</v>
      </c>
      <c r="AB56" s="7">
        <v>6.085691E-2</v>
      </c>
      <c r="AD56" s="8">
        <v>24518.28</v>
      </c>
      <c r="AE56" s="7">
        <v>6.1818459999999999E-2</v>
      </c>
      <c r="AG56" s="8">
        <v>21918.28</v>
      </c>
      <c r="AH56" s="7">
        <v>5.9677029999999999E-2</v>
      </c>
      <c r="AJ56" s="8">
        <v>17268.28</v>
      </c>
      <c r="AK56" s="7">
        <v>5.0706769999999998E-2</v>
      </c>
      <c r="AM56" s="8">
        <v>12641.28</v>
      </c>
      <c r="AN56" s="7">
        <v>4.3583980000000001E-2</v>
      </c>
    </row>
    <row r="57" spans="2:40" ht="14" x14ac:dyDescent="0.15">
      <c r="B57" s="325" t="s">
        <v>41</v>
      </c>
      <c r="C57" s="326">
        <v>2284027.2582</v>
      </c>
      <c r="D57" s="327">
        <v>0.61705115999999993</v>
      </c>
      <c r="F57" s="326">
        <v>195174.05</v>
      </c>
      <c r="G57" s="327">
        <v>0.74187663999999998</v>
      </c>
      <c r="I57" s="326">
        <v>190634.69</v>
      </c>
      <c r="J57" s="327">
        <v>0.61369309999999999</v>
      </c>
      <c r="L57" s="326">
        <v>169541.98</v>
      </c>
      <c r="M57" s="327">
        <v>0.55929302999999997</v>
      </c>
      <c r="O57" s="326">
        <v>201010.23</v>
      </c>
      <c r="P57" s="327">
        <v>0.63592576000000001</v>
      </c>
      <c r="R57" s="326">
        <v>237899.95</v>
      </c>
      <c r="S57" s="327">
        <v>0.66535095</v>
      </c>
      <c r="U57" s="326">
        <v>-42833.83</v>
      </c>
      <c r="V57" s="327">
        <v>-0.65361660999999993</v>
      </c>
      <c r="X57" s="326">
        <v>211576.7009</v>
      </c>
      <c r="Y57" s="327">
        <v>0.61216570999999997</v>
      </c>
      <c r="AA57" s="326">
        <v>213618.15640000001</v>
      </c>
      <c r="AB57" s="327">
        <v>0.61851588000000002</v>
      </c>
      <c r="AD57" s="326">
        <v>248919.20439999999</v>
      </c>
      <c r="AE57" s="327">
        <v>0.62760528000000004</v>
      </c>
      <c r="AG57" s="326">
        <v>225888.26089999999</v>
      </c>
      <c r="AH57" s="327">
        <v>0.61502727999999995</v>
      </c>
      <c r="AJ57" s="326">
        <v>234324.3124</v>
      </c>
      <c r="AK57" s="327">
        <v>0.68807253999999995</v>
      </c>
      <c r="AM57" s="326">
        <v>198273.55319999999</v>
      </c>
      <c r="AN57" s="327">
        <v>0.68359769999999997</v>
      </c>
    </row>
    <row r="58" spans="2:40" x14ac:dyDescent="0.15">
      <c r="B58" s="8"/>
      <c r="C58" s="8"/>
      <c r="D58" s="8"/>
      <c r="F58" s="8"/>
      <c r="G58" s="8"/>
      <c r="I58" s="8"/>
      <c r="J58" s="8"/>
      <c r="L58" s="8"/>
      <c r="M58" s="8"/>
      <c r="O58" s="8"/>
      <c r="P58" s="8"/>
      <c r="R58" s="8"/>
      <c r="S58" s="8"/>
      <c r="U58" s="8"/>
      <c r="V58" s="8"/>
      <c r="X58" s="8"/>
      <c r="Y58" s="8"/>
      <c r="AA58" s="8"/>
      <c r="AB58" s="8"/>
      <c r="AD58" s="8"/>
      <c r="AE58" s="8"/>
      <c r="AG58" s="8"/>
      <c r="AH58" s="8"/>
      <c r="AJ58" s="8"/>
      <c r="AK58" s="8"/>
      <c r="AM58" s="8"/>
      <c r="AN58" s="8"/>
    </row>
    <row r="59" spans="2:40" ht="14" x14ac:dyDescent="0.15">
      <c r="B59" s="328" t="s">
        <v>38</v>
      </c>
      <c r="C59" s="329"/>
      <c r="D59" s="329"/>
      <c r="F59" s="329"/>
      <c r="G59" s="329"/>
      <c r="I59" s="329"/>
      <c r="J59" s="329"/>
      <c r="L59" s="329"/>
      <c r="M59" s="329"/>
      <c r="O59" s="329"/>
      <c r="P59" s="329"/>
      <c r="R59" s="329"/>
      <c r="S59" s="329"/>
      <c r="U59" s="329"/>
      <c r="V59" s="329"/>
      <c r="X59" s="329"/>
      <c r="Y59" s="329"/>
      <c r="AA59" s="329"/>
      <c r="AB59" s="329"/>
      <c r="AD59" s="329"/>
      <c r="AE59" s="329"/>
      <c r="AG59" s="329"/>
      <c r="AH59" s="329"/>
      <c r="AJ59" s="329"/>
      <c r="AK59" s="329"/>
      <c r="AM59" s="329"/>
      <c r="AN59" s="329"/>
    </row>
    <row r="60" spans="2:40" ht="14" x14ac:dyDescent="0.15">
      <c r="B60" s="325" t="s">
        <v>38</v>
      </c>
      <c r="C60" s="326">
        <v>1120170.156</v>
      </c>
      <c r="D60" s="327">
        <v>0.30262435999999998</v>
      </c>
      <c r="F60" s="326">
        <v>64731.78</v>
      </c>
      <c r="G60" s="327">
        <v>0.24605215999999999</v>
      </c>
      <c r="I60" s="326">
        <v>130015.54</v>
      </c>
      <c r="J60" s="327">
        <v>0.41854732</v>
      </c>
      <c r="L60" s="326">
        <v>136429.06</v>
      </c>
      <c r="M60" s="327">
        <v>0.45005857999999999</v>
      </c>
      <c r="O60" s="326">
        <v>64627.17</v>
      </c>
      <c r="P60" s="327">
        <v>0.20445766000000001</v>
      </c>
      <c r="R60" s="326">
        <v>88609.29</v>
      </c>
      <c r="S60" s="327">
        <v>0.24781961999999999</v>
      </c>
      <c r="U60" s="326">
        <v>48911.71</v>
      </c>
      <c r="V60" s="327">
        <v>0.74636114000000009</v>
      </c>
      <c r="X60" s="326">
        <v>67847.327699999994</v>
      </c>
      <c r="Y60" s="327">
        <v>0.19630615000000001</v>
      </c>
      <c r="AA60" s="326">
        <v>74159.435700000002</v>
      </c>
      <c r="AB60" s="327">
        <v>0.21472326999999999</v>
      </c>
      <c r="AD60" s="326">
        <v>128144.4604</v>
      </c>
      <c r="AE60" s="327">
        <v>0.32309334999999989</v>
      </c>
      <c r="AG60" s="326">
        <v>132754.3848</v>
      </c>
      <c r="AH60" s="327">
        <v>0.36145113000000001</v>
      </c>
      <c r="AJ60" s="326">
        <v>115176.7596</v>
      </c>
      <c r="AK60" s="327">
        <v>0.33820633</v>
      </c>
      <c r="AM60" s="326">
        <v>68763.237800000003</v>
      </c>
      <c r="AN60" s="327">
        <v>0.23707847000000001</v>
      </c>
    </row>
    <row r="61" spans="2:40" x14ac:dyDescent="0.15">
      <c r="B61" s="8"/>
      <c r="C61" s="8"/>
      <c r="D61" s="8"/>
      <c r="F61" s="8"/>
      <c r="G61" s="8"/>
      <c r="I61" s="8"/>
      <c r="J61" s="8"/>
      <c r="L61" s="8"/>
      <c r="M61" s="8"/>
      <c r="O61" s="8"/>
      <c r="P61" s="8"/>
      <c r="R61" s="8"/>
      <c r="S61" s="8"/>
      <c r="U61" s="8"/>
      <c r="V61" s="8"/>
      <c r="X61" s="8"/>
      <c r="Y61" s="8"/>
      <c r="AA61" s="8"/>
      <c r="AB61" s="8"/>
      <c r="AD61" s="8"/>
      <c r="AE61" s="8"/>
      <c r="AG61" s="8"/>
      <c r="AH61" s="8"/>
      <c r="AJ61" s="8"/>
      <c r="AK61" s="8"/>
      <c r="AM61" s="8"/>
      <c r="AN61" s="8"/>
    </row>
    <row r="62" spans="2:40" ht="14" x14ac:dyDescent="0.15">
      <c r="B62" s="328" t="s">
        <v>51</v>
      </c>
      <c r="C62" s="329"/>
      <c r="D62" s="329"/>
      <c r="F62" s="329"/>
      <c r="G62" s="329"/>
      <c r="I62" s="329"/>
      <c r="J62" s="329"/>
      <c r="L62" s="329"/>
      <c r="M62" s="329"/>
      <c r="O62" s="329"/>
      <c r="P62" s="329"/>
      <c r="R62" s="329"/>
      <c r="S62" s="329"/>
      <c r="U62" s="329"/>
      <c r="V62" s="329"/>
      <c r="X62" s="329"/>
      <c r="Y62" s="329"/>
      <c r="AA62" s="329"/>
      <c r="AB62" s="329"/>
      <c r="AD62" s="329"/>
      <c r="AE62" s="329"/>
      <c r="AG62" s="329"/>
      <c r="AH62" s="329"/>
      <c r="AJ62" s="329"/>
      <c r="AK62" s="329"/>
      <c r="AM62" s="329"/>
      <c r="AN62" s="329"/>
    </row>
    <row r="63" spans="2:40" ht="14" x14ac:dyDescent="0.15">
      <c r="B63" s="325" t="s">
        <v>52</v>
      </c>
      <c r="C63" s="326">
        <v>46522670.3257</v>
      </c>
      <c r="D63" s="327">
        <v>0.49828776000000002</v>
      </c>
      <c r="F63" s="326">
        <v>1960609.94</v>
      </c>
      <c r="G63" s="327">
        <v>0.36822683</v>
      </c>
      <c r="I63" s="326">
        <v>2556377.58</v>
      </c>
      <c r="J63" s="327">
        <v>0.40504113000000003</v>
      </c>
      <c r="L63" s="326">
        <v>4520025.55</v>
      </c>
      <c r="M63" s="327">
        <v>0.52745575</v>
      </c>
      <c r="O63" s="326">
        <v>2699308.55</v>
      </c>
      <c r="P63" s="327">
        <v>0.42752898</v>
      </c>
      <c r="R63" s="326">
        <v>4594362.01</v>
      </c>
      <c r="S63" s="327">
        <v>0.52887081999999996</v>
      </c>
      <c r="U63" s="326">
        <v>3391435.92</v>
      </c>
      <c r="V63" s="327">
        <v>0.46121435999999999</v>
      </c>
      <c r="X63" s="326">
        <v>2863097.7573000002</v>
      </c>
      <c r="Y63" s="327">
        <v>0.44541086000000002</v>
      </c>
      <c r="AA63" s="326">
        <v>3371157.6985999998</v>
      </c>
      <c r="AB63" s="327">
        <v>0.47442197000000003</v>
      </c>
      <c r="AD63" s="326">
        <v>6032010.0582999997</v>
      </c>
      <c r="AE63" s="327">
        <v>0.57176179999999999</v>
      </c>
      <c r="AG63" s="326">
        <v>6121265.5871000001</v>
      </c>
      <c r="AH63" s="327">
        <v>0.5867677</v>
      </c>
      <c r="AJ63" s="326">
        <v>5166028.6152999997</v>
      </c>
      <c r="AK63" s="327">
        <v>0.54429803999999993</v>
      </c>
      <c r="AM63" s="326">
        <v>3246991.0591000002</v>
      </c>
      <c r="AN63" s="327">
        <v>0.47760087000000001</v>
      </c>
    </row>
    <row r="64" spans="2:40" x14ac:dyDescent="0.15">
      <c r="B64" s="8"/>
      <c r="C64" s="8"/>
      <c r="D64" s="8"/>
      <c r="F64" s="8"/>
      <c r="G64" s="8"/>
      <c r="I64" s="8"/>
      <c r="J64" s="8"/>
      <c r="L64" s="8"/>
      <c r="M64" s="8"/>
      <c r="O64" s="8"/>
      <c r="P64" s="8"/>
      <c r="R64" s="8"/>
      <c r="S64" s="8"/>
      <c r="U64" s="8"/>
      <c r="V64" s="8"/>
      <c r="X64" s="8"/>
      <c r="Y64" s="8"/>
      <c r="AA64" s="8"/>
      <c r="AB64" s="8"/>
      <c r="AD64" s="8"/>
      <c r="AE64" s="8"/>
      <c r="AG64" s="8"/>
      <c r="AH64" s="8"/>
      <c r="AJ64" s="8"/>
      <c r="AK64" s="8"/>
      <c r="AM64" s="8"/>
      <c r="AN64" s="8"/>
    </row>
    <row r="65" spans="2:40" ht="14" x14ac:dyDescent="0.15">
      <c r="B65" s="328" t="s">
        <v>53</v>
      </c>
      <c r="C65" s="329"/>
      <c r="D65" s="329"/>
      <c r="F65" s="329"/>
      <c r="G65" s="329"/>
      <c r="I65" s="329"/>
      <c r="J65" s="329"/>
      <c r="L65" s="329"/>
      <c r="M65" s="329"/>
      <c r="O65" s="329"/>
      <c r="P65" s="329"/>
      <c r="R65" s="329"/>
      <c r="S65" s="329"/>
      <c r="U65" s="329"/>
      <c r="V65" s="329"/>
      <c r="X65" s="329"/>
      <c r="Y65" s="329"/>
      <c r="AA65" s="329"/>
      <c r="AB65" s="329"/>
      <c r="AD65" s="329"/>
      <c r="AE65" s="329"/>
      <c r="AG65" s="329"/>
      <c r="AH65" s="329"/>
      <c r="AJ65" s="329"/>
      <c r="AK65" s="329"/>
      <c r="AM65" s="329"/>
      <c r="AN65" s="329"/>
    </row>
    <row r="66" spans="2:40" ht="14" x14ac:dyDescent="0.15">
      <c r="B66" s="5" t="s">
        <v>22</v>
      </c>
      <c r="C66" s="8">
        <v>3392870.4114999999</v>
      </c>
      <c r="D66" s="7">
        <v>3.6339829999999997E-2</v>
      </c>
      <c r="F66" s="8">
        <v>267654.8</v>
      </c>
      <c r="G66" s="7">
        <v>5.0268889999999997E-2</v>
      </c>
      <c r="I66" s="8">
        <v>311315.8</v>
      </c>
      <c r="J66" s="7">
        <v>4.9325929999999997E-2</v>
      </c>
      <c r="L66" s="8">
        <v>292935.64</v>
      </c>
      <c r="M66" s="7">
        <v>3.4183570000000003E-2</v>
      </c>
      <c r="O66" s="8">
        <v>277602.3</v>
      </c>
      <c r="P66" s="7">
        <v>4.3967939999999997E-2</v>
      </c>
      <c r="R66" s="8">
        <v>273839.17</v>
      </c>
      <c r="S66" s="7">
        <v>3.152245E-2</v>
      </c>
      <c r="U66" s="8">
        <v>273523.64</v>
      </c>
      <c r="V66" s="7">
        <v>3.7197529999999999E-2</v>
      </c>
      <c r="X66" s="8">
        <v>267659.6643</v>
      </c>
      <c r="Y66" s="7">
        <v>4.1639700000000002E-2</v>
      </c>
      <c r="AA66" s="8">
        <v>278150.48310000001</v>
      </c>
      <c r="AB66" s="7">
        <v>3.9144030000000003E-2</v>
      </c>
      <c r="AD66" s="8">
        <v>267560.46260000003</v>
      </c>
      <c r="AE66" s="7">
        <v>2.5361499999999999E-2</v>
      </c>
      <c r="AG66" s="8">
        <v>284271.43099999998</v>
      </c>
      <c r="AH66" s="7">
        <v>2.724948E-2</v>
      </c>
      <c r="AJ66" s="8">
        <v>295414.04810000001</v>
      </c>
      <c r="AK66" s="7">
        <v>3.1125119999999999E-2</v>
      </c>
      <c r="AM66" s="8">
        <v>302942.97240000003</v>
      </c>
      <c r="AN66" s="7">
        <v>4.4559969999999997E-2</v>
      </c>
    </row>
    <row r="67" spans="2:40" ht="14" x14ac:dyDescent="0.15">
      <c r="B67" s="5" t="s">
        <v>40</v>
      </c>
      <c r="C67" s="8">
        <v>2573792.5529</v>
      </c>
      <c r="D67" s="7">
        <v>2.7566980000000001E-2</v>
      </c>
      <c r="F67" s="8">
        <v>146585.74</v>
      </c>
      <c r="G67" s="7">
        <v>2.7530619999999999E-2</v>
      </c>
      <c r="I67" s="8">
        <v>216910.89</v>
      </c>
      <c r="J67" s="7">
        <v>3.4368099999999999E-2</v>
      </c>
      <c r="L67" s="8">
        <v>202771.87</v>
      </c>
      <c r="M67" s="7">
        <v>2.3662079999999999E-2</v>
      </c>
      <c r="O67" s="8">
        <v>236907.05</v>
      </c>
      <c r="P67" s="7">
        <v>3.7522430000000002E-2</v>
      </c>
      <c r="R67" s="8">
        <v>208094.4</v>
      </c>
      <c r="S67" s="7">
        <v>2.3954369999999999E-2</v>
      </c>
      <c r="U67" s="8">
        <v>209537.43</v>
      </c>
      <c r="V67" s="7">
        <v>2.8495800000000002E-2</v>
      </c>
      <c r="X67" s="8">
        <v>188922.78099999999</v>
      </c>
      <c r="Y67" s="7">
        <v>2.9390630000000001E-2</v>
      </c>
      <c r="AA67" s="8">
        <v>193332.28460000001</v>
      </c>
      <c r="AB67" s="7">
        <v>2.720759E-2</v>
      </c>
      <c r="AD67" s="8">
        <v>256324.21969999999</v>
      </c>
      <c r="AE67" s="7">
        <v>2.4296439999999999E-2</v>
      </c>
      <c r="AG67" s="8">
        <v>256909.89139999999</v>
      </c>
      <c r="AH67" s="7">
        <v>2.4626680000000001E-2</v>
      </c>
      <c r="AJ67" s="8">
        <v>270129.68160000001</v>
      </c>
      <c r="AK67" s="7">
        <v>2.8461139999999999E-2</v>
      </c>
      <c r="AM67" s="8">
        <v>187366.31460000001</v>
      </c>
      <c r="AN67" s="7">
        <v>2.7559770000000001E-2</v>
      </c>
    </row>
    <row r="68" spans="2:40" ht="14" x14ac:dyDescent="0.15">
      <c r="B68" s="325" t="s">
        <v>41</v>
      </c>
      <c r="C68" s="326">
        <v>-5966662.9644999998</v>
      </c>
      <c r="D68" s="327">
        <v>-6.39068E-2</v>
      </c>
      <c r="F68" s="326">
        <v>-414240.54</v>
      </c>
      <c r="G68" s="327">
        <v>-7.7799500000000008E-2</v>
      </c>
      <c r="I68" s="326">
        <v>-528226.68999999994</v>
      </c>
      <c r="J68" s="327">
        <v>-8.3694030000000003E-2</v>
      </c>
      <c r="L68" s="326">
        <v>-495707.51</v>
      </c>
      <c r="M68" s="327">
        <v>-5.7845639999999997E-2</v>
      </c>
      <c r="O68" s="326">
        <v>-514509.35</v>
      </c>
      <c r="P68" s="327">
        <v>-8.1490369999999993E-2</v>
      </c>
      <c r="R68" s="326">
        <v>-481933.57</v>
      </c>
      <c r="S68" s="327">
        <v>-5.5476820000000003E-2</v>
      </c>
      <c r="U68" s="326">
        <v>-483061.07</v>
      </c>
      <c r="V68" s="327">
        <v>-6.5693319999999999E-2</v>
      </c>
      <c r="X68" s="326">
        <v>-456582.44540000003</v>
      </c>
      <c r="Y68" s="327">
        <v>-7.1030330000000003E-2</v>
      </c>
      <c r="AA68" s="326">
        <v>-471482.76750000002</v>
      </c>
      <c r="AB68" s="327">
        <v>-6.635162E-2</v>
      </c>
      <c r="AD68" s="326">
        <v>-523884.6827</v>
      </c>
      <c r="AE68" s="327">
        <v>-4.9657949999999999E-2</v>
      </c>
      <c r="AG68" s="326">
        <v>-541181.32220000005</v>
      </c>
      <c r="AH68" s="327">
        <v>-5.1876150000000003E-2</v>
      </c>
      <c r="AJ68" s="326">
        <v>-565543.72970000003</v>
      </c>
      <c r="AK68" s="327">
        <v>-5.9586260000000002E-2</v>
      </c>
      <c r="AM68" s="326">
        <v>-490309.28700000001</v>
      </c>
      <c r="AN68" s="327">
        <v>-7.2119740000000002E-2</v>
      </c>
    </row>
    <row r="69" spans="2:40" x14ac:dyDescent="0.15">
      <c r="B69" s="8"/>
      <c r="C69" s="8"/>
      <c r="D69" s="8"/>
      <c r="F69" s="8"/>
      <c r="G69" s="8"/>
      <c r="I69" s="8"/>
      <c r="J69" s="8"/>
      <c r="L69" s="8"/>
      <c r="M69" s="8"/>
      <c r="O69" s="8"/>
      <c r="P69" s="8"/>
      <c r="R69" s="8"/>
      <c r="S69" s="8"/>
      <c r="U69" s="8"/>
      <c r="V69" s="8"/>
      <c r="X69" s="8"/>
      <c r="Y69" s="8"/>
      <c r="AA69" s="8"/>
      <c r="AB69" s="8"/>
      <c r="AD69" s="8"/>
      <c r="AE69" s="8"/>
      <c r="AG69" s="8"/>
      <c r="AH69" s="8"/>
      <c r="AJ69" s="8"/>
      <c r="AK69" s="8"/>
      <c r="AM69" s="8"/>
      <c r="AN69" s="8"/>
    </row>
    <row r="70" spans="2:40" ht="14" x14ac:dyDescent="0.15">
      <c r="B70" s="328" t="s">
        <v>54</v>
      </c>
      <c r="C70" s="329"/>
      <c r="D70" s="329"/>
      <c r="F70" s="329"/>
      <c r="G70" s="329"/>
      <c r="I70" s="329"/>
      <c r="J70" s="329"/>
      <c r="L70" s="329"/>
      <c r="M70" s="329"/>
      <c r="O70" s="329"/>
      <c r="P70" s="329"/>
      <c r="R70" s="329"/>
      <c r="S70" s="329"/>
      <c r="U70" s="329"/>
      <c r="V70" s="329"/>
      <c r="X70" s="329"/>
      <c r="Y70" s="329"/>
      <c r="AA70" s="329"/>
      <c r="AB70" s="329"/>
      <c r="AD70" s="329"/>
      <c r="AE70" s="329"/>
      <c r="AG70" s="329"/>
      <c r="AH70" s="329"/>
      <c r="AJ70" s="329"/>
      <c r="AK70" s="329"/>
      <c r="AM70" s="329"/>
      <c r="AN70" s="329"/>
    </row>
    <row r="71" spans="2:40" ht="14" x14ac:dyDescent="0.15">
      <c r="B71" s="5" t="s">
        <v>55</v>
      </c>
      <c r="C71" s="8">
        <v>356826.29</v>
      </c>
      <c r="D71" s="7">
        <v>3.82184E-3</v>
      </c>
      <c r="F71" s="8">
        <v>30394.86</v>
      </c>
      <c r="G71" s="7">
        <v>5.7085300000000007E-3</v>
      </c>
      <c r="I71" s="8">
        <v>35600.370000000003</v>
      </c>
      <c r="J71" s="7">
        <v>5.6406399999999997E-3</v>
      </c>
      <c r="L71" s="8">
        <v>20739.650000000001</v>
      </c>
      <c r="M71" s="7">
        <v>2.4201700000000001E-3</v>
      </c>
      <c r="O71" s="8">
        <v>35350.42</v>
      </c>
      <c r="P71" s="7">
        <v>5.5989599999999992E-3</v>
      </c>
      <c r="R71" s="8">
        <v>33310.18</v>
      </c>
      <c r="S71" s="7">
        <v>3.8344300000000002E-3</v>
      </c>
      <c r="U71" s="8">
        <v>33853.67</v>
      </c>
      <c r="V71" s="7">
        <v>4.6038900000000002E-3</v>
      </c>
      <c r="X71" s="8">
        <v>29345.71</v>
      </c>
      <c r="Y71" s="7">
        <v>4.5652999999999996E-3</v>
      </c>
      <c r="AA71" s="8">
        <v>29309.71</v>
      </c>
      <c r="AB71" s="7">
        <v>4.1247499999999999E-3</v>
      </c>
      <c r="AD71" s="8">
        <v>27230.43</v>
      </c>
      <c r="AE71" s="7">
        <v>2.5811200000000001E-3</v>
      </c>
      <c r="AG71" s="8">
        <v>27230.43</v>
      </c>
      <c r="AH71" s="7">
        <v>2.6102299999999998E-3</v>
      </c>
      <c r="AJ71" s="8">
        <v>27230.43</v>
      </c>
      <c r="AK71" s="7">
        <v>2.8690299999999998E-3</v>
      </c>
      <c r="AM71" s="8">
        <v>27230.43</v>
      </c>
      <c r="AN71" s="7">
        <v>4.0053299999999997E-3</v>
      </c>
    </row>
    <row r="72" spans="2:40" ht="14" x14ac:dyDescent="0.15">
      <c r="B72" s="5" t="s">
        <v>56</v>
      </c>
      <c r="C72" s="8">
        <v>1434154.6373999999</v>
      </c>
      <c r="D72" s="7">
        <v>1.536072E-2</v>
      </c>
      <c r="F72" s="8">
        <v>120578.93</v>
      </c>
      <c r="G72" s="7">
        <v>2.2646220000000002E-2</v>
      </c>
      <c r="I72" s="8">
        <v>95062.5</v>
      </c>
      <c r="J72" s="7">
        <v>1.5062020000000001E-2</v>
      </c>
      <c r="L72" s="8">
        <v>107634.83</v>
      </c>
      <c r="M72" s="7">
        <v>1.256024E-2</v>
      </c>
      <c r="O72" s="8">
        <v>85958.09</v>
      </c>
      <c r="P72" s="7">
        <v>1.361444E-2</v>
      </c>
      <c r="R72" s="8">
        <v>117292.68</v>
      </c>
      <c r="S72" s="7">
        <v>1.3501910000000001E-2</v>
      </c>
      <c r="U72" s="8">
        <v>97718.49</v>
      </c>
      <c r="V72" s="7">
        <v>1.328911E-2</v>
      </c>
      <c r="X72" s="8">
        <v>151104.8174</v>
      </c>
      <c r="Y72" s="7">
        <v>2.350731E-2</v>
      </c>
      <c r="AA72" s="8">
        <v>126656.97040000001</v>
      </c>
      <c r="AB72" s="7">
        <v>1.7824400000000001E-2</v>
      </c>
      <c r="AD72" s="8">
        <v>129487.41740000001</v>
      </c>
      <c r="AE72" s="7">
        <v>1.2273849999999999E-2</v>
      </c>
      <c r="AG72" s="8">
        <v>144434.2274</v>
      </c>
      <c r="AH72" s="7">
        <v>1.3845069999999999E-2</v>
      </c>
      <c r="AJ72" s="8">
        <v>127018.2674</v>
      </c>
      <c r="AK72" s="7">
        <v>1.338277E-2</v>
      </c>
      <c r="AM72" s="8">
        <v>131207.41740000001</v>
      </c>
      <c r="AN72" s="7">
        <v>1.9299340000000002E-2</v>
      </c>
    </row>
    <row r="73" spans="2:40" ht="14" x14ac:dyDescent="0.15">
      <c r="B73" s="5" t="s">
        <v>40</v>
      </c>
      <c r="C73" s="8">
        <v>33800.080000000002</v>
      </c>
      <c r="D73" s="7">
        <v>3.6202000000000001E-4</v>
      </c>
      <c r="F73" s="8">
        <v>1999.74</v>
      </c>
      <c r="G73" s="7">
        <v>3.7557999999999998E-4</v>
      </c>
      <c r="I73" s="8">
        <v>-6144.84</v>
      </c>
      <c r="J73" s="7">
        <v>-9.7361000000000008E-4</v>
      </c>
      <c r="L73" s="8">
        <v>3105.24</v>
      </c>
      <c r="M73" s="7">
        <v>3.6235999999999999E-4</v>
      </c>
      <c r="O73" s="8">
        <v>-101.26</v>
      </c>
      <c r="P73" s="7">
        <v>-1.6039999999999999E-5</v>
      </c>
      <c r="R73" s="8">
        <v>2961.74</v>
      </c>
      <c r="S73" s="7">
        <v>3.4092999999999998E-4</v>
      </c>
      <c r="U73" s="8">
        <v>2507.2399999999998</v>
      </c>
      <c r="V73" s="7">
        <v>3.4097000000000001E-4</v>
      </c>
      <c r="X73" s="8">
        <v>4818.49</v>
      </c>
      <c r="Y73" s="7">
        <v>7.4960999999999995E-4</v>
      </c>
      <c r="AA73" s="8">
        <v>4523.49</v>
      </c>
      <c r="AB73" s="7">
        <v>6.3658999999999992E-4</v>
      </c>
      <c r="AD73" s="8">
        <v>5643.49</v>
      </c>
      <c r="AE73" s="7">
        <v>5.3492999999999998E-4</v>
      </c>
      <c r="AG73" s="8">
        <v>4652.25</v>
      </c>
      <c r="AH73" s="7">
        <v>4.4595000000000002E-4</v>
      </c>
      <c r="AJ73" s="8">
        <v>4357.25</v>
      </c>
      <c r="AK73" s="7">
        <v>4.5907999999999989E-4</v>
      </c>
      <c r="AM73" s="8">
        <v>5477.25</v>
      </c>
      <c r="AN73" s="7">
        <v>8.0564999999999999E-4</v>
      </c>
    </row>
    <row r="74" spans="2:40" ht="14" x14ac:dyDescent="0.15">
      <c r="B74" s="325" t="s">
        <v>41</v>
      </c>
      <c r="C74" s="326">
        <v>-1825963.0074</v>
      </c>
      <c r="D74" s="327">
        <v>-1.955724E-2</v>
      </c>
      <c r="F74" s="326">
        <v>-152973.53</v>
      </c>
      <c r="G74" s="327">
        <v>-2.873032E-2</v>
      </c>
      <c r="I74" s="326">
        <v>-124518.03</v>
      </c>
      <c r="J74" s="327">
        <v>-1.972906E-2</v>
      </c>
      <c r="L74" s="326">
        <v>-131479.72</v>
      </c>
      <c r="M74" s="327">
        <v>-1.534277E-2</v>
      </c>
      <c r="O74" s="326">
        <v>-121207.25</v>
      </c>
      <c r="P74" s="327">
        <v>-1.9197369999999998E-2</v>
      </c>
      <c r="R74" s="326">
        <v>-153564.6</v>
      </c>
      <c r="S74" s="327">
        <v>-1.767728E-2</v>
      </c>
      <c r="U74" s="326">
        <v>-134079.4</v>
      </c>
      <c r="V74" s="327">
        <v>-1.8233969999999999E-2</v>
      </c>
      <c r="X74" s="326">
        <v>-185466.01740000001</v>
      </c>
      <c r="Y74" s="327">
        <v>-2.8852869999999999E-2</v>
      </c>
      <c r="AA74" s="326">
        <v>-160687.1704</v>
      </c>
      <c r="AB74" s="327">
        <v>-2.2613459999999998E-2</v>
      </c>
      <c r="AD74" s="326">
        <v>-162558.33739999999</v>
      </c>
      <c r="AE74" s="327">
        <v>-1.540857E-2</v>
      </c>
      <c r="AG74" s="326">
        <v>-176513.9074</v>
      </c>
      <c r="AH74" s="327">
        <v>-1.692014E-2</v>
      </c>
      <c r="AJ74" s="326">
        <v>-158802.9474</v>
      </c>
      <c r="AK74" s="327">
        <v>-1.6731639999999999E-2</v>
      </c>
      <c r="AM74" s="326">
        <v>-164112.0974</v>
      </c>
      <c r="AN74" s="327">
        <v>-2.4139299999999999E-2</v>
      </c>
    </row>
    <row r="75" spans="2:40" x14ac:dyDescent="0.15">
      <c r="B75" s="8"/>
      <c r="C75" s="8"/>
      <c r="D75" s="8"/>
      <c r="F75" s="8"/>
      <c r="G75" s="8"/>
      <c r="I75" s="8"/>
      <c r="J75" s="8"/>
      <c r="L75" s="8"/>
      <c r="M75" s="8"/>
      <c r="O75" s="8"/>
      <c r="P75" s="8"/>
      <c r="R75" s="8"/>
      <c r="S75" s="8"/>
      <c r="U75" s="8"/>
      <c r="V75" s="8"/>
      <c r="X75" s="8"/>
      <c r="Y75" s="8"/>
      <c r="AA75" s="8"/>
      <c r="AB75" s="8"/>
      <c r="AD75" s="8"/>
      <c r="AE75" s="8"/>
      <c r="AG75" s="8"/>
      <c r="AH75" s="8"/>
      <c r="AJ75" s="8"/>
      <c r="AK75" s="8"/>
      <c r="AM75" s="8"/>
      <c r="AN75" s="8"/>
    </row>
    <row r="76" spans="2:40" ht="14" x14ac:dyDescent="0.15">
      <c r="B76" s="328" t="s">
        <v>57</v>
      </c>
      <c r="C76" s="329"/>
      <c r="D76" s="329"/>
      <c r="F76" s="329"/>
      <c r="G76" s="329"/>
      <c r="I76" s="329"/>
      <c r="J76" s="329"/>
      <c r="L76" s="329"/>
      <c r="M76" s="329"/>
      <c r="O76" s="329"/>
      <c r="P76" s="329"/>
      <c r="R76" s="329"/>
      <c r="S76" s="329"/>
      <c r="U76" s="329"/>
      <c r="V76" s="329"/>
      <c r="X76" s="329"/>
      <c r="Y76" s="329"/>
      <c r="AA76" s="329"/>
      <c r="AB76" s="329"/>
      <c r="AD76" s="329"/>
      <c r="AE76" s="329"/>
      <c r="AG76" s="329"/>
      <c r="AH76" s="329"/>
      <c r="AJ76" s="329"/>
      <c r="AK76" s="329"/>
      <c r="AM76" s="329"/>
      <c r="AN76" s="329"/>
    </row>
    <row r="77" spans="2:40" ht="14" x14ac:dyDescent="0.15">
      <c r="B77" s="5" t="s">
        <v>22</v>
      </c>
      <c r="C77" s="8">
        <v>1348143.7001</v>
      </c>
      <c r="D77" s="7">
        <v>1.4439489999999999E-2</v>
      </c>
      <c r="F77" s="8">
        <v>58500.38</v>
      </c>
      <c r="G77" s="7">
        <v>1.09871E-2</v>
      </c>
      <c r="I77" s="8">
        <v>117257.66</v>
      </c>
      <c r="J77" s="7">
        <v>1.85787E-2</v>
      </c>
      <c r="L77" s="8">
        <v>118942.39</v>
      </c>
      <c r="M77" s="7">
        <v>1.387976E-2</v>
      </c>
      <c r="O77" s="8">
        <v>87711.25</v>
      </c>
      <c r="P77" s="7">
        <v>1.3892109999999999E-2</v>
      </c>
      <c r="R77" s="8">
        <v>120238.35</v>
      </c>
      <c r="S77" s="7">
        <v>1.3840999999999999E-2</v>
      </c>
      <c r="U77" s="8">
        <v>102761.19</v>
      </c>
      <c r="V77" s="7">
        <v>1.397489E-2</v>
      </c>
      <c r="X77" s="8">
        <v>94388.416299999997</v>
      </c>
      <c r="Y77" s="7">
        <v>1.4683959999999999E-2</v>
      </c>
      <c r="AA77" s="8">
        <v>101537.8406</v>
      </c>
      <c r="AB77" s="7">
        <v>1.4289390000000001E-2</v>
      </c>
      <c r="AD77" s="8">
        <v>148420.35750000001</v>
      </c>
      <c r="AE77" s="7">
        <v>1.406846E-2</v>
      </c>
      <c r="AG77" s="8">
        <v>152813.56349999999</v>
      </c>
      <c r="AH77" s="7">
        <v>1.464829E-2</v>
      </c>
      <c r="AJ77" s="8">
        <v>141724.5588</v>
      </c>
      <c r="AK77" s="7">
        <v>1.4932239999999999E-2</v>
      </c>
      <c r="AM77" s="8">
        <v>103847.74340000001</v>
      </c>
      <c r="AN77" s="7">
        <v>1.5275E-2</v>
      </c>
    </row>
    <row r="78" spans="2:40" ht="14" x14ac:dyDescent="0.15">
      <c r="B78" s="5" t="s">
        <v>40</v>
      </c>
      <c r="C78" s="8">
        <v>4137720.8313000002</v>
      </c>
      <c r="D78" s="7">
        <v>4.4317659999999988E-2</v>
      </c>
      <c r="F78" s="8">
        <v>280266.21000000002</v>
      </c>
      <c r="G78" s="7">
        <v>5.2637459999999997E-2</v>
      </c>
      <c r="I78" s="8">
        <v>233142.37</v>
      </c>
      <c r="J78" s="7">
        <v>3.693987E-2</v>
      </c>
      <c r="L78" s="8">
        <v>323086.65000000002</v>
      </c>
      <c r="M78" s="7">
        <v>3.7701980000000003E-2</v>
      </c>
      <c r="O78" s="8">
        <v>300633.21999999997</v>
      </c>
      <c r="P78" s="7">
        <v>4.7615679999999987E-2</v>
      </c>
      <c r="R78" s="8">
        <v>335885.64</v>
      </c>
      <c r="S78" s="7">
        <v>3.8664810000000001E-2</v>
      </c>
      <c r="U78" s="8">
        <v>321955.65000000002</v>
      </c>
      <c r="V78" s="7">
        <v>4.378398E-2</v>
      </c>
      <c r="X78" s="8">
        <v>326269.57699999999</v>
      </c>
      <c r="Y78" s="7">
        <v>5.0757610000000002E-2</v>
      </c>
      <c r="AA78" s="8">
        <v>340882.14449999999</v>
      </c>
      <c r="AB78" s="7">
        <v>4.7972239999999999E-2</v>
      </c>
      <c r="AD78" s="8">
        <v>459720.50050000002</v>
      </c>
      <c r="AE78" s="7">
        <v>4.3575959999999997E-2</v>
      </c>
      <c r="AG78" s="8">
        <v>469929.78360000002</v>
      </c>
      <c r="AH78" s="7">
        <v>4.5046179999999998E-2</v>
      </c>
      <c r="AJ78" s="8">
        <v>417837.08970000001</v>
      </c>
      <c r="AK78" s="7">
        <v>4.4023739999999999E-2</v>
      </c>
      <c r="AM78" s="8">
        <v>328111.99599999998</v>
      </c>
      <c r="AN78" s="7">
        <v>4.8262090000000007E-2</v>
      </c>
    </row>
    <row r="79" spans="2:40" ht="14" x14ac:dyDescent="0.15">
      <c r="B79" s="325" t="s">
        <v>41</v>
      </c>
      <c r="C79" s="326">
        <v>-5485864.5318999998</v>
      </c>
      <c r="D79" s="327">
        <v>-5.8757140000000013E-2</v>
      </c>
      <c r="F79" s="326">
        <v>-338766.59</v>
      </c>
      <c r="G79" s="327">
        <v>-6.3624559999999997E-2</v>
      </c>
      <c r="I79" s="326">
        <v>-350400.03</v>
      </c>
      <c r="J79" s="327">
        <v>-5.5518570000000003E-2</v>
      </c>
      <c r="L79" s="326">
        <v>-442029.04</v>
      </c>
      <c r="M79" s="327">
        <v>-5.1581729999999999E-2</v>
      </c>
      <c r="O79" s="326">
        <v>-388344.47</v>
      </c>
      <c r="P79" s="327">
        <v>-6.150779E-2</v>
      </c>
      <c r="R79" s="326">
        <v>-456123.99</v>
      </c>
      <c r="S79" s="327">
        <v>-5.2505800000000012E-2</v>
      </c>
      <c r="U79" s="326">
        <v>-424716.84</v>
      </c>
      <c r="V79" s="327">
        <v>-5.7758869999999997E-2</v>
      </c>
      <c r="X79" s="326">
        <v>-420657.99329999997</v>
      </c>
      <c r="Y79" s="327">
        <v>-6.5441579999999999E-2</v>
      </c>
      <c r="AA79" s="326">
        <v>-442419.98509999999</v>
      </c>
      <c r="AB79" s="327">
        <v>-6.2261629999999998E-2</v>
      </c>
      <c r="AD79" s="326">
        <v>-608140.85829999996</v>
      </c>
      <c r="AE79" s="327">
        <v>-5.7644420000000002E-2</v>
      </c>
      <c r="AG79" s="326">
        <v>-622743.34730000002</v>
      </c>
      <c r="AH79" s="327">
        <v>-5.9694469999999999E-2</v>
      </c>
      <c r="AJ79" s="326">
        <v>-559561.64839999995</v>
      </c>
      <c r="AK79" s="327">
        <v>-5.895599E-2</v>
      </c>
      <c r="AM79" s="326">
        <v>-431959.73950000003</v>
      </c>
      <c r="AN79" s="327">
        <v>-6.3537090000000004E-2</v>
      </c>
    </row>
    <row r="80" spans="2:40" x14ac:dyDescent="0.15">
      <c r="B80" s="8"/>
      <c r="C80" s="8"/>
      <c r="D80" s="8"/>
      <c r="F80" s="8"/>
      <c r="G80" s="8"/>
      <c r="I80" s="8"/>
      <c r="J80" s="8"/>
      <c r="L80" s="8"/>
      <c r="M80" s="8"/>
      <c r="O80" s="8"/>
      <c r="P80" s="8"/>
      <c r="R80" s="8"/>
      <c r="S80" s="8"/>
      <c r="U80" s="8"/>
      <c r="V80" s="8"/>
      <c r="X80" s="8"/>
      <c r="Y80" s="8"/>
      <c r="AA80" s="8"/>
      <c r="AB80" s="8"/>
      <c r="AD80" s="8"/>
      <c r="AE80" s="8"/>
      <c r="AG80" s="8"/>
      <c r="AH80" s="8"/>
      <c r="AJ80" s="8"/>
      <c r="AK80" s="8"/>
      <c r="AM80" s="8"/>
      <c r="AN80" s="8"/>
    </row>
    <row r="81" spans="2:40" ht="14" x14ac:dyDescent="0.15">
      <c r="B81" s="328" t="s">
        <v>58</v>
      </c>
      <c r="C81" s="329"/>
      <c r="D81" s="329"/>
      <c r="F81" s="329"/>
      <c r="G81" s="329"/>
      <c r="I81" s="329"/>
      <c r="J81" s="329"/>
      <c r="L81" s="329"/>
      <c r="M81" s="329"/>
      <c r="O81" s="329"/>
      <c r="P81" s="329"/>
      <c r="R81" s="329"/>
      <c r="S81" s="329"/>
      <c r="U81" s="329"/>
      <c r="V81" s="329"/>
      <c r="X81" s="329"/>
      <c r="Y81" s="329"/>
      <c r="AA81" s="329"/>
      <c r="AB81" s="329"/>
      <c r="AD81" s="329"/>
      <c r="AE81" s="329"/>
      <c r="AG81" s="329"/>
      <c r="AH81" s="329"/>
      <c r="AJ81" s="329"/>
      <c r="AK81" s="329"/>
      <c r="AM81" s="329"/>
      <c r="AN81" s="329"/>
    </row>
    <row r="82" spans="2:40" ht="14" x14ac:dyDescent="0.15">
      <c r="B82" s="5" t="s">
        <v>22</v>
      </c>
      <c r="C82" s="8">
        <v>1802176.0333</v>
      </c>
      <c r="D82" s="7">
        <v>1.9302469999999999E-2</v>
      </c>
      <c r="F82" s="8">
        <v>141848.97</v>
      </c>
      <c r="G82" s="7">
        <v>2.664099E-2</v>
      </c>
      <c r="I82" s="8">
        <v>146924.6</v>
      </c>
      <c r="J82" s="7">
        <v>2.3279230000000001E-2</v>
      </c>
      <c r="L82" s="8">
        <v>153024.71</v>
      </c>
      <c r="M82" s="7">
        <v>1.785693E-2</v>
      </c>
      <c r="O82" s="8">
        <v>139035.51</v>
      </c>
      <c r="P82" s="7">
        <v>2.202109E-2</v>
      </c>
      <c r="R82" s="8">
        <v>149684.25</v>
      </c>
      <c r="S82" s="7">
        <v>1.7230599999999999E-2</v>
      </c>
      <c r="U82" s="8">
        <v>150836.89000000001</v>
      </c>
      <c r="V82" s="7">
        <v>2.0512889999999999E-2</v>
      </c>
      <c r="X82" s="8">
        <v>153562.67000000001</v>
      </c>
      <c r="Y82" s="7">
        <v>2.388968E-2</v>
      </c>
      <c r="AA82" s="8">
        <v>142266.3322</v>
      </c>
      <c r="AB82" s="7">
        <v>2.00211E-2</v>
      </c>
      <c r="AD82" s="8">
        <v>151271.03890000001</v>
      </c>
      <c r="AE82" s="7">
        <v>1.433867E-2</v>
      </c>
      <c r="AG82" s="8">
        <v>153483.67370000001</v>
      </c>
      <c r="AH82" s="7">
        <v>1.471252E-2</v>
      </c>
      <c r="AJ82" s="8">
        <v>171898.88089999999</v>
      </c>
      <c r="AK82" s="7">
        <v>1.8111439999999999E-2</v>
      </c>
      <c r="AM82" s="8">
        <v>148338.50760000001</v>
      </c>
      <c r="AN82" s="7">
        <v>2.1819149999999999E-2</v>
      </c>
    </row>
    <row r="83" spans="2:40" ht="14" x14ac:dyDescent="0.15">
      <c r="B83" s="5" t="s">
        <v>40</v>
      </c>
      <c r="C83" s="8">
        <v>3142993.5298000001</v>
      </c>
      <c r="D83" s="7">
        <v>3.3663489999999997E-2</v>
      </c>
      <c r="F83" s="8">
        <v>225801.19</v>
      </c>
      <c r="G83" s="7">
        <v>4.2408260000000003E-2</v>
      </c>
      <c r="I83" s="8">
        <v>281939.90999999997</v>
      </c>
      <c r="J83" s="7">
        <v>4.4671509999999998E-2</v>
      </c>
      <c r="L83" s="8">
        <v>256058.78</v>
      </c>
      <c r="M83" s="7">
        <v>2.988029E-2</v>
      </c>
      <c r="O83" s="8">
        <v>263668.53999999998</v>
      </c>
      <c r="P83" s="7">
        <v>4.1761039999999999E-2</v>
      </c>
      <c r="R83" s="8">
        <v>253958.84</v>
      </c>
      <c r="S83" s="7">
        <v>2.9233970000000001E-2</v>
      </c>
      <c r="U83" s="8">
        <v>243972.8</v>
      </c>
      <c r="V83" s="7">
        <v>3.3178800000000001E-2</v>
      </c>
      <c r="X83" s="8">
        <v>298662.16330000001</v>
      </c>
      <c r="Y83" s="7">
        <v>4.6462740000000002E-2</v>
      </c>
      <c r="AA83" s="8">
        <v>252073.73329999999</v>
      </c>
      <c r="AB83" s="7">
        <v>3.5474260000000001E-2</v>
      </c>
      <c r="AD83" s="8">
        <v>317393.7733</v>
      </c>
      <c r="AE83" s="7">
        <v>3.00851E-2</v>
      </c>
      <c r="AG83" s="8">
        <v>285672.24329999997</v>
      </c>
      <c r="AH83" s="7">
        <v>2.738376E-2</v>
      </c>
      <c r="AJ83" s="8">
        <v>229464.1833</v>
      </c>
      <c r="AK83" s="7">
        <v>2.417658E-2</v>
      </c>
      <c r="AM83" s="8">
        <v>234327.37330000001</v>
      </c>
      <c r="AN83" s="7">
        <v>3.4467280000000003E-2</v>
      </c>
    </row>
    <row r="84" spans="2:40" ht="14" x14ac:dyDescent="0.15">
      <c r="B84" s="325" t="s">
        <v>41</v>
      </c>
      <c r="C84" s="326">
        <v>-4945169.5630999999</v>
      </c>
      <c r="D84" s="327">
        <v>-5.2965949999999998E-2</v>
      </c>
      <c r="F84" s="326">
        <v>-367650.16</v>
      </c>
      <c r="G84" s="327">
        <v>-6.9049250000000006E-2</v>
      </c>
      <c r="I84" s="326">
        <v>-428864.51</v>
      </c>
      <c r="J84" s="327">
        <v>-6.7950750000000004E-2</v>
      </c>
      <c r="L84" s="326">
        <v>-409083.49</v>
      </c>
      <c r="M84" s="327">
        <v>-4.7737219999999997E-2</v>
      </c>
      <c r="O84" s="326">
        <v>-402704.05</v>
      </c>
      <c r="P84" s="327">
        <v>-6.3782129999999992E-2</v>
      </c>
      <c r="R84" s="326">
        <v>-403643.09</v>
      </c>
      <c r="S84" s="327">
        <v>-4.6464569999999997E-2</v>
      </c>
      <c r="U84" s="326">
        <v>-394809.69</v>
      </c>
      <c r="V84" s="327">
        <v>-5.3691679999999999E-2</v>
      </c>
      <c r="X84" s="326">
        <v>-452224.8333</v>
      </c>
      <c r="Y84" s="327">
        <v>-7.0352419999999999E-2</v>
      </c>
      <c r="AA84" s="326">
        <v>-394340.06550000003</v>
      </c>
      <c r="AB84" s="327">
        <v>-5.5495349999999999E-2</v>
      </c>
      <c r="AD84" s="326">
        <v>-468664.81219999999</v>
      </c>
      <c r="AE84" s="327">
        <v>-4.4423769999999987E-2</v>
      </c>
      <c r="AG84" s="326">
        <v>-439155.91700000002</v>
      </c>
      <c r="AH84" s="327">
        <v>-4.2096280000000007E-2</v>
      </c>
      <c r="AJ84" s="326">
        <v>-401363.06420000002</v>
      </c>
      <c r="AK84" s="327">
        <v>-4.2288020000000003E-2</v>
      </c>
      <c r="AM84" s="326">
        <v>-382665.88089999999</v>
      </c>
      <c r="AN84" s="327">
        <v>-5.6286440000000007E-2</v>
      </c>
    </row>
    <row r="85" spans="2:40" x14ac:dyDescent="0.15">
      <c r="B85" s="8"/>
      <c r="C85" s="8"/>
      <c r="D85" s="8"/>
      <c r="F85" s="8"/>
      <c r="G85" s="8"/>
      <c r="I85" s="8"/>
      <c r="J85" s="8"/>
      <c r="L85" s="8"/>
      <c r="M85" s="8"/>
      <c r="O85" s="8"/>
      <c r="P85" s="8"/>
      <c r="R85" s="8"/>
      <c r="S85" s="8"/>
      <c r="U85" s="8"/>
      <c r="V85" s="8"/>
      <c r="X85" s="8"/>
      <c r="Y85" s="8"/>
      <c r="AA85" s="8"/>
      <c r="AB85" s="8"/>
      <c r="AD85" s="8"/>
      <c r="AE85" s="8"/>
      <c r="AG85" s="8"/>
      <c r="AH85" s="8"/>
      <c r="AJ85" s="8"/>
      <c r="AK85" s="8"/>
      <c r="AM85" s="8"/>
      <c r="AN85" s="8"/>
    </row>
    <row r="86" spans="2:40" ht="14" x14ac:dyDescent="0.15">
      <c r="B86" s="328" t="s">
        <v>59</v>
      </c>
      <c r="C86" s="329"/>
      <c r="D86" s="329"/>
      <c r="F86" s="329"/>
      <c r="G86" s="329"/>
      <c r="I86" s="329"/>
      <c r="J86" s="329"/>
      <c r="L86" s="329"/>
      <c r="M86" s="329"/>
      <c r="O86" s="329"/>
      <c r="P86" s="329"/>
      <c r="R86" s="329"/>
      <c r="S86" s="329"/>
      <c r="U86" s="329"/>
      <c r="V86" s="329"/>
      <c r="X86" s="329"/>
      <c r="Y86" s="329"/>
      <c r="AA86" s="329"/>
      <c r="AB86" s="329"/>
      <c r="AD86" s="329"/>
      <c r="AE86" s="329"/>
      <c r="AG86" s="329"/>
      <c r="AH86" s="329"/>
      <c r="AJ86" s="329"/>
      <c r="AK86" s="329"/>
      <c r="AM86" s="329"/>
      <c r="AN86" s="329"/>
    </row>
    <row r="87" spans="2:40" ht="14" x14ac:dyDescent="0.15">
      <c r="B87" s="325" t="s">
        <v>41</v>
      </c>
      <c r="C87" s="326">
        <v>-4532319.4550000001</v>
      </c>
      <c r="D87" s="327">
        <v>-4.854406E-2</v>
      </c>
      <c r="F87" s="326">
        <v>-466143.3</v>
      </c>
      <c r="G87" s="327">
        <v>-8.7547479999999997E-2</v>
      </c>
      <c r="I87" s="326">
        <v>-362442.26</v>
      </c>
      <c r="J87" s="327">
        <v>-5.7426579999999998E-2</v>
      </c>
      <c r="L87" s="326">
        <v>-384952.75</v>
      </c>
      <c r="M87" s="327">
        <v>-4.4921330000000002E-2</v>
      </c>
      <c r="O87" s="326">
        <v>-378486.45</v>
      </c>
      <c r="P87" s="327">
        <v>-5.9946439999999997E-2</v>
      </c>
      <c r="R87" s="326">
        <v>-356729.16</v>
      </c>
      <c r="S87" s="327">
        <v>-4.1064169999999997E-2</v>
      </c>
      <c r="U87" s="326">
        <v>-219243.27</v>
      </c>
      <c r="V87" s="327">
        <v>-2.9815729999999999E-2</v>
      </c>
      <c r="X87" s="326">
        <v>-370070.1998</v>
      </c>
      <c r="Y87" s="327">
        <v>-5.7571659999999997E-2</v>
      </c>
      <c r="AA87" s="326">
        <v>-363286.12219999998</v>
      </c>
      <c r="AB87" s="327">
        <v>-5.1125139999999999E-2</v>
      </c>
      <c r="AD87" s="326">
        <v>-419586.50060000003</v>
      </c>
      <c r="AE87" s="327">
        <v>-3.977174E-2</v>
      </c>
      <c r="AG87" s="326">
        <v>-408091.35230000003</v>
      </c>
      <c r="AH87" s="327">
        <v>-3.9118519999999997E-2</v>
      </c>
      <c r="AJ87" s="326">
        <v>-432282.85710000002</v>
      </c>
      <c r="AK87" s="327">
        <v>-4.5545759999999998E-2</v>
      </c>
      <c r="AM87" s="326">
        <v>-371005.23300000001</v>
      </c>
      <c r="AN87" s="327">
        <v>-5.4571269999999998E-2</v>
      </c>
    </row>
    <row r="88" spans="2:40" x14ac:dyDescent="0.15">
      <c r="B88" s="8"/>
      <c r="C88" s="8"/>
      <c r="D88" s="8"/>
      <c r="F88" s="8"/>
      <c r="G88" s="8"/>
      <c r="I88" s="8"/>
      <c r="J88" s="8"/>
      <c r="L88" s="8"/>
      <c r="M88" s="8"/>
      <c r="O88" s="8"/>
      <c r="P88" s="8"/>
      <c r="R88" s="8"/>
      <c r="S88" s="8"/>
      <c r="U88" s="8"/>
      <c r="V88" s="8"/>
      <c r="X88" s="8"/>
      <c r="Y88" s="8"/>
      <c r="AA88" s="8"/>
      <c r="AB88" s="8"/>
      <c r="AD88" s="8"/>
      <c r="AE88" s="8"/>
      <c r="AG88" s="8"/>
      <c r="AH88" s="8"/>
      <c r="AJ88" s="8"/>
      <c r="AK88" s="8"/>
      <c r="AM88" s="8"/>
      <c r="AN88" s="8"/>
    </row>
    <row r="89" spans="2:40" ht="14" x14ac:dyDescent="0.15">
      <c r="B89" s="325" t="s">
        <v>23</v>
      </c>
      <c r="C89" s="326">
        <v>23766690.804400001</v>
      </c>
      <c r="D89" s="327">
        <v>0.25455656999999998</v>
      </c>
      <c r="F89" s="326">
        <v>220835.82</v>
      </c>
      <c r="G89" s="327">
        <v>4.1475699999999997E-2</v>
      </c>
      <c r="I89" s="326">
        <v>761926.06</v>
      </c>
      <c r="J89" s="327">
        <v>0.12072215</v>
      </c>
      <c r="L89" s="326">
        <v>2656773.04</v>
      </c>
      <c r="M89" s="327">
        <v>0.31002706000000002</v>
      </c>
      <c r="O89" s="326">
        <v>894056.98</v>
      </c>
      <c r="P89" s="327">
        <v>0.14160487999999999</v>
      </c>
      <c r="R89" s="326">
        <v>2742367.6</v>
      </c>
      <c r="S89" s="327">
        <v>0.31568217999999998</v>
      </c>
      <c r="U89" s="326">
        <v>1735525.65</v>
      </c>
      <c r="V89" s="327">
        <v>0.23602078000000001</v>
      </c>
      <c r="X89" s="326">
        <v>978096.26859999995</v>
      </c>
      <c r="Y89" s="327">
        <v>0.15216200999999999</v>
      </c>
      <c r="AA89" s="326">
        <v>1538941.5876</v>
      </c>
      <c r="AB89" s="327">
        <v>0.21657477</v>
      </c>
      <c r="AD89" s="326">
        <v>3849174.8672000002</v>
      </c>
      <c r="AE89" s="327">
        <v>0.36485535000000002</v>
      </c>
      <c r="AG89" s="326">
        <v>3933579.7411000002</v>
      </c>
      <c r="AH89" s="327">
        <v>0.37706214999999998</v>
      </c>
      <c r="AJ89" s="326">
        <v>3048474.3684999999</v>
      </c>
      <c r="AK89" s="327">
        <v>0.32119036000000001</v>
      </c>
      <c r="AM89" s="326">
        <v>1406938.8214</v>
      </c>
      <c r="AN89" s="327">
        <v>0.20694704</v>
      </c>
    </row>
    <row r="90" spans="2:40" x14ac:dyDescent="0.15">
      <c r="B90" s="8"/>
      <c r="C90" s="8"/>
      <c r="D90" s="8"/>
      <c r="F90" s="8"/>
      <c r="G90" s="8"/>
      <c r="I90" s="8"/>
      <c r="J90" s="8"/>
      <c r="L90" s="8"/>
      <c r="M90" s="8"/>
      <c r="O90" s="8"/>
      <c r="P90" s="8"/>
      <c r="R90" s="8"/>
      <c r="S90" s="8"/>
      <c r="U90" s="8"/>
      <c r="V90" s="8"/>
      <c r="X90" s="8"/>
      <c r="Y90" s="8"/>
      <c r="AA90" s="8"/>
      <c r="AB90" s="8"/>
      <c r="AD90" s="8"/>
      <c r="AE90" s="8"/>
      <c r="AG90" s="8"/>
      <c r="AH90" s="8"/>
      <c r="AJ90" s="8"/>
      <c r="AK90" s="8"/>
      <c r="AM90" s="8"/>
      <c r="AN90" s="8"/>
    </row>
    <row r="91" spans="2:40" ht="14" x14ac:dyDescent="0.15">
      <c r="B91" s="325" t="s">
        <v>60</v>
      </c>
      <c r="C91" s="326">
        <v>223313.88</v>
      </c>
      <c r="D91" s="327">
        <v>2.3918400000000001E-3</v>
      </c>
      <c r="F91" s="326">
        <v>22394.720000000001</v>
      </c>
      <c r="G91" s="327">
        <v>4.2060099999999996E-3</v>
      </c>
      <c r="I91" s="326">
        <v>4077.47</v>
      </c>
      <c r="J91" s="327">
        <v>6.4605000000000001E-4</v>
      </c>
      <c r="L91" s="326">
        <v>2376.91</v>
      </c>
      <c r="M91" s="327">
        <v>2.7736999999999998E-4</v>
      </c>
      <c r="O91" s="326">
        <v>2410.62</v>
      </c>
      <c r="P91" s="327">
        <v>3.8181000000000001E-4</v>
      </c>
      <c r="R91" s="326">
        <v>1211.2</v>
      </c>
      <c r="S91" s="327">
        <v>1.3941999999999999E-4</v>
      </c>
      <c r="U91" s="326">
        <v>2034.96</v>
      </c>
      <c r="V91" s="327">
        <v>2.7673999999999998E-4</v>
      </c>
      <c r="X91" s="326">
        <v>156468</v>
      </c>
      <c r="Y91" s="327">
        <v>2.4341660000000001E-2</v>
      </c>
      <c r="AA91" s="326">
        <v>6468</v>
      </c>
      <c r="AB91" s="327">
        <v>9.1023999999999999E-4</v>
      </c>
      <c r="AD91" s="326">
        <v>6468</v>
      </c>
      <c r="AE91" s="327">
        <v>6.1309000000000005E-4</v>
      </c>
      <c r="AG91" s="326">
        <v>6468</v>
      </c>
      <c r="AH91" s="327">
        <v>6.2E-4</v>
      </c>
      <c r="AJ91" s="326">
        <v>6468</v>
      </c>
      <c r="AK91" s="327">
        <v>6.8148000000000004E-4</v>
      </c>
      <c r="AM91" s="326">
        <v>6468</v>
      </c>
      <c r="AN91" s="327">
        <v>9.5138000000000004E-4</v>
      </c>
    </row>
    <row r="92" spans="2:40" ht="14" x14ac:dyDescent="0.15">
      <c r="B92" s="5" t="s">
        <v>61</v>
      </c>
      <c r="C92" s="8">
        <v>31001.62</v>
      </c>
      <c r="D92" s="7">
        <v>3.3205000000000002E-4</v>
      </c>
      <c r="F92" s="8">
        <v>22188.53</v>
      </c>
      <c r="G92" s="7">
        <v>4.1672799999999998E-3</v>
      </c>
      <c r="I92" s="8">
        <v>882.67</v>
      </c>
      <c r="J92" s="7">
        <v>1.3985000000000001E-4</v>
      </c>
      <c r="L92" s="8">
        <v>716</v>
      </c>
      <c r="M92" s="7">
        <v>8.3549999999999998E-5</v>
      </c>
      <c r="O92" s="8">
        <v>766.42</v>
      </c>
      <c r="P92" s="7">
        <v>1.2139E-4</v>
      </c>
      <c r="R92" s="8">
        <v>716</v>
      </c>
      <c r="S92" s="7">
        <v>8.2419999999999987E-5</v>
      </c>
      <c r="U92" s="8">
        <v>716</v>
      </c>
      <c r="V92" s="7">
        <v>9.7370000000000011E-5</v>
      </c>
      <c r="X92" s="8">
        <v>836</v>
      </c>
      <c r="Y92" s="7">
        <v>1.3006000000000001E-4</v>
      </c>
      <c r="AA92" s="8">
        <v>836</v>
      </c>
      <c r="AB92" s="7">
        <v>1.1765E-4</v>
      </c>
      <c r="AD92" s="8">
        <v>836</v>
      </c>
      <c r="AE92" s="7">
        <v>7.9240000000000007E-5</v>
      </c>
      <c r="AG92" s="8">
        <v>836</v>
      </c>
      <c r="AH92" s="7">
        <v>8.0140000000000002E-5</v>
      </c>
      <c r="AJ92" s="8">
        <v>836</v>
      </c>
      <c r="AK92" s="7">
        <v>8.8079999999999997E-5</v>
      </c>
      <c r="AM92" s="8">
        <v>836</v>
      </c>
      <c r="AN92" s="7">
        <v>1.2297E-4</v>
      </c>
    </row>
    <row r="93" spans="2:40" ht="14" x14ac:dyDescent="0.15">
      <c r="B93" s="5" t="s">
        <v>62</v>
      </c>
      <c r="C93" s="8">
        <v>192312.26</v>
      </c>
      <c r="D93" s="7">
        <v>2.0597900000000001E-3</v>
      </c>
      <c r="F93" s="8">
        <v>206.19</v>
      </c>
      <c r="G93" s="7">
        <v>3.8729999999999997E-5</v>
      </c>
      <c r="I93" s="8">
        <v>3194.8</v>
      </c>
      <c r="J93" s="7">
        <v>5.0619E-4</v>
      </c>
      <c r="L93" s="8">
        <v>1660.91</v>
      </c>
      <c r="M93" s="7">
        <v>1.9382000000000001E-4</v>
      </c>
      <c r="O93" s="8">
        <v>1644.2</v>
      </c>
      <c r="P93" s="7">
        <v>2.6041999999999998E-4</v>
      </c>
      <c r="R93" s="8">
        <v>495.2</v>
      </c>
      <c r="S93" s="7">
        <v>5.7000000000000003E-5</v>
      </c>
      <c r="U93" s="8">
        <v>1318.96</v>
      </c>
      <c r="V93" s="7">
        <v>1.7937000000000001E-4</v>
      </c>
      <c r="X93" s="8">
        <v>155632</v>
      </c>
      <c r="Y93" s="7">
        <v>2.42116E-2</v>
      </c>
      <c r="AA93" s="8">
        <v>5632</v>
      </c>
      <c r="AB93" s="7">
        <v>7.9258999999999992E-4</v>
      </c>
      <c r="AD93" s="8">
        <v>5632</v>
      </c>
      <c r="AE93" s="7">
        <v>5.3384999999999999E-4</v>
      </c>
      <c r="AG93" s="8">
        <v>5632</v>
      </c>
      <c r="AH93" s="7">
        <v>5.3987000000000002E-4</v>
      </c>
      <c r="AJ93" s="8">
        <v>5632</v>
      </c>
      <c r="AK93" s="7">
        <v>5.9339000000000006E-4</v>
      </c>
      <c r="AM93" s="8">
        <v>5632</v>
      </c>
      <c r="AN93" s="7">
        <v>8.2841000000000002E-4</v>
      </c>
    </row>
    <row r="94" spans="2:40" ht="14" x14ac:dyDescent="0.15">
      <c r="B94" s="5" t="s">
        <v>63</v>
      </c>
      <c r="C94" s="8">
        <v>0</v>
      </c>
      <c r="D94" s="7">
        <v>0</v>
      </c>
      <c r="F94" s="8">
        <v>0</v>
      </c>
      <c r="G94" s="7">
        <v>0</v>
      </c>
      <c r="I94" s="8">
        <v>0</v>
      </c>
      <c r="J94" s="7">
        <v>0</v>
      </c>
      <c r="L94" s="8">
        <v>0</v>
      </c>
      <c r="M94" s="7">
        <v>0</v>
      </c>
      <c r="O94" s="8">
        <v>0</v>
      </c>
      <c r="P94" s="7">
        <v>0</v>
      </c>
      <c r="R94" s="8">
        <v>0</v>
      </c>
      <c r="S94" s="7">
        <v>0</v>
      </c>
      <c r="U94" s="8">
        <v>0</v>
      </c>
      <c r="V94" s="7">
        <v>0</v>
      </c>
      <c r="X94" s="8">
        <v>0</v>
      </c>
      <c r="Y94" s="7">
        <v>0</v>
      </c>
      <c r="AA94" s="8">
        <v>0</v>
      </c>
      <c r="AB94" s="7">
        <v>0</v>
      </c>
      <c r="AD94" s="8">
        <v>0</v>
      </c>
      <c r="AE94" s="7">
        <v>0</v>
      </c>
      <c r="AG94" s="8">
        <v>0</v>
      </c>
      <c r="AH94" s="7">
        <v>0</v>
      </c>
      <c r="AJ94" s="8">
        <v>0</v>
      </c>
      <c r="AK94" s="7">
        <v>0</v>
      </c>
      <c r="AM94" s="8">
        <v>0</v>
      </c>
      <c r="AN94" s="7">
        <v>0</v>
      </c>
    </row>
    <row r="95" spans="2:40" ht="14" x14ac:dyDescent="0.15">
      <c r="B95" s="5" t="s">
        <v>64</v>
      </c>
      <c r="C95" s="8">
        <v>0</v>
      </c>
      <c r="D95" s="7">
        <v>0</v>
      </c>
      <c r="F95" s="8">
        <v>0</v>
      </c>
      <c r="G95" s="7">
        <v>0</v>
      </c>
      <c r="I95" s="8">
        <v>0</v>
      </c>
      <c r="J95" s="7">
        <v>0</v>
      </c>
      <c r="L95" s="8">
        <v>0</v>
      </c>
      <c r="M95" s="7">
        <v>0</v>
      </c>
      <c r="O95" s="8">
        <v>0</v>
      </c>
      <c r="P95" s="7">
        <v>0</v>
      </c>
      <c r="R95" s="8">
        <v>0</v>
      </c>
      <c r="S95" s="7">
        <v>0</v>
      </c>
      <c r="U95" s="8">
        <v>0</v>
      </c>
      <c r="V95" s="7">
        <v>0</v>
      </c>
      <c r="X95" s="8">
        <v>0</v>
      </c>
      <c r="Y95" s="7">
        <v>0</v>
      </c>
      <c r="AA95" s="8">
        <v>0</v>
      </c>
      <c r="AB95" s="7">
        <v>0</v>
      </c>
      <c r="AD95" s="8">
        <v>0</v>
      </c>
      <c r="AE95" s="7">
        <v>0</v>
      </c>
      <c r="AG95" s="8">
        <v>0</v>
      </c>
      <c r="AH95" s="7">
        <v>0</v>
      </c>
      <c r="AJ95" s="8">
        <v>0</v>
      </c>
      <c r="AK95" s="7">
        <v>0</v>
      </c>
      <c r="AM95" s="8">
        <v>0</v>
      </c>
      <c r="AN95" s="7">
        <v>0</v>
      </c>
    </row>
    <row r="96" spans="2:40" x14ac:dyDescent="0.15">
      <c r="B96" s="8"/>
      <c r="C96" s="8"/>
      <c r="D96" s="8"/>
      <c r="F96" s="8"/>
      <c r="G96" s="8"/>
      <c r="I96" s="8"/>
      <c r="J96" s="8"/>
      <c r="L96" s="8"/>
      <c r="M96" s="8"/>
      <c r="O96" s="8"/>
      <c r="P96" s="8"/>
      <c r="R96" s="8"/>
      <c r="S96" s="8"/>
      <c r="U96" s="8"/>
      <c r="V96" s="8"/>
      <c r="X96" s="8"/>
      <c r="Y96" s="8"/>
      <c r="AA96" s="8"/>
      <c r="AB96" s="8"/>
      <c r="AD96" s="8"/>
      <c r="AE96" s="8"/>
      <c r="AG96" s="8"/>
      <c r="AH96" s="8"/>
      <c r="AJ96" s="8"/>
      <c r="AK96" s="8"/>
      <c r="AM96" s="8"/>
      <c r="AN96" s="8"/>
    </row>
    <row r="97" spans="2:40" ht="14" x14ac:dyDescent="0.15">
      <c r="B97" s="325" t="s">
        <v>65</v>
      </c>
      <c r="C97" s="326">
        <v>300315.19</v>
      </c>
      <c r="D97" s="327">
        <v>3.2165700000000002E-3</v>
      </c>
      <c r="F97" s="326">
        <v>2255.91</v>
      </c>
      <c r="G97" s="327">
        <v>4.236899999999999E-4</v>
      </c>
      <c r="I97" s="326">
        <v>7429.26</v>
      </c>
      <c r="J97" s="327">
        <v>1.17712E-3</v>
      </c>
      <c r="L97" s="326">
        <v>1660.91</v>
      </c>
      <c r="M97" s="327">
        <v>1.9382000000000001E-4</v>
      </c>
      <c r="O97" s="326">
        <v>1644.2</v>
      </c>
      <c r="P97" s="327">
        <v>2.6041999999999998E-4</v>
      </c>
      <c r="R97" s="326">
        <v>495.2</v>
      </c>
      <c r="S97" s="327">
        <v>5.7000000000000003E-5</v>
      </c>
      <c r="U97" s="326">
        <v>1717.71</v>
      </c>
      <c r="V97" s="327">
        <v>2.3360000000000001E-4</v>
      </c>
      <c r="X97" s="326">
        <v>175852</v>
      </c>
      <c r="Y97" s="327">
        <v>2.7357220000000002E-2</v>
      </c>
      <c r="AA97" s="326">
        <v>21852</v>
      </c>
      <c r="AB97" s="327">
        <v>3.07523E-3</v>
      </c>
      <c r="AD97" s="326">
        <v>21852</v>
      </c>
      <c r="AE97" s="327">
        <v>2.0713099999999998E-3</v>
      </c>
      <c r="AG97" s="326">
        <v>21852</v>
      </c>
      <c r="AH97" s="327">
        <v>2.0946699999999999E-3</v>
      </c>
      <c r="AJ97" s="326">
        <v>21852</v>
      </c>
      <c r="AK97" s="327">
        <v>2.3023499999999999E-3</v>
      </c>
      <c r="AM97" s="326">
        <v>21852</v>
      </c>
      <c r="AN97" s="327">
        <v>3.2142199999999998E-3</v>
      </c>
    </row>
    <row r="98" spans="2:40" ht="14" x14ac:dyDescent="0.15">
      <c r="B98" s="5" t="s">
        <v>66</v>
      </c>
      <c r="C98" s="8">
        <v>0</v>
      </c>
      <c r="D98" s="7">
        <v>0</v>
      </c>
      <c r="F98" s="8">
        <v>0</v>
      </c>
      <c r="G98" s="7">
        <v>0</v>
      </c>
      <c r="I98" s="8">
        <v>0</v>
      </c>
      <c r="J98" s="7">
        <v>0</v>
      </c>
      <c r="L98" s="8">
        <v>0</v>
      </c>
      <c r="M98" s="7">
        <v>0</v>
      </c>
      <c r="O98" s="8">
        <v>0</v>
      </c>
      <c r="P98" s="7">
        <v>0</v>
      </c>
      <c r="R98" s="8">
        <v>0</v>
      </c>
      <c r="S98" s="7">
        <v>0</v>
      </c>
      <c r="U98" s="8">
        <v>0</v>
      </c>
      <c r="V98" s="7">
        <v>0</v>
      </c>
      <c r="X98" s="8">
        <v>0</v>
      </c>
      <c r="Y98" s="7">
        <v>0</v>
      </c>
      <c r="AA98" s="8">
        <v>0</v>
      </c>
      <c r="AB98" s="7">
        <v>0</v>
      </c>
      <c r="AD98" s="8">
        <v>0</v>
      </c>
      <c r="AE98" s="7">
        <v>0</v>
      </c>
      <c r="AG98" s="8">
        <v>0</v>
      </c>
      <c r="AH98" s="7">
        <v>0</v>
      </c>
      <c r="AJ98" s="8">
        <v>0</v>
      </c>
      <c r="AK98" s="7">
        <v>0</v>
      </c>
      <c r="AM98" s="8">
        <v>0</v>
      </c>
      <c r="AN98" s="7">
        <v>0</v>
      </c>
    </row>
    <row r="99" spans="2:40" ht="14" x14ac:dyDescent="0.15">
      <c r="B99" s="5" t="s">
        <v>67</v>
      </c>
      <c r="C99" s="8">
        <v>300315.19</v>
      </c>
      <c r="D99" s="7">
        <v>3.2165700000000002E-3</v>
      </c>
      <c r="F99" s="8">
        <v>2255.91</v>
      </c>
      <c r="G99" s="7">
        <v>4.236899999999999E-4</v>
      </c>
      <c r="I99" s="8">
        <v>7429.26</v>
      </c>
      <c r="J99" s="7">
        <v>1.17712E-3</v>
      </c>
      <c r="L99" s="8">
        <v>1660.91</v>
      </c>
      <c r="M99" s="7">
        <v>1.9382000000000001E-4</v>
      </c>
      <c r="O99" s="8">
        <v>1644.2</v>
      </c>
      <c r="P99" s="7">
        <v>2.6041999999999998E-4</v>
      </c>
      <c r="R99" s="8">
        <v>495.2</v>
      </c>
      <c r="S99" s="7">
        <v>5.7000000000000003E-5</v>
      </c>
      <c r="U99" s="8">
        <v>1717.71</v>
      </c>
      <c r="V99" s="7">
        <v>2.3360000000000001E-4</v>
      </c>
      <c r="X99" s="8">
        <v>175852</v>
      </c>
      <c r="Y99" s="7">
        <v>2.7357220000000002E-2</v>
      </c>
      <c r="AA99" s="8">
        <v>21852</v>
      </c>
      <c r="AB99" s="7">
        <v>3.07523E-3</v>
      </c>
      <c r="AD99" s="8">
        <v>21852</v>
      </c>
      <c r="AE99" s="7">
        <v>2.0713099999999998E-3</v>
      </c>
      <c r="AG99" s="8">
        <v>21852</v>
      </c>
      <c r="AH99" s="7">
        <v>2.0946699999999999E-3</v>
      </c>
      <c r="AJ99" s="8">
        <v>21852</v>
      </c>
      <c r="AK99" s="7">
        <v>2.3023499999999999E-3</v>
      </c>
      <c r="AM99" s="8">
        <v>21852</v>
      </c>
      <c r="AN99" s="7">
        <v>3.2142199999999998E-3</v>
      </c>
    </row>
    <row r="100" spans="2:40" x14ac:dyDescent="0.15">
      <c r="B100" s="8"/>
      <c r="C100" s="8"/>
      <c r="D100" s="8"/>
      <c r="F100" s="8"/>
      <c r="G100" s="8"/>
      <c r="I100" s="8"/>
      <c r="J100" s="8"/>
      <c r="L100" s="8"/>
      <c r="M100" s="8"/>
      <c r="O100" s="8"/>
      <c r="P100" s="8"/>
      <c r="R100" s="8"/>
      <c r="S100" s="8"/>
      <c r="U100" s="8"/>
      <c r="V100" s="8"/>
      <c r="X100" s="8"/>
      <c r="Y100" s="8"/>
      <c r="AA100" s="8"/>
      <c r="AB100" s="8"/>
      <c r="AD100" s="8"/>
      <c r="AE100" s="8"/>
      <c r="AG100" s="8"/>
      <c r="AH100" s="8"/>
      <c r="AJ100" s="8"/>
      <c r="AK100" s="8"/>
      <c r="AM100" s="8"/>
      <c r="AN100" s="8"/>
    </row>
    <row r="101" spans="2:40" ht="12.75" customHeight="1" x14ac:dyDescent="0.15">
      <c r="B101" s="325" t="s">
        <v>68</v>
      </c>
      <c r="C101" s="326">
        <v>-77001.31</v>
      </c>
      <c r="D101" s="327">
        <v>-8.2473000000000008E-4</v>
      </c>
      <c r="F101" s="326">
        <v>20138.810000000001</v>
      </c>
      <c r="G101" s="327">
        <v>3.78232E-3</v>
      </c>
      <c r="I101" s="326">
        <v>-3351.79</v>
      </c>
      <c r="J101" s="327">
        <v>-5.3107000000000002E-4</v>
      </c>
      <c r="L101" s="326">
        <v>716</v>
      </c>
      <c r="M101" s="327">
        <v>8.3549999999999998E-5</v>
      </c>
      <c r="O101" s="326">
        <v>766.42</v>
      </c>
      <c r="P101" s="327">
        <v>1.2139E-4</v>
      </c>
      <c r="R101" s="326">
        <v>716</v>
      </c>
      <c r="S101" s="327">
        <v>8.2419999999999987E-5</v>
      </c>
      <c r="U101" s="326">
        <v>317.25</v>
      </c>
      <c r="V101" s="327">
        <v>4.3139999999999997E-5</v>
      </c>
      <c r="X101" s="326">
        <v>-19384</v>
      </c>
      <c r="Y101" s="327">
        <v>-3.01556E-3</v>
      </c>
      <c r="AA101" s="326">
        <v>-15384</v>
      </c>
      <c r="AB101" s="327">
        <v>-2.1649899999999999E-3</v>
      </c>
      <c r="AD101" s="326">
        <v>-15384</v>
      </c>
      <c r="AE101" s="327">
        <v>-1.4582200000000001E-3</v>
      </c>
      <c r="AG101" s="326">
        <v>-15384</v>
      </c>
      <c r="AH101" s="327">
        <v>-1.47467E-3</v>
      </c>
      <c r="AJ101" s="326">
        <v>-15384</v>
      </c>
      <c r="AK101" s="327">
        <v>-1.6208699999999999E-3</v>
      </c>
      <c r="AM101" s="326">
        <v>-15384</v>
      </c>
      <c r="AN101" s="327">
        <v>-2.2628399999999999E-3</v>
      </c>
    </row>
    <row r="102" spans="2:40" x14ac:dyDescent="0.15">
      <c r="B102" s="8"/>
      <c r="C102" s="8"/>
      <c r="D102" s="8"/>
      <c r="F102" s="8"/>
      <c r="G102" s="8"/>
      <c r="I102" s="8"/>
      <c r="J102" s="8"/>
      <c r="L102" s="8"/>
      <c r="M102" s="8"/>
      <c r="O102" s="8"/>
      <c r="P102" s="8"/>
      <c r="R102" s="8"/>
      <c r="S102" s="8"/>
      <c r="U102" s="8"/>
      <c r="V102" s="8"/>
      <c r="X102" s="8"/>
      <c r="Y102" s="8"/>
      <c r="AA102" s="8"/>
      <c r="AB102" s="8"/>
      <c r="AD102" s="8"/>
      <c r="AE102" s="8"/>
      <c r="AG102" s="8"/>
      <c r="AH102" s="8"/>
      <c r="AJ102" s="8"/>
      <c r="AK102" s="8"/>
      <c r="AM102" s="8"/>
      <c r="AN102" s="8"/>
    </row>
    <row r="103" spans="2:40" ht="14" x14ac:dyDescent="0.15">
      <c r="B103" s="325" t="s">
        <v>69</v>
      </c>
      <c r="C103" s="326">
        <v>23689689.494399998</v>
      </c>
      <c r="D103" s="327">
        <v>0.25373182999999999</v>
      </c>
      <c r="F103" s="326">
        <v>240974.63</v>
      </c>
      <c r="G103" s="327">
        <v>4.5258020000000003E-2</v>
      </c>
      <c r="I103" s="326">
        <v>758574.27</v>
      </c>
      <c r="J103" s="327">
        <v>0.12019108000000001</v>
      </c>
      <c r="L103" s="326">
        <v>2657489.04</v>
      </c>
      <c r="M103" s="327">
        <v>0.31011061000000001</v>
      </c>
      <c r="O103" s="326">
        <v>894823.4</v>
      </c>
      <c r="P103" s="327">
        <v>0.14172626999999999</v>
      </c>
      <c r="R103" s="326">
        <v>2743083.6</v>
      </c>
      <c r="S103" s="327">
        <v>0.31576460000000001</v>
      </c>
      <c r="U103" s="326">
        <v>1735842.9</v>
      </c>
      <c r="V103" s="327">
        <v>0.23606392000000001</v>
      </c>
      <c r="X103" s="326">
        <v>958712.26859999995</v>
      </c>
      <c r="Y103" s="327">
        <v>0.14914645000000001</v>
      </c>
      <c r="AA103" s="326">
        <v>1523557.5876</v>
      </c>
      <c r="AB103" s="327">
        <v>0.21440977999999999</v>
      </c>
      <c r="AD103" s="326">
        <v>3833790.8672000002</v>
      </c>
      <c r="AE103" s="327">
        <v>0.36339714000000001</v>
      </c>
      <c r="AG103" s="326">
        <v>3918195.7411000002</v>
      </c>
      <c r="AH103" s="327">
        <v>0.37558747999999997</v>
      </c>
      <c r="AJ103" s="326">
        <v>3033090.3684999999</v>
      </c>
      <c r="AK103" s="327">
        <v>0.31956949000000001</v>
      </c>
      <c r="AM103" s="326">
        <v>1391554.8214</v>
      </c>
      <c r="AN103" s="327">
        <v>0.20468421000000001</v>
      </c>
    </row>
    <row r="104" spans="2:40" x14ac:dyDescent="0.15">
      <c r="B104" s="8"/>
      <c r="C104" s="8"/>
      <c r="D104" s="8"/>
      <c r="F104" s="8"/>
      <c r="G104" s="8"/>
      <c r="I104" s="8"/>
      <c r="J104" s="8"/>
      <c r="L104" s="8"/>
      <c r="M104" s="8"/>
      <c r="O104" s="8"/>
      <c r="P104" s="8"/>
      <c r="R104" s="8"/>
      <c r="S104" s="8"/>
      <c r="U104" s="8"/>
      <c r="V104" s="8"/>
      <c r="X104" s="8"/>
      <c r="Y104" s="8"/>
      <c r="AA104" s="8"/>
      <c r="AB104" s="8"/>
      <c r="AD104" s="8"/>
      <c r="AE104" s="8"/>
      <c r="AG104" s="8"/>
      <c r="AH104" s="8"/>
      <c r="AJ104" s="8"/>
      <c r="AK104" s="8"/>
      <c r="AM104" s="8"/>
      <c r="AN104" s="8"/>
    </row>
    <row r="105" spans="2:40" ht="14" x14ac:dyDescent="0.15">
      <c r="B105" s="325" t="s">
        <v>70</v>
      </c>
      <c r="C105" s="326">
        <v>1870645.24</v>
      </c>
      <c r="D105" s="327">
        <v>2.0035819999999999E-2</v>
      </c>
      <c r="F105" s="326">
        <v>117491.16</v>
      </c>
      <c r="G105" s="327">
        <v>2.2066289999999999E-2</v>
      </c>
      <c r="I105" s="326">
        <v>112431.25</v>
      </c>
      <c r="J105" s="327">
        <v>1.7813989999999998E-2</v>
      </c>
      <c r="L105" s="326">
        <v>121804.06</v>
      </c>
      <c r="M105" s="327">
        <v>1.4213689999999999E-2</v>
      </c>
      <c r="O105" s="326">
        <v>232129.67</v>
      </c>
      <c r="P105" s="327">
        <v>3.6765770000000003E-2</v>
      </c>
      <c r="R105" s="326">
        <v>113646.29</v>
      </c>
      <c r="S105" s="327">
        <v>1.3082170000000001E-2</v>
      </c>
      <c r="U105" s="326">
        <v>113766.29</v>
      </c>
      <c r="V105" s="327">
        <v>1.5471510000000001E-2</v>
      </c>
      <c r="X105" s="326">
        <v>174618.43</v>
      </c>
      <c r="Y105" s="327">
        <v>2.7165310000000002E-2</v>
      </c>
      <c r="AA105" s="326">
        <v>180451.4</v>
      </c>
      <c r="AB105" s="327">
        <v>2.539487E-2</v>
      </c>
      <c r="AD105" s="326">
        <v>174618.43</v>
      </c>
      <c r="AE105" s="327">
        <v>1.6551719999999999E-2</v>
      </c>
      <c r="AG105" s="326">
        <v>174618.43</v>
      </c>
      <c r="AH105" s="327">
        <v>1.673844E-2</v>
      </c>
      <c r="AJ105" s="326">
        <v>180451.4</v>
      </c>
      <c r="AK105" s="327">
        <v>1.9012540000000001E-2</v>
      </c>
      <c r="AM105" s="326">
        <v>174618.43</v>
      </c>
      <c r="AN105" s="327">
        <v>2.5684680000000001E-2</v>
      </c>
    </row>
    <row r="106" spans="2:40" ht="14" x14ac:dyDescent="0.15">
      <c r="B106" s="5" t="s">
        <v>71</v>
      </c>
      <c r="C106" s="8">
        <v>746308.95</v>
      </c>
      <c r="D106" s="7">
        <v>7.9934499999999992E-3</v>
      </c>
      <c r="F106" s="8">
        <v>46596.53</v>
      </c>
      <c r="G106" s="7">
        <v>8.7514099999999994E-3</v>
      </c>
      <c r="I106" s="8">
        <v>40494.99</v>
      </c>
      <c r="J106" s="7">
        <v>6.4161599999999997E-3</v>
      </c>
      <c r="L106" s="8">
        <v>50414.29</v>
      </c>
      <c r="M106" s="7">
        <v>5.8830000000000002E-3</v>
      </c>
      <c r="O106" s="8">
        <v>160909.9</v>
      </c>
      <c r="P106" s="7">
        <v>2.5485649999999999E-2</v>
      </c>
      <c r="R106" s="8">
        <v>45406.99</v>
      </c>
      <c r="S106" s="7">
        <v>5.2269400000000002E-3</v>
      </c>
      <c r="U106" s="8">
        <v>45406.99</v>
      </c>
      <c r="V106" s="7">
        <v>6.1750700000000004E-3</v>
      </c>
      <c r="X106" s="8">
        <v>59513.21</v>
      </c>
      <c r="Y106" s="7">
        <v>9.2584399999999997E-3</v>
      </c>
      <c r="AA106" s="8">
        <v>59513.21</v>
      </c>
      <c r="AB106" s="7">
        <v>8.3752800000000006E-3</v>
      </c>
      <c r="AD106" s="8">
        <v>59513.21</v>
      </c>
      <c r="AE106" s="7">
        <v>5.6411299999999994E-3</v>
      </c>
      <c r="AG106" s="8">
        <v>59513.21</v>
      </c>
      <c r="AH106" s="7">
        <v>5.7047700000000014E-3</v>
      </c>
      <c r="AJ106" s="8">
        <v>59513.21</v>
      </c>
      <c r="AK106" s="7">
        <v>6.2703699999999999E-3</v>
      </c>
      <c r="AM106" s="8">
        <v>59513.21</v>
      </c>
      <c r="AN106" s="7">
        <v>8.7538200000000007E-3</v>
      </c>
    </row>
    <row r="107" spans="2:40" ht="14" x14ac:dyDescent="0.15">
      <c r="B107" s="5" t="s">
        <v>72</v>
      </c>
      <c r="C107" s="8">
        <v>21972.06</v>
      </c>
      <c r="D107" s="7">
        <v>2.3533000000000001E-4</v>
      </c>
      <c r="F107" s="8">
        <v>0</v>
      </c>
      <c r="G107" s="7">
        <v>0</v>
      </c>
      <c r="I107" s="8">
        <v>0</v>
      </c>
      <c r="J107" s="7">
        <v>0</v>
      </c>
      <c r="L107" s="8">
        <v>0</v>
      </c>
      <c r="M107" s="7">
        <v>0</v>
      </c>
      <c r="O107" s="8">
        <v>0</v>
      </c>
      <c r="P107" s="7">
        <v>0</v>
      </c>
      <c r="R107" s="8">
        <v>0</v>
      </c>
      <c r="S107" s="7">
        <v>0</v>
      </c>
      <c r="U107" s="8">
        <v>0</v>
      </c>
      <c r="V107" s="7">
        <v>0</v>
      </c>
      <c r="X107" s="8">
        <v>3662.01</v>
      </c>
      <c r="Y107" s="7">
        <v>5.6970000000000002E-4</v>
      </c>
      <c r="AA107" s="8">
        <v>3662.01</v>
      </c>
      <c r="AB107" s="7">
        <v>5.1534999999999992E-4</v>
      </c>
      <c r="AD107" s="8">
        <v>3662.01</v>
      </c>
      <c r="AE107" s="7">
        <v>3.4710999999999997E-4</v>
      </c>
      <c r="AG107" s="8">
        <v>3662.01</v>
      </c>
      <c r="AH107" s="7">
        <v>3.5103000000000001E-4</v>
      </c>
      <c r="AJ107" s="8">
        <v>3662.01</v>
      </c>
      <c r="AK107" s="7">
        <v>3.8582999999999998E-4</v>
      </c>
      <c r="AM107" s="8">
        <v>3662.01</v>
      </c>
      <c r="AN107" s="7">
        <v>5.3865E-4</v>
      </c>
    </row>
    <row r="108" spans="2:40" ht="14" x14ac:dyDescent="0.15">
      <c r="B108" s="5" t="s">
        <v>73</v>
      </c>
      <c r="C108" s="8">
        <v>464741.86</v>
      </c>
      <c r="D108" s="7">
        <v>4.97768E-3</v>
      </c>
      <c r="F108" s="8">
        <v>32408.86</v>
      </c>
      <c r="G108" s="7">
        <v>6.0867899999999999E-3</v>
      </c>
      <c r="I108" s="8">
        <v>19260.2</v>
      </c>
      <c r="J108" s="7">
        <v>3.0516499999999999E-3</v>
      </c>
      <c r="L108" s="8">
        <v>19010.2</v>
      </c>
      <c r="M108" s="7">
        <v>2.2183599999999999E-3</v>
      </c>
      <c r="O108" s="8">
        <v>19010.2</v>
      </c>
      <c r="P108" s="7">
        <v>3.0109199999999998E-3</v>
      </c>
      <c r="R108" s="8">
        <v>19010.2</v>
      </c>
      <c r="S108" s="7">
        <v>2.1883200000000001E-3</v>
      </c>
      <c r="U108" s="8">
        <v>19010.2</v>
      </c>
      <c r="V108" s="7">
        <v>2.5852700000000002E-3</v>
      </c>
      <c r="X108" s="8">
        <v>56172</v>
      </c>
      <c r="Y108" s="7">
        <v>8.7386500000000006E-3</v>
      </c>
      <c r="AA108" s="8">
        <v>56172</v>
      </c>
      <c r="AB108" s="7">
        <v>7.9050700000000002E-3</v>
      </c>
      <c r="AD108" s="8">
        <v>56172</v>
      </c>
      <c r="AE108" s="7">
        <v>5.3244299999999998E-3</v>
      </c>
      <c r="AG108" s="8">
        <v>56172</v>
      </c>
      <c r="AH108" s="7">
        <v>5.3844899999999996E-3</v>
      </c>
      <c r="AJ108" s="8">
        <v>56172</v>
      </c>
      <c r="AK108" s="7">
        <v>5.9183399999999994E-3</v>
      </c>
      <c r="AM108" s="8">
        <v>56172</v>
      </c>
      <c r="AN108" s="7">
        <v>8.2623599999999998E-3</v>
      </c>
    </row>
    <row r="109" spans="2:40" ht="14" x14ac:dyDescent="0.15">
      <c r="B109" s="5" t="s">
        <v>74</v>
      </c>
      <c r="C109" s="8">
        <v>91111.96</v>
      </c>
      <c r="D109" s="7">
        <v>9.7586999999999988E-4</v>
      </c>
      <c r="F109" s="8">
        <v>5818.8</v>
      </c>
      <c r="G109" s="7">
        <v>1.0928400000000001E-3</v>
      </c>
      <c r="I109" s="8">
        <v>4023.8</v>
      </c>
      <c r="J109" s="7">
        <v>6.3754000000000003E-4</v>
      </c>
      <c r="L109" s="8">
        <v>8969.27</v>
      </c>
      <c r="M109" s="7">
        <v>1.0466500000000001E-3</v>
      </c>
      <c r="O109" s="8">
        <v>8799.27</v>
      </c>
      <c r="P109" s="7">
        <v>1.3936700000000001E-3</v>
      </c>
      <c r="R109" s="8">
        <v>5818.8</v>
      </c>
      <c r="S109" s="7">
        <v>6.6982000000000001E-4</v>
      </c>
      <c r="U109" s="8">
        <v>5938.8</v>
      </c>
      <c r="V109" s="7">
        <v>8.0763999999999999E-4</v>
      </c>
      <c r="X109" s="8">
        <v>8623.8700000000008</v>
      </c>
      <c r="Y109" s="7">
        <v>1.34161E-3</v>
      </c>
      <c r="AA109" s="8">
        <v>8623.8700000000008</v>
      </c>
      <c r="AB109" s="7">
        <v>1.21363E-3</v>
      </c>
      <c r="AD109" s="8">
        <v>8623.8700000000008</v>
      </c>
      <c r="AE109" s="7">
        <v>8.1744000000000001E-4</v>
      </c>
      <c r="AG109" s="8">
        <v>8623.8700000000008</v>
      </c>
      <c r="AH109" s="7">
        <v>8.2666E-4</v>
      </c>
      <c r="AJ109" s="8">
        <v>8623.8700000000008</v>
      </c>
      <c r="AK109" s="7">
        <v>9.0861999999999996E-4</v>
      </c>
      <c r="AM109" s="8">
        <v>8623.8700000000008</v>
      </c>
      <c r="AN109" s="7">
        <v>1.2684899999999999E-3</v>
      </c>
    </row>
    <row r="110" spans="2:40" ht="14" x14ac:dyDescent="0.15">
      <c r="B110" s="5" t="s">
        <v>75</v>
      </c>
      <c r="C110" s="8">
        <v>537473.81000000006</v>
      </c>
      <c r="D110" s="7">
        <v>5.7566900000000001E-3</v>
      </c>
      <c r="F110" s="8">
        <v>32013.919999999998</v>
      </c>
      <c r="G110" s="7">
        <v>6.0126100000000007E-3</v>
      </c>
      <c r="I110" s="8">
        <v>47999.21</v>
      </c>
      <c r="J110" s="7">
        <v>7.6051599999999997E-3</v>
      </c>
      <c r="L110" s="8">
        <v>42757.25</v>
      </c>
      <c r="M110" s="7">
        <v>4.9894800000000001E-3</v>
      </c>
      <c r="O110" s="8">
        <v>42757.25</v>
      </c>
      <c r="P110" s="7">
        <v>6.7720899999999997E-3</v>
      </c>
      <c r="R110" s="8">
        <v>42757.25</v>
      </c>
      <c r="S110" s="7">
        <v>4.9219199999999998E-3</v>
      </c>
      <c r="U110" s="8">
        <v>42757.25</v>
      </c>
      <c r="V110" s="7">
        <v>5.8147199999999998E-3</v>
      </c>
      <c r="X110" s="8">
        <v>45794.29</v>
      </c>
      <c r="Y110" s="7">
        <v>7.1242000000000007E-3</v>
      </c>
      <c r="AA110" s="8">
        <v>51627.26</v>
      </c>
      <c r="AB110" s="7">
        <v>7.2654900000000003E-3</v>
      </c>
      <c r="AD110" s="8">
        <v>45794.29</v>
      </c>
      <c r="AE110" s="7">
        <v>4.34075E-3</v>
      </c>
      <c r="AG110" s="8">
        <v>45794.29</v>
      </c>
      <c r="AH110" s="7">
        <v>4.3897099999999998E-3</v>
      </c>
      <c r="AJ110" s="8">
        <v>51627.26</v>
      </c>
      <c r="AK110" s="7">
        <v>5.4395000000000008E-3</v>
      </c>
      <c r="AM110" s="8">
        <v>45794.29</v>
      </c>
      <c r="AN110" s="7">
        <v>6.7359000000000004E-3</v>
      </c>
    </row>
    <row r="111" spans="2:40" ht="14" x14ac:dyDescent="0.15">
      <c r="B111" s="5" t="s">
        <v>76</v>
      </c>
      <c r="C111" s="8">
        <v>9036.6</v>
      </c>
      <c r="D111" s="7">
        <v>9.679E-5</v>
      </c>
      <c r="F111" s="8">
        <v>653.04999999999995</v>
      </c>
      <c r="G111" s="7">
        <v>1.2265E-4</v>
      </c>
      <c r="I111" s="8">
        <v>653.04999999999995</v>
      </c>
      <c r="J111" s="7">
        <v>1.0347E-4</v>
      </c>
      <c r="L111" s="8">
        <v>653.04999999999995</v>
      </c>
      <c r="M111" s="7">
        <v>7.6210000000000004E-5</v>
      </c>
      <c r="O111" s="8">
        <v>653.04999999999995</v>
      </c>
      <c r="P111" s="7">
        <v>1.0343E-4</v>
      </c>
      <c r="R111" s="8">
        <v>653.04999999999995</v>
      </c>
      <c r="S111" s="7">
        <v>7.517E-5</v>
      </c>
      <c r="U111" s="8">
        <v>653.04999999999995</v>
      </c>
      <c r="V111" s="7">
        <v>8.8809999999999998E-5</v>
      </c>
      <c r="X111" s="8">
        <v>853.05</v>
      </c>
      <c r="Y111" s="7">
        <v>1.3270999999999999E-4</v>
      </c>
      <c r="AA111" s="8">
        <v>853.05</v>
      </c>
      <c r="AB111" s="7">
        <v>1.2005E-4</v>
      </c>
      <c r="AD111" s="8">
        <v>853.05</v>
      </c>
      <c r="AE111" s="7">
        <v>8.0859999999999995E-5</v>
      </c>
      <c r="AG111" s="8">
        <v>853.05</v>
      </c>
      <c r="AH111" s="7">
        <v>8.1769999999999998E-5</v>
      </c>
      <c r="AJ111" s="8">
        <v>853.05</v>
      </c>
      <c r="AK111" s="7">
        <v>8.988E-5</v>
      </c>
      <c r="AM111" s="8">
        <v>853.05</v>
      </c>
      <c r="AN111" s="7">
        <v>1.2548E-4</v>
      </c>
    </row>
    <row r="112" spans="2:40" ht="14" x14ac:dyDescent="0.15">
      <c r="B112" s="5" t="s">
        <v>77</v>
      </c>
      <c r="C112" s="8">
        <v>0</v>
      </c>
      <c r="D112" s="7">
        <v>0</v>
      </c>
      <c r="F112" s="8">
        <v>0</v>
      </c>
      <c r="G112" s="7">
        <v>0</v>
      </c>
      <c r="I112" s="8">
        <v>0</v>
      </c>
      <c r="J112" s="7">
        <v>0</v>
      </c>
      <c r="L112" s="8">
        <v>0</v>
      </c>
      <c r="M112" s="7">
        <v>0</v>
      </c>
      <c r="O112" s="8">
        <v>0</v>
      </c>
      <c r="P112" s="7">
        <v>0</v>
      </c>
      <c r="R112" s="8">
        <v>0</v>
      </c>
      <c r="S112" s="7">
        <v>0</v>
      </c>
      <c r="U112" s="8">
        <v>0</v>
      </c>
      <c r="V112" s="7">
        <v>0</v>
      </c>
      <c r="X112" s="8">
        <v>0</v>
      </c>
      <c r="Y112" s="7">
        <v>0</v>
      </c>
      <c r="AA112" s="8">
        <v>0</v>
      </c>
      <c r="AB112" s="7">
        <v>0</v>
      </c>
      <c r="AD112" s="8">
        <v>0</v>
      </c>
      <c r="AE112" s="7">
        <v>0</v>
      </c>
      <c r="AG112" s="8">
        <v>0</v>
      </c>
      <c r="AH112" s="7">
        <v>0</v>
      </c>
      <c r="AJ112" s="8">
        <v>0</v>
      </c>
      <c r="AK112" s="7">
        <v>0</v>
      </c>
      <c r="AM112" s="8">
        <v>0</v>
      </c>
      <c r="AN112" s="7">
        <v>0</v>
      </c>
    </row>
    <row r="113" spans="2:40" ht="14" x14ac:dyDescent="0.15">
      <c r="B113" s="5" t="s">
        <v>78</v>
      </c>
      <c r="C113" s="8">
        <v>0</v>
      </c>
      <c r="D113" s="7">
        <v>0</v>
      </c>
      <c r="F113" s="8">
        <v>0</v>
      </c>
      <c r="G113" s="7">
        <v>0</v>
      </c>
      <c r="I113" s="8">
        <v>0</v>
      </c>
      <c r="J113" s="7">
        <v>0</v>
      </c>
      <c r="L113" s="8">
        <v>0</v>
      </c>
      <c r="M113" s="7">
        <v>0</v>
      </c>
      <c r="O113" s="8">
        <v>0</v>
      </c>
      <c r="P113" s="7">
        <v>0</v>
      </c>
      <c r="R113" s="8">
        <v>0</v>
      </c>
      <c r="S113" s="7">
        <v>0</v>
      </c>
      <c r="U113" s="8">
        <v>0</v>
      </c>
      <c r="V113" s="7">
        <v>0</v>
      </c>
      <c r="X113" s="8">
        <v>0</v>
      </c>
      <c r="Y113" s="7">
        <v>0</v>
      </c>
      <c r="AA113" s="8">
        <v>0</v>
      </c>
      <c r="AB113" s="7">
        <v>0</v>
      </c>
      <c r="AD113" s="8">
        <v>0</v>
      </c>
      <c r="AE113" s="7">
        <v>0</v>
      </c>
      <c r="AG113" s="8">
        <v>0</v>
      </c>
      <c r="AH113" s="7">
        <v>0</v>
      </c>
      <c r="AJ113" s="8">
        <v>0</v>
      </c>
      <c r="AK113" s="7">
        <v>0</v>
      </c>
      <c r="AM113" s="8">
        <v>0</v>
      </c>
      <c r="AN113" s="7">
        <v>0</v>
      </c>
    </row>
    <row r="114" spans="2:40" ht="14" x14ac:dyDescent="0.15">
      <c r="B114" s="5" t="s">
        <v>79</v>
      </c>
      <c r="C114" s="8">
        <v>0</v>
      </c>
      <c r="D114" s="7">
        <v>0</v>
      </c>
      <c r="F114" s="8">
        <v>0</v>
      </c>
      <c r="G114" s="7">
        <v>0</v>
      </c>
      <c r="I114" s="8">
        <v>0</v>
      </c>
      <c r="J114" s="7">
        <v>0</v>
      </c>
      <c r="L114" s="8">
        <v>0</v>
      </c>
      <c r="M114" s="7">
        <v>0</v>
      </c>
      <c r="O114" s="8">
        <v>0</v>
      </c>
      <c r="P114" s="7">
        <v>0</v>
      </c>
      <c r="R114" s="8">
        <v>0</v>
      </c>
      <c r="S114" s="7">
        <v>0</v>
      </c>
      <c r="U114" s="8">
        <v>0</v>
      </c>
      <c r="V114" s="7">
        <v>0</v>
      </c>
      <c r="X114" s="8">
        <v>0</v>
      </c>
      <c r="Y114" s="7">
        <v>0</v>
      </c>
      <c r="AA114" s="8">
        <v>0</v>
      </c>
      <c r="AB114" s="7">
        <v>0</v>
      </c>
      <c r="AD114" s="8">
        <v>0</v>
      </c>
      <c r="AE114" s="7">
        <v>0</v>
      </c>
      <c r="AG114" s="8">
        <v>0</v>
      </c>
      <c r="AH114" s="7">
        <v>0</v>
      </c>
      <c r="AJ114" s="8">
        <v>0</v>
      </c>
      <c r="AK114" s="7">
        <v>0</v>
      </c>
      <c r="AM114" s="8">
        <v>0</v>
      </c>
      <c r="AN114" s="7">
        <v>0</v>
      </c>
    </row>
    <row r="115" spans="2:40" ht="14" x14ac:dyDescent="0.15">
      <c r="B115" s="5" t="s">
        <v>80</v>
      </c>
      <c r="C115" s="8">
        <v>0</v>
      </c>
      <c r="D115" s="7">
        <v>0</v>
      </c>
      <c r="F115" s="8">
        <v>0</v>
      </c>
      <c r="G115" s="7">
        <v>0</v>
      </c>
      <c r="I115" s="8">
        <v>0</v>
      </c>
      <c r="J115" s="7">
        <v>0</v>
      </c>
      <c r="L115" s="8">
        <v>0</v>
      </c>
      <c r="M115" s="7">
        <v>0</v>
      </c>
      <c r="O115" s="8">
        <v>0</v>
      </c>
      <c r="P115" s="7">
        <v>0</v>
      </c>
      <c r="R115" s="8">
        <v>0</v>
      </c>
      <c r="S115" s="7">
        <v>0</v>
      </c>
      <c r="U115" s="8">
        <v>0</v>
      </c>
      <c r="V115" s="7">
        <v>0</v>
      </c>
      <c r="X115" s="8">
        <v>0</v>
      </c>
      <c r="Y115" s="7">
        <v>0</v>
      </c>
      <c r="AA115" s="8">
        <v>0</v>
      </c>
      <c r="AB115" s="7">
        <v>0</v>
      </c>
      <c r="AD115" s="8">
        <v>0</v>
      </c>
      <c r="AE115" s="7">
        <v>0</v>
      </c>
      <c r="AG115" s="8">
        <v>0</v>
      </c>
      <c r="AH115" s="7">
        <v>0</v>
      </c>
      <c r="AJ115" s="8">
        <v>0</v>
      </c>
      <c r="AK115" s="7">
        <v>0</v>
      </c>
      <c r="AM115" s="8">
        <v>0</v>
      </c>
      <c r="AN115" s="7">
        <v>0</v>
      </c>
    </row>
    <row r="116" spans="2:40" x14ac:dyDescent="0.15">
      <c r="B116" s="8"/>
      <c r="C116" s="8"/>
      <c r="D116" s="8"/>
      <c r="F116" s="8"/>
      <c r="G116" s="8"/>
      <c r="I116" s="8"/>
      <c r="J116" s="8"/>
      <c r="L116" s="8"/>
      <c r="M116" s="8"/>
      <c r="O116" s="8"/>
      <c r="P116" s="8"/>
      <c r="R116" s="8"/>
      <c r="S116" s="8"/>
      <c r="U116" s="8"/>
      <c r="V116" s="8"/>
      <c r="X116" s="8"/>
      <c r="Y116" s="8"/>
      <c r="AA116" s="8"/>
      <c r="AB116" s="8"/>
      <c r="AD116" s="8"/>
      <c r="AE116" s="8"/>
      <c r="AG116" s="8"/>
      <c r="AH116" s="8"/>
      <c r="AJ116" s="8"/>
      <c r="AK116" s="8"/>
      <c r="AM116" s="8"/>
      <c r="AN116" s="8"/>
    </row>
    <row r="117" spans="2:40" ht="14" x14ac:dyDescent="0.15">
      <c r="B117" s="325" t="s">
        <v>81</v>
      </c>
      <c r="C117" s="326">
        <v>0</v>
      </c>
      <c r="D117" s="327">
        <v>0</v>
      </c>
      <c r="F117" s="326">
        <v>0</v>
      </c>
      <c r="G117" s="327">
        <v>0</v>
      </c>
      <c r="I117" s="326">
        <v>0</v>
      </c>
      <c r="J117" s="327">
        <v>0</v>
      </c>
      <c r="L117" s="326">
        <v>0</v>
      </c>
      <c r="M117" s="327">
        <v>0</v>
      </c>
      <c r="O117" s="326">
        <v>0</v>
      </c>
      <c r="P117" s="327">
        <v>0</v>
      </c>
      <c r="R117" s="326">
        <v>0</v>
      </c>
      <c r="S117" s="327">
        <v>0</v>
      </c>
      <c r="U117" s="326">
        <v>0</v>
      </c>
      <c r="V117" s="327">
        <v>0</v>
      </c>
      <c r="X117" s="326">
        <v>0</v>
      </c>
      <c r="Y117" s="327">
        <v>0</v>
      </c>
      <c r="AA117" s="326">
        <v>0</v>
      </c>
      <c r="AB117" s="327">
        <v>0</v>
      </c>
      <c r="AD117" s="326">
        <v>0</v>
      </c>
      <c r="AE117" s="327">
        <v>0</v>
      </c>
      <c r="AG117" s="326">
        <v>0</v>
      </c>
      <c r="AH117" s="327">
        <v>0</v>
      </c>
      <c r="AJ117" s="326">
        <v>0</v>
      </c>
      <c r="AK117" s="327">
        <v>0</v>
      </c>
      <c r="AM117" s="326">
        <v>0</v>
      </c>
      <c r="AN117" s="327">
        <v>0</v>
      </c>
    </row>
    <row r="118" spans="2:40" ht="14" x14ac:dyDescent="0.15">
      <c r="B118" s="5" t="s">
        <v>82</v>
      </c>
      <c r="C118" s="8">
        <v>0</v>
      </c>
      <c r="D118" s="7">
        <v>0</v>
      </c>
      <c r="F118" s="8">
        <v>0</v>
      </c>
      <c r="G118" s="7">
        <v>0</v>
      </c>
      <c r="I118" s="8">
        <v>0</v>
      </c>
      <c r="J118" s="7">
        <v>0</v>
      </c>
      <c r="L118" s="8">
        <v>0</v>
      </c>
      <c r="M118" s="7">
        <v>0</v>
      </c>
      <c r="O118" s="8">
        <v>0</v>
      </c>
      <c r="P118" s="7">
        <v>0</v>
      </c>
      <c r="R118" s="8">
        <v>0</v>
      </c>
      <c r="S118" s="7">
        <v>0</v>
      </c>
      <c r="U118" s="8">
        <v>0</v>
      </c>
      <c r="V118" s="7">
        <v>0</v>
      </c>
      <c r="X118" s="8">
        <v>0</v>
      </c>
      <c r="Y118" s="7">
        <v>0</v>
      </c>
      <c r="AA118" s="8">
        <v>0</v>
      </c>
      <c r="AB118" s="7">
        <v>0</v>
      </c>
      <c r="AD118" s="8">
        <v>0</v>
      </c>
      <c r="AE118" s="7">
        <v>0</v>
      </c>
      <c r="AG118" s="8">
        <v>0</v>
      </c>
      <c r="AH118" s="7">
        <v>0</v>
      </c>
      <c r="AJ118" s="8">
        <v>0</v>
      </c>
      <c r="AK118" s="7">
        <v>0</v>
      </c>
      <c r="AM118" s="8">
        <v>0</v>
      </c>
      <c r="AN118" s="7">
        <v>0</v>
      </c>
    </row>
    <row r="119" spans="2:40" ht="14" x14ac:dyDescent="0.15">
      <c r="B119" s="5" t="s">
        <v>83</v>
      </c>
      <c r="C119" s="8">
        <v>0</v>
      </c>
      <c r="D119" s="7">
        <v>0</v>
      </c>
      <c r="F119" s="8">
        <v>0</v>
      </c>
      <c r="G119" s="7">
        <v>0</v>
      </c>
      <c r="I119" s="8">
        <v>0</v>
      </c>
      <c r="J119" s="7">
        <v>0</v>
      </c>
      <c r="L119" s="8">
        <v>0</v>
      </c>
      <c r="M119" s="7">
        <v>0</v>
      </c>
      <c r="O119" s="8">
        <v>0</v>
      </c>
      <c r="P119" s="7">
        <v>0</v>
      </c>
      <c r="R119" s="8">
        <v>0</v>
      </c>
      <c r="S119" s="7">
        <v>0</v>
      </c>
      <c r="U119" s="8">
        <v>0</v>
      </c>
      <c r="V119" s="7">
        <v>0</v>
      </c>
      <c r="X119" s="8">
        <v>0</v>
      </c>
      <c r="Y119" s="7">
        <v>0</v>
      </c>
      <c r="AA119" s="8">
        <v>0</v>
      </c>
      <c r="AB119" s="7">
        <v>0</v>
      </c>
      <c r="AD119" s="8">
        <v>0</v>
      </c>
      <c r="AE119" s="7">
        <v>0</v>
      </c>
      <c r="AG119" s="8">
        <v>0</v>
      </c>
      <c r="AH119" s="7">
        <v>0</v>
      </c>
      <c r="AJ119" s="8">
        <v>0</v>
      </c>
      <c r="AK119" s="7">
        <v>0</v>
      </c>
      <c r="AM119" s="8">
        <v>0</v>
      </c>
      <c r="AN119" s="7">
        <v>0</v>
      </c>
    </row>
    <row r="120" spans="2:40" x14ac:dyDescent="0.15">
      <c r="B120" s="8"/>
      <c r="C120" s="8"/>
      <c r="D120" s="8"/>
      <c r="F120" s="8"/>
      <c r="G120" s="8"/>
      <c r="I120" s="8"/>
      <c r="J120" s="8"/>
      <c r="L120" s="8"/>
      <c r="M120" s="8"/>
      <c r="O120" s="8"/>
      <c r="P120" s="8"/>
      <c r="R120" s="8"/>
      <c r="S120" s="8"/>
      <c r="U120" s="8"/>
      <c r="V120" s="8"/>
      <c r="X120" s="8"/>
      <c r="Y120" s="8"/>
      <c r="AA120" s="8"/>
      <c r="AB120" s="8"/>
      <c r="AD120" s="8"/>
      <c r="AE120" s="8"/>
      <c r="AG120" s="8"/>
      <c r="AH120" s="8"/>
      <c r="AJ120" s="8"/>
      <c r="AK120" s="8"/>
      <c r="AM120" s="8"/>
      <c r="AN120" s="8"/>
    </row>
    <row r="121" spans="2:40" ht="14" x14ac:dyDescent="0.15">
      <c r="B121" s="325" t="s">
        <v>84</v>
      </c>
      <c r="C121" s="326">
        <v>21819044.2544</v>
      </c>
      <c r="D121" s="327">
        <v>0.23369602</v>
      </c>
      <c r="F121" s="326">
        <v>123483.47</v>
      </c>
      <c r="G121" s="327">
        <v>2.3191719999999999E-2</v>
      </c>
      <c r="I121" s="326">
        <v>646143.02</v>
      </c>
      <c r="J121" s="327">
        <v>0.10237709</v>
      </c>
      <c r="L121" s="326">
        <v>2535684.98</v>
      </c>
      <c r="M121" s="327">
        <v>0.29589692000000001</v>
      </c>
      <c r="O121" s="326">
        <v>662693.73</v>
      </c>
      <c r="P121" s="327">
        <v>0.1049605</v>
      </c>
      <c r="R121" s="326">
        <v>2629437.31</v>
      </c>
      <c r="S121" s="327">
        <v>0.30268243</v>
      </c>
      <c r="U121" s="326">
        <v>1622076.61</v>
      </c>
      <c r="V121" s="327">
        <v>0.22059240999999999</v>
      </c>
      <c r="X121" s="326">
        <v>784093.83860000002</v>
      </c>
      <c r="Y121" s="327">
        <v>0.12198112999999999</v>
      </c>
      <c r="AA121" s="326">
        <v>1343106.1876000001</v>
      </c>
      <c r="AB121" s="327">
        <v>0.18901491000000001</v>
      </c>
      <c r="AD121" s="326">
        <v>3659172.4372</v>
      </c>
      <c r="AE121" s="327">
        <v>0.34684541000000002</v>
      </c>
      <c r="AG121" s="326">
        <v>3743577.3111</v>
      </c>
      <c r="AH121" s="327">
        <v>0.35884903000000001</v>
      </c>
      <c r="AJ121" s="326">
        <v>2852638.9685</v>
      </c>
      <c r="AK121" s="327">
        <v>0.30055694999999999</v>
      </c>
      <c r="AM121" s="326">
        <v>1216936.3914000001</v>
      </c>
      <c r="AN121" s="327">
        <v>0.17899952999999999</v>
      </c>
    </row>
    <row r="122" spans="2:40" ht="14" x14ac:dyDescent="0.15">
      <c r="B122" s="5" t="s">
        <v>85</v>
      </c>
      <c r="C122" s="8">
        <v>1417253.8436</v>
      </c>
      <c r="D122" s="7">
        <v>1.5179700000000001E-2</v>
      </c>
      <c r="F122" s="8">
        <v>81269.53</v>
      </c>
      <c r="G122" s="7">
        <v>1.526342E-2</v>
      </c>
      <c r="I122" s="8">
        <v>102246.12</v>
      </c>
      <c r="J122" s="7">
        <v>1.6200220000000001E-2</v>
      </c>
      <c r="L122" s="8">
        <v>24485.34</v>
      </c>
      <c r="M122" s="7">
        <v>2.8572699999999999E-3</v>
      </c>
      <c r="O122" s="8">
        <v>201049.43</v>
      </c>
      <c r="P122" s="7">
        <v>3.1843139999999999E-2</v>
      </c>
      <c r="R122" s="8">
        <v>120935.37</v>
      </c>
      <c r="S122" s="7">
        <v>1.392123E-2</v>
      </c>
      <c r="U122" s="8">
        <v>99817.14</v>
      </c>
      <c r="V122" s="7">
        <v>1.357452E-2</v>
      </c>
      <c r="X122" s="8">
        <v>95706.762499999997</v>
      </c>
      <c r="Y122" s="7">
        <v>1.4889060000000001E-2</v>
      </c>
      <c r="AA122" s="8">
        <v>107800.24069999999</v>
      </c>
      <c r="AB122" s="7">
        <v>1.5170690000000001E-2</v>
      </c>
      <c r="AD122" s="8">
        <v>156700.9982</v>
      </c>
      <c r="AE122" s="7">
        <v>1.4853359999999999E-2</v>
      </c>
      <c r="AG122" s="8">
        <v>161863.6839</v>
      </c>
      <c r="AH122" s="7">
        <v>1.551581E-2</v>
      </c>
      <c r="AJ122" s="8">
        <v>151858.93900000001</v>
      </c>
      <c r="AK122" s="7">
        <v>1.6000009999999999E-2</v>
      </c>
      <c r="AM122" s="8">
        <v>113520.2893</v>
      </c>
      <c r="AN122" s="7">
        <v>1.6697730000000001E-2</v>
      </c>
    </row>
    <row r="123" spans="2:40" x14ac:dyDescent="0.15">
      <c r="B123" s="8"/>
      <c r="C123" s="8"/>
      <c r="D123" s="8"/>
      <c r="F123" s="8"/>
      <c r="G123" s="8"/>
      <c r="I123" s="8"/>
      <c r="J123" s="8"/>
      <c r="L123" s="8"/>
      <c r="M123" s="8"/>
      <c r="O123" s="8"/>
      <c r="P123" s="8"/>
      <c r="R123" s="8"/>
      <c r="S123" s="8"/>
      <c r="U123" s="8"/>
      <c r="V123" s="8"/>
      <c r="X123" s="8"/>
      <c r="Y123" s="8"/>
      <c r="AA123" s="8"/>
      <c r="AB123" s="8"/>
      <c r="AD123" s="8"/>
      <c r="AE123" s="8"/>
      <c r="AG123" s="8"/>
      <c r="AH123" s="8"/>
      <c r="AJ123" s="8"/>
      <c r="AK123" s="8"/>
      <c r="AM123" s="8"/>
      <c r="AN123" s="8"/>
    </row>
    <row r="124" spans="2:40" ht="12.75" customHeight="1" x14ac:dyDescent="0.15">
      <c r="B124" s="325" t="s">
        <v>86</v>
      </c>
      <c r="C124" s="326">
        <v>20401790.4113</v>
      </c>
      <c r="D124" s="327">
        <v>0.21851631999999999</v>
      </c>
      <c r="F124" s="326">
        <v>42213.94</v>
      </c>
      <c r="G124" s="327">
        <v>7.928300000000001E-3</v>
      </c>
      <c r="I124" s="326">
        <v>543896.9</v>
      </c>
      <c r="J124" s="327">
        <v>8.6176870000000003E-2</v>
      </c>
      <c r="L124" s="326">
        <v>2511199.64</v>
      </c>
      <c r="M124" s="327">
        <v>0.29303964999999998</v>
      </c>
      <c r="O124" s="326">
        <v>461644.3</v>
      </c>
      <c r="P124" s="327">
        <v>7.3117359999999992E-2</v>
      </c>
      <c r="R124" s="326">
        <v>2508501.94</v>
      </c>
      <c r="S124" s="327">
        <v>0.2887612</v>
      </c>
      <c r="U124" s="326">
        <v>1522259.47</v>
      </c>
      <c r="V124" s="327">
        <v>0.20701789000000001</v>
      </c>
      <c r="X124" s="326">
        <v>688387.07609999995</v>
      </c>
      <c r="Y124" s="327">
        <v>0.10709207</v>
      </c>
      <c r="AA124" s="326">
        <v>1235305.9472000001</v>
      </c>
      <c r="AB124" s="327">
        <v>0.17384421999999999</v>
      </c>
      <c r="AD124" s="326">
        <v>3502471.4389999998</v>
      </c>
      <c r="AE124" s="327">
        <v>0.33199204999999998</v>
      </c>
      <c r="AG124" s="326">
        <v>3581713.6274000001</v>
      </c>
      <c r="AH124" s="327">
        <v>0.34333322999999999</v>
      </c>
      <c r="AJ124" s="326">
        <v>2700780.0295000002</v>
      </c>
      <c r="AK124" s="327">
        <v>0.28455692999999999</v>
      </c>
      <c r="AM124" s="326">
        <v>1103416.1021</v>
      </c>
      <c r="AN124" s="327">
        <v>0.1623018</v>
      </c>
    </row>
    <row r="125" spans="2:40" ht="14" x14ac:dyDescent="0.15">
      <c r="B125" s="5" t="s">
        <v>87</v>
      </c>
      <c r="C125" s="8">
        <v>18282.48</v>
      </c>
      <c r="D125" s="7">
        <v>1.9582000000000001E-4</v>
      </c>
      <c r="F125" s="8">
        <v>3047.08</v>
      </c>
      <c r="G125" s="7">
        <v>5.7227999999999999E-4</v>
      </c>
      <c r="I125" s="8">
        <v>3047.08</v>
      </c>
      <c r="J125" s="7">
        <v>4.8278999999999998E-4</v>
      </c>
      <c r="L125" s="8">
        <v>3047.08</v>
      </c>
      <c r="M125" s="7">
        <v>3.5556999999999999E-4</v>
      </c>
      <c r="O125" s="8">
        <v>3047.08</v>
      </c>
      <c r="P125" s="7">
        <v>4.8261000000000002E-4</v>
      </c>
      <c r="R125" s="8">
        <v>3047.08</v>
      </c>
      <c r="S125" s="7">
        <v>3.5075999999999998E-4</v>
      </c>
      <c r="U125" s="8">
        <v>3047.08</v>
      </c>
      <c r="V125" s="7">
        <v>4.1438E-4</v>
      </c>
      <c r="X125" s="8">
        <v>0</v>
      </c>
      <c r="Y125" s="7">
        <v>0</v>
      </c>
      <c r="AA125" s="8">
        <v>0</v>
      </c>
      <c r="AB125" s="7">
        <v>0</v>
      </c>
      <c r="AD125" s="8">
        <v>0</v>
      </c>
      <c r="AE125" s="7">
        <v>0</v>
      </c>
      <c r="AG125" s="8">
        <v>0</v>
      </c>
      <c r="AH125" s="7">
        <v>0</v>
      </c>
      <c r="AJ125" s="8">
        <v>0</v>
      </c>
      <c r="AK125" s="7">
        <v>0</v>
      </c>
      <c r="AM125" s="8">
        <v>0</v>
      </c>
      <c r="AN125" s="7">
        <v>0</v>
      </c>
    </row>
    <row r="126" spans="2:40" x14ac:dyDescent="0.15">
      <c r="B126" s="8"/>
      <c r="C126" s="8"/>
      <c r="D126" s="8"/>
      <c r="F126" s="8"/>
      <c r="G126" s="8"/>
      <c r="I126" s="8"/>
      <c r="J126" s="8"/>
      <c r="L126" s="8"/>
      <c r="M126" s="8"/>
      <c r="O126" s="8"/>
      <c r="P126" s="8"/>
      <c r="R126" s="8"/>
      <c r="S126" s="8"/>
      <c r="U126" s="8"/>
      <c r="V126" s="8"/>
      <c r="X126" s="8"/>
      <c r="Y126" s="8"/>
      <c r="AA126" s="8"/>
      <c r="AB126" s="8"/>
      <c r="AD126" s="8"/>
      <c r="AE126" s="8"/>
      <c r="AG126" s="8"/>
      <c r="AH126" s="8"/>
      <c r="AJ126" s="8"/>
      <c r="AK126" s="8"/>
      <c r="AM126" s="8"/>
      <c r="AN126" s="8"/>
    </row>
    <row r="127" spans="2:40" ht="14" x14ac:dyDescent="0.15">
      <c r="B127" s="325" t="s">
        <v>88</v>
      </c>
      <c r="C127" s="326">
        <v>20383507.931299999</v>
      </c>
      <c r="D127" s="327">
        <v>0.2183205</v>
      </c>
      <c r="F127" s="326">
        <v>39166.86</v>
      </c>
      <c r="G127" s="327">
        <v>7.3560199999999996E-3</v>
      </c>
      <c r="I127" s="326">
        <v>540849.81999999995</v>
      </c>
      <c r="J127" s="327">
        <v>8.5694079999999992E-2</v>
      </c>
      <c r="L127" s="326">
        <v>2508152.56</v>
      </c>
      <c r="M127" s="327">
        <v>0.29268407000000002</v>
      </c>
      <c r="O127" s="326">
        <v>458597.22</v>
      </c>
      <c r="P127" s="327">
        <v>7.2634749999999998E-2</v>
      </c>
      <c r="R127" s="326">
        <v>2505454.86</v>
      </c>
      <c r="S127" s="327">
        <v>0.28841043999999999</v>
      </c>
      <c r="U127" s="326">
        <v>1519212.39</v>
      </c>
      <c r="V127" s="327">
        <v>0.20660350999999999</v>
      </c>
      <c r="X127" s="326">
        <v>688387.07609999995</v>
      </c>
      <c r="Y127" s="327">
        <v>0.10709207</v>
      </c>
      <c r="AA127" s="326">
        <v>1235305.9472000001</v>
      </c>
      <c r="AB127" s="327">
        <v>0.17384421999999999</v>
      </c>
      <c r="AD127" s="326">
        <v>3502471.4389999998</v>
      </c>
      <c r="AE127" s="327">
        <v>0.33199204999999998</v>
      </c>
      <c r="AG127" s="326">
        <v>3581713.6274000001</v>
      </c>
      <c r="AH127" s="327">
        <v>0.34333322999999999</v>
      </c>
      <c r="AJ127" s="326">
        <v>2700780.0295000002</v>
      </c>
      <c r="AK127" s="327">
        <v>0.28455692999999999</v>
      </c>
      <c r="AM127" s="326">
        <v>1103416.1021</v>
      </c>
      <c r="AN127" s="327">
        <v>0.1623018</v>
      </c>
    </row>
    <row r="128" spans="2:40" x14ac:dyDescent="0.15">
      <c r="B128" s="8"/>
      <c r="C128" s="8"/>
      <c r="D128" s="8"/>
      <c r="F128" s="8"/>
      <c r="G128" s="8"/>
      <c r="I128" s="8"/>
      <c r="J128" s="8"/>
      <c r="L128" s="8"/>
      <c r="M128" s="8"/>
      <c r="O128" s="8"/>
      <c r="P128" s="8"/>
      <c r="R128" s="8"/>
      <c r="S128" s="8"/>
      <c r="U128" s="8"/>
      <c r="V128" s="8"/>
      <c r="X128" s="8"/>
      <c r="Y128" s="8"/>
      <c r="AA128" s="8"/>
      <c r="AB128" s="8"/>
      <c r="AD128" s="8"/>
      <c r="AE128" s="8"/>
      <c r="AG128" s="8"/>
      <c r="AH128" s="8"/>
      <c r="AJ128" s="8"/>
      <c r="AK128" s="8"/>
      <c r="AM128" s="8"/>
      <c r="AN128" s="8"/>
    </row>
    <row r="129" spans="2:40" ht="14" x14ac:dyDescent="0.15">
      <c r="B129" s="325" t="s">
        <v>89</v>
      </c>
      <c r="C129" s="326">
        <v>2519444.8731999998</v>
      </c>
      <c r="D129" s="327">
        <v>2.6984879999999999E-2</v>
      </c>
      <c r="F129" s="326">
        <v>159645.4</v>
      </c>
      <c r="G129" s="327">
        <v>2.998338E-2</v>
      </c>
      <c r="I129" s="326">
        <v>189127.69</v>
      </c>
      <c r="J129" s="327">
        <v>2.9966030000000001E-2</v>
      </c>
      <c r="L129" s="326">
        <v>224583.8</v>
      </c>
      <c r="M129" s="327">
        <v>2.6207379999999999E-2</v>
      </c>
      <c r="O129" s="326">
        <v>168276.8</v>
      </c>
      <c r="P129" s="327">
        <v>2.6652459999999999E-2</v>
      </c>
      <c r="R129" s="326">
        <v>229337.25</v>
      </c>
      <c r="S129" s="327">
        <v>2.6399700000000002E-2</v>
      </c>
      <c r="U129" s="326">
        <v>195423.9</v>
      </c>
      <c r="V129" s="327">
        <v>2.657644E-2</v>
      </c>
      <c r="X129" s="326">
        <v>172780.2009</v>
      </c>
      <c r="Y129" s="327">
        <v>2.6879340000000002E-2</v>
      </c>
      <c r="AA129" s="326">
        <v>191664.71770000001</v>
      </c>
      <c r="AB129" s="327">
        <v>2.6972920000000001E-2</v>
      </c>
      <c r="AD129" s="326">
        <v>283319.6667</v>
      </c>
      <c r="AE129" s="327">
        <v>2.685529E-2</v>
      </c>
      <c r="AG129" s="326">
        <v>273264.65090000001</v>
      </c>
      <c r="AH129" s="327">
        <v>2.61944E-2</v>
      </c>
      <c r="AJ129" s="326">
        <v>250079.41260000001</v>
      </c>
      <c r="AK129" s="327">
        <v>2.634862E-2</v>
      </c>
      <c r="AM129" s="326">
        <v>181941.38440000001</v>
      </c>
      <c r="AN129" s="327">
        <v>2.676181E-2</v>
      </c>
    </row>
    <row r="130" spans="2:40" ht="14" x14ac:dyDescent="0.15">
      <c r="B130" s="5" t="s">
        <v>90</v>
      </c>
      <c r="C130" s="8">
        <v>2519444.8731999998</v>
      </c>
      <c r="D130" s="7">
        <v>2.6984879999999999E-2</v>
      </c>
      <c r="F130" s="8">
        <v>159645.4</v>
      </c>
      <c r="G130" s="7">
        <v>2.998338E-2</v>
      </c>
      <c r="I130" s="8">
        <v>189127.69</v>
      </c>
      <c r="J130" s="7">
        <v>2.9966030000000001E-2</v>
      </c>
      <c r="L130" s="8">
        <v>224583.8</v>
      </c>
      <c r="M130" s="7">
        <v>2.6207379999999999E-2</v>
      </c>
      <c r="O130" s="8">
        <v>168276.8</v>
      </c>
      <c r="P130" s="7">
        <v>2.6652459999999999E-2</v>
      </c>
      <c r="R130" s="8">
        <v>229337.25</v>
      </c>
      <c r="S130" s="7">
        <v>2.6399700000000002E-2</v>
      </c>
      <c r="U130" s="8">
        <v>195423.9</v>
      </c>
      <c r="V130" s="7">
        <v>2.657644E-2</v>
      </c>
      <c r="X130" s="8">
        <v>172780.2009</v>
      </c>
      <c r="Y130" s="7">
        <v>2.6879340000000002E-2</v>
      </c>
      <c r="AA130" s="8">
        <v>191664.71770000001</v>
      </c>
      <c r="AB130" s="7">
        <v>2.6972920000000001E-2</v>
      </c>
      <c r="AD130" s="8">
        <v>283319.6667</v>
      </c>
      <c r="AE130" s="7">
        <v>2.685529E-2</v>
      </c>
      <c r="AG130" s="8">
        <v>273264.65090000001</v>
      </c>
      <c r="AH130" s="7">
        <v>2.61944E-2</v>
      </c>
      <c r="AJ130" s="8">
        <v>250079.41260000001</v>
      </c>
      <c r="AK130" s="7">
        <v>2.634862E-2</v>
      </c>
      <c r="AM130" s="8">
        <v>181941.38440000001</v>
      </c>
      <c r="AN130" s="7">
        <v>2.676181E-2</v>
      </c>
    </row>
    <row r="131" spans="2:40" ht="14" x14ac:dyDescent="0.15">
      <c r="B131" s="5" t="s">
        <v>91</v>
      </c>
      <c r="C131" s="8">
        <v>0</v>
      </c>
      <c r="D131" s="7">
        <v>0</v>
      </c>
      <c r="F131" s="8">
        <v>0</v>
      </c>
      <c r="G131" s="7">
        <v>0</v>
      </c>
      <c r="I131" s="8">
        <v>0</v>
      </c>
      <c r="J131" s="7">
        <v>0</v>
      </c>
      <c r="L131" s="8">
        <v>0</v>
      </c>
      <c r="M131" s="7">
        <v>0</v>
      </c>
      <c r="O131" s="8">
        <v>0</v>
      </c>
      <c r="P131" s="7">
        <v>0</v>
      </c>
      <c r="R131" s="8">
        <v>0</v>
      </c>
      <c r="S131" s="7">
        <v>0</v>
      </c>
      <c r="U131" s="8">
        <v>0</v>
      </c>
      <c r="V131" s="7">
        <v>0</v>
      </c>
      <c r="X131" s="8">
        <v>0</v>
      </c>
      <c r="Y131" s="7">
        <v>0</v>
      </c>
      <c r="AA131" s="8">
        <v>0</v>
      </c>
      <c r="AB131" s="7">
        <v>0</v>
      </c>
      <c r="AD131" s="8">
        <v>0</v>
      </c>
      <c r="AE131" s="7">
        <v>0</v>
      </c>
      <c r="AG131" s="8">
        <v>0</v>
      </c>
      <c r="AH131" s="7">
        <v>0</v>
      </c>
      <c r="AJ131" s="8">
        <v>0</v>
      </c>
      <c r="AK131" s="7">
        <v>0</v>
      </c>
      <c r="AM131" s="8">
        <v>0</v>
      </c>
      <c r="AN131" s="7">
        <v>0</v>
      </c>
    </row>
    <row r="132" spans="2:40" ht="14" x14ac:dyDescent="0.15">
      <c r="B132" s="5" t="s">
        <v>92</v>
      </c>
      <c r="C132" s="8">
        <v>0</v>
      </c>
      <c r="D132" s="7">
        <v>0</v>
      </c>
      <c r="F132" s="8">
        <v>0</v>
      </c>
      <c r="G132" s="7">
        <v>0</v>
      </c>
      <c r="I132" s="8">
        <v>0</v>
      </c>
      <c r="J132" s="7">
        <v>0</v>
      </c>
      <c r="L132" s="8">
        <v>0</v>
      </c>
      <c r="M132" s="7">
        <v>0</v>
      </c>
      <c r="O132" s="8">
        <v>0</v>
      </c>
      <c r="P132" s="7">
        <v>0</v>
      </c>
      <c r="R132" s="8">
        <v>0</v>
      </c>
      <c r="S132" s="7">
        <v>0</v>
      </c>
      <c r="U132" s="8">
        <v>0</v>
      </c>
      <c r="V132" s="7">
        <v>0</v>
      </c>
      <c r="X132" s="8">
        <v>0</v>
      </c>
      <c r="Y132" s="7">
        <v>0</v>
      </c>
      <c r="AA132" s="8">
        <v>0</v>
      </c>
      <c r="AB132" s="7">
        <v>0</v>
      </c>
      <c r="AD132" s="8">
        <v>0</v>
      </c>
      <c r="AE132" s="7">
        <v>0</v>
      </c>
      <c r="AG132" s="8">
        <v>0</v>
      </c>
      <c r="AH132" s="7">
        <v>0</v>
      </c>
      <c r="AJ132" s="8">
        <v>0</v>
      </c>
      <c r="AK132" s="7">
        <v>0</v>
      </c>
      <c r="AM132" s="8">
        <v>0</v>
      </c>
      <c r="AN132" s="7">
        <v>0</v>
      </c>
    </row>
    <row r="133" spans="2:40" x14ac:dyDescent="0.15">
      <c r="B133" s="8"/>
      <c r="C133" s="8"/>
      <c r="D133" s="8"/>
      <c r="F133" s="8"/>
      <c r="G133" s="8"/>
      <c r="I133" s="8"/>
      <c r="J133" s="8"/>
      <c r="L133" s="8"/>
      <c r="M133" s="8"/>
      <c r="O133" s="8"/>
      <c r="P133" s="8"/>
      <c r="R133" s="8"/>
      <c r="S133" s="8"/>
      <c r="U133" s="8"/>
      <c r="V133" s="8"/>
      <c r="X133" s="8"/>
      <c r="Y133" s="8"/>
      <c r="AA133" s="8"/>
      <c r="AB133" s="8"/>
      <c r="AD133" s="8"/>
      <c r="AE133" s="8"/>
      <c r="AG133" s="8"/>
      <c r="AH133" s="8"/>
      <c r="AJ133" s="8"/>
      <c r="AK133" s="8"/>
      <c r="AM133" s="8"/>
      <c r="AN133" s="8"/>
    </row>
    <row r="134" spans="2:40" ht="14" x14ac:dyDescent="0.15">
      <c r="B134" s="325" t="s">
        <v>93</v>
      </c>
      <c r="C134" s="326">
        <v>17864063.057999998</v>
      </c>
      <c r="D134" s="327">
        <v>0.19133562000000001</v>
      </c>
      <c r="F134" s="326">
        <v>-120478.54</v>
      </c>
      <c r="G134" s="327">
        <v>-2.2627359999999999E-2</v>
      </c>
      <c r="I134" s="326">
        <v>351722.13</v>
      </c>
      <c r="J134" s="327">
        <v>5.5728050000000001E-2</v>
      </c>
      <c r="L134" s="326">
        <v>2283568.7599999998</v>
      </c>
      <c r="M134" s="327">
        <v>0.26647670000000001</v>
      </c>
      <c r="O134" s="326">
        <v>290320.42</v>
      </c>
      <c r="P134" s="327">
        <v>4.5982290000000002E-2</v>
      </c>
      <c r="R134" s="326">
        <v>2276117.61</v>
      </c>
      <c r="S134" s="327">
        <v>0.26201074000000002</v>
      </c>
      <c r="U134" s="326">
        <v>1323788.49</v>
      </c>
      <c r="V134" s="327">
        <v>0.18002707000000001</v>
      </c>
      <c r="X134" s="326">
        <v>515606.875</v>
      </c>
      <c r="Y134" s="327">
        <v>8.021273000000001E-2</v>
      </c>
      <c r="AA134" s="326">
        <v>1043641.2295</v>
      </c>
      <c r="AB134" s="327">
        <v>0.14687130000000001</v>
      </c>
      <c r="AD134" s="326">
        <v>3219151.7722</v>
      </c>
      <c r="AE134" s="327">
        <v>0.30513676000000001</v>
      </c>
      <c r="AG134" s="326">
        <v>3308448.9763000002</v>
      </c>
      <c r="AH134" s="327">
        <v>0.31713882999999998</v>
      </c>
      <c r="AJ134" s="326">
        <v>2450700.6172000002</v>
      </c>
      <c r="AK134" s="327">
        <v>0.25820831</v>
      </c>
      <c r="AM134" s="326">
        <v>921474.71779999998</v>
      </c>
      <c r="AN134" s="327">
        <v>0.13553999</v>
      </c>
    </row>
    <row r="135" spans="2:40" x14ac:dyDescent="0.15">
      <c r="B135" s="8"/>
      <c r="C135" s="8"/>
      <c r="D135" s="8"/>
      <c r="F135" s="8"/>
      <c r="G135" s="8"/>
      <c r="I135" s="8"/>
      <c r="J135" s="8"/>
      <c r="L135" s="8"/>
      <c r="M135" s="8"/>
      <c r="O135" s="8"/>
      <c r="P135" s="8"/>
      <c r="R135" s="8"/>
      <c r="S135" s="8"/>
      <c r="U135" s="8"/>
      <c r="V135" s="8"/>
      <c r="X135" s="8"/>
      <c r="Y135" s="8"/>
      <c r="AA135" s="8"/>
      <c r="AB135" s="8"/>
      <c r="AD135" s="8"/>
      <c r="AE135" s="8"/>
      <c r="AG135" s="8"/>
      <c r="AH135" s="8"/>
      <c r="AJ135" s="8"/>
      <c r="AK135" s="8"/>
      <c r="AM135" s="8"/>
      <c r="AN135" s="8"/>
    </row>
    <row r="136" spans="2:40" ht="14" x14ac:dyDescent="0.15">
      <c r="B136" s="325" t="s">
        <v>94</v>
      </c>
      <c r="C136" s="326">
        <v>24262261.425299998</v>
      </c>
      <c r="D136" s="327">
        <v>0.25986445000000002</v>
      </c>
      <c r="F136" s="326">
        <v>2031108.5</v>
      </c>
      <c r="G136" s="327">
        <v>0.38146732999999999</v>
      </c>
      <c r="I136" s="326">
        <v>2086474.25</v>
      </c>
      <c r="J136" s="327">
        <v>0.33058805000000002</v>
      </c>
      <c r="L136" s="326">
        <v>1824723.08</v>
      </c>
      <c r="M136" s="327">
        <v>0.21293258000000001</v>
      </c>
      <c r="O136" s="326">
        <v>1971223.38</v>
      </c>
      <c r="P136" s="327">
        <v>0.31221147999999999</v>
      </c>
      <c r="R136" s="326">
        <v>2048366.24</v>
      </c>
      <c r="S136" s="327">
        <v>0.23579359999999999</v>
      </c>
      <c r="U136" s="326">
        <v>1907608.94</v>
      </c>
      <c r="V136" s="327">
        <v>0.25942303999999999</v>
      </c>
      <c r="X136" s="326">
        <v>1945786.7076000001</v>
      </c>
      <c r="Y136" s="327">
        <v>0.30270518000000002</v>
      </c>
      <c r="AA136" s="326">
        <v>2012518.8304999999</v>
      </c>
      <c r="AB136" s="327">
        <v>0.28322114999999998</v>
      </c>
      <c r="AD136" s="326">
        <v>2156754.8829999999</v>
      </c>
      <c r="AE136" s="327">
        <v>0.20443434999999999</v>
      </c>
      <c r="AG136" s="326">
        <v>2176587.4051000001</v>
      </c>
      <c r="AH136" s="327">
        <v>0.20864168999999999</v>
      </c>
      <c r="AJ136" s="326">
        <v>2124869.7133999998</v>
      </c>
      <c r="AK136" s="327">
        <v>0.22387844000000001</v>
      </c>
      <c r="AM136" s="326">
        <v>1976239.4957000001</v>
      </c>
      <c r="AN136" s="327">
        <v>0.29068565000000002</v>
      </c>
    </row>
    <row r="137" spans="2:40" ht="14" x14ac:dyDescent="0.15">
      <c r="B137" s="5" t="s">
        <v>95</v>
      </c>
      <c r="C137" s="8">
        <v>21776790.010000002</v>
      </c>
      <c r="D137" s="7">
        <v>0.23324344999999999</v>
      </c>
      <c r="F137" s="8">
        <v>2031108.5</v>
      </c>
      <c r="G137" s="7">
        <v>0.38146732999999999</v>
      </c>
      <c r="I137" s="8">
        <v>2086474.25</v>
      </c>
      <c r="J137" s="7">
        <v>0.33058805000000002</v>
      </c>
      <c r="L137" s="8">
        <v>1824723.08</v>
      </c>
      <c r="M137" s="7">
        <v>0.21293258000000001</v>
      </c>
      <c r="O137" s="8">
        <v>1971223.38</v>
      </c>
      <c r="P137" s="7">
        <v>0.31221147999999999</v>
      </c>
      <c r="R137" s="8">
        <v>2048366.24</v>
      </c>
      <c r="S137" s="7">
        <v>0.23579359999999999</v>
      </c>
      <c r="U137" s="8">
        <v>1907608.94</v>
      </c>
      <c r="V137" s="7">
        <v>0.25942303999999999</v>
      </c>
      <c r="X137" s="8">
        <v>1656926.04</v>
      </c>
      <c r="Y137" s="7">
        <v>0.25776726</v>
      </c>
      <c r="AA137" s="8">
        <v>1656926.04</v>
      </c>
      <c r="AB137" s="7">
        <v>0.23317868</v>
      </c>
      <c r="AD137" s="8">
        <v>1656926.04</v>
      </c>
      <c r="AE137" s="7">
        <v>0.15705659999999999</v>
      </c>
      <c r="AG137" s="8">
        <v>1606926.04</v>
      </c>
      <c r="AH137" s="7">
        <v>0.15403550999999999</v>
      </c>
      <c r="AJ137" s="8">
        <v>1664790.73</v>
      </c>
      <c r="AK137" s="7">
        <v>0.17540405000000001</v>
      </c>
      <c r="AM137" s="8">
        <v>1664790.73</v>
      </c>
      <c r="AN137" s="7">
        <v>0.24487455999999999</v>
      </c>
    </row>
    <row r="138" spans="2:40" ht="14" x14ac:dyDescent="0.15">
      <c r="B138" s="5" t="s">
        <v>96</v>
      </c>
      <c r="C138" s="8">
        <v>2485471.4153</v>
      </c>
      <c r="D138" s="7">
        <v>2.6620999999999999E-2</v>
      </c>
      <c r="F138" s="8">
        <v>0</v>
      </c>
      <c r="G138" s="7">
        <v>0</v>
      </c>
      <c r="I138" s="8">
        <v>0</v>
      </c>
      <c r="J138" s="7">
        <v>0</v>
      </c>
      <c r="L138" s="8">
        <v>0</v>
      </c>
      <c r="M138" s="7">
        <v>0</v>
      </c>
      <c r="O138" s="8">
        <v>0</v>
      </c>
      <c r="P138" s="7">
        <v>0</v>
      </c>
      <c r="R138" s="8">
        <v>0</v>
      </c>
      <c r="S138" s="7">
        <v>0</v>
      </c>
      <c r="U138" s="8">
        <v>0</v>
      </c>
      <c r="V138" s="7">
        <v>0</v>
      </c>
      <c r="X138" s="8">
        <v>288860.66759999999</v>
      </c>
      <c r="Y138" s="7">
        <v>4.4937930000000001E-2</v>
      </c>
      <c r="AA138" s="8">
        <v>355592.7905</v>
      </c>
      <c r="AB138" s="7">
        <v>5.0042459999999997E-2</v>
      </c>
      <c r="AD138" s="8">
        <v>499828.84299999999</v>
      </c>
      <c r="AE138" s="7">
        <v>4.7377750000000003E-2</v>
      </c>
      <c r="AG138" s="8">
        <v>569661.36510000005</v>
      </c>
      <c r="AH138" s="7">
        <v>5.4606170000000002E-2</v>
      </c>
      <c r="AJ138" s="8">
        <v>460078.98340000003</v>
      </c>
      <c r="AK138" s="7">
        <v>4.8474389999999999E-2</v>
      </c>
      <c r="AM138" s="8">
        <v>311448.76569999999</v>
      </c>
      <c r="AN138" s="7">
        <v>4.5811089999999999E-2</v>
      </c>
    </row>
    <row r="139" spans="2:40" ht="14" x14ac:dyDescent="0.15">
      <c r="B139" s="5" t="s">
        <v>97</v>
      </c>
      <c r="C139" s="8">
        <v>0</v>
      </c>
      <c r="D139" s="7">
        <v>0</v>
      </c>
      <c r="F139" s="8">
        <v>0</v>
      </c>
      <c r="G139" s="7">
        <v>0</v>
      </c>
      <c r="I139" s="8">
        <v>0</v>
      </c>
      <c r="J139" s="7">
        <v>0</v>
      </c>
      <c r="L139" s="8">
        <v>0</v>
      </c>
      <c r="M139" s="7">
        <v>0</v>
      </c>
      <c r="O139" s="8">
        <v>0</v>
      </c>
      <c r="P139" s="7">
        <v>0</v>
      </c>
      <c r="R139" s="8">
        <v>0</v>
      </c>
      <c r="S139" s="7">
        <v>0</v>
      </c>
      <c r="U139" s="8">
        <v>0</v>
      </c>
      <c r="V139" s="7">
        <v>0</v>
      </c>
      <c r="X139" s="8">
        <v>0</v>
      </c>
      <c r="Y139" s="7">
        <v>0</v>
      </c>
      <c r="AA139" s="8">
        <v>0</v>
      </c>
      <c r="AB139" s="7">
        <v>0</v>
      </c>
      <c r="AD139" s="8">
        <v>0</v>
      </c>
      <c r="AE139" s="7">
        <v>0</v>
      </c>
      <c r="AG139" s="8">
        <v>0</v>
      </c>
      <c r="AH139" s="7">
        <v>0</v>
      </c>
      <c r="AJ139" s="8">
        <v>0</v>
      </c>
      <c r="AK139" s="7">
        <v>0</v>
      </c>
      <c r="AM139" s="8">
        <v>0</v>
      </c>
      <c r="AN139" s="7">
        <v>0</v>
      </c>
    </row>
    <row r="140" spans="2:40" x14ac:dyDescent="0.15">
      <c r="B140" s="8"/>
      <c r="C140" s="8"/>
      <c r="D140" s="8"/>
      <c r="F140" s="8"/>
      <c r="G140" s="8"/>
      <c r="I140" s="8"/>
      <c r="J140" s="8"/>
      <c r="L140" s="8"/>
      <c r="M140" s="8"/>
      <c r="O140" s="8"/>
      <c r="P140" s="8"/>
      <c r="R140" s="8"/>
      <c r="S140" s="8"/>
      <c r="U140" s="8"/>
      <c r="V140" s="8"/>
      <c r="X140" s="8"/>
      <c r="Y140" s="8"/>
      <c r="AA140" s="8"/>
      <c r="AB140" s="8"/>
      <c r="AD140" s="8"/>
      <c r="AE140" s="8"/>
      <c r="AG140" s="8"/>
      <c r="AH140" s="8"/>
      <c r="AJ140" s="8"/>
      <c r="AK140" s="8"/>
      <c r="AM140" s="8"/>
      <c r="AN140" s="8"/>
    </row>
    <row r="141" spans="2:40" ht="12.75" customHeight="1" x14ac:dyDescent="0.15">
      <c r="B141" s="325" t="s">
        <v>98</v>
      </c>
      <c r="C141" s="326">
        <v>-6398198.3673</v>
      </c>
      <c r="D141" s="327">
        <v>-6.8528829999999999E-2</v>
      </c>
      <c r="F141" s="326">
        <v>-2151587.04</v>
      </c>
      <c r="G141" s="327">
        <v>-0.40409468999999998</v>
      </c>
      <c r="I141" s="326">
        <v>-1734752.12</v>
      </c>
      <c r="J141" s="327">
        <v>-0.27486000999999999</v>
      </c>
      <c r="L141" s="326">
        <v>458845.68</v>
      </c>
      <c r="M141" s="327">
        <v>5.3544120000000001E-2</v>
      </c>
      <c r="O141" s="326">
        <v>-1680902.96</v>
      </c>
      <c r="P141" s="327">
        <v>-0.26622919</v>
      </c>
      <c r="R141" s="326">
        <v>227751.37</v>
      </c>
      <c r="S141" s="327">
        <v>2.621714E-2</v>
      </c>
      <c r="U141" s="326">
        <v>-583820.44999999995</v>
      </c>
      <c r="V141" s="327">
        <v>-7.9395980000000005E-2</v>
      </c>
      <c r="X141" s="326">
        <v>-1430179.8326000001</v>
      </c>
      <c r="Y141" s="327">
        <v>-0.22249245000000001</v>
      </c>
      <c r="AA141" s="326">
        <v>-968877.60109999997</v>
      </c>
      <c r="AB141" s="327">
        <v>-0.13634984</v>
      </c>
      <c r="AD141" s="326">
        <v>1062396.8892999999</v>
      </c>
      <c r="AE141" s="327">
        <v>0.10070241000000001</v>
      </c>
      <c r="AG141" s="326">
        <v>1131861.5711999999</v>
      </c>
      <c r="AH141" s="327">
        <v>0.10849714000000001</v>
      </c>
      <c r="AJ141" s="326">
        <v>325830.90379999997</v>
      </c>
      <c r="AK141" s="327">
        <v>3.432988E-2</v>
      </c>
      <c r="AM141" s="326">
        <v>-1054764.7779000001</v>
      </c>
      <c r="AN141" s="327">
        <v>-0.15514565999999999</v>
      </c>
    </row>
    <row r="142" spans="2:40" ht="14" x14ac:dyDescent="0.15">
      <c r="B142" s="5" t="s">
        <v>99</v>
      </c>
      <c r="C142" s="8">
        <v>0</v>
      </c>
      <c r="D142" s="7">
        <v>0</v>
      </c>
      <c r="F142" s="8">
        <v>0</v>
      </c>
      <c r="G142" s="7">
        <v>0</v>
      </c>
      <c r="I142" s="8">
        <v>0</v>
      </c>
      <c r="J142" s="7">
        <v>0</v>
      </c>
      <c r="L142" s="8">
        <v>0</v>
      </c>
      <c r="M142" s="7">
        <v>0</v>
      </c>
      <c r="O142" s="8">
        <v>0</v>
      </c>
      <c r="P142" s="7">
        <v>0</v>
      </c>
      <c r="R142" s="8">
        <v>0</v>
      </c>
      <c r="S142" s="7">
        <v>0</v>
      </c>
      <c r="U142" s="8">
        <v>0</v>
      </c>
      <c r="V142" s="7">
        <v>0</v>
      </c>
      <c r="X142" s="8">
        <v>0</v>
      </c>
      <c r="Y142" s="7">
        <v>0</v>
      </c>
      <c r="AA142" s="8">
        <v>0</v>
      </c>
      <c r="AB142" s="7">
        <v>0</v>
      </c>
      <c r="AD142" s="8">
        <v>0</v>
      </c>
      <c r="AE142" s="7">
        <v>0</v>
      </c>
      <c r="AG142" s="8">
        <v>0</v>
      </c>
      <c r="AH142" s="7">
        <v>0</v>
      </c>
      <c r="AJ142" s="8">
        <v>0</v>
      </c>
      <c r="AK142" s="7">
        <v>0</v>
      </c>
      <c r="AM142" s="8">
        <v>0</v>
      </c>
      <c r="AN142" s="7">
        <v>0</v>
      </c>
    </row>
    <row r="143" spans="2:40" x14ac:dyDescent="0.15">
      <c r="B143" s="8"/>
      <c r="C143" s="8"/>
      <c r="D143" s="8"/>
      <c r="F143" s="8"/>
      <c r="G143" s="8"/>
      <c r="I143" s="8"/>
      <c r="J143" s="8"/>
      <c r="L143" s="8"/>
      <c r="M143" s="8"/>
      <c r="O143" s="8"/>
      <c r="P143" s="8"/>
      <c r="R143" s="8"/>
      <c r="S143" s="8"/>
      <c r="U143" s="8"/>
      <c r="V143" s="8"/>
      <c r="X143" s="8"/>
      <c r="Y143" s="8"/>
      <c r="AA143" s="8"/>
      <c r="AB143" s="8"/>
      <c r="AD143" s="8"/>
      <c r="AE143" s="8"/>
      <c r="AG143" s="8"/>
      <c r="AH143" s="8"/>
      <c r="AJ143" s="8"/>
      <c r="AK143" s="8"/>
      <c r="AM143" s="8"/>
      <c r="AN143" s="8"/>
    </row>
    <row r="144" spans="2:40" ht="14" x14ac:dyDescent="0.15">
      <c r="B144" s="325" t="s">
        <v>100</v>
      </c>
      <c r="C144" s="326">
        <v>-6398198.3673</v>
      </c>
      <c r="D144" s="327">
        <v>-6.8528829999999999E-2</v>
      </c>
      <c r="F144" s="326">
        <v>-2151587.04</v>
      </c>
      <c r="G144" s="327">
        <v>-0.40409468999999998</v>
      </c>
      <c r="I144" s="326">
        <v>-1734752.12</v>
      </c>
      <c r="J144" s="327">
        <v>-0.27486000999999999</v>
      </c>
      <c r="L144" s="326">
        <v>458845.68</v>
      </c>
      <c r="M144" s="327">
        <v>5.3544120000000001E-2</v>
      </c>
      <c r="O144" s="326">
        <v>-1680902.96</v>
      </c>
      <c r="P144" s="327">
        <v>-0.26622919</v>
      </c>
      <c r="R144" s="326">
        <v>227751.37</v>
      </c>
      <c r="S144" s="327">
        <v>2.621714E-2</v>
      </c>
      <c r="U144" s="326">
        <v>-583820.44999999995</v>
      </c>
      <c r="V144" s="327">
        <v>-7.9395980000000005E-2</v>
      </c>
      <c r="X144" s="326">
        <v>-1430179.8326000001</v>
      </c>
      <c r="Y144" s="327">
        <v>-0.22249245000000001</v>
      </c>
      <c r="AA144" s="326">
        <v>-968877.60109999997</v>
      </c>
      <c r="AB144" s="327">
        <v>-0.13634984</v>
      </c>
      <c r="AD144" s="326">
        <v>1062396.8892999999</v>
      </c>
      <c r="AE144" s="327">
        <v>0.10070241000000001</v>
      </c>
      <c r="AG144" s="326">
        <v>1131861.5711999999</v>
      </c>
      <c r="AH144" s="327">
        <v>0.10849714000000001</v>
      </c>
      <c r="AJ144" s="326">
        <v>325830.90379999997</v>
      </c>
      <c r="AK144" s="327">
        <v>3.432988E-2</v>
      </c>
      <c r="AM144" s="326">
        <v>-1054764.7779000001</v>
      </c>
      <c r="AN144" s="327">
        <v>-0.15514565999999999</v>
      </c>
    </row>
    <row r="145" spans="2:40" ht="14" x14ac:dyDescent="0.15">
      <c r="B145" s="5" t="s">
        <v>101</v>
      </c>
      <c r="C145" s="8">
        <v>0</v>
      </c>
      <c r="D145" s="7">
        <v>0</v>
      </c>
      <c r="F145" s="8">
        <v>0</v>
      </c>
      <c r="G145" s="7">
        <v>0</v>
      </c>
      <c r="I145" s="8">
        <v>0</v>
      </c>
      <c r="J145" s="7">
        <v>0</v>
      </c>
      <c r="L145" s="8">
        <v>0</v>
      </c>
      <c r="M145" s="7">
        <v>0</v>
      </c>
      <c r="O145" s="8">
        <v>0</v>
      </c>
      <c r="P145" s="7">
        <v>0</v>
      </c>
      <c r="R145" s="8">
        <v>0</v>
      </c>
      <c r="S145" s="7">
        <v>0</v>
      </c>
      <c r="U145" s="8">
        <v>0</v>
      </c>
      <c r="V145" s="7">
        <v>0</v>
      </c>
      <c r="X145" s="8">
        <v>0</v>
      </c>
      <c r="Y145" s="7">
        <v>0</v>
      </c>
      <c r="AA145" s="8">
        <v>0</v>
      </c>
      <c r="AB145" s="7">
        <v>0</v>
      </c>
      <c r="AD145" s="8">
        <v>0</v>
      </c>
      <c r="AE145" s="7">
        <v>0</v>
      </c>
      <c r="AG145" s="8">
        <v>0</v>
      </c>
      <c r="AH145" s="7">
        <v>0</v>
      </c>
      <c r="AJ145" s="8">
        <v>0</v>
      </c>
      <c r="AK145" s="7">
        <v>0</v>
      </c>
      <c r="AM145" s="8">
        <v>0</v>
      </c>
      <c r="AN145" s="7">
        <v>0</v>
      </c>
    </row>
    <row r="146" spans="2:40" x14ac:dyDescent="0.15">
      <c r="B146" s="8"/>
      <c r="C146" s="8"/>
      <c r="D146" s="8"/>
      <c r="F146" s="8"/>
      <c r="G146" s="8"/>
      <c r="I146" s="8"/>
      <c r="J146" s="8"/>
      <c r="L146" s="8"/>
      <c r="M146" s="8"/>
      <c r="O146" s="8"/>
      <c r="P146" s="8"/>
      <c r="R146" s="8"/>
      <c r="S146" s="8"/>
      <c r="U146" s="8"/>
      <c r="V146" s="8"/>
      <c r="X146" s="8"/>
      <c r="Y146" s="8"/>
      <c r="AA146" s="8"/>
      <c r="AB146" s="8"/>
      <c r="AD146" s="8"/>
      <c r="AE146" s="8"/>
      <c r="AG146" s="8"/>
      <c r="AH146" s="8"/>
      <c r="AJ146" s="8"/>
      <c r="AK146" s="8"/>
      <c r="AM146" s="8"/>
      <c r="AN146" s="8"/>
    </row>
    <row r="147" spans="2:40" ht="12.75" customHeight="1" x14ac:dyDescent="0.15">
      <c r="B147" s="325" t="s">
        <v>102</v>
      </c>
      <c r="C147" s="326">
        <v>-6398198.3673</v>
      </c>
      <c r="D147" s="327">
        <v>-6.8528829999999999E-2</v>
      </c>
      <c r="F147" s="326">
        <v>-2151587.04</v>
      </c>
      <c r="G147" s="327">
        <v>-0.40409468999999998</v>
      </c>
      <c r="I147" s="326">
        <v>-1734752.12</v>
      </c>
      <c r="J147" s="327">
        <v>-0.27486000999999999</v>
      </c>
      <c r="L147" s="326">
        <v>458845.68</v>
      </c>
      <c r="M147" s="327">
        <v>5.3544120000000001E-2</v>
      </c>
      <c r="O147" s="326">
        <v>-1680902.96</v>
      </c>
      <c r="P147" s="327">
        <v>-0.26622919</v>
      </c>
      <c r="R147" s="326">
        <v>227751.37</v>
      </c>
      <c r="S147" s="327">
        <v>2.621714E-2</v>
      </c>
      <c r="U147" s="326">
        <v>-583820.44999999995</v>
      </c>
      <c r="V147" s="327">
        <v>-7.9395980000000005E-2</v>
      </c>
      <c r="X147" s="326">
        <v>-1430179.8326000001</v>
      </c>
      <c r="Y147" s="327">
        <v>-0.22249245000000001</v>
      </c>
      <c r="AA147" s="326">
        <v>-968877.60109999997</v>
      </c>
      <c r="AB147" s="327">
        <v>-0.13634984</v>
      </c>
      <c r="AD147" s="326">
        <v>1062396.8892999999</v>
      </c>
      <c r="AE147" s="327">
        <v>0.10070241000000001</v>
      </c>
      <c r="AG147" s="326">
        <v>1131861.5711999999</v>
      </c>
      <c r="AH147" s="327">
        <v>0.10849714000000001</v>
      </c>
      <c r="AJ147" s="326">
        <v>325830.90379999997</v>
      </c>
      <c r="AK147" s="327">
        <v>3.432988E-2</v>
      </c>
      <c r="AM147" s="326">
        <v>-1054764.7779000001</v>
      </c>
      <c r="AN147" s="327">
        <v>-0.15514565999999999</v>
      </c>
    </row>
    <row r="148" spans="2:40" ht="14" x14ac:dyDescent="0.15">
      <c r="B148" s="5" t="s">
        <v>103</v>
      </c>
      <c r="C148" s="8">
        <v>0</v>
      </c>
      <c r="D148" s="7">
        <v>0</v>
      </c>
      <c r="F148" s="8">
        <v>0</v>
      </c>
      <c r="G148" s="7">
        <v>0</v>
      </c>
      <c r="I148" s="8">
        <v>0</v>
      </c>
      <c r="J148" s="7">
        <v>0</v>
      </c>
      <c r="L148" s="8">
        <v>0</v>
      </c>
      <c r="M148" s="7">
        <v>0</v>
      </c>
      <c r="O148" s="8">
        <v>0</v>
      </c>
      <c r="P148" s="7">
        <v>0</v>
      </c>
      <c r="R148" s="8">
        <v>0</v>
      </c>
      <c r="S148" s="7">
        <v>0</v>
      </c>
      <c r="U148" s="8">
        <v>0</v>
      </c>
      <c r="V148" s="7">
        <v>0</v>
      </c>
      <c r="X148" s="8">
        <v>0</v>
      </c>
      <c r="Y148" s="7">
        <v>0</v>
      </c>
      <c r="AA148" s="8">
        <v>0</v>
      </c>
      <c r="AB148" s="7">
        <v>0</v>
      </c>
      <c r="AD148" s="8">
        <v>0</v>
      </c>
      <c r="AE148" s="7">
        <v>0</v>
      </c>
      <c r="AG148" s="8">
        <v>0</v>
      </c>
      <c r="AH148" s="7">
        <v>0</v>
      </c>
      <c r="AJ148" s="8">
        <v>0</v>
      </c>
      <c r="AK148" s="7">
        <v>0</v>
      </c>
      <c r="AM148" s="8">
        <v>0</v>
      </c>
      <c r="AN148" s="7">
        <v>0</v>
      </c>
    </row>
    <row r="149" spans="2:40" x14ac:dyDescent="0.15">
      <c r="B149" s="8"/>
      <c r="C149" s="8"/>
      <c r="D149" s="8"/>
      <c r="F149" s="8"/>
      <c r="G149" s="8"/>
      <c r="I149" s="8"/>
      <c r="J149" s="8"/>
      <c r="L149" s="8"/>
      <c r="M149" s="8"/>
      <c r="O149" s="8"/>
      <c r="P149" s="8"/>
      <c r="R149" s="8"/>
      <c r="S149" s="8"/>
      <c r="U149" s="8"/>
      <c r="V149" s="8"/>
      <c r="X149" s="8"/>
      <c r="Y149" s="8"/>
      <c r="AA149" s="8"/>
      <c r="AB149" s="8"/>
      <c r="AD149" s="8"/>
      <c r="AE149" s="8"/>
      <c r="AG149" s="8"/>
      <c r="AH149" s="8"/>
      <c r="AJ149" s="8"/>
      <c r="AK149" s="8"/>
      <c r="AM149" s="8"/>
      <c r="AN149" s="8"/>
    </row>
    <row r="150" spans="2:40" ht="14" x14ac:dyDescent="0.15">
      <c r="B150" s="325" t="s">
        <v>104</v>
      </c>
      <c r="C150" s="326">
        <v>-6398198.3673</v>
      </c>
      <c r="D150" s="327">
        <v>-6.8528829999999999E-2</v>
      </c>
      <c r="F150" s="326">
        <v>-2151587.04</v>
      </c>
      <c r="G150" s="327">
        <v>-0.40409468999999998</v>
      </c>
      <c r="I150" s="326">
        <v>-1734752.12</v>
      </c>
      <c r="J150" s="327">
        <v>-0.27486000999999999</v>
      </c>
      <c r="L150" s="326">
        <v>458845.68</v>
      </c>
      <c r="M150" s="327">
        <v>5.3544120000000001E-2</v>
      </c>
      <c r="O150" s="326">
        <v>-1680902.96</v>
      </c>
      <c r="P150" s="327">
        <v>-0.26622919</v>
      </c>
      <c r="R150" s="326">
        <v>227751.37</v>
      </c>
      <c r="S150" s="327">
        <v>2.621714E-2</v>
      </c>
      <c r="U150" s="326">
        <v>-583820.44999999995</v>
      </c>
      <c r="V150" s="327">
        <v>-7.9395980000000005E-2</v>
      </c>
      <c r="X150" s="326">
        <v>-1430179.8326000001</v>
      </c>
      <c r="Y150" s="327">
        <v>-0.22249245000000001</v>
      </c>
      <c r="AA150" s="326">
        <v>-968877.60109999997</v>
      </c>
      <c r="AB150" s="327">
        <v>-0.13634984</v>
      </c>
      <c r="AD150" s="326">
        <v>1062396.8892999999</v>
      </c>
      <c r="AE150" s="327">
        <v>0.10070241000000001</v>
      </c>
      <c r="AG150" s="326">
        <v>1131861.5711999999</v>
      </c>
      <c r="AH150" s="327">
        <v>0.10849714000000001</v>
      </c>
      <c r="AJ150" s="326">
        <v>325830.90379999997</v>
      </c>
      <c r="AK150" s="327">
        <v>3.432988E-2</v>
      </c>
      <c r="AM150" s="326">
        <v>-1054764.7779000001</v>
      </c>
      <c r="AN150" s="327">
        <v>-0.15514565999999999</v>
      </c>
    </row>
    <row r="151" spans="2:40" x14ac:dyDescent="0.15">
      <c r="B151" s="8"/>
      <c r="C151" s="8"/>
      <c r="D151" s="8"/>
      <c r="F151" s="8"/>
      <c r="G151" s="8"/>
      <c r="I151" s="8"/>
      <c r="J151" s="8"/>
      <c r="L151" s="8"/>
      <c r="M151" s="8"/>
      <c r="O151" s="8"/>
      <c r="P151" s="8"/>
      <c r="R151" s="8"/>
      <c r="S151" s="8"/>
      <c r="U151" s="8"/>
      <c r="V151" s="8"/>
      <c r="X151" s="8"/>
      <c r="Y151" s="8"/>
      <c r="AA151" s="8"/>
      <c r="AB151" s="8"/>
      <c r="AD151" s="8"/>
      <c r="AE151" s="8"/>
      <c r="AG151" s="8"/>
      <c r="AH151" s="8"/>
      <c r="AJ151" s="8"/>
      <c r="AK151" s="8"/>
      <c r="AM151" s="8"/>
      <c r="AN151" s="8"/>
    </row>
    <row r="152" spans="2:40" ht="14" x14ac:dyDescent="0.15">
      <c r="B152" s="328" t="s">
        <v>105</v>
      </c>
      <c r="C152" s="329"/>
      <c r="D152" s="329"/>
      <c r="F152" s="329"/>
      <c r="G152" s="329"/>
      <c r="I152" s="329"/>
      <c r="J152" s="329"/>
      <c r="L152" s="329"/>
      <c r="M152" s="329"/>
      <c r="O152" s="329"/>
      <c r="P152" s="329"/>
      <c r="R152" s="329"/>
      <c r="S152" s="329"/>
      <c r="U152" s="329"/>
      <c r="V152" s="329"/>
      <c r="X152" s="329"/>
      <c r="Y152" s="329"/>
      <c r="AA152" s="329"/>
      <c r="AB152" s="329"/>
      <c r="AD152" s="329"/>
      <c r="AE152" s="329"/>
      <c r="AG152" s="329"/>
      <c r="AH152" s="329"/>
      <c r="AJ152" s="329"/>
      <c r="AK152" s="329"/>
      <c r="AM152" s="329"/>
      <c r="AN152" s="329"/>
    </row>
    <row r="153" spans="2:40" ht="14" x14ac:dyDescent="0.15">
      <c r="B153" s="5" t="s">
        <v>106</v>
      </c>
      <c r="C153" s="6">
        <v>-5924419.9073000001</v>
      </c>
      <c r="D153" s="7">
        <v>-6.3454350000000007E-2</v>
      </c>
      <c r="F153" s="8">
        <v>-2118525.13</v>
      </c>
      <c r="G153" s="7">
        <v>-0.39788525000000002</v>
      </c>
      <c r="I153" s="8">
        <v>-1714838.87</v>
      </c>
      <c r="J153" s="7">
        <v>-0.27170487999999998</v>
      </c>
      <c r="L153" s="8">
        <v>478508.93</v>
      </c>
      <c r="M153" s="7">
        <v>5.5838690000000003E-2</v>
      </c>
      <c r="O153" s="8">
        <v>-1661239.71</v>
      </c>
      <c r="P153" s="7">
        <v>-0.26311483000000002</v>
      </c>
      <c r="R153" s="8">
        <v>247414.62</v>
      </c>
      <c r="S153" s="7">
        <v>2.8480640000000002E-2</v>
      </c>
      <c r="U153" s="8">
        <v>-564157.19999999995</v>
      </c>
      <c r="V153" s="7">
        <v>-7.6721899999999996E-2</v>
      </c>
      <c r="X153" s="8">
        <v>-1373154.7826</v>
      </c>
      <c r="Y153" s="7">
        <v>-0.21362109000000001</v>
      </c>
      <c r="AA153" s="8">
        <v>-911852.55110000004</v>
      </c>
      <c r="AB153" s="7">
        <v>-0.12832472</v>
      </c>
      <c r="AD153" s="8">
        <v>1119421.9393</v>
      </c>
      <c r="AE153" s="7">
        <v>0.1061077</v>
      </c>
      <c r="AG153" s="8">
        <v>1188886.6211999999</v>
      </c>
      <c r="AH153" s="7">
        <v>0.11396340000000001</v>
      </c>
      <c r="AJ153" s="8">
        <v>382855.95380000002</v>
      </c>
      <c r="AK153" s="7">
        <v>4.033809E-2</v>
      </c>
      <c r="AM153" s="8">
        <v>-997739.72790000006</v>
      </c>
      <c r="AN153" s="7">
        <v>-0.14675783000000001</v>
      </c>
    </row>
    <row r="154" spans="2:40" ht="14" x14ac:dyDescent="0.15">
      <c r="B154" s="5" t="s">
        <v>107</v>
      </c>
      <c r="C154" s="6">
        <v>-6389161.7673000004</v>
      </c>
      <c r="D154" s="7">
        <v>-6.843204E-2</v>
      </c>
      <c r="F154" s="8">
        <v>-2150933.9900000002</v>
      </c>
      <c r="G154" s="7">
        <v>-0.40397203999999998</v>
      </c>
      <c r="I154" s="8">
        <v>-1734099.07</v>
      </c>
      <c r="J154" s="7">
        <v>-0.27475653</v>
      </c>
      <c r="L154" s="8">
        <v>459498.73</v>
      </c>
      <c r="M154" s="7">
        <v>5.3620330000000001E-2</v>
      </c>
      <c r="O154" s="8">
        <v>-1680249.91</v>
      </c>
      <c r="P154" s="7">
        <v>-0.26612575999999999</v>
      </c>
      <c r="R154" s="8">
        <v>228404.42</v>
      </c>
      <c r="S154" s="7">
        <v>2.6292320000000001E-2</v>
      </c>
      <c r="U154" s="8">
        <v>-583167.4</v>
      </c>
      <c r="V154" s="7">
        <v>-7.9307169999999996E-2</v>
      </c>
      <c r="X154" s="8">
        <v>-1429326.7826</v>
      </c>
      <c r="Y154" s="7">
        <v>-0.22235974</v>
      </c>
      <c r="AA154" s="8">
        <v>-968024.55110000004</v>
      </c>
      <c r="AB154" s="7">
        <v>-0.13622978999999999</v>
      </c>
      <c r="AD154" s="8">
        <v>1063249.9393</v>
      </c>
      <c r="AE154" s="7">
        <v>0.10078326999999999</v>
      </c>
      <c r="AG154" s="8">
        <v>1132714.6211999999</v>
      </c>
      <c r="AH154" s="7">
        <v>0.10857891</v>
      </c>
      <c r="AJ154" s="8">
        <v>326683.95380000002</v>
      </c>
      <c r="AK154" s="7">
        <v>3.4419749999999999E-2</v>
      </c>
      <c r="AM154" s="8">
        <v>-1053911.7279000001</v>
      </c>
      <c r="AN154" s="7">
        <v>-0.15502019</v>
      </c>
    </row>
    <row r="155" spans="2:40" ht="14" x14ac:dyDescent="0.15">
      <c r="B155" s="325" t="s">
        <v>108</v>
      </c>
      <c r="C155" s="330">
        <v>3967222.0101000001</v>
      </c>
      <c r="D155" s="327">
        <v>4.2491500000000001E-2</v>
      </c>
      <c r="F155" s="326">
        <v>265711.99</v>
      </c>
      <c r="G155" s="327">
        <v>4.9903999999999997E-2</v>
      </c>
      <c r="I155" s="326">
        <v>317693.40999999997</v>
      </c>
      <c r="J155" s="327">
        <v>5.0336420000000007E-2</v>
      </c>
      <c r="L155" s="326">
        <v>390494.35</v>
      </c>
      <c r="M155" s="327">
        <v>4.5567990000000003E-2</v>
      </c>
      <c r="O155" s="326">
        <v>294399.5</v>
      </c>
      <c r="P155" s="327">
        <v>4.6628360000000008E-2</v>
      </c>
      <c r="R155" s="326">
        <v>400592.63</v>
      </c>
      <c r="S155" s="327">
        <v>4.6113420000000002E-2</v>
      </c>
      <c r="U155" s="326">
        <v>340619.55</v>
      </c>
      <c r="V155" s="327">
        <v>4.6322159999999987E-2</v>
      </c>
      <c r="X155" s="326">
        <v>251826.8481</v>
      </c>
      <c r="Y155" s="327">
        <v>3.9176589999999997E-2</v>
      </c>
      <c r="AA155" s="326">
        <v>277033.20689999999</v>
      </c>
      <c r="AB155" s="327">
        <v>3.8986800000000002E-2</v>
      </c>
      <c r="AD155" s="326">
        <v>407365.37569999998</v>
      </c>
      <c r="AE155" s="327">
        <v>3.861332E-2</v>
      </c>
      <c r="AG155" s="326">
        <v>394544.42170000001</v>
      </c>
      <c r="AH155" s="327">
        <v>3.7819940000000003E-2</v>
      </c>
      <c r="AJ155" s="326">
        <v>361742.33909999998</v>
      </c>
      <c r="AK155" s="327">
        <v>3.8113540000000001E-2</v>
      </c>
      <c r="AM155" s="326">
        <v>265198.38860000001</v>
      </c>
      <c r="AN155" s="327">
        <v>3.9008109999999999E-2</v>
      </c>
    </row>
    <row r="156" spans="2:40" ht="14" x14ac:dyDescent="0.15">
      <c r="B156" s="5" t="s">
        <v>109</v>
      </c>
      <c r="C156" s="6">
        <v>0</v>
      </c>
      <c r="D156" s="7">
        <v>0</v>
      </c>
      <c r="F156" s="8">
        <v>0</v>
      </c>
      <c r="G156" s="7">
        <v>0</v>
      </c>
      <c r="I156" s="8">
        <v>0</v>
      </c>
      <c r="J156" s="7">
        <v>0</v>
      </c>
      <c r="L156" s="8">
        <v>0</v>
      </c>
      <c r="M156" s="7">
        <v>0</v>
      </c>
      <c r="O156" s="8">
        <v>0</v>
      </c>
      <c r="P156" s="7">
        <v>0</v>
      </c>
      <c r="R156" s="8">
        <v>0</v>
      </c>
      <c r="S156" s="7">
        <v>0</v>
      </c>
      <c r="U156" s="8">
        <v>0</v>
      </c>
      <c r="V156" s="7">
        <v>0</v>
      </c>
      <c r="X156" s="8">
        <v>0</v>
      </c>
      <c r="Y156" s="7">
        <v>0</v>
      </c>
      <c r="AA156" s="8">
        <v>0</v>
      </c>
      <c r="AB156" s="7">
        <v>0</v>
      </c>
      <c r="AD156" s="8">
        <v>0</v>
      </c>
      <c r="AE156" s="7">
        <v>0</v>
      </c>
      <c r="AG156" s="8">
        <v>0</v>
      </c>
      <c r="AH156" s="7">
        <v>0</v>
      </c>
      <c r="AJ156" s="8">
        <v>0</v>
      </c>
      <c r="AK156" s="7">
        <v>0</v>
      </c>
      <c r="AM156" s="8">
        <v>0</v>
      </c>
      <c r="AN156" s="7">
        <v>0</v>
      </c>
    </row>
    <row r="157" spans="2:40" ht="14" x14ac:dyDescent="0.15">
      <c r="B157" s="5" t="s">
        <v>110</v>
      </c>
      <c r="C157" s="6">
        <v>0</v>
      </c>
      <c r="D157" s="7">
        <v>0</v>
      </c>
      <c r="F157" s="8">
        <v>0</v>
      </c>
      <c r="G157" s="7">
        <v>0</v>
      </c>
      <c r="I157" s="8">
        <v>0</v>
      </c>
      <c r="J157" s="7">
        <v>0</v>
      </c>
      <c r="L157" s="8">
        <v>0</v>
      </c>
      <c r="M157" s="7">
        <v>0</v>
      </c>
      <c r="O157" s="8">
        <v>0</v>
      </c>
      <c r="P157" s="7">
        <v>0</v>
      </c>
      <c r="R157" s="8">
        <v>0</v>
      </c>
      <c r="S157" s="7">
        <v>0</v>
      </c>
      <c r="U157" s="8">
        <v>0</v>
      </c>
      <c r="V157" s="7">
        <v>0</v>
      </c>
      <c r="X157" s="8">
        <v>0</v>
      </c>
      <c r="Y157" s="7">
        <v>0</v>
      </c>
      <c r="AA157" s="8">
        <v>0</v>
      </c>
      <c r="AB157" s="7">
        <v>0</v>
      </c>
      <c r="AD157" s="8">
        <v>0</v>
      </c>
      <c r="AE157" s="7">
        <v>0</v>
      </c>
      <c r="AG157" s="8">
        <v>0</v>
      </c>
      <c r="AH157" s="7">
        <v>0</v>
      </c>
      <c r="AJ157" s="8">
        <v>0</v>
      </c>
      <c r="AK157" s="7">
        <v>0</v>
      </c>
      <c r="AM157" s="8">
        <v>0</v>
      </c>
      <c r="AN157" s="7">
        <v>0</v>
      </c>
    </row>
    <row r="158" spans="2:40" ht="14" x14ac:dyDescent="0.15">
      <c r="B158" s="5" t="s">
        <v>111</v>
      </c>
      <c r="C158" s="6">
        <v>919935.95779999997</v>
      </c>
      <c r="D158" s="7">
        <v>9.85311E-3</v>
      </c>
      <c r="F158" s="8">
        <v>52851.45</v>
      </c>
      <c r="G158" s="7">
        <v>9.9261599999999998E-3</v>
      </c>
      <c r="I158" s="8">
        <v>62060.39</v>
      </c>
      <c r="J158" s="7">
        <v>9.8330599999999994E-3</v>
      </c>
      <c r="L158" s="8">
        <v>83723.38</v>
      </c>
      <c r="M158" s="7">
        <v>9.7699399999999995E-3</v>
      </c>
      <c r="O158" s="8">
        <v>63016.28</v>
      </c>
      <c r="P158" s="7">
        <v>9.9808099999999997E-3</v>
      </c>
      <c r="R158" s="8">
        <v>84505.04</v>
      </c>
      <c r="S158" s="7">
        <v>9.727630000000001E-3</v>
      </c>
      <c r="U158" s="8">
        <v>71730.47</v>
      </c>
      <c r="V158" s="7">
        <v>9.7549000000000004E-3</v>
      </c>
      <c r="X158" s="8">
        <v>64234.7719</v>
      </c>
      <c r="Y158" s="7">
        <v>9.9929800000000003E-3</v>
      </c>
      <c r="AA158" s="8">
        <v>70914.641099999993</v>
      </c>
      <c r="AB158" s="7">
        <v>9.9798000000000005E-3</v>
      </c>
      <c r="AD158" s="8">
        <v>102504.8854</v>
      </c>
      <c r="AE158" s="7">
        <v>9.7162299999999993E-3</v>
      </c>
      <c r="AG158" s="8">
        <v>102764.63649999999</v>
      </c>
      <c r="AH158" s="7">
        <v>9.8507400000000002E-3</v>
      </c>
      <c r="AJ158" s="8">
        <v>93462.854600000006</v>
      </c>
      <c r="AK158" s="7">
        <v>9.8473399999999996E-3</v>
      </c>
      <c r="AM158" s="8">
        <v>68167.158299999996</v>
      </c>
      <c r="AN158" s="7">
        <v>1.0026729999999999E-2</v>
      </c>
    </row>
    <row r="159" spans="2:40" ht="14" x14ac:dyDescent="0.15">
      <c r="B159" s="5" t="s">
        <v>112</v>
      </c>
      <c r="C159" s="6">
        <v>1033811.0853</v>
      </c>
      <c r="D159" s="7">
        <v>1.1072780000000001E-2</v>
      </c>
      <c r="F159" s="8">
        <v>-45929.66</v>
      </c>
      <c r="G159" s="7">
        <v>-8.6261600000000008E-3</v>
      </c>
      <c r="I159" s="8">
        <v>744.43</v>
      </c>
      <c r="J159" s="7">
        <v>1.1794999999999999E-4</v>
      </c>
      <c r="L159" s="8">
        <v>13158.58</v>
      </c>
      <c r="M159" s="7">
        <v>1.5355200000000001E-3</v>
      </c>
      <c r="O159" s="8">
        <v>-3576.01</v>
      </c>
      <c r="P159" s="7">
        <v>-5.6639000000000006E-4</v>
      </c>
      <c r="R159" s="8">
        <v>27494.62</v>
      </c>
      <c r="S159" s="7">
        <v>3.1649899999999999E-3</v>
      </c>
      <c r="U159" s="8">
        <v>7500.62</v>
      </c>
      <c r="V159" s="7">
        <v>1.0200400000000001E-3</v>
      </c>
      <c r="X159" s="8">
        <v>124563.4345</v>
      </c>
      <c r="Y159" s="7">
        <v>1.9378280000000001E-2</v>
      </c>
      <c r="AA159" s="8">
        <v>139179.00090000001</v>
      </c>
      <c r="AB159" s="7">
        <v>1.9586619999999999E-2</v>
      </c>
      <c r="AD159" s="8">
        <v>213789.7647</v>
      </c>
      <c r="AE159" s="7">
        <v>2.0264689999999998E-2</v>
      </c>
      <c r="AG159" s="8">
        <v>219542.90160000001</v>
      </c>
      <c r="AH159" s="7">
        <v>2.1044779999999999E-2</v>
      </c>
      <c r="AJ159" s="8">
        <v>199358.93460000001</v>
      </c>
      <c r="AK159" s="7">
        <v>2.1004660000000001E-2</v>
      </c>
      <c r="AM159" s="8">
        <v>137984.46900000001</v>
      </c>
      <c r="AN159" s="7">
        <v>2.029618E-2</v>
      </c>
    </row>
    <row r="160" spans="2:40" ht="14" x14ac:dyDescent="0.15">
      <c r="B160" s="5" t="s">
        <v>113</v>
      </c>
      <c r="C160" s="6">
        <v>2519444.8731999998</v>
      </c>
      <c r="D160" s="7">
        <v>2.6984879999999999E-2</v>
      </c>
      <c r="F160" s="8">
        <v>159645.4</v>
      </c>
      <c r="G160" s="7">
        <v>2.998338E-2</v>
      </c>
      <c r="I160" s="8">
        <v>189127.69</v>
      </c>
      <c r="J160" s="7">
        <v>2.9966030000000001E-2</v>
      </c>
      <c r="L160" s="8">
        <v>224583.8</v>
      </c>
      <c r="M160" s="7">
        <v>2.6207379999999999E-2</v>
      </c>
      <c r="O160" s="8">
        <v>168276.8</v>
      </c>
      <c r="P160" s="7">
        <v>2.6652459999999999E-2</v>
      </c>
      <c r="R160" s="8">
        <v>229337.25</v>
      </c>
      <c r="S160" s="7">
        <v>2.6399700000000002E-2</v>
      </c>
      <c r="U160" s="8">
        <v>195423.9</v>
      </c>
      <c r="V160" s="7">
        <v>2.657644E-2</v>
      </c>
      <c r="X160" s="8">
        <v>172780.2009</v>
      </c>
      <c r="Y160" s="7">
        <v>2.6879340000000002E-2</v>
      </c>
      <c r="AA160" s="8">
        <v>191664.71770000001</v>
      </c>
      <c r="AB160" s="7">
        <v>2.6972920000000001E-2</v>
      </c>
      <c r="AD160" s="8">
        <v>283319.6667</v>
      </c>
      <c r="AE160" s="7">
        <v>2.685529E-2</v>
      </c>
      <c r="AG160" s="8">
        <v>273264.65090000001</v>
      </c>
      <c r="AH160" s="7">
        <v>2.61944E-2</v>
      </c>
      <c r="AJ160" s="8">
        <v>250079.41260000001</v>
      </c>
      <c r="AK160" s="7">
        <v>2.634862E-2</v>
      </c>
      <c r="AM160" s="8">
        <v>181941.38440000001</v>
      </c>
      <c r="AN160" s="7">
        <v>2.676181E-2</v>
      </c>
    </row>
    <row r="161" spans="2:40" ht="14" x14ac:dyDescent="0.15">
      <c r="B161" s="5" t="s">
        <v>114</v>
      </c>
      <c r="C161" s="6">
        <v>527841.17929999996</v>
      </c>
      <c r="D161" s="7">
        <v>5.6535200000000004E-3</v>
      </c>
      <c r="F161" s="8">
        <v>53215.14</v>
      </c>
      <c r="G161" s="7">
        <v>9.9944600000000001E-3</v>
      </c>
      <c r="I161" s="8">
        <v>66505.33</v>
      </c>
      <c r="J161" s="7">
        <v>1.0537329999999999E-2</v>
      </c>
      <c r="L161" s="8">
        <v>82187.17</v>
      </c>
      <c r="M161" s="7">
        <v>9.5906700000000008E-3</v>
      </c>
      <c r="O161" s="8">
        <v>63106.42</v>
      </c>
      <c r="P161" s="7">
        <v>9.9950899999999999E-3</v>
      </c>
      <c r="R161" s="8">
        <v>86750.34</v>
      </c>
      <c r="S161" s="7">
        <v>9.9860899999999996E-3</v>
      </c>
      <c r="U161" s="8">
        <v>73465.179999999993</v>
      </c>
      <c r="V161" s="7">
        <v>9.9908099999999993E-3</v>
      </c>
      <c r="X161" s="8">
        <v>14811.8752</v>
      </c>
      <c r="Y161" s="7">
        <v>2.3042800000000001E-3</v>
      </c>
      <c r="AA161" s="8">
        <v>14453.8482</v>
      </c>
      <c r="AB161" s="7">
        <v>2.0340900000000001E-3</v>
      </c>
      <c r="AD161" s="8">
        <v>21540.823499999999</v>
      </c>
      <c r="AE161" s="7">
        <v>2.0418099999999998E-3</v>
      </c>
      <c r="AG161" s="8">
        <v>18515.134699999999</v>
      </c>
      <c r="AH161" s="7">
        <v>1.7748099999999999E-3</v>
      </c>
      <c r="AJ161" s="8">
        <v>18200.0717</v>
      </c>
      <c r="AK161" s="7">
        <v>1.9175799999999999E-3</v>
      </c>
      <c r="AM161" s="8">
        <v>15089.846</v>
      </c>
      <c r="AN161" s="7">
        <v>2.2195700000000001E-3</v>
      </c>
    </row>
    <row r="162" spans="2:40" ht="14" x14ac:dyDescent="0.15">
      <c r="B162" s="325" t="s">
        <v>115</v>
      </c>
      <c r="C162" s="330">
        <v>4920459.4516000003</v>
      </c>
      <c r="D162" s="327">
        <v>5.2701289999999998E-2</v>
      </c>
      <c r="F162" s="326">
        <v>307057.37</v>
      </c>
      <c r="G162" s="327">
        <v>5.7669180000000007E-2</v>
      </c>
      <c r="I162" s="326">
        <v>332842.46999999997</v>
      </c>
      <c r="J162" s="327">
        <v>5.2736690000000003E-2</v>
      </c>
      <c r="L162" s="326">
        <v>396862.89</v>
      </c>
      <c r="M162" s="327">
        <v>4.6311159999999997E-2</v>
      </c>
      <c r="O162" s="326">
        <v>371718.6</v>
      </c>
      <c r="P162" s="327">
        <v>5.8874509999999998E-2</v>
      </c>
      <c r="R162" s="326">
        <v>423180.21</v>
      </c>
      <c r="S162" s="327">
        <v>4.8713550000000001E-2</v>
      </c>
      <c r="U162" s="326">
        <v>392835.31</v>
      </c>
      <c r="V162" s="327">
        <v>5.3423179999999987E-2</v>
      </c>
      <c r="X162" s="326">
        <v>356923.5784</v>
      </c>
      <c r="Y162" s="327">
        <v>5.5526440000000003E-2</v>
      </c>
      <c r="AA162" s="326">
        <v>390844.96600000001</v>
      </c>
      <c r="AB162" s="327">
        <v>5.5003490000000002E-2</v>
      </c>
      <c r="AD162" s="326">
        <v>539286.8493</v>
      </c>
      <c r="AE162" s="327">
        <v>5.1117889999999999E-2</v>
      </c>
      <c r="AG162" s="326">
        <v>564348.21569999994</v>
      </c>
      <c r="AH162" s="327">
        <v>5.4096869999999998E-2</v>
      </c>
      <c r="AJ162" s="326">
        <v>485973.65710000001</v>
      </c>
      <c r="AK162" s="327">
        <v>5.120268E-2</v>
      </c>
      <c r="AM162" s="326">
        <v>358585.33510000003</v>
      </c>
      <c r="AN162" s="327">
        <v>5.2744419999999993E-2</v>
      </c>
    </row>
    <row r="163" spans="2:40" ht="14" x14ac:dyDescent="0.15">
      <c r="B163" s="5" t="s">
        <v>116</v>
      </c>
      <c r="C163" s="6">
        <v>2312515.1028</v>
      </c>
      <c r="D163" s="7">
        <v>2.476853E-2</v>
      </c>
      <c r="F163" s="8">
        <v>130853.71</v>
      </c>
      <c r="G163" s="7">
        <v>2.4575949999999999E-2</v>
      </c>
      <c r="I163" s="8">
        <v>177177.93</v>
      </c>
      <c r="J163" s="7">
        <v>2.8072670000000001E-2</v>
      </c>
      <c r="L163" s="8">
        <v>195602.94</v>
      </c>
      <c r="M163" s="7">
        <v>2.282551E-2</v>
      </c>
      <c r="O163" s="8">
        <v>172954.75</v>
      </c>
      <c r="P163" s="7">
        <v>2.739337E-2</v>
      </c>
      <c r="R163" s="8">
        <v>217484.46</v>
      </c>
      <c r="S163" s="7">
        <v>2.5035290000000002E-2</v>
      </c>
      <c r="U163" s="8">
        <v>185473.72</v>
      </c>
      <c r="V163" s="7">
        <v>2.5223280000000001E-2</v>
      </c>
      <c r="X163" s="8">
        <v>156822.9614</v>
      </c>
      <c r="Y163" s="7">
        <v>2.4396879999999999E-2</v>
      </c>
      <c r="AA163" s="8">
        <v>176849.55129999999</v>
      </c>
      <c r="AB163" s="7">
        <v>2.4887980000000001E-2</v>
      </c>
      <c r="AD163" s="8">
        <v>251639.32430000001</v>
      </c>
      <c r="AE163" s="7">
        <v>2.3852370000000001E-2</v>
      </c>
      <c r="AG163" s="8">
        <v>262819.82539999997</v>
      </c>
      <c r="AH163" s="7">
        <v>2.5193190000000001E-2</v>
      </c>
      <c r="AJ163" s="8">
        <v>224602.7879</v>
      </c>
      <c r="AK163" s="7">
        <v>2.3664379999999999E-2</v>
      </c>
      <c r="AM163" s="8">
        <v>160233.14249999999</v>
      </c>
      <c r="AN163" s="7">
        <v>2.3568740000000001E-2</v>
      </c>
    </row>
    <row r="164" spans="2:40" ht="14" x14ac:dyDescent="0.15">
      <c r="B164" s="5" t="s">
        <v>117</v>
      </c>
      <c r="C164" s="6">
        <v>1543732.2409999999</v>
      </c>
      <c r="D164" s="7">
        <v>1.653437E-2</v>
      </c>
      <c r="F164" s="8">
        <v>92272.86</v>
      </c>
      <c r="G164" s="7">
        <v>1.732999E-2</v>
      </c>
      <c r="I164" s="8">
        <v>105489.5</v>
      </c>
      <c r="J164" s="7">
        <v>1.6714110000000001E-2</v>
      </c>
      <c r="L164" s="8">
        <v>120934.02</v>
      </c>
      <c r="M164" s="7">
        <v>1.411216E-2</v>
      </c>
      <c r="O164" s="8">
        <v>109589.65</v>
      </c>
      <c r="P164" s="7">
        <v>1.7357319999999999E-2</v>
      </c>
      <c r="R164" s="8">
        <v>115516.59</v>
      </c>
      <c r="S164" s="7">
        <v>1.3297460000000001E-2</v>
      </c>
      <c r="U164" s="8">
        <v>125729.28</v>
      </c>
      <c r="V164" s="7">
        <v>1.7098410000000001E-2</v>
      </c>
      <c r="X164" s="8">
        <v>112395.5778</v>
      </c>
      <c r="Y164" s="7">
        <v>1.748533E-2</v>
      </c>
      <c r="AA164" s="8">
        <v>125553.72689999999</v>
      </c>
      <c r="AB164" s="7">
        <v>1.766914E-2</v>
      </c>
      <c r="AD164" s="8">
        <v>175611.41329999999</v>
      </c>
      <c r="AE164" s="7">
        <v>1.6645839999999999E-2</v>
      </c>
      <c r="AG164" s="8">
        <v>187077.6801</v>
      </c>
      <c r="AH164" s="7">
        <v>1.7932750000000001E-2</v>
      </c>
      <c r="AJ164" s="8">
        <v>159867.9693</v>
      </c>
      <c r="AK164" s="7">
        <v>1.684385E-2</v>
      </c>
      <c r="AM164" s="8">
        <v>113693.9736</v>
      </c>
      <c r="AN164" s="7">
        <v>1.672328E-2</v>
      </c>
    </row>
    <row r="165" spans="2:40" ht="14" x14ac:dyDescent="0.15">
      <c r="B165" s="5" t="s">
        <v>118</v>
      </c>
      <c r="C165" s="6">
        <v>501952.98259999999</v>
      </c>
      <c r="D165" s="7">
        <v>5.37624E-3</v>
      </c>
      <c r="F165" s="8">
        <v>46226.16</v>
      </c>
      <c r="G165" s="7">
        <v>8.6818499999999996E-3</v>
      </c>
      <c r="I165" s="8">
        <v>8271.2000000000007</v>
      </c>
      <c r="J165" s="7">
        <v>1.3105199999999999E-3</v>
      </c>
      <c r="L165" s="8">
        <v>31531.42</v>
      </c>
      <c r="M165" s="7">
        <v>3.6795E-3</v>
      </c>
      <c r="O165" s="8">
        <v>43468.66</v>
      </c>
      <c r="P165" s="7">
        <v>6.8847700000000001E-3</v>
      </c>
      <c r="R165" s="8">
        <v>34903.22</v>
      </c>
      <c r="S165" s="7">
        <v>4.0178100000000001E-3</v>
      </c>
      <c r="U165" s="8">
        <v>28203.759999999998</v>
      </c>
      <c r="V165" s="7">
        <v>3.8355400000000001E-3</v>
      </c>
      <c r="X165" s="8">
        <v>52453.389600000002</v>
      </c>
      <c r="Y165" s="7">
        <v>8.1601499999999997E-3</v>
      </c>
      <c r="AA165" s="8">
        <v>50367.441500000001</v>
      </c>
      <c r="AB165" s="7">
        <v>7.0881899999999994E-3</v>
      </c>
      <c r="AD165" s="8">
        <v>54171.852299999999</v>
      </c>
      <c r="AE165" s="7">
        <v>5.1348400000000008E-3</v>
      </c>
      <c r="AG165" s="8">
        <v>56932.981099999997</v>
      </c>
      <c r="AH165" s="7">
        <v>5.45744E-3</v>
      </c>
      <c r="AJ165" s="8">
        <v>49208.114399999999</v>
      </c>
      <c r="AK165" s="7">
        <v>5.18462E-3</v>
      </c>
      <c r="AM165" s="8">
        <v>46214.7837</v>
      </c>
      <c r="AN165" s="7">
        <v>6.79775E-3</v>
      </c>
    </row>
    <row r="166" spans="2:40" ht="14" x14ac:dyDescent="0.15">
      <c r="B166" s="5" t="s">
        <v>119</v>
      </c>
      <c r="C166" s="6">
        <v>562259.12540000002</v>
      </c>
      <c r="D166" s="7">
        <v>6.0221599999999986E-3</v>
      </c>
      <c r="F166" s="8">
        <v>37704.639999999999</v>
      </c>
      <c r="G166" s="7">
        <v>7.0813999999999998E-3</v>
      </c>
      <c r="I166" s="8">
        <v>41903.839999999997</v>
      </c>
      <c r="J166" s="7">
        <v>6.6393899999999994E-3</v>
      </c>
      <c r="L166" s="8">
        <v>48794.51</v>
      </c>
      <c r="M166" s="7">
        <v>5.6939800000000004E-3</v>
      </c>
      <c r="O166" s="8">
        <v>45705.54</v>
      </c>
      <c r="P166" s="7">
        <v>7.2390500000000003E-3</v>
      </c>
      <c r="R166" s="8">
        <v>55275.94</v>
      </c>
      <c r="S166" s="7">
        <v>6.3629800000000007E-3</v>
      </c>
      <c r="U166" s="8">
        <v>53428.55</v>
      </c>
      <c r="V166" s="7">
        <v>7.2659500000000002E-3</v>
      </c>
      <c r="X166" s="8">
        <v>35251.649700000002</v>
      </c>
      <c r="Y166" s="7">
        <v>5.4840799999999997E-3</v>
      </c>
      <c r="AA166" s="8">
        <v>38074.246400000004</v>
      </c>
      <c r="AB166" s="7">
        <v>5.3581800000000006E-3</v>
      </c>
      <c r="AD166" s="8">
        <v>57864.259400000003</v>
      </c>
      <c r="AE166" s="7">
        <v>5.4848299999999996E-3</v>
      </c>
      <c r="AG166" s="8">
        <v>57517.728999999999</v>
      </c>
      <c r="AH166" s="7">
        <v>5.5134899999999994E-3</v>
      </c>
      <c r="AJ166" s="8">
        <v>52294.785499999998</v>
      </c>
      <c r="AK166" s="7">
        <v>5.5098300000000003E-3</v>
      </c>
      <c r="AM166" s="8">
        <v>38443.435400000002</v>
      </c>
      <c r="AN166" s="7">
        <v>5.6546600000000006E-3</v>
      </c>
    </row>
    <row r="168" spans="2:40" ht="14" x14ac:dyDescent="0.15">
      <c r="B168" t="s">
        <v>615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R10:S10"/>
    <mergeCell ref="C10:D10"/>
    <mergeCell ref="F10:G10"/>
    <mergeCell ref="I10:J10"/>
    <mergeCell ref="L10:M10"/>
    <mergeCell ref="O10:P10"/>
    <mergeCell ref="AM10:AN10"/>
    <mergeCell ref="U10:V10"/>
    <mergeCell ref="X10:Y10"/>
    <mergeCell ref="AA10:AB10"/>
    <mergeCell ref="AD10:AE10"/>
    <mergeCell ref="AG10:AH10"/>
    <mergeCell ref="AJ10:AK10"/>
  </mergeCells>
  <pageMargins left="0.5" right="0.5" top="0.5" bottom="0.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66B7-A22D-45B5-8AEE-C818A8089E52}">
  <sheetPr>
    <pageSetUpPr fitToPage="1"/>
  </sheetPr>
  <dimension ref="B2:AN168"/>
  <sheetViews>
    <sheetView zoomScale="80" zoomScaleNormal="80" workbookViewId="0">
      <pane xSplit="2" ySplit="10" topLeftCell="C11" activePane="bottomRight" state="frozen"/>
      <selection activeCell="I37" sqref="I37"/>
      <selection pane="topRight" activeCell="I37" sqref="I37"/>
      <selection pane="bottomLeft" activeCell="I37" sqref="I37"/>
      <selection pane="bottomRight" activeCell="I37" sqref="I37"/>
    </sheetView>
  </sheetViews>
  <sheetFormatPr baseColWidth="10" defaultColWidth="9.1640625" defaultRowHeight="13" x14ac:dyDescent="0.15"/>
  <cols>
    <col min="1" max="1" width="0.6640625" customWidth="1"/>
    <col min="2" max="2" width="38.33203125" customWidth="1"/>
    <col min="3" max="4" width="14.5" customWidth="1"/>
    <col min="5" max="5" width="0.6640625" customWidth="1"/>
    <col min="6" max="7" width="14.5" customWidth="1"/>
    <col min="8" max="8" width="0.6640625" customWidth="1"/>
    <col min="9" max="10" width="14.5" customWidth="1"/>
    <col min="11" max="11" width="0.6640625" customWidth="1"/>
    <col min="12" max="13" width="14.5" customWidth="1"/>
    <col min="14" max="14" width="0.6640625" customWidth="1"/>
    <col min="15" max="16" width="14.5" customWidth="1"/>
    <col min="17" max="17" width="0.6640625" customWidth="1"/>
    <col min="18" max="19" width="14.5" customWidth="1"/>
    <col min="20" max="20" width="0.6640625" customWidth="1"/>
    <col min="21" max="22" width="14.5" customWidth="1"/>
    <col min="23" max="23" width="0.6640625" customWidth="1"/>
    <col min="24" max="25" width="14.5" customWidth="1"/>
    <col min="26" max="26" width="0.6640625" customWidth="1"/>
    <col min="27" max="28" width="14.5" customWidth="1"/>
    <col min="29" max="29" width="0.6640625" customWidth="1"/>
    <col min="30" max="31" width="14.5" customWidth="1"/>
    <col min="32" max="32" width="0.6640625" customWidth="1"/>
    <col min="33" max="34" width="14.5" customWidth="1"/>
    <col min="35" max="35" width="0.6640625" customWidth="1"/>
    <col min="36" max="37" width="14.5" customWidth="1"/>
    <col min="38" max="38" width="0.6640625" customWidth="1"/>
    <col min="39" max="40" width="14.5" customWidth="1"/>
    <col min="41" max="41" width="0.6640625" customWidth="1"/>
  </cols>
  <sheetData>
    <row r="2" spans="2:40" ht="35" customHeight="1" x14ac:dyDescent="0.3">
      <c r="B2" s="287" t="s">
        <v>371</v>
      </c>
    </row>
    <row r="3" spans="2:40" ht="28" x14ac:dyDescent="0.15">
      <c r="B3" s="288" t="s">
        <v>131</v>
      </c>
      <c r="C3" s="3"/>
    </row>
    <row r="4" spans="2:40" ht="14" x14ac:dyDescent="0.15">
      <c r="B4" s="288" t="s">
        <v>2</v>
      </c>
      <c r="C4" s="3"/>
    </row>
    <row r="5" spans="2:40" ht="14" x14ac:dyDescent="0.15">
      <c r="B5" s="288" t="s">
        <v>3</v>
      </c>
      <c r="C5" s="3"/>
    </row>
    <row r="6" spans="2:40" ht="14" x14ac:dyDescent="0.15">
      <c r="B6" s="288" t="s">
        <v>4</v>
      </c>
      <c r="C6" s="3"/>
    </row>
    <row r="7" spans="2:40" ht="14" x14ac:dyDescent="0.15">
      <c r="B7" s="288" t="s">
        <v>5</v>
      </c>
      <c r="C7" s="3"/>
    </row>
    <row r="8" spans="2:40" ht="14" x14ac:dyDescent="0.15">
      <c r="B8" s="288" t="s">
        <v>6</v>
      </c>
      <c r="C8" s="3"/>
    </row>
    <row r="10" spans="2:40" ht="14" x14ac:dyDescent="0.15">
      <c r="B10" s="335" t="s">
        <v>372</v>
      </c>
      <c r="C10" s="366" t="s">
        <v>8</v>
      </c>
      <c r="D10" s="367"/>
      <c r="F10" s="366" t="s">
        <v>9</v>
      </c>
      <c r="G10" s="367"/>
      <c r="I10" s="366" t="s">
        <v>10</v>
      </c>
      <c r="J10" s="367"/>
      <c r="L10" s="366" t="s">
        <v>11</v>
      </c>
      <c r="M10" s="367"/>
      <c r="O10" s="366" t="s">
        <v>12</v>
      </c>
      <c r="P10" s="367"/>
      <c r="R10" s="366" t="s">
        <v>13</v>
      </c>
      <c r="S10" s="367"/>
      <c r="U10" s="366" t="s">
        <v>14</v>
      </c>
      <c r="V10" s="367"/>
      <c r="X10" s="366" t="s">
        <v>15</v>
      </c>
      <c r="Y10" s="367"/>
      <c r="AA10" s="366" t="s">
        <v>16</v>
      </c>
      <c r="AB10" s="367"/>
      <c r="AD10" s="366" t="s">
        <v>17</v>
      </c>
      <c r="AE10" s="367"/>
      <c r="AG10" s="366" t="s">
        <v>18</v>
      </c>
      <c r="AH10" s="367"/>
      <c r="AJ10" s="366" t="s">
        <v>19</v>
      </c>
      <c r="AK10" s="367"/>
      <c r="AM10" s="366" t="s">
        <v>20</v>
      </c>
      <c r="AN10" s="367"/>
    </row>
    <row r="11" spans="2:40" ht="14" x14ac:dyDescent="0.15">
      <c r="B11" s="5" t="s">
        <v>21</v>
      </c>
      <c r="C11" s="6">
        <v>15256234.3805</v>
      </c>
      <c r="D11" s="7">
        <v>1</v>
      </c>
      <c r="F11" s="6">
        <v>552614.44999999995</v>
      </c>
      <c r="G11" s="7">
        <v>1</v>
      </c>
      <c r="I11" s="6">
        <v>528587.06000000006</v>
      </c>
      <c r="J11" s="7">
        <v>1</v>
      </c>
      <c r="L11" s="6">
        <v>1070582.96</v>
      </c>
      <c r="M11" s="7">
        <v>1</v>
      </c>
      <c r="O11" s="6">
        <v>610468.18000000005</v>
      </c>
      <c r="P11" s="7">
        <v>1</v>
      </c>
      <c r="R11" s="6">
        <v>1537438.9</v>
      </c>
      <c r="S11" s="7">
        <v>1</v>
      </c>
      <c r="U11" s="6">
        <v>1012045.73</v>
      </c>
      <c r="V11" s="7">
        <v>1</v>
      </c>
      <c r="X11" s="6">
        <v>1924757.9398000001</v>
      </c>
      <c r="Y11" s="7">
        <v>1</v>
      </c>
      <c r="AA11" s="6">
        <v>1942110.5708000001</v>
      </c>
      <c r="AB11" s="7">
        <v>1</v>
      </c>
      <c r="AD11" s="6">
        <v>1900916.1665000001</v>
      </c>
      <c r="AE11" s="7">
        <v>1</v>
      </c>
      <c r="AG11" s="6">
        <v>1561011.1294</v>
      </c>
      <c r="AH11" s="7">
        <v>1</v>
      </c>
      <c r="AJ11" s="6">
        <v>1160767.0135999999</v>
      </c>
      <c r="AK11" s="7">
        <v>1</v>
      </c>
      <c r="AM11" s="6">
        <v>1454934.2804</v>
      </c>
      <c r="AN11" s="7">
        <v>1</v>
      </c>
    </row>
    <row r="12" spans="2:40" ht="14" x14ac:dyDescent="0.15">
      <c r="B12" s="5" t="s">
        <v>22</v>
      </c>
      <c r="C12" s="6">
        <v>10362094.976</v>
      </c>
      <c r="D12" s="7">
        <v>0.67920396999999999</v>
      </c>
      <c r="F12" s="6">
        <v>785939.02</v>
      </c>
      <c r="G12" s="7">
        <v>1.4222194500000001</v>
      </c>
      <c r="I12" s="6">
        <v>1092073.04</v>
      </c>
      <c r="J12" s="7">
        <v>2.0660230300000002</v>
      </c>
      <c r="L12" s="6">
        <v>910686.26</v>
      </c>
      <c r="M12" s="7">
        <v>0.85064519999999999</v>
      </c>
      <c r="O12" s="6">
        <v>684350.41</v>
      </c>
      <c r="P12" s="7">
        <v>1.1210255200000001</v>
      </c>
      <c r="R12" s="6">
        <v>837281.85</v>
      </c>
      <c r="S12" s="7">
        <v>0.54459519999999995</v>
      </c>
      <c r="U12" s="6">
        <v>699784.32</v>
      </c>
      <c r="V12" s="7">
        <v>0.69145523999999992</v>
      </c>
      <c r="X12" s="6">
        <v>902621.446</v>
      </c>
      <c r="Y12" s="7">
        <v>0.46895323</v>
      </c>
      <c r="AA12" s="6">
        <v>893441.25430000003</v>
      </c>
      <c r="AB12" s="7">
        <v>0.46003623999999999</v>
      </c>
      <c r="AD12" s="6">
        <v>901759.78940000001</v>
      </c>
      <c r="AE12" s="7">
        <v>0.47438166999999998</v>
      </c>
      <c r="AG12" s="6">
        <v>884811.12760000001</v>
      </c>
      <c r="AH12" s="7">
        <v>0.56681923000000001</v>
      </c>
      <c r="AJ12" s="6">
        <v>900707.63549999997</v>
      </c>
      <c r="AK12" s="7">
        <v>0.77595901999999994</v>
      </c>
      <c r="AM12" s="6">
        <v>868638.82319999998</v>
      </c>
      <c r="AN12" s="7">
        <v>0.59702959</v>
      </c>
    </row>
    <row r="13" spans="2:40" ht="14" x14ac:dyDescent="0.15">
      <c r="B13" s="5" t="s">
        <v>23</v>
      </c>
      <c r="C13" s="6">
        <v>-2660258.6655999999</v>
      </c>
      <c r="D13" s="7">
        <v>0</v>
      </c>
      <c r="F13" s="6">
        <v>-440968.64</v>
      </c>
      <c r="G13" s="7">
        <v>0</v>
      </c>
      <c r="I13" s="6">
        <v>-1206024.22</v>
      </c>
      <c r="J13" s="7">
        <v>0</v>
      </c>
      <c r="L13" s="6">
        <v>-1369346.91</v>
      </c>
      <c r="M13" s="7">
        <v>0</v>
      </c>
      <c r="O13" s="6">
        <v>-503120.77</v>
      </c>
      <c r="P13" s="7">
        <v>0</v>
      </c>
      <c r="R13" s="6">
        <v>208360.81</v>
      </c>
      <c r="S13" s="7">
        <v>0</v>
      </c>
      <c r="U13" s="6">
        <v>-219127.12</v>
      </c>
      <c r="V13" s="7">
        <v>0</v>
      </c>
      <c r="X13" s="6">
        <v>511747.35379999998</v>
      </c>
      <c r="Y13" s="7">
        <v>0</v>
      </c>
      <c r="AA13" s="6">
        <v>442965.1765</v>
      </c>
      <c r="AB13" s="7">
        <v>0</v>
      </c>
      <c r="AD13" s="6">
        <v>382822.23700000002</v>
      </c>
      <c r="AE13" s="7">
        <v>0</v>
      </c>
      <c r="AG13" s="6">
        <v>175366.86180000001</v>
      </c>
      <c r="AH13" s="7">
        <v>0</v>
      </c>
      <c r="AJ13" s="6">
        <v>-291353.76189999998</v>
      </c>
      <c r="AK13" s="7">
        <v>0</v>
      </c>
      <c r="AM13" s="6">
        <v>-351579.68280000001</v>
      </c>
      <c r="AN13" s="7">
        <v>0</v>
      </c>
    </row>
    <row r="14" spans="2:40" ht="14" x14ac:dyDescent="0.15">
      <c r="B14" s="5" t="s">
        <v>24</v>
      </c>
      <c r="C14" s="8">
        <v>0</v>
      </c>
      <c r="D14" s="7">
        <v>0</v>
      </c>
      <c r="F14" s="8">
        <v>0</v>
      </c>
      <c r="G14" s="7">
        <v>0</v>
      </c>
      <c r="I14" s="8">
        <v>0</v>
      </c>
      <c r="J14" s="7">
        <v>0</v>
      </c>
      <c r="L14" s="8">
        <v>0</v>
      </c>
      <c r="M14" s="7">
        <v>0</v>
      </c>
      <c r="O14" s="8">
        <v>0</v>
      </c>
      <c r="P14" s="7">
        <v>0</v>
      </c>
      <c r="R14" s="8">
        <v>0</v>
      </c>
      <c r="S14" s="7">
        <v>0</v>
      </c>
      <c r="U14" s="8">
        <v>0</v>
      </c>
      <c r="V14" s="7">
        <v>0</v>
      </c>
      <c r="X14" s="8">
        <v>0</v>
      </c>
      <c r="Y14" s="7">
        <v>0</v>
      </c>
      <c r="AA14" s="8">
        <v>0</v>
      </c>
      <c r="AB14" s="7">
        <v>0</v>
      </c>
      <c r="AD14" s="8">
        <v>0</v>
      </c>
      <c r="AE14" s="7">
        <v>0</v>
      </c>
      <c r="AG14" s="8">
        <v>0</v>
      </c>
      <c r="AH14" s="7">
        <v>0</v>
      </c>
      <c r="AJ14" s="8">
        <v>0</v>
      </c>
      <c r="AK14" s="7">
        <v>0</v>
      </c>
      <c r="AM14" s="8">
        <v>0</v>
      </c>
      <c r="AN14" s="7">
        <v>0</v>
      </c>
    </row>
    <row r="15" spans="2:40" ht="14" x14ac:dyDescent="0.15">
      <c r="B15" s="5" t="s">
        <v>25</v>
      </c>
      <c r="C15" s="9">
        <v>0</v>
      </c>
      <c r="D15" s="7">
        <v>0</v>
      </c>
      <c r="F15" s="9">
        <v>0</v>
      </c>
      <c r="G15" s="7">
        <v>0</v>
      </c>
      <c r="I15" s="9">
        <v>0</v>
      </c>
      <c r="J15" s="7">
        <v>0</v>
      </c>
      <c r="L15" s="9">
        <v>0</v>
      </c>
      <c r="M15" s="7">
        <v>0</v>
      </c>
      <c r="O15" s="9">
        <v>0</v>
      </c>
      <c r="P15" s="7">
        <v>0</v>
      </c>
      <c r="R15" s="9">
        <v>0</v>
      </c>
      <c r="S15" s="7">
        <v>0</v>
      </c>
      <c r="U15" s="9">
        <v>0</v>
      </c>
      <c r="V15" s="7">
        <v>0</v>
      </c>
      <c r="X15" s="9">
        <v>0</v>
      </c>
      <c r="Y15" s="7">
        <v>0</v>
      </c>
      <c r="AA15" s="9">
        <v>0</v>
      </c>
      <c r="AB15" s="7">
        <v>0</v>
      </c>
      <c r="AD15" s="9">
        <v>0</v>
      </c>
      <c r="AE15" s="7">
        <v>0</v>
      </c>
      <c r="AG15" s="9">
        <v>0</v>
      </c>
      <c r="AH15" s="7">
        <v>0</v>
      </c>
      <c r="AJ15" s="9">
        <v>0</v>
      </c>
      <c r="AK15" s="7">
        <v>0</v>
      </c>
      <c r="AM15" s="9">
        <v>0</v>
      </c>
      <c r="AN15" s="7">
        <v>0</v>
      </c>
    </row>
    <row r="16" spans="2:40" ht="14" x14ac:dyDescent="0.15">
      <c r="B16" s="5" t="s">
        <v>26</v>
      </c>
      <c r="C16" s="8">
        <v>0</v>
      </c>
      <c r="D16" s="7">
        <v>0</v>
      </c>
      <c r="F16" s="8">
        <v>0</v>
      </c>
      <c r="G16" s="7">
        <v>0</v>
      </c>
      <c r="I16" s="8">
        <v>0</v>
      </c>
      <c r="J16" s="7">
        <v>0</v>
      </c>
      <c r="L16" s="8">
        <v>0</v>
      </c>
      <c r="M16" s="7">
        <v>0</v>
      </c>
      <c r="O16" s="8">
        <v>0</v>
      </c>
      <c r="P16" s="7">
        <v>0</v>
      </c>
      <c r="R16" s="8">
        <v>0</v>
      </c>
      <c r="S16" s="7">
        <v>0</v>
      </c>
      <c r="U16" s="8">
        <v>0</v>
      </c>
      <c r="V16" s="7">
        <v>0</v>
      </c>
      <c r="X16" s="8">
        <v>0</v>
      </c>
      <c r="Y16" s="7">
        <v>0</v>
      </c>
      <c r="AA16" s="8">
        <v>0</v>
      </c>
      <c r="AB16" s="7">
        <v>0</v>
      </c>
      <c r="AD16" s="8">
        <v>0</v>
      </c>
      <c r="AE16" s="7">
        <v>0</v>
      </c>
      <c r="AG16" s="8">
        <v>0</v>
      </c>
      <c r="AH16" s="7">
        <v>0</v>
      </c>
      <c r="AJ16" s="8">
        <v>0</v>
      </c>
      <c r="AK16" s="7">
        <v>0</v>
      </c>
      <c r="AM16" s="8">
        <v>0</v>
      </c>
      <c r="AN16" s="7">
        <v>0</v>
      </c>
    </row>
    <row r="17" spans="2:40" ht="14" x14ac:dyDescent="0.15">
      <c r="B17" s="5" t="s">
        <v>27</v>
      </c>
      <c r="C17" s="9">
        <v>0</v>
      </c>
      <c r="D17" s="7">
        <v>0</v>
      </c>
      <c r="F17" s="9">
        <v>0</v>
      </c>
      <c r="G17" s="7">
        <v>0</v>
      </c>
      <c r="I17" s="9">
        <v>0</v>
      </c>
      <c r="J17" s="7">
        <v>0</v>
      </c>
      <c r="L17" s="9">
        <v>0</v>
      </c>
      <c r="M17" s="7">
        <v>0</v>
      </c>
      <c r="O17" s="9">
        <v>0</v>
      </c>
      <c r="P17" s="7">
        <v>0</v>
      </c>
      <c r="R17" s="9">
        <v>0</v>
      </c>
      <c r="S17" s="7">
        <v>0</v>
      </c>
      <c r="U17" s="9">
        <v>0</v>
      </c>
      <c r="V17" s="7">
        <v>0</v>
      </c>
      <c r="X17" s="9">
        <v>0</v>
      </c>
      <c r="Y17" s="7">
        <v>0</v>
      </c>
      <c r="AA17" s="9">
        <v>0</v>
      </c>
      <c r="AB17" s="7">
        <v>0</v>
      </c>
      <c r="AD17" s="9">
        <v>0</v>
      </c>
      <c r="AE17" s="7">
        <v>0</v>
      </c>
      <c r="AG17" s="9">
        <v>0</v>
      </c>
      <c r="AH17" s="7">
        <v>0</v>
      </c>
      <c r="AJ17" s="9">
        <v>0</v>
      </c>
      <c r="AK17" s="7">
        <v>0</v>
      </c>
      <c r="AM17" s="9">
        <v>0</v>
      </c>
      <c r="AN17" s="7">
        <v>0</v>
      </c>
    </row>
    <row r="18" spans="2:40" ht="14" x14ac:dyDescent="0.15">
      <c r="B18" s="5" t="s">
        <v>28</v>
      </c>
      <c r="C18" s="6">
        <v>0</v>
      </c>
      <c r="D18" s="7">
        <v>0</v>
      </c>
      <c r="F18" s="6">
        <v>0</v>
      </c>
      <c r="G18" s="7">
        <v>0</v>
      </c>
      <c r="I18" s="6">
        <v>0</v>
      </c>
      <c r="J18" s="7">
        <v>0</v>
      </c>
      <c r="L18" s="6">
        <v>0</v>
      </c>
      <c r="M18" s="7">
        <v>0</v>
      </c>
      <c r="O18" s="6">
        <v>0</v>
      </c>
      <c r="P18" s="7">
        <v>0</v>
      </c>
      <c r="R18" s="6">
        <v>0</v>
      </c>
      <c r="S18" s="7">
        <v>0</v>
      </c>
      <c r="U18" s="6">
        <v>0</v>
      </c>
      <c r="V18" s="7">
        <v>0</v>
      </c>
      <c r="X18" s="6">
        <v>0</v>
      </c>
      <c r="Y18" s="7">
        <v>0</v>
      </c>
      <c r="AA18" s="6">
        <v>0</v>
      </c>
      <c r="AB18" s="7">
        <v>0</v>
      </c>
      <c r="AD18" s="6">
        <v>0</v>
      </c>
      <c r="AE18" s="7">
        <v>0</v>
      </c>
      <c r="AG18" s="6">
        <v>0</v>
      </c>
      <c r="AH18" s="7">
        <v>0</v>
      </c>
      <c r="AJ18" s="6">
        <v>0</v>
      </c>
      <c r="AK18" s="7">
        <v>0</v>
      </c>
      <c r="AM18" s="6">
        <v>0</v>
      </c>
      <c r="AN18" s="7">
        <v>0</v>
      </c>
    </row>
    <row r="19" spans="2:40" ht="14" x14ac:dyDescent="0.15">
      <c r="B19" s="5" t="s">
        <v>29</v>
      </c>
      <c r="C19" s="9">
        <v>0</v>
      </c>
      <c r="D19" s="7">
        <v>0</v>
      </c>
      <c r="F19" s="9">
        <v>0</v>
      </c>
      <c r="G19" s="7">
        <v>0</v>
      </c>
      <c r="I19" s="9">
        <v>0</v>
      </c>
      <c r="J19" s="7">
        <v>0</v>
      </c>
      <c r="L19" s="9">
        <v>0</v>
      </c>
      <c r="M19" s="7">
        <v>0</v>
      </c>
      <c r="O19" s="9">
        <v>0</v>
      </c>
      <c r="P19" s="7">
        <v>0</v>
      </c>
      <c r="R19" s="9">
        <v>0</v>
      </c>
      <c r="S19" s="7">
        <v>0</v>
      </c>
      <c r="U19" s="9">
        <v>0</v>
      </c>
      <c r="V19" s="7">
        <v>0</v>
      </c>
      <c r="X19" s="9">
        <v>0</v>
      </c>
      <c r="Y19" s="7">
        <v>0</v>
      </c>
      <c r="AA19" s="9">
        <v>0</v>
      </c>
      <c r="AB19" s="7">
        <v>0</v>
      </c>
      <c r="AD19" s="9">
        <v>0</v>
      </c>
      <c r="AE19" s="7">
        <v>0</v>
      </c>
      <c r="AG19" s="9">
        <v>0</v>
      </c>
      <c r="AH19" s="7">
        <v>0</v>
      </c>
      <c r="AJ19" s="9">
        <v>0</v>
      </c>
      <c r="AK19" s="7">
        <v>0</v>
      </c>
      <c r="AM19" s="9">
        <v>0</v>
      </c>
      <c r="AN19" s="7">
        <v>0</v>
      </c>
    </row>
    <row r="20" spans="2:40" ht="14" x14ac:dyDescent="0.15">
      <c r="B20" s="5" t="s">
        <v>30</v>
      </c>
      <c r="C20" s="8">
        <v>0</v>
      </c>
      <c r="D20" s="7">
        <v>0</v>
      </c>
      <c r="F20" s="8">
        <v>0</v>
      </c>
      <c r="G20" s="7">
        <v>0</v>
      </c>
      <c r="I20" s="8">
        <v>0</v>
      </c>
      <c r="J20" s="7">
        <v>0</v>
      </c>
      <c r="L20" s="8">
        <v>0</v>
      </c>
      <c r="M20" s="7">
        <v>0</v>
      </c>
      <c r="O20" s="8">
        <v>0</v>
      </c>
      <c r="P20" s="7">
        <v>0</v>
      </c>
      <c r="R20" s="8">
        <v>0</v>
      </c>
      <c r="S20" s="7">
        <v>0</v>
      </c>
      <c r="U20" s="8">
        <v>0</v>
      </c>
      <c r="V20" s="7">
        <v>0</v>
      </c>
      <c r="X20" s="8">
        <v>0</v>
      </c>
      <c r="Y20" s="7">
        <v>0</v>
      </c>
      <c r="AA20" s="8">
        <v>0</v>
      </c>
      <c r="AB20" s="7">
        <v>0</v>
      </c>
      <c r="AD20" s="8">
        <v>0</v>
      </c>
      <c r="AE20" s="7">
        <v>0</v>
      </c>
      <c r="AG20" s="8">
        <v>0</v>
      </c>
      <c r="AH20" s="7">
        <v>0</v>
      </c>
      <c r="AJ20" s="8">
        <v>0</v>
      </c>
      <c r="AK20" s="7">
        <v>0</v>
      </c>
      <c r="AM20" s="8">
        <v>0</v>
      </c>
      <c r="AN20" s="7">
        <v>0</v>
      </c>
    </row>
    <row r="21" spans="2:40" ht="14" x14ac:dyDescent="0.15">
      <c r="B21" s="5" t="s">
        <v>31</v>
      </c>
      <c r="C21" s="9">
        <v>0</v>
      </c>
      <c r="D21" s="7">
        <v>0</v>
      </c>
      <c r="F21" s="9">
        <v>0</v>
      </c>
      <c r="G21" s="7">
        <v>0</v>
      </c>
      <c r="I21" s="9">
        <v>0</v>
      </c>
      <c r="J21" s="7">
        <v>0</v>
      </c>
      <c r="L21" s="9">
        <v>0</v>
      </c>
      <c r="M21" s="7">
        <v>0</v>
      </c>
      <c r="O21" s="9">
        <v>0</v>
      </c>
      <c r="P21" s="7">
        <v>0</v>
      </c>
      <c r="R21" s="9">
        <v>0</v>
      </c>
      <c r="S21" s="7">
        <v>0</v>
      </c>
      <c r="U21" s="9">
        <v>0</v>
      </c>
      <c r="V21" s="7">
        <v>0</v>
      </c>
      <c r="X21" s="9">
        <v>0</v>
      </c>
      <c r="Y21" s="7">
        <v>0</v>
      </c>
      <c r="AA21" s="9">
        <v>0</v>
      </c>
      <c r="AB21" s="7">
        <v>0</v>
      </c>
      <c r="AD21" s="9">
        <v>0</v>
      </c>
      <c r="AE21" s="7">
        <v>0</v>
      </c>
      <c r="AG21" s="9">
        <v>0</v>
      </c>
      <c r="AH21" s="7">
        <v>0</v>
      </c>
      <c r="AJ21" s="9">
        <v>0</v>
      </c>
      <c r="AK21" s="7">
        <v>0</v>
      </c>
      <c r="AM21" s="9">
        <v>0</v>
      </c>
      <c r="AN21" s="7">
        <v>0</v>
      </c>
    </row>
    <row r="22" spans="2:40" ht="14" x14ac:dyDescent="0.15">
      <c r="B22" s="5" t="s">
        <v>32</v>
      </c>
      <c r="C22" s="8">
        <v>0</v>
      </c>
      <c r="D22" s="7">
        <v>0</v>
      </c>
      <c r="F22" s="8">
        <v>0</v>
      </c>
      <c r="G22" s="7">
        <v>0</v>
      </c>
      <c r="I22" s="8">
        <v>0</v>
      </c>
      <c r="J22" s="7">
        <v>0</v>
      </c>
      <c r="L22" s="8">
        <v>0</v>
      </c>
      <c r="M22" s="7">
        <v>0</v>
      </c>
      <c r="O22" s="8">
        <v>0</v>
      </c>
      <c r="P22" s="7">
        <v>0</v>
      </c>
      <c r="R22" s="8">
        <v>0</v>
      </c>
      <c r="S22" s="7">
        <v>0</v>
      </c>
      <c r="U22" s="8">
        <v>0</v>
      </c>
      <c r="V22" s="7">
        <v>0</v>
      </c>
      <c r="X22" s="8">
        <v>0</v>
      </c>
      <c r="Y22" s="7">
        <v>0</v>
      </c>
      <c r="AA22" s="8">
        <v>0</v>
      </c>
      <c r="AB22" s="7">
        <v>0</v>
      </c>
      <c r="AD22" s="8">
        <v>0</v>
      </c>
      <c r="AE22" s="7">
        <v>0</v>
      </c>
      <c r="AG22" s="8">
        <v>0</v>
      </c>
      <c r="AH22" s="7">
        <v>0</v>
      </c>
      <c r="AJ22" s="8">
        <v>0</v>
      </c>
      <c r="AK22" s="7">
        <v>0</v>
      </c>
      <c r="AM22" s="8">
        <v>0</v>
      </c>
      <c r="AN22" s="7">
        <v>0</v>
      </c>
    </row>
    <row r="23" spans="2:40" ht="14" x14ac:dyDescent="0.15">
      <c r="B23" s="5" t="s">
        <v>33</v>
      </c>
      <c r="C23" s="8">
        <v>94.954999999999998</v>
      </c>
      <c r="D23" s="7">
        <v>0</v>
      </c>
      <c r="F23" s="8">
        <v>0</v>
      </c>
      <c r="G23" s="7">
        <v>0</v>
      </c>
      <c r="I23" s="8">
        <v>0</v>
      </c>
      <c r="J23" s="7">
        <v>0</v>
      </c>
      <c r="L23" s="8">
        <v>0</v>
      </c>
      <c r="M23" s="7">
        <v>0</v>
      </c>
      <c r="O23" s="8">
        <v>0</v>
      </c>
      <c r="P23" s="7">
        <v>0</v>
      </c>
      <c r="R23" s="8">
        <v>0</v>
      </c>
      <c r="S23" s="7">
        <v>0</v>
      </c>
      <c r="U23" s="8">
        <v>0</v>
      </c>
      <c r="V23" s="7">
        <v>0</v>
      </c>
      <c r="X23" s="8">
        <v>97.38</v>
      </c>
      <c r="Y23" s="7">
        <v>0</v>
      </c>
      <c r="AA23" s="8">
        <v>96.87</v>
      </c>
      <c r="AB23" s="7">
        <v>0</v>
      </c>
      <c r="AD23" s="8">
        <v>93.87</v>
      </c>
      <c r="AE23" s="7">
        <v>0</v>
      </c>
      <c r="AG23" s="8">
        <v>93.87</v>
      </c>
      <c r="AH23" s="7">
        <v>0</v>
      </c>
      <c r="AJ23" s="8">
        <v>93.87</v>
      </c>
      <c r="AK23" s="7">
        <v>0</v>
      </c>
      <c r="AM23" s="8">
        <v>93.87</v>
      </c>
      <c r="AN23" s="7">
        <v>0</v>
      </c>
    </row>
    <row r="25" spans="2:40" ht="14" x14ac:dyDescent="0.15">
      <c r="B25" s="5" t="s">
        <v>34</v>
      </c>
      <c r="C25" s="8"/>
    </row>
    <row r="26" spans="2:40" x14ac:dyDescent="0.15">
      <c r="B26" s="8"/>
      <c r="C26" s="8"/>
      <c r="D26" s="8"/>
      <c r="F26" s="8"/>
      <c r="G26" s="8"/>
      <c r="I26" s="8"/>
      <c r="J26" s="8"/>
      <c r="L26" s="8"/>
      <c r="M26" s="8"/>
      <c r="O26" s="8"/>
      <c r="P26" s="8"/>
      <c r="R26" s="8"/>
      <c r="S26" s="8"/>
      <c r="U26" s="8"/>
      <c r="V26" s="8"/>
      <c r="X26" s="8"/>
      <c r="Y26" s="8"/>
      <c r="AA26" s="8"/>
      <c r="AB26" s="8"/>
      <c r="AD26" s="8"/>
      <c r="AE26" s="8"/>
      <c r="AG26" s="8"/>
      <c r="AH26" s="8"/>
      <c r="AJ26" s="8"/>
      <c r="AK26" s="8"/>
      <c r="AM26" s="8"/>
      <c r="AN26" s="8"/>
    </row>
    <row r="27" spans="2:40" ht="14" x14ac:dyDescent="0.15">
      <c r="B27" s="325" t="s">
        <v>21</v>
      </c>
      <c r="C27" s="326">
        <v>15256234.3805</v>
      </c>
      <c r="D27" s="327">
        <v>1</v>
      </c>
      <c r="F27" s="326">
        <v>552614.44999999995</v>
      </c>
      <c r="G27" s="327">
        <v>1</v>
      </c>
      <c r="I27" s="326">
        <v>528587.06000000006</v>
      </c>
      <c r="J27" s="327">
        <v>1</v>
      </c>
      <c r="L27" s="326">
        <v>1070582.96</v>
      </c>
      <c r="M27" s="327">
        <v>1</v>
      </c>
      <c r="O27" s="326">
        <v>610468.18000000005</v>
      </c>
      <c r="P27" s="327">
        <v>1</v>
      </c>
      <c r="R27" s="326">
        <v>1537438.9</v>
      </c>
      <c r="S27" s="327">
        <v>1</v>
      </c>
      <c r="U27" s="326">
        <v>1012045.73</v>
      </c>
      <c r="V27" s="327">
        <v>1</v>
      </c>
      <c r="X27" s="326">
        <v>1924757.9398000001</v>
      </c>
      <c r="Y27" s="327">
        <v>1</v>
      </c>
      <c r="AA27" s="326">
        <v>1942110.5708000001</v>
      </c>
      <c r="AB27" s="327">
        <v>1</v>
      </c>
      <c r="AD27" s="326">
        <v>1900916.1665000001</v>
      </c>
      <c r="AE27" s="327">
        <v>1</v>
      </c>
      <c r="AG27" s="326">
        <v>1561011.1294</v>
      </c>
      <c r="AH27" s="327">
        <v>1</v>
      </c>
      <c r="AJ27" s="326">
        <v>1160767.0135999999</v>
      </c>
      <c r="AK27" s="327">
        <v>1</v>
      </c>
      <c r="AM27" s="326">
        <v>1454934.2804</v>
      </c>
      <c r="AN27" s="327">
        <v>1</v>
      </c>
    </row>
    <row r="28" spans="2:40" ht="14" x14ac:dyDescent="0.15">
      <c r="B28" s="5" t="s">
        <v>35</v>
      </c>
      <c r="C28" s="8">
        <v>0</v>
      </c>
      <c r="D28" s="7">
        <v>0</v>
      </c>
      <c r="F28" s="8">
        <v>0</v>
      </c>
      <c r="G28" s="7">
        <v>0</v>
      </c>
      <c r="I28" s="8">
        <v>0</v>
      </c>
      <c r="J28" s="7">
        <v>0</v>
      </c>
      <c r="L28" s="8">
        <v>0</v>
      </c>
      <c r="M28" s="7">
        <v>0</v>
      </c>
      <c r="O28" s="8">
        <v>0</v>
      </c>
      <c r="P28" s="7">
        <v>0</v>
      </c>
      <c r="R28" s="8">
        <v>0</v>
      </c>
      <c r="S28" s="7">
        <v>0</v>
      </c>
      <c r="U28" s="8">
        <v>0</v>
      </c>
      <c r="V28" s="7">
        <v>0</v>
      </c>
      <c r="X28" s="8">
        <v>0</v>
      </c>
      <c r="Y28" s="7">
        <v>0</v>
      </c>
      <c r="AA28" s="8">
        <v>0</v>
      </c>
      <c r="AB28" s="7">
        <v>0</v>
      </c>
      <c r="AD28" s="8">
        <v>0</v>
      </c>
      <c r="AE28" s="7">
        <v>0</v>
      </c>
      <c r="AG28" s="8">
        <v>0</v>
      </c>
      <c r="AH28" s="7">
        <v>0</v>
      </c>
      <c r="AJ28" s="8">
        <v>0</v>
      </c>
      <c r="AK28" s="7">
        <v>0</v>
      </c>
      <c r="AM28" s="8">
        <v>0</v>
      </c>
      <c r="AN28" s="7">
        <v>0</v>
      </c>
    </row>
    <row r="29" spans="2:40" ht="14" x14ac:dyDescent="0.15">
      <c r="B29" s="5" t="s">
        <v>36</v>
      </c>
      <c r="C29" s="8">
        <v>0</v>
      </c>
      <c r="D29" s="7">
        <v>0</v>
      </c>
      <c r="F29" s="8">
        <v>0</v>
      </c>
      <c r="G29" s="7">
        <v>0</v>
      </c>
      <c r="I29" s="8">
        <v>0</v>
      </c>
      <c r="J29" s="7">
        <v>0</v>
      </c>
      <c r="L29" s="8">
        <v>0</v>
      </c>
      <c r="M29" s="7">
        <v>0</v>
      </c>
      <c r="O29" s="8">
        <v>0</v>
      </c>
      <c r="P29" s="7">
        <v>0</v>
      </c>
      <c r="R29" s="8">
        <v>0</v>
      </c>
      <c r="S29" s="7">
        <v>0</v>
      </c>
      <c r="U29" s="8">
        <v>0</v>
      </c>
      <c r="V29" s="7">
        <v>0</v>
      </c>
      <c r="X29" s="8">
        <v>0</v>
      </c>
      <c r="Y29" s="7">
        <v>0</v>
      </c>
      <c r="AA29" s="8">
        <v>0</v>
      </c>
      <c r="AB29" s="7">
        <v>0</v>
      </c>
      <c r="AD29" s="8">
        <v>0</v>
      </c>
      <c r="AE29" s="7">
        <v>0</v>
      </c>
      <c r="AG29" s="8">
        <v>0</v>
      </c>
      <c r="AH29" s="7">
        <v>0</v>
      </c>
      <c r="AJ29" s="8">
        <v>0</v>
      </c>
      <c r="AK29" s="7">
        <v>0</v>
      </c>
      <c r="AM29" s="8">
        <v>0</v>
      </c>
      <c r="AN29" s="7">
        <v>0</v>
      </c>
    </row>
    <row r="30" spans="2:40" ht="14" x14ac:dyDescent="0.15">
      <c r="B30" s="5" t="s">
        <v>37</v>
      </c>
      <c r="C30" s="8">
        <v>0</v>
      </c>
      <c r="D30" s="7">
        <v>0</v>
      </c>
      <c r="F30" s="8">
        <v>0</v>
      </c>
      <c r="G30" s="7">
        <v>0</v>
      </c>
      <c r="I30" s="8">
        <v>0</v>
      </c>
      <c r="J30" s="7">
        <v>0</v>
      </c>
      <c r="L30" s="8">
        <v>0</v>
      </c>
      <c r="M30" s="7">
        <v>0</v>
      </c>
      <c r="O30" s="8">
        <v>0</v>
      </c>
      <c r="P30" s="7">
        <v>0</v>
      </c>
      <c r="R30" s="8">
        <v>0</v>
      </c>
      <c r="S30" s="7">
        <v>0</v>
      </c>
      <c r="U30" s="8">
        <v>0</v>
      </c>
      <c r="V30" s="7">
        <v>0</v>
      </c>
      <c r="X30" s="8">
        <v>0</v>
      </c>
      <c r="Y30" s="7">
        <v>0</v>
      </c>
      <c r="AA30" s="8">
        <v>0</v>
      </c>
      <c r="AB30" s="7">
        <v>0</v>
      </c>
      <c r="AD30" s="8">
        <v>0</v>
      </c>
      <c r="AE30" s="7">
        <v>0</v>
      </c>
      <c r="AG30" s="8">
        <v>0</v>
      </c>
      <c r="AH30" s="7">
        <v>0</v>
      </c>
      <c r="AJ30" s="8">
        <v>0</v>
      </c>
      <c r="AK30" s="7">
        <v>0</v>
      </c>
      <c r="AM30" s="8">
        <v>0</v>
      </c>
      <c r="AN30" s="7">
        <v>0</v>
      </c>
    </row>
    <row r="31" spans="2:40" ht="14" x14ac:dyDescent="0.15">
      <c r="B31" s="5" t="s">
        <v>38</v>
      </c>
      <c r="C31" s="8">
        <v>0</v>
      </c>
      <c r="D31" s="7">
        <v>0</v>
      </c>
      <c r="F31" s="8">
        <v>0</v>
      </c>
      <c r="G31" s="7">
        <v>0</v>
      </c>
      <c r="I31" s="8">
        <v>0</v>
      </c>
      <c r="J31" s="7">
        <v>0</v>
      </c>
      <c r="L31" s="8">
        <v>0</v>
      </c>
      <c r="M31" s="7">
        <v>0</v>
      </c>
      <c r="O31" s="8">
        <v>0</v>
      </c>
      <c r="P31" s="7">
        <v>0</v>
      </c>
      <c r="R31" s="8">
        <v>0</v>
      </c>
      <c r="S31" s="7">
        <v>0</v>
      </c>
      <c r="U31" s="8">
        <v>0</v>
      </c>
      <c r="V31" s="7">
        <v>0</v>
      </c>
      <c r="X31" s="8">
        <v>0</v>
      </c>
      <c r="Y31" s="7">
        <v>0</v>
      </c>
      <c r="AA31" s="8">
        <v>0</v>
      </c>
      <c r="AB31" s="7">
        <v>0</v>
      </c>
      <c r="AD31" s="8">
        <v>0</v>
      </c>
      <c r="AE31" s="7">
        <v>0</v>
      </c>
      <c r="AG31" s="8">
        <v>0</v>
      </c>
      <c r="AH31" s="7">
        <v>0</v>
      </c>
      <c r="AJ31" s="8">
        <v>0</v>
      </c>
      <c r="AK31" s="7">
        <v>0</v>
      </c>
      <c r="AM31" s="8">
        <v>0</v>
      </c>
      <c r="AN31" s="7">
        <v>0</v>
      </c>
    </row>
    <row r="32" spans="2:40" x14ac:dyDescent="0.15">
      <c r="B32" s="8"/>
      <c r="C32" s="8"/>
      <c r="D32" s="8"/>
      <c r="F32" s="8"/>
      <c r="G32" s="8"/>
      <c r="I32" s="8"/>
      <c r="J32" s="8"/>
      <c r="L32" s="8"/>
      <c r="M32" s="8"/>
      <c r="O32" s="8"/>
      <c r="P32" s="8"/>
      <c r="R32" s="8"/>
      <c r="S32" s="8"/>
      <c r="U32" s="8"/>
      <c r="V32" s="8"/>
      <c r="X32" s="8"/>
      <c r="Y32" s="8"/>
      <c r="AA32" s="8"/>
      <c r="AB32" s="8"/>
      <c r="AD32" s="8"/>
      <c r="AE32" s="8"/>
      <c r="AG32" s="8"/>
      <c r="AH32" s="8"/>
      <c r="AJ32" s="8"/>
      <c r="AK32" s="8"/>
      <c r="AM32" s="8"/>
      <c r="AN32" s="8"/>
    </row>
    <row r="33" spans="2:40" ht="14" x14ac:dyDescent="0.15">
      <c r="B33" s="328" t="s">
        <v>39</v>
      </c>
      <c r="C33" s="329"/>
      <c r="D33" s="329"/>
      <c r="F33" s="329"/>
      <c r="G33" s="329"/>
      <c r="I33" s="329"/>
      <c r="J33" s="329"/>
      <c r="L33" s="329"/>
      <c r="M33" s="329"/>
      <c r="O33" s="329"/>
      <c r="P33" s="329"/>
      <c r="R33" s="329"/>
      <c r="S33" s="329"/>
      <c r="U33" s="329"/>
      <c r="V33" s="329"/>
      <c r="X33" s="329"/>
      <c r="Y33" s="329"/>
      <c r="AA33" s="329"/>
      <c r="AB33" s="329"/>
      <c r="AD33" s="329"/>
      <c r="AE33" s="329"/>
      <c r="AG33" s="329"/>
      <c r="AH33" s="329"/>
      <c r="AJ33" s="329"/>
      <c r="AK33" s="329"/>
      <c r="AM33" s="329"/>
      <c r="AN33" s="329"/>
    </row>
    <row r="34" spans="2:40" ht="14" x14ac:dyDescent="0.15">
      <c r="B34" s="325" t="s">
        <v>35</v>
      </c>
      <c r="C34" s="326">
        <v>0</v>
      </c>
      <c r="D34" s="327">
        <v>0</v>
      </c>
      <c r="F34" s="326">
        <v>0</v>
      </c>
      <c r="G34" s="327">
        <v>0</v>
      </c>
      <c r="I34" s="326">
        <v>0</v>
      </c>
      <c r="J34" s="327">
        <v>0</v>
      </c>
      <c r="L34" s="326">
        <v>0</v>
      </c>
      <c r="M34" s="327">
        <v>0</v>
      </c>
      <c r="O34" s="326">
        <v>0</v>
      </c>
      <c r="P34" s="327">
        <v>0</v>
      </c>
      <c r="R34" s="326">
        <v>0</v>
      </c>
      <c r="S34" s="327">
        <v>0</v>
      </c>
      <c r="U34" s="326">
        <v>0</v>
      </c>
      <c r="V34" s="327">
        <v>0</v>
      </c>
      <c r="X34" s="326">
        <v>0</v>
      </c>
      <c r="Y34" s="327">
        <v>0</v>
      </c>
      <c r="AA34" s="326">
        <v>0</v>
      </c>
      <c r="AB34" s="327">
        <v>0</v>
      </c>
      <c r="AD34" s="326">
        <v>0</v>
      </c>
      <c r="AE34" s="327">
        <v>0</v>
      </c>
      <c r="AG34" s="326">
        <v>0</v>
      </c>
      <c r="AH34" s="327">
        <v>0</v>
      </c>
      <c r="AJ34" s="326">
        <v>0</v>
      </c>
      <c r="AK34" s="327">
        <v>0</v>
      </c>
      <c r="AM34" s="326">
        <v>0</v>
      </c>
      <c r="AN34" s="327">
        <v>0</v>
      </c>
    </row>
    <row r="35" spans="2:40" ht="14" x14ac:dyDescent="0.15">
      <c r="B35" s="5" t="s">
        <v>22</v>
      </c>
      <c r="C35" s="8">
        <v>0</v>
      </c>
      <c r="D35" s="7">
        <v>0</v>
      </c>
      <c r="F35" s="8">
        <v>0</v>
      </c>
      <c r="G35" s="7">
        <v>0</v>
      </c>
      <c r="I35" s="8">
        <v>0</v>
      </c>
      <c r="J35" s="7">
        <v>0</v>
      </c>
      <c r="L35" s="8">
        <v>0</v>
      </c>
      <c r="M35" s="7">
        <v>0</v>
      </c>
      <c r="O35" s="8">
        <v>0</v>
      </c>
      <c r="P35" s="7">
        <v>0</v>
      </c>
      <c r="R35" s="8">
        <v>0</v>
      </c>
      <c r="S35" s="7">
        <v>0</v>
      </c>
      <c r="U35" s="8">
        <v>0</v>
      </c>
      <c r="V35" s="7">
        <v>0</v>
      </c>
      <c r="X35" s="8">
        <v>0</v>
      </c>
      <c r="Y35" s="7">
        <v>0</v>
      </c>
      <c r="AA35" s="8">
        <v>0</v>
      </c>
      <c r="AB35" s="7">
        <v>0</v>
      </c>
      <c r="AD35" s="8">
        <v>0</v>
      </c>
      <c r="AE35" s="7">
        <v>0</v>
      </c>
      <c r="AG35" s="8">
        <v>0</v>
      </c>
      <c r="AH35" s="7">
        <v>0</v>
      </c>
      <c r="AJ35" s="8">
        <v>0</v>
      </c>
      <c r="AK35" s="7">
        <v>0</v>
      </c>
      <c r="AM35" s="8">
        <v>0</v>
      </c>
      <c r="AN35" s="7">
        <v>0</v>
      </c>
    </row>
    <row r="36" spans="2:40" ht="14" x14ac:dyDescent="0.15">
      <c r="B36" s="5" t="s">
        <v>40</v>
      </c>
      <c r="C36" s="8">
        <v>0</v>
      </c>
      <c r="D36" s="7">
        <v>0</v>
      </c>
      <c r="F36" s="8">
        <v>0</v>
      </c>
      <c r="G36" s="7">
        <v>0</v>
      </c>
      <c r="I36" s="8">
        <v>0</v>
      </c>
      <c r="J36" s="7">
        <v>0</v>
      </c>
      <c r="L36" s="8">
        <v>0</v>
      </c>
      <c r="M36" s="7">
        <v>0</v>
      </c>
      <c r="O36" s="8">
        <v>0</v>
      </c>
      <c r="P36" s="7">
        <v>0</v>
      </c>
      <c r="R36" s="8">
        <v>0</v>
      </c>
      <c r="S36" s="7">
        <v>0</v>
      </c>
      <c r="U36" s="8">
        <v>0</v>
      </c>
      <c r="V36" s="7">
        <v>0</v>
      </c>
      <c r="X36" s="8">
        <v>0</v>
      </c>
      <c r="Y36" s="7">
        <v>0</v>
      </c>
      <c r="AA36" s="8">
        <v>0</v>
      </c>
      <c r="AB36" s="7">
        <v>0</v>
      </c>
      <c r="AD36" s="8">
        <v>0</v>
      </c>
      <c r="AE36" s="7">
        <v>0</v>
      </c>
      <c r="AG36" s="8">
        <v>0</v>
      </c>
      <c r="AH36" s="7">
        <v>0</v>
      </c>
      <c r="AJ36" s="8">
        <v>0</v>
      </c>
      <c r="AK36" s="7">
        <v>0</v>
      </c>
      <c r="AM36" s="8">
        <v>0</v>
      </c>
      <c r="AN36" s="7">
        <v>0</v>
      </c>
    </row>
    <row r="37" spans="2:40" ht="14" x14ac:dyDescent="0.15">
      <c r="B37" s="325" t="s">
        <v>41</v>
      </c>
      <c r="C37" s="326">
        <v>0</v>
      </c>
      <c r="D37" s="327">
        <v>0</v>
      </c>
      <c r="F37" s="326">
        <v>0</v>
      </c>
      <c r="G37" s="327">
        <v>0</v>
      </c>
      <c r="I37" s="326">
        <v>0</v>
      </c>
      <c r="J37" s="327">
        <v>0</v>
      </c>
      <c r="L37" s="326">
        <v>0</v>
      </c>
      <c r="M37" s="327">
        <v>0</v>
      </c>
      <c r="O37" s="326">
        <v>0</v>
      </c>
      <c r="P37" s="327">
        <v>0</v>
      </c>
      <c r="R37" s="326">
        <v>0</v>
      </c>
      <c r="S37" s="327">
        <v>0</v>
      </c>
      <c r="U37" s="326">
        <v>0</v>
      </c>
      <c r="V37" s="327">
        <v>0</v>
      </c>
      <c r="X37" s="326">
        <v>0</v>
      </c>
      <c r="Y37" s="327">
        <v>0</v>
      </c>
      <c r="AA37" s="326">
        <v>0</v>
      </c>
      <c r="AB37" s="327">
        <v>0</v>
      </c>
      <c r="AD37" s="326">
        <v>0</v>
      </c>
      <c r="AE37" s="327">
        <v>0</v>
      </c>
      <c r="AG37" s="326">
        <v>0</v>
      </c>
      <c r="AH37" s="327">
        <v>0</v>
      </c>
      <c r="AJ37" s="326">
        <v>0</v>
      </c>
      <c r="AK37" s="327">
        <v>0</v>
      </c>
      <c r="AM37" s="326">
        <v>0</v>
      </c>
      <c r="AN37" s="327">
        <v>0</v>
      </c>
    </row>
    <row r="38" spans="2:40" x14ac:dyDescent="0.15">
      <c r="B38" s="8"/>
      <c r="C38" s="8"/>
      <c r="D38" s="8"/>
      <c r="F38" s="8"/>
      <c r="G38" s="8"/>
      <c r="I38" s="8"/>
      <c r="J38" s="8"/>
      <c r="L38" s="8"/>
      <c r="M38" s="8"/>
      <c r="O38" s="8"/>
      <c r="P38" s="8"/>
      <c r="R38" s="8"/>
      <c r="S38" s="8"/>
      <c r="U38" s="8"/>
      <c r="V38" s="8"/>
      <c r="X38" s="8"/>
      <c r="Y38" s="8"/>
      <c r="AA38" s="8"/>
      <c r="AB38" s="8"/>
      <c r="AD38" s="8"/>
      <c r="AE38" s="8"/>
      <c r="AG38" s="8"/>
      <c r="AH38" s="8"/>
      <c r="AJ38" s="8"/>
      <c r="AK38" s="8"/>
      <c r="AM38" s="8"/>
      <c r="AN38" s="8"/>
    </row>
    <row r="39" spans="2:40" ht="14" x14ac:dyDescent="0.15">
      <c r="B39" s="328" t="s">
        <v>42</v>
      </c>
      <c r="C39" s="329"/>
      <c r="D39" s="329"/>
      <c r="F39" s="329"/>
      <c r="G39" s="329"/>
      <c r="I39" s="329"/>
      <c r="J39" s="329"/>
      <c r="L39" s="329"/>
      <c r="M39" s="329"/>
      <c r="O39" s="329"/>
      <c r="P39" s="329"/>
      <c r="R39" s="329"/>
      <c r="S39" s="329"/>
      <c r="U39" s="329"/>
      <c r="V39" s="329"/>
      <c r="X39" s="329"/>
      <c r="Y39" s="329"/>
      <c r="AA39" s="329"/>
      <c r="AB39" s="329"/>
      <c r="AD39" s="329"/>
      <c r="AE39" s="329"/>
      <c r="AG39" s="329"/>
      <c r="AH39" s="329"/>
      <c r="AJ39" s="329"/>
      <c r="AK39" s="329"/>
      <c r="AM39" s="329"/>
      <c r="AN39" s="329"/>
    </row>
    <row r="40" spans="2:40" ht="14" x14ac:dyDescent="0.15">
      <c r="B40" s="5" t="s">
        <v>43</v>
      </c>
      <c r="C40" s="8">
        <v>0</v>
      </c>
      <c r="D40" s="7">
        <v>0</v>
      </c>
      <c r="F40" s="8">
        <v>0</v>
      </c>
      <c r="G40" s="7">
        <v>0</v>
      </c>
      <c r="I40" s="8">
        <v>0</v>
      </c>
      <c r="J40" s="7">
        <v>0</v>
      </c>
      <c r="L40" s="8">
        <v>0</v>
      </c>
      <c r="M40" s="7">
        <v>0</v>
      </c>
      <c r="O40" s="8">
        <v>0</v>
      </c>
      <c r="P40" s="7">
        <v>0</v>
      </c>
      <c r="R40" s="8">
        <v>0</v>
      </c>
      <c r="S40" s="7">
        <v>0</v>
      </c>
      <c r="U40" s="8">
        <v>0</v>
      </c>
      <c r="V40" s="7">
        <v>0</v>
      </c>
      <c r="X40" s="8">
        <v>0</v>
      </c>
      <c r="Y40" s="7">
        <v>0</v>
      </c>
      <c r="AA40" s="8">
        <v>0</v>
      </c>
      <c r="AB40" s="7">
        <v>0</v>
      </c>
      <c r="AD40" s="8">
        <v>0</v>
      </c>
      <c r="AE40" s="7">
        <v>0</v>
      </c>
      <c r="AG40" s="8">
        <v>0</v>
      </c>
      <c r="AH40" s="7">
        <v>0</v>
      </c>
      <c r="AJ40" s="8">
        <v>0</v>
      </c>
      <c r="AK40" s="7">
        <v>0</v>
      </c>
      <c r="AM40" s="8">
        <v>0</v>
      </c>
      <c r="AN40" s="7">
        <v>0</v>
      </c>
    </row>
    <row r="41" spans="2:40" ht="14" x14ac:dyDescent="0.15">
      <c r="B41" s="5" t="s">
        <v>44</v>
      </c>
      <c r="C41" s="8">
        <v>0</v>
      </c>
      <c r="D41" s="7">
        <v>0</v>
      </c>
      <c r="F41" s="8">
        <v>0</v>
      </c>
      <c r="G41" s="7">
        <v>0</v>
      </c>
      <c r="I41" s="8">
        <v>0</v>
      </c>
      <c r="J41" s="7">
        <v>0</v>
      </c>
      <c r="L41" s="8">
        <v>0</v>
      </c>
      <c r="M41" s="7">
        <v>0</v>
      </c>
      <c r="O41" s="8">
        <v>0</v>
      </c>
      <c r="P41" s="7">
        <v>0</v>
      </c>
      <c r="R41" s="8">
        <v>0</v>
      </c>
      <c r="S41" s="7">
        <v>0</v>
      </c>
      <c r="U41" s="8">
        <v>0</v>
      </c>
      <c r="V41" s="7">
        <v>0</v>
      </c>
      <c r="X41" s="8">
        <v>0</v>
      </c>
      <c r="Y41" s="7">
        <v>0</v>
      </c>
      <c r="AA41" s="8">
        <v>0</v>
      </c>
      <c r="AB41" s="7">
        <v>0</v>
      </c>
      <c r="AD41" s="8">
        <v>0</v>
      </c>
      <c r="AE41" s="7">
        <v>0</v>
      </c>
      <c r="AG41" s="8">
        <v>0</v>
      </c>
      <c r="AH41" s="7">
        <v>0</v>
      </c>
      <c r="AJ41" s="8">
        <v>0</v>
      </c>
      <c r="AK41" s="7">
        <v>0</v>
      </c>
      <c r="AM41" s="8">
        <v>0</v>
      </c>
      <c r="AN41" s="7">
        <v>0</v>
      </c>
    </row>
    <row r="42" spans="2:40" ht="14" x14ac:dyDescent="0.15">
      <c r="B42" s="5" t="s">
        <v>45</v>
      </c>
      <c r="C42" s="8">
        <v>0</v>
      </c>
      <c r="D42" s="7">
        <v>0</v>
      </c>
      <c r="F42" s="8">
        <v>0</v>
      </c>
      <c r="G42" s="7">
        <v>0</v>
      </c>
      <c r="I42" s="8">
        <v>0</v>
      </c>
      <c r="J42" s="7">
        <v>0</v>
      </c>
      <c r="L42" s="8">
        <v>0</v>
      </c>
      <c r="M42" s="7">
        <v>0</v>
      </c>
      <c r="O42" s="8">
        <v>0</v>
      </c>
      <c r="P42" s="7">
        <v>0</v>
      </c>
      <c r="R42" s="8">
        <v>0</v>
      </c>
      <c r="S42" s="7">
        <v>0</v>
      </c>
      <c r="U42" s="8">
        <v>0</v>
      </c>
      <c r="V42" s="7">
        <v>0</v>
      </c>
      <c r="X42" s="8">
        <v>0</v>
      </c>
      <c r="Y42" s="7">
        <v>0</v>
      </c>
      <c r="AA42" s="8">
        <v>0</v>
      </c>
      <c r="AB42" s="7">
        <v>0</v>
      </c>
      <c r="AD42" s="8">
        <v>0</v>
      </c>
      <c r="AE42" s="7">
        <v>0</v>
      </c>
      <c r="AG42" s="8">
        <v>0</v>
      </c>
      <c r="AH42" s="7">
        <v>0</v>
      </c>
      <c r="AJ42" s="8">
        <v>0</v>
      </c>
      <c r="AK42" s="7">
        <v>0</v>
      </c>
      <c r="AM42" s="8">
        <v>0</v>
      </c>
      <c r="AN42" s="7">
        <v>0</v>
      </c>
    </row>
    <row r="43" spans="2:40" ht="14" x14ac:dyDescent="0.15">
      <c r="B43" s="325" t="s">
        <v>36</v>
      </c>
      <c r="C43" s="326">
        <v>0</v>
      </c>
      <c r="D43" s="327">
        <v>0</v>
      </c>
      <c r="F43" s="326">
        <v>0</v>
      </c>
      <c r="G43" s="327">
        <v>0</v>
      </c>
      <c r="I43" s="326">
        <v>0</v>
      </c>
      <c r="J43" s="327">
        <v>0</v>
      </c>
      <c r="L43" s="326">
        <v>0</v>
      </c>
      <c r="M43" s="327">
        <v>0</v>
      </c>
      <c r="O43" s="326">
        <v>0</v>
      </c>
      <c r="P43" s="327">
        <v>0</v>
      </c>
      <c r="R43" s="326">
        <v>0</v>
      </c>
      <c r="S43" s="327">
        <v>0</v>
      </c>
      <c r="U43" s="326">
        <v>0</v>
      </c>
      <c r="V43" s="327">
        <v>0</v>
      </c>
      <c r="X43" s="326">
        <v>0</v>
      </c>
      <c r="Y43" s="327">
        <v>0</v>
      </c>
      <c r="AA43" s="326">
        <v>0</v>
      </c>
      <c r="AB43" s="327">
        <v>0</v>
      </c>
      <c r="AD43" s="326">
        <v>0</v>
      </c>
      <c r="AE43" s="327">
        <v>0</v>
      </c>
      <c r="AG43" s="326">
        <v>0</v>
      </c>
      <c r="AH43" s="327">
        <v>0</v>
      </c>
      <c r="AJ43" s="326">
        <v>0</v>
      </c>
      <c r="AK43" s="327">
        <v>0</v>
      </c>
      <c r="AM43" s="326">
        <v>0</v>
      </c>
      <c r="AN43" s="327">
        <v>0</v>
      </c>
    </row>
    <row r="44" spans="2:40" ht="14" x14ac:dyDescent="0.15">
      <c r="B44" s="5" t="s">
        <v>46</v>
      </c>
      <c r="C44" s="8">
        <v>0</v>
      </c>
      <c r="D44" s="7">
        <v>0</v>
      </c>
      <c r="F44" s="8">
        <v>0</v>
      </c>
      <c r="G44" s="7">
        <v>0</v>
      </c>
      <c r="I44" s="8">
        <v>0</v>
      </c>
      <c r="J44" s="7">
        <v>0</v>
      </c>
      <c r="L44" s="8">
        <v>0</v>
      </c>
      <c r="M44" s="7">
        <v>0</v>
      </c>
      <c r="O44" s="8">
        <v>0</v>
      </c>
      <c r="P44" s="7">
        <v>0</v>
      </c>
      <c r="R44" s="8">
        <v>0</v>
      </c>
      <c r="S44" s="7">
        <v>0</v>
      </c>
      <c r="U44" s="8">
        <v>0</v>
      </c>
      <c r="V44" s="7">
        <v>0</v>
      </c>
      <c r="X44" s="8">
        <v>0</v>
      </c>
      <c r="Y44" s="7">
        <v>0</v>
      </c>
      <c r="AA44" s="8">
        <v>0</v>
      </c>
      <c r="AB44" s="7">
        <v>0</v>
      </c>
      <c r="AD44" s="8">
        <v>0</v>
      </c>
      <c r="AE44" s="7">
        <v>0</v>
      </c>
      <c r="AG44" s="8">
        <v>0</v>
      </c>
      <c r="AH44" s="7">
        <v>0</v>
      </c>
      <c r="AJ44" s="8">
        <v>0</v>
      </c>
      <c r="AK44" s="7">
        <v>0</v>
      </c>
      <c r="AM44" s="8">
        <v>0</v>
      </c>
      <c r="AN44" s="7">
        <v>0</v>
      </c>
    </row>
    <row r="45" spans="2:40" ht="14" x14ac:dyDescent="0.15">
      <c r="B45" s="5" t="s">
        <v>47</v>
      </c>
      <c r="C45" s="8">
        <v>0</v>
      </c>
      <c r="D45" s="7">
        <v>0</v>
      </c>
      <c r="F45" s="8">
        <v>0</v>
      </c>
      <c r="G45" s="7">
        <v>0</v>
      </c>
      <c r="I45" s="8">
        <v>0</v>
      </c>
      <c r="J45" s="7">
        <v>0</v>
      </c>
      <c r="L45" s="8">
        <v>0</v>
      </c>
      <c r="M45" s="7">
        <v>0</v>
      </c>
      <c r="O45" s="8">
        <v>0</v>
      </c>
      <c r="P45" s="7">
        <v>0</v>
      </c>
      <c r="R45" s="8">
        <v>0</v>
      </c>
      <c r="S45" s="7">
        <v>0</v>
      </c>
      <c r="U45" s="8">
        <v>0</v>
      </c>
      <c r="V45" s="7">
        <v>0</v>
      </c>
      <c r="X45" s="8">
        <v>0</v>
      </c>
      <c r="Y45" s="7">
        <v>0</v>
      </c>
      <c r="AA45" s="8">
        <v>0</v>
      </c>
      <c r="AB45" s="7">
        <v>0</v>
      </c>
      <c r="AD45" s="8">
        <v>0</v>
      </c>
      <c r="AE45" s="7">
        <v>0</v>
      </c>
      <c r="AG45" s="8">
        <v>0</v>
      </c>
      <c r="AH45" s="7">
        <v>0</v>
      </c>
      <c r="AJ45" s="8">
        <v>0</v>
      </c>
      <c r="AK45" s="7">
        <v>0</v>
      </c>
      <c r="AM45" s="8">
        <v>0</v>
      </c>
      <c r="AN45" s="7">
        <v>0</v>
      </c>
    </row>
    <row r="46" spans="2:40" ht="14" x14ac:dyDescent="0.15">
      <c r="B46" s="5" t="s">
        <v>48</v>
      </c>
      <c r="C46" s="8">
        <v>0</v>
      </c>
      <c r="D46" s="7">
        <v>0</v>
      </c>
      <c r="F46" s="8">
        <v>0</v>
      </c>
      <c r="G46" s="7">
        <v>0</v>
      </c>
      <c r="I46" s="8">
        <v>0</v>
      </c>
      <c r="J46" s="7">
        <v>0</v>
      </c>
      <c r="L46" s="8">
        <v>0</v>
      </c>
      <c r="M46" s="7">
        <v>0</v>
      </c>
      <c r="O46" s="8">
        <v>0</v>
      </c>
      <c r="P46" s="7">
        <v>0</v>
      </c>
      <c r="R46" s="8">
        <v>0</v>
      </c>
      <c r="S46" s="7">
        <v>0</v>
      </c>
      <c r="U46" s="8">
        <v>0</v>
      </c>
      <c r="V46" s="7">
        <v>0</v>
      </c>
      <c r="X46" s="8">
        <v>0</v>
      </c>
      <c r="Y46" s="7">
        <v>0</v>
      </c>
      <c r="AA46" s="8">
        <v>0</v>
      </c>
      <c r="AB46" s="7">
        <v>0</v>
      </c>
      <c r="AD46" s="8">
        <v>0</v>
      </c>
      <c r="AE46" s="7">
        <v>0</v>
      </c>
      <c r="AG46" s="8">
        <v>0</v>
      </c>
      <c r="AH46" s="7">
        <v>0</v>
      </c>
      <c r="AJ46" s="8">
        <v>0</v>
      </c>
      <c r="AK46" s="7">
        <v>0</v>
      </c>
      <c r="AM46" s="8">
        <v>0</v>
      </c>
      <c r="AN46" s="7">
        <v>0</v>
      </c>
    </row>
    <row r="47" spans="2:40" ht="14" x14ac:dyDescent="0.15">
      <c r="B47" s="325" t="s">
        <v>49</v>
      </c>
      <c r="C47" s="326">
        <v>0</v>
      </c>
      <c r="D47" s="327">
        <v>0</v>
      </c>
      <c r="F47" s="326">
        <v>0</v>
      </c>
      <c r="G47" s="327">
        <v>0</v>
      </c>
      <c r="I47" s="326">
        <v>0</v>
      </c>
      <c r="J47" s="327">
        <v>0</v>
      </c>
      <c r="L47" s="326">
        <v>0</v>
      </c>
      <c r="M47" s="327">
        <v>0</v>
      </c>
      <c r="O47" s="326">
        <v>0</v>
      </c>
      <c r="P47" s="327">
        <v>0</v>
      </c>
      <c r="R47" s="326">
        <v>0</v>
      </c>
      <c r="S47" s="327">
        <v>0</v>
      </c>
      <c r="U47" s="326">
        <v>0</v>
      </c>
      <c r="V47" s="327">
        <v>0</v>
      </c>
      <c r="X47" s="326">
        <v>0</v>
      </c>
      <c r="Y47" s="327">
        <v>0</v>
      </c>
      <c r="AA47" s="326">
        <v>0</v>
      </c>
      <c r="AB47" s="327">
        <v>0</v>
      </c>
      <c r="AD47" s="326">
        <v>0</v>
      </c>
      <c r="AE47" s="327">
        <v>0</v>
      </c>
      <c r="AG47" s="326">
        <v>0</v>
      </c>
      <c r="AH47" s="327">
        <v>0</v>
      </c>
      <c r="AJ47" s="326">
        <v>0</v>
      </c>
      <c r="AK47" s="327">
        <v>0</v>
      </c>
      <c r="AM47" s="326">
        <v>0</v>
      </c>
      <c r="AN47" s="327">
        <v>0</v>
      </c>
    </row>
    <row r="48" spans="2:40" ht="14" x14ac:dyDescent="0.15">
      <c r="B48" s="5" t="s">
        <v>22</v>
      </c>
      <c r="C48" s="8">
        <v>0</v>
      </c>
      <c r="D48" s="7">
        <v>0</v>
      </c>
      <c r="F48" s="8">
        <v>0</v>
      </c>
      <c r="G48" s="7">
        <v>0</v>
      </c>
      <c r="I48" s="8">
        <v>0</v>
      </c>
      <c r="J48" s="7">
        <v>0</v>
      </c>
      <c r="L48" s="8">
        <v>0</v>
      </c>
      <c r="M48" s="7">
        <v>0</v>
      </c>
      <c r="O48" s="8">
        <v>0</v>
      </c>
      <c r="P48" s="7">
        <v>0</v>
      </c>
      <c r="R48" s="8">
        <v>0</v>
      </c>
      <c r="S48" s="7">
        <v>0</v>
      </c>
      <c r="U48" s="8">
        <v>0</v>
      </c>
      <c r="V48" s="7">
        <v>0</v>
      </c>
      <c r="X48" s="8">
        <v>0</v>
      </c>
      <c r="Y48" s="7">
        <v>0</v>
      </c>
      <c r="AA48" s="8">
        <v>0</v>
      </c>
      <c r="AB48" s="7">
        <v>0</v>
      </c>
      <c r="AD48" s="8">
        <v>0</v>
      </c>
      <c r="AE48" s="7">
        <v>0</v>
      </c>
      <c r="AG48" s="8">
        <v>0</v>
      </c>
      <c r="AH48" s="7">
        <v>0</v>
      </c>
      <c r="AJ48" s="8">
        <v>0</v>
      </c>
      <c r="AK48" s="7">
        <v>0</v>
      </c>
      <c r="AM48" s="8">
        <v>0</v>
      </c>
      <c r="AN48" s="7">
        <v>0</v>
      </c>
    </row>
    <row r="49" spans="2:40" ht="14" x14ac:dyDescent="0.15">
      <c r="B49" s="5" t="s">
        <v>40</v>
      </c>
      <c r="C49" s="8">
        <v>0</v>
      </c>
      <c r="D49" s="7">
        <v>0</v>
      </c>
      <c r="F49" s="8">
        <v>0</v>
      </c>
      <c r="G49" s="7">
        <v>0</v>
      </c>
      <c r="I49" s="8">
        <v>0</v>
      </c>
      <c r="J49" s="7">
        <v>0</v>
      </c>
      <c r="L49" s="8">
        <v>0</v>
      </c>
      <c r="M49" s="7">
        <v>0</v>
      </c>
      <c r="O49" s="8">
        <v>0</v>
      </c>
      <c r="P49" s="7">
        <v>0</v>
      </c>
      <c r="R49" s="8">
        <v>0</v>
      </c>
      <c r="S49" s="7">
        <v>0</v>
      </c>
      <c r="U49" s="8">
        <v>0</v>
      </c>
      <c r="V49" s="7">
        <v>0</v>
      </c>
      <c r="X49" s="8">
        <v>0</v>
      </c>
      <c r="Y49" s="7">
        <v>0</v>
      </c>
      <c r="AA49" s="8">
        <v>0</v>
      </c>
      <c r="AB49" s="7">
        <v>0</v>
      </c>
      <c r="AD49" s="8">
        <v>0</v>
      </c>
      <c r="AE49" s="7">
        <v>0</v>
      </c>
      <c r="AG49" s="8">
        <v>0</v>
      </c>
      <c r="AH49" s="7">
        <v>0</v>
      </c>
      <c r="AJ49" s="8">
        <v>0</v>
      </c>
      <c r="AK49" s="7">
        <v>0</v>
      </c>
      <c r="AM49" s="8">
        <v>0</v>
      </c>
      <c r="AN49" s="7">
        <v>0</v>
      </c>
    </row>
    <row r="50" spans="2:40" ht="14" x14ac:dyDescent="0.15">
      <c r="B50" s="325" t="s">
        <v>41</v>
      </c>
      <c r="C50" s="326">
        <v>0</v>
      </c>
      <c r="D50" s="327">
        <v>0</v>
      </c>
      <c r="F50" s="326">
        <v>0</v>
      </c>
      <c r="G50" s="327">
        <v>0</v>
      </c>
      <c r="I50" s="326">
        <v>0</v>
      </c>
      <c r="J50" s="327">
        <v>0</v>
      </c>
      <c r="L50" s="326">
        <v>0</v>
      </c>
      <c r="M50" s="327">
        <v>0</v>
      </c>
      <c r="O50" s="326">
        <v>0</v>
      </c>
      <c r="P50" s="327">
        <v>0</v>
      </c>
      <c r="R50" s="326">
        <v>0</v>
      </c>
      <c r="S50" s="327">
        <v>0</v>
      </c>
      <c r="U50" s="326">
        <v>0</v>
      </c>
      <c r="V50" s="327">
        <v>0</v>
      </c>
      <c r="X50" s="326">
        <v>0</v>
      </c>
      <c r="Y50" s="327">
        <v>0</v>
      </c>
      <c r="AA50" s="326">
        <v>0</v>
      </c>
      <c r="AB50" s="327">
        <v>0</v>
      </c>
      <c r="AD50" s="326">
        <v>0</v>
      </c>
      <c r="AE50" s="327">
        <v>0</v>
      </c>
      <c r="AG50" s="326">
        <v>0</v>
      </c>
      <c r="AH50" s="327">
        <v>0</v>
      </c>
      <c r="AJ50" s="326">
        <v>0</v>
      </c>
      <c r="AK50" s="327">
        <v>0</v>
      </c>
      <c r="AM50" s="326">
        <v>0</v>
      </c>
      <c r="AN50" s="327">
        <v>0</v>
      </c>
    </row>
    <row r="51" spans="2:40" x14ac:dyDescent="0.15">
      <c r="B51" s="8"/>
      <c r="C51" s="8"/>
      <c r="D51" s="8"/>
      <c r="F51" s="8"/>
      <c r="G51" s="8"/>
      <c r="I51" s="8"/>
      <c r="J51" s="8"/>
      <c r="L51" s="8"/>
      <c r="M51" s="8"/>
      <c r="O51" s="8"/>
      <c r="P51" s="8"/>
      <c r="R51" s="8"/>
      <c r="S51" s="8"/>
      <c r="U51" s="8"/>
      <c r="V51" s="8"/>
      <c r="X51" s="8"/>
      <c r="Y51" s="8"/>
      <c r="AA51" s="8"/>
      <c r="AB51" s="8"/>
      <c r="AD51" s="8"/>
      <c r="AE51" s="8"/>
      <c r="AG51" s="8"/>
      <c r="AH51" s="8"/>
      <c r="AJ51" s="8"/>
      <c r="AK51" s="8"/>
      <c r="AM51" s="8"/>
      <c r="AN51" s="8"/>
    </row>
    <row r="52" spans="2:40" ht="14" x14ac:dyDescent="0.15">
      <c r="B52" s="328" t="s">
        <v>50</v>
      </c>
      <c r="C52" s="329"/>
      <c r="D52" s="329"/>
      <c r="F52" s="329"/>
      <c r="G52" s="329"/>
      <c r="I52" s="329"/>
      <c r="J52" s="329"/>
      <c r="L52" s="329"/>
      <c r="M52" s="329"/>
      <c r="O52" s="329"/>
      <c r="P52" s="329"/>
      <c r="R52" s="329"/>
      <c r="S52" s="329"/>
      <c r="U52" s="329"/>
      <c r="V52" s="329"/>
      <c r="X52" s="329"/>
      <c r="Y52" s="329"/>
      <c r="AA52" s="329"/>
      <c r="AB52" s="329"/>
      <c r="AD52" s="329"/>
      <c r="AE52" s="329"/>
      <c r="AG52" s="329"/>
      <c r="AH52" s="329"/>
      <c r="AJ52" s="329"/>
      <c r="AK52" s="329"/>
      <c r="AM52" s="329"/>
      <c r="AN52" s="329"/>
    </row>
    <row r="53" spans="2:40" ht="14" x14ac:dyDescent="0.15">
      <c r="B53" s="5" t="s">
        <v>37</v>
      </c>
      <c r="C53" s="8">
        <v>0</v>
      </c>
      <c r="D53" s="7">
        <v>0</v>
      </c>
      <c r="F53" s="8">
        <v>0</v>
      </c>
      <c r="G53" s="7">
        <v>0</v>
      </c>
      <c r="I53" s="8">
        <v>0</v>
      </c>
      <c r="J53" s="7">
        <v>0</v>
      </c>
      <c r="L53" s="8">
        <v>0</v>
      </c>
      <c r="M53" s="7">
        <v>0</v>
      </c>
      <c r="O53" s="8">
        <v>0</v>
      </c>
      <c r="P53" s="7">
        <v>0</v>
      </c>
      <c r="R53" s="8">
        <v>0</v>
      </c>
      <c r="S53" s="7">
        <v>0</v>
      </c>
      <c r="U53" s="8">
        <v>0</v>
      </c>
      <c r="V53" s="7">
        <v>0</v>
      </c>
      <c r="X53" s="8">
        <v>0</v>
      </c>
      <c r="Y53" s="7">
        <v>0</v>
      </c>
      <c r="AA53" s="8">
        <v>0</v>
      </c>
      <c r="AB53" s="7">
        <v>0</v>
      </c>
      <c r="AD53" s="8">
        <v>0</v>
      </c>
      <c r="AE53" s="7">
        <v>0</v>
      </c>
      <c r="AG53" s="8">
        <v>0</v>
      </c>
      <c r="AH53" s="7">
        <v>0</v>
      </c>
      <c r="AJ53" s="8">
        <v>0</v>
      </c>
      <c r="AK53" s="7">
        <v>0</v>
      </c>
      <c r="AM53" s="8">
        <v>0</v>
      </c>
      <c r="AN53" s="7">
        <v>0</v>
      </c>
    </row>
    <row r="54" spans="2:40" ht="14" x14ac:dyDescent="0.15">
      <c r="B54" s="5" t="s">
        <v>49</v>
      </c>
      <c r="C54" s="8">
        <v>0</v>
      </c>
      <c r="D54" s="7">
        <v>0</v>
      </c>
      <c r="F54" s="8">
        <v>0</v>
      </c>
      <c r="G54" s="7">
        <v>0</v>
      </c>
      <c r="I54" s="8">
        <v>0</v>
      </c>
      <c r="J54" s="7">
        <v>0</v>
      </c>
      <c r="L54" s="8">
        <v>0</v>
      </c>
      <c r="M54" s="7">
        <v>0</v>
      </c>
      <c r="O54" s="8">
        <v>0</v>
      </c>
      <c r="P54" s="7">
        <v>0</v>
      </c>
      <c r="R54" s="8">
        <v>0</v>
      </c>
      <c r="S54" s="7">
        <v>0</v>
      </c>
      <c r="U54" s="8">
        <v>0</v>
      </c>
      <c r="V54" s="7">
        <v>0</v>
      </c>
      <c r="X54" s="8">
        <v>0</v>
      </c>
      <c r="Y54" s="7">
        <v>0</v>
      </c>
      <c r="AA54" s="8">
        <v>0</v>
      </c>
      <c r="AB54" s="7">
        <v>0</v>
      </c>
      <c r="AD54" s="8">
        <v>0</v>
      </c>
      <c r="AE54" s="7">
        <v>0</v>
      </c>
      <c r="AG54" s="8">
        <v>0</v>
      </c>
      <c r="AH54" s="7">
        <v>0</v>
      </c>
      <c r="AJ54" s="8">
        <v>0</v>
      </c>
      <c r="AK54" s="7">
        <v>0</v>
      </c>
      <c r="AM54" s="8">
        <v>0</v>
      </c>
      <c r="AN54" s="7">
        <v>0</v>
      </c>
    </row>
    <row r="55" spans="2:40" ht="14" x14ac:dyDescent="0.15">
      <c r="B55" s="5" t="s">
        <v>22</v>
      </c>
      <c r="C55" s="8">
        <v>0</v>
      </c>
      <c r="D55" s="7">
        <v>0</v>
      </c>
      <c r="F55" s="8">
        <v>0</v>
      </c>
      <c r="G55" s="7">
        <v>0</v>
      </c>
      <c r="I55" s="8">
        <v>0</v>
      </c>
      <c r="J55" s="7">
        <v>0</v>
      </c>
      <c r="L55" s="8">
        <v>0</v>
      </c>
      <c r="M55" s="7">
        <v>0</v>
      </c>
      <c r="O55" s="8">
        <v>0</v>
      </c>
      <c r="P55" s="7">
        <v>0</v>
      </c>
      <c r="R55" s="8">
        <v>0</v>
      </c>
      <c r="S55" s="7">
        <v>0</v>
      </c>
      <c r="U55" s="8">
        <v>0</v>
      </c>
      <c r="V55" s="7">
        <v>0</v>
      </c>
      <c r="X55" s="8">
        <v>0</v>
      </c>
      <c r="Y55" s="7">
        <v>0</v>
      </c>
      <c r="AA55" s="8">
        <v>0</v>
      </c>
      <c r="AB55" s="7">
        <v>0</v>
      </c>
      <c r="AD55" s="8">
        <v>0</v>
      </c>
      <c r="AE55" s="7">
        <v>0</v>
      </c>
      <c r="AG55" s="8">
        <v>0</v>
      </c>
      <c r="AH55" s="7">
        <v>0</v>
      </c>
      <c r="AJ55" s="8">
        <v>0</v>
      </c>
      <c r="AK55" s="7">
        <v>0</v>
      </c>
      <c r="AM55" s="8">
        <v>0</v>
      </c>
      <c r="AN55" s="7">
        <v>0</v>
      </c>
    </row>
    <row r="56" spans="2:40" ht="14" x14ac:dyDescent="0.15">
      <c r="B56" s="5" t="s">
        <v>40</v>
      </c>
      <c r="C56" s="8">
        <v>0</v>
      </c>
      <c r="D56" s="7">
        <v>0</v>
      </c>
      <c r="F56" s="8">
        <v>0</v>
      </c>
      <c r="G56" s="7">
        <v>0</v>
      </c>
      <c r="I56" s="8">
        <v>0</v>
      </c>
      <c r="J56" s="7">
        <v>0</v>
      </c>
      <c r="L56" s="8">
        <v>0</v>
      </c>
      <c r="M56" s="7">
        <v>0</v>
      </c>
      <c r="O56" s="8">
        <v>0</v>
      </c>
      <c r="P56" s="7">
        <v>0</v>
      </c>
      <c r="R56" s="8">
        <v>0</v>
      </c>
      <c r="S56" s="7">
        <v>0</v>
      </c>
      <c r="U56" s="8">
        <v>0</v>
      </c>
      <c r="V56" s="7">
        <v>0</v>
      </c>
      <c r="X56" s="8">
        <v>0</v>
      </c>
      <c r="Y56" s="7">
        <v>0</v>
      </c>
      <c r="AA56" s="8">
        <v>0</v>
      </c>
      <c r="AB56" s="7">
        <v>0</v>
      </c>
      <c r="AD56" s="8">
        <v>0</v>
      </c>
      <c r="AE56" s="7">
        <v>0</v>
      </c>
      <c r="AG56" s="8">
        <v>0</v>
      </c>
      <c r="AH56" s="7">
        <v>0</v>
      </c>
      <c r="AJ56" s="8">
        <v>0</v>
      </c>
      <c r="AK56" s="7">
        <v>0</v>
      </c>
      <c r="AM56" s="8">
        <v>0</v>
      </c>
      <c r="AN56" s="7">
        <v>0</v>
      </c>
    </row>
    <row r="57" spans="2:40" ht="14" x14ac:dyDescent="0.15">
      <c r="B57" s="325" t="s">
        <v>41</v>
      </c>
      <c r="C57" s="326">
        <v>0</v>
      </c>
      <c r="D57" s="327">
        <v>0</v>
      </c>
      <c r="F57" s="326">
        <v>0</v>
      </c>
      <c r="G57" s="327">
        <v>0</v>
      </c>
      <c r="I57" s="326">
        <v>0</v>
      </c>
      <c r="J57" s="327">
        <v>0</v>
      </c>
      <c r="L57" s="326">
        <v>0</v>
      </c>
      <c r="M57" s="327">
        <v>0</v>
      </c>
      <c r="O57" s="326">
        <v>0</v>
      </c>
      <c r="P57" s="327">
        <v>0</v>
      </c>
      <c r="R57" s="326">
        <v>0</v>
      </c>
      <c r="S57" s="327">
        <v>0</v>
      </c>
      <c r="U57" s="326">
        <v>0</v>
      </c>
      <c r="V57" s="327">
        <v>0</v>
      </c>
      <c r="X57" s="326">
        <v>0</v>
      </c>
      <c r="Y57" s="327">
        <v>0</v>
      </c>
      <c r="AA57" s="326">
        <v>0</v>
      </c>
      <c r="AB57" s="327">
        <v>0</v>
      </c>
      <c r="AD57" s="326">
        <v>0</v>
      </c>
      <c r="AE57" s="327">
        <v>0</v>
      </c>
      <c r="AG57" s="326">
        <v>0</v>
      </c>
      <c r="AH57" s="327">
        <v>0</v>
      </c>
      <c r="AJ57" s="326">
        <v>0</v>
      </c>
      <c r="AK57" s="327">
        <v>0</v>
      </c>
      <c r="AM57" s="326">
        <v>0</v>
      </c>
      <c r="AN57" s="327">
        <v>0</v>
      </c>
    </row>
    <row r="58" spans="2:40" x14ac:dyDescent="0.15">
      <c r="B58" s="8"/>
      <c r="C58" s="8"/>
      <c r="D58" s="8"/>
      <c r="F58" s="8"/>
      <c r="G58" s="8"/>
      <c r="I58" s="8"/>
      <c r="J58" s="8"/>
      <c r="L58" s="8"/>
      <c r="M58" s="8"/>
      <c r="O58" s="8"/>
      <c r="P58" s="8"/>
      <c r="R58" s="8"/>
      <c r="S58" s="8"/>
      <c r="U58" s="8"/>
      <c r="V58" s="8"/>
      <c r="X58" s="8"/>
      <c r="Y58" s="8"/>
      <c r="AA58" s="8"/>
      <c r="AB58" s="8"/>
      <c r="AD58" s="8"/>
      <c r="AE58" s="8"/>
      <c r="AG58" s="8"/>
      <c r="AH58" s="8"/>
      <c r="AJ58" s="8"/>
      <c r="AK58" s="8"/>
      <c r="AM58" s="8"/>
      <c r="AN58" s="8"/>
    </row>
    <row r="59" spans="2:40" ht="14" x14ac:dyDescent="0.15">
      <c r="B59" s="328" t="s">
        <v>38</v>
      </c>
      <c r="C59" s="329"/>
      <c r="D59" s="329"/>
      <c r="F59" s="329"/>
      <c r="G59" s="329"/>
      <c r="I59" s="329"/>
      <c r="J59" s="329"/>
      <c r="L59" s="329"/>
      <c r="M59" s="329"/>
      <c r="O59" s="329"/>
      <c r="P59" s="329"/>
      <c r="R59" s="329"/>
      <c r="S59" s="329"/>
      <c r="U59" s="329"/>
      <c r="V59" s="329"/>
      <c r="X59" s="329"/>
      <c r="Y59" s="329"/>
      <c r="AA59" s="329"/>
      <c r="AB59" s="329"/>
      <c r="AD59" s="329"/>
      <c r="AE59" s="329"/>
      <c r="AG59" s="329"/>
      <c r="AH59" s="329"/>
      <c r="AJ59" s="329"/>
      <c r="AK59" s="329"/>
      <c r="AM59" s="329"/>
      <c r="AN59" s="329"/>
    </row>
    <row r="60" spans="2:40" ht="14" x14ac:dyDescent="0.15">
      <c r="B60" s="325" t="s">
        <v>38</v>
      </c>
      <c r="C60" s="326">
        <v>0</v>
      </c>
      <c r="D60" s="327">
        <v>0</v>
      </c>
      <c r="F60" s="326">
        <v>0</v>
      </c>
      <c r="G60" s="327">
        <v>0</v>
      </c>
      <c r="I60" s="326">
        <v>0</v>
      </c>
      <c r="J60" s="327">
        <v>0</v>
      </c>
      <c r="L60" s="326">
        <v>0</v>
      </c>
      <c r="M60" s="327">
        <v>0</v>
      </c>
      <c r="O60" s="326">
        <v>0</v>
      </c>
      <c r="P60" s="327">
        <v>0</v>
      </c>
      <c r="R60" s="326">
        <v>0</v>
      </c>
      <c r="S60" s="327">
        <v>0</v>
      </c>
      <c r="U60" s="326">
        <v>0</v>
      </c>
      <c r="V60" s="327">
        <v>0</v>
      </c>
      <c r="X60" s="326">
        <v>0</v>
      </c>
      <c r="Y60" s="327">
        <v>0</v>
      </c>
      <c r="AA60" s="326">
        <v>0</v>
      </c>
      <c r="AB60" s="327">
        <v>0</v>
      </c>
      <c r="AD60" s="326">
        <v>0</v>
      </c>
      <c r="AE60" s="327">
        <v>0</v>
      </c>
      <c r="AG60" s="326">
        <v>0</v>
      </c>
      <c r="AH60" s="327">
        <v>0</v>
      </c>
      <c r="AJ60" s="326">
        <v>0</v>
      </c>
      <c r="AK60" s="327">
        <v>0</v>
      </c>
      <c r="AM60" s="326">
        <v>0</v>
      </c>
      <c r="AN60" s="327">
        <v>0</v>
      </c>
    </row>
    <row r="61" spans="2:40" x14ac:dyDescent="0.15">
      <c r="B61" s="8"/>
      <c r="C61" s="8"/>
      <c r="D61" s="8"/>
      <c r="F61" s="8"/>
      <c r="G61" s="8"/>
      <c r="I61" s="8"/>
      <c r="J61" s="8"/>
      <c r="L61" s="8"/>
      <c r="M61" s="8"/>
      <c r="O61" s="8"/>
      <c r="P61" s="8"/>
      <c r="R61" s="8"/>
      <c r="S61" s="8"/>
      <c r="U61" s="8"/>
      <c r="V61" s="8"/>
      <c r="X61" s="8"/>
      <c r="Y61" s="8"/>
      <c r="AA61" s="8"/>
      <c r="AB61" s="8"/>
      <c r="AD61" s="8"/>
      <c r="AE61" s="8"/>
      <c r="AG61" s="8"/>
      <c r="AH61" s="8"/>
      <c r="AJ61" s="8"/>
      <c r="AK61" s="8"/>
      <c r="AM61" s="8"/>
      <c r="AN61" s="8"/>
    </row>
    <row r="62" spans="2:40" ht="14" x14ac:dyDescent="0.15">
      <c r="B62" s="328" t="s">
        <v>51</v>
      </c>
      <c r="C62" s="329"/>
      <c r="D62" s="329"/>
      <c r="F62" s="329"/>
      <c r="G62" s="329"/>
      <c r="I62" s="329"/>
      <c r="J62" s="329"/>
      <c r="L62" s="329"/>
      <c r="M62" s="329"/>
      <c r="O62" s="329"/>
      <c r="P62" s="329"/>
      <c r="R62" s="329"/>
      <c r="S62" s="329"/>
      <c r="U62" s="329"/>
      <c r="V62" s="329"/>
      <c r="X62" s="329"/>
      <c r="Y62" s="329"/>
      <c r="AA62" s="329"/>
      <c r="AB62" s="329"/>
      <c r="AD62" s="329"/>
      <c r="AE62" s="329"/>
      <c r="AG62" s="329"/>
      <c r="AH62" s="329"/>
      <c r="AJ62" s="329"/>
      <c r="AK62" s="329"/>
      <c r="AM62" s="329"/>
      <c r="AN62" s="329"/>
    </row>
    <row r="63" spans="2:40" ht="14" x14ac:dyDescent="0.15">
      <c r="B63" s="325" t="s">
        <v>52</v>
      </c>
      <c r="C63" s="326">
        <v>7832.25</v>
      </c>
      <c r="D63" s="327">
        <v>5.1338000000000002E-4</v>
      </c>
      <c r="F63" s="326">
        <v>0</v>
      </c>
      <c r="G63" s="327">
        <v>0</v>
      </c>
      <c r="I63" s="326">
        <v>0</v>
      </c>
      <c r="J63" s="327">
        <v>0</v>
      </c>
      <c r="L63" s="326">
        <v>0</v>
      </c>
      <c r="M63" s="327">
        <v>0</v>
      </c>
      <c r="O63" s="326">
        <v>0</v>
      </c>
      <c r="P63" s="327">
        <v>0</v>
      </c>
      <c r="R63" s="326">
        <v>7832.25</v>
      </c>
      <c r="S63" s="327">
        <v>5.0943500000000001E-3</v>
      </c>
      <c r="U63" s="326">
        <v>0</v>
      </c>
      <c r="V63" s="327">
        <v>0</v>
      </c>
      <c r="X63" s="326">
        <v>0</v>
      </c>
      <c r="Y63" s="327">
        <v>0</v>
      </c>
      <c r="AA63" s="326">
        <v>0</v>
      </c>
      <c r="AB63" s="327">
        <v>0</v>
      </c>
      <c r="AD63" s="326">
        <v>0</v>
      </c>
      <c r="AE63" s="327">
        <v>0</v>
      </c>
      <c r="AG63" s="326">
        <v>0</v>
      </c>
      <c r="AH63" s="327">
        <v>0</v>
      </c>
      <c r="AJ63" s="326">
        <v>0</v>
      </c>
      <c r="AK63" s="327">
        <v>0</v>
      </c>
      <c r="AM63" s="326">
        <v>0</v>
      </c>
      <c r="AN63" s="327">
        <v>0</v>
      </c>
    </row>
    <row r="64" spans="2:40" x14ac:dyDescent="0.15">
      <c r="B64" s="8"/>
      <c r="C64" s="8"/>
      <c r="D64" s="8"/>
      <c r="F64" s="8"/>
      <c r="G64" s="8"/>
      <c r="I64" s="8"/>
      <c r="J64" s="8"/>
      <c r="L64" s="8"/>
      <c r="M64" s="8"/>
      <c r="O64" s="8"/>
      <c r="P64" s="8"/>
      <c r="R64" s="8"/>
      <c r="S64" s="8"/>
      <c r="U64" s="8"/>
      <c r="V64" s="8"/>
      <c r="X64" s="8"/>
      <c r="Y64" s="8"/>
      <c r="AA64" s="8"/>
      <c r="AB64" s="8"/>
      <c r="AD64" s="8"/>
      <c r="AE64" s="8"/>
      <c r="AG64" s="8"/>
      <c r="AH64" s="8"/>
      <c r="AJ64" s="8"/>
      <c r="AK64" s="8"/>
      <c r="AM64" s="8"/>
      <c r="AN64" s="8"/>
    </row>
    <row r="65" spans="2:40" ht="14" x14ac:dyDescent="0.15">
      <c r="B65" s="328" t="s">
        <v>53</v>
      </c>
      <c r="C65" s="329"/>
      <c r="D65" s="329"/>
      <c r="F65" s="329"/>
      <c r="G65" s="329"/>
      <c r="I65" s="329"/>
      <c r="J65" s="329"/>
      <c r="L65" s="329"/>
      <c r="M65" s="329"/>
      <c r="O65" s="329"/>
      <c r="P65" s="329"/>
      <c r="R65" s="329"/>
      <c r="S65" s="329"/>
      <c r="U65" s="329"/>
      <c r="V65" s="329"/>
      <c r="X65" s="329"/>
      <c r="Y65" s="329"/>
      <c r="AA65" s="329"/>
      <c r="AB65" s="329"/>
      <c r="AD65" s="329"/>
      <c r="AE65" s="329"/>
      <c r="AG65" s="329"/>
      <c r="AH65" s="329"/>
      <c r="AJ65" s="329"/>
      <c r="AK65" s="329"/>
      <c r="AM65" s="329"/>
      <c r="AN65" s="329"/>
    </row>
    <row r="66" spans="2:40" ht="14" x14ac:dyDescent="0.15">
      <c r="B66" s="5" t="s">
        <v>22</v>
      </c>
      <c r="C66" s="8">
        <v>3996062.0337999999</v>
      </c>
      <c r="D66" s="7">
        <v>0.26192977000000001</v>
      </c>
      <c r="F66" s="8">
        <v>242582.04</v>
      </c>
      <c r="G66" s="7">
        <v>0.43897157999999997</v>
      </c>
      <c r="I66" s="8">
        <v>285309.5</v>
      </c>
      <c r="J66" s="7">
        <v>0.53975876999999994</v>
      </c>
      <c r="L66" s="8">
        <v>323027.63</v>
      </c>
      <c r="M66" s="7">
        <v>0.30173059000000002</v>
      </c>
      <c r="O66" s="8">
        <v>298667.28999999998</v>
      </c>
      <c r="P66" s="7">
        <v>0.48924300999999998</v>
      </c>
      <c r="R66" s="8">
        <v>384091.77</v>
      </c>
      <c r="S66" s="7">
        <v>0.24982571000000001</v>
      </c>
      <c r="U66" s="8">
        <v>279854.84000000003</v>
      </c>
      <c r="V66" s="7">
        <v>0.27652390999999998</v>
      </c>
      <c r="X66" s="8">
        <v>363754.8273</v>
      </c>
      <c r="Y66" s="7">
        <v>0.18898730999999999</v>
      </c>
      <c r="AA66" s="8">
        <v>363754.8273</v>
      </c>
      <c r="AB66" s="7">
        <v>0.18729872</v>
      </c>
      <c r="AD66" s="8">
        <v>363754.8273</v>
      </c>
      <c r="AE66" s="7">
        <v>0.19135764</v>
      </c>
      <c r="AG66" s="8">
        <v>363754.8273</v>
      </c>
      <c r="AH66" s="7">
        <v>0.23302513</v>
      </c>
      <c r="AJ66" s="8">
        <v>363754.8273</v>
      </c>
      <c r="AK66" s="7">
        <v>0.31337453999999998</v>
      </c>
      <c r="AM66" s="8">
        <v>363754.8273</v>
      </c>
      <c r="AN66" s="7">
        <v>0.25001461000000003</v>
      </c>
    </row>
    <row r="67" spans="2:40" ht="14" x14ac:dyDescent="0.15">
      <c r="B67" s="5" t="s">
        <v>40</v>
      </c>
      <c r="C67" s="8">
        <v>4388163.3499999996</v>
      </c>
      <c r="D67" s="7">
        <v>0.28763083</v>
      </c>
      <c r="F67" s="8">
        <v>78569.440000000002</v>
      </c>
      <c r="G67" s="7">
        <v>0.14217768</v>
      </c>
      <c r="I67" s="8">
        <v>345850.77</v>
      </c>
      <c r="J67" s="7">
        <v>0.65429292000000006</v>
      </c>
      <c r="L67" s="8">
        <v>1337848.7</v>
      </c>
      <c r="M67" s="7">
        <v>1.24964505</v>
      </c>
      <c r="O67" s="8">
        <v>193671.69</v>
      </c>
      <c r="P67" s="7">
        <v>0.31725108000000002</v>
      </c>
      <c r="R67" s="8">
        <v>282454.78999999998</v>
      </c>
      <c r="S67" s="7">
        <v>0.18371773</v>
      </c>
      <c r="U67" s="8">
        <v>270654.96000000002</v>
      </c>
      <c r="V67" s="7">
        <v>0.26743352999999997</v>
      </c>
      <c r="X67" s="8">
        <v>219155.5</v>
      </c>
      <c r="Y67" s="7">
        <v>0.11386133</v>
      </c>
      <c r="AA67" s="8">
        <v>204743.5</v>
      </c>
      <c r="AB67" s="7">
        <v>0.10542319</v>
      </c>
      <c r="AD67" s="8">
        <v>317668.5</v>
      </c>
      <c r="AE67" s="7">
        <v>0.16711337000000001</v>
      </c>
      <c r="AG67" s="8">
        <v>215583.5</v>
      </c>
      <c r="AH67" s="7">
        <v>0.13810504000000001</v>
      </c>
      <c r="AJ67" s="8">
        <v>252423.5</v>
      </c>
      <c r="AK67" s="7">
        <v>0.21746267999999999</v>
      </c>
      <c r="AM67" s="8">
        <v>669538.5</v>
      </c>
      <c r="AN67" s="7">
        <v>0.4601847</v>
      </c>
    </row>
    <row r="68" spans="2:40" ht="14" x14ac:dyDescent="0.15">
      <c r="B68" s="325" t="s">
        <v>41</v>
      </c>
      <c r="C68" s="326">
        <v>-8384225.3838</v>
      </c>
      <c r="D68" s="327">
        <v>-0.54956059999999995</v>
      </c>
      <c r="F68" s="326">
        <v>-321151.48</v>
      </c>
      <c r="G68" s="327">
        <v>-0.58114926</v>
      </c>
      <c r="I68" s="326">
        <v>-631160.27</v>
      </c>
      <c r="J68" s="327">
        <v>-1.19405169</v>
      </c>
      <c r="L68" s="326">
        <v>-1660876.33</v>
      </c>
      <c r="M68" s="327">
        <v>-1.5513756400000001</v>
      </c>
      <c r="O68" s="326">
        <v>-492338.98</v>
      </c>
      <c r="P68" s="327">
        <v>-0.80649409000000005</v>
      </c>
      <c r="R68" s="326">
        <v>-666546.56000000006</v>
      </c>
      <c r="S68" s="327">
        <v>-0.43354345</v>
      </c>
      <c r="U68" s="326">
        <v>-550509.80000000005</v>
      </c>
      <c r="V68" s="327">
        <v>-0.54395744000000001</v>
      </c>
      <c r="X68" s="326">
        <v>-582910.3273</v>
      </c>
      <c r="Y68" s="327">
        <v>-0.30284864</v>
      </c>
      <c r="AA68" s="326">
        <v>-568498.3273</v>
      </c>
      <c r="AB68" s="327">
        <v>-0.29272192000000002</v>
      </c>
      <c r="AD68" s="326">
        <v>-681423.3273</v>
      </c>
      <c r="AE68" s="327">
        <v>-0.35847099999999998</v>
      </c>
      <c r="AG68" s="326">
        <v>-579338.3273</v>
      </c>
      <c r="AH68" s="327">
        <v>-0.37113016999999998</v>
      </c>
      <c r="AJ68" s="326">
        <v>-616178.3273</v>
      </c>
      <c r="AK68" s="327">
        <v>-0.53083720999999995</v>
      </c>
      <c r="AM68" s="326">
        <v>-1033293.3273</v>
      </c>
      <c r="AN68" s="327">
        <v>-0.71019931000000003</v>
      </c>
    </row>
    <row r="69" spans="2:40" x14ac:dyDescent="0.15">
      <c r="B69" s="8"/>
      <c r="C69" s="8"/>
      <c r="D69" s="8"/>
      <c r="F69" s="8"/>
      <c r="G69" s="8"/>
      <c r="I69" s="8"/>
      <c r="J69" s="8"/>
      <c r="L69" s="8"/>
      <c r="M69" s="8"/>
      <c r="O69" s="8"/>
      <c r="P69" s="8"/>
      <c r="R69" s="8"/>
      <c r="S69" s="8"/>
      <c r="U69" s="8"/>
      <c r="V69" s="8"/>
      <c r="X69" s="8"/>
      <c r="Y69" s="8"/>
      <c r="AA69" s="8"/>
      <c r="AB69" s="8"/>
      <c r="AD69" s="8"/>
      <c r="AE69" s="8"/>
      <c r="AG69" s="8"/>
      <c r="AH69" s="8"/>
      <c r="AJ69" s="8"/>
      <c r="AK69" s="8"/>
      <c r="AM69" s="8"/>
      <c r="AN69" s="8"/>
    </row>
    <row r="70" spans="2:40" ht="14" x14ac:dyDescent="0.15">
      <c r="B70" s="328" t="s">
        <v>54</v>
      </c>
      <c r="C70" s="329"/>
      <c r="D70" s="329"/>
      <c r="F70" s="329"/>
      <c r="G70" s="329"/>
      <c r="I70" s="329"/>
      <c r="J70" s="329"/>
      <c r="L70" s="329"/>
      <c r="M70" s="329"/>
      <c r="O70" s="329"/>
      <c r="P70" s="329"/>
      <c r="R70" s="329"/>
      <c r="S70" s="329"/>
      <c r="U70" s="329"/>
      <c r="V70" s="329"/>
      <c r="X70" s="329"/>
      <c r="Y70" s="329"/>
      <c r="AA70" s="329"/>
      <c r="AB70" s="329"/>
      <c r="AD70" s="329"/>
      <c r="AE70" s="329"/>
      <c r="AG70" s="329"/>
      <c r="AH70" s="329"/>
      <c r="AJ70" s="329"/>
      <c r="AK70" s="329"/>
      <c r="AM70" s="329"/>
      <c r="AN70" s="329"/>
    </row>
    <row r="71" spans="2:40" ht="14" x14ac:dyDescent="0.15">
      <c r="B71" s="5" t="s">
        <v>55</v>
      </c>
      <c r="C71" s="8">
        <v>0</v>
      </c>
      <c r="D71" s="7">
        <v>0</v>
      </c>
      <c r="F71" s="8">
        <v>0</v>
      </c>
      <c r="G71" s="7">
        <v>0</v>
      </c>
      <c r="I71" s="8">
        <v>0</v>
      </c>
      <c r="J71" s="7">
        <v>0</v>
      </c>
      <c r="L71" s="8">
        <v>0</v>
      </c>
      <c r="M71" s="7">
        <v>0</v>
      </c>
      <c r="O71" s="8">
        <v>0</v>
      </c>
      <c r="P71" s="7">
        <v>0</v>
      </c>
      <c r="R71" s="8">
        <v>0</v>
      </c>
      <c r="S71" s="7">
        <v>0</v>
      </c>
      <c r="U71" s="8">
        <v>0</v>
      </c>
      <c r="V71" s="7">
        <v>0</v>
      </c>
      <c r="X71" s="8">
        <v>0</v>
      </c>
      <c r="Y71" s="7">
        <v>0</v>
      </c>
      <c r="AA71" s="8">
        <v>0</v>
      </c>
      <c r="AB71" s="7">
        <v>0</v>
      </c>
      <c r="AD71" s="8">
        <v>0</v>
      </c>
      <c r="AE71" s="7">
        <v>0</v>
      </c>
      <c r="AG71" s="8">
        <v>0</v>
      </c>
      <c r="AH71" s="7">
        <v>0</v>
      </c>
      <c r="AJ71" s="8">
        <v>0</v>
      </c>
      <c r="AK71" s="7">
        <v>0</v>
      </c>
      <c r="AM71" s="8">
        <v>0</v>
      </c>
      <c r="AN71" s="7">
        <v>0</v>
      </c>
    </row>
    <row r="72" spans="2:40" ht="14" x14ac:dyDescent="0.15">
      <c r="B72" s="5" t="s">
        <v>56</v>
      </c>
      <c r="C72" s="8">
        <v>893035.29</v>
      </c>
      <c r="D72" s="7">
        <v>5.8535760000000013E-2</v>
      </c>
      <c r="F72" s="8">
        <v>72551.710000000006</v>
      </c>
      <c r="G72" s="7">
        <v>0.13128812000000001</v>
      </c>
      <c r="I72" s="8">
        <v>59210.66</v>
      </c>
      <c r="J72" s="7">
        <v>0.11201685</v>
      </c>
      <c r="L72" s="8">
        <v>69964.53</v>
      </c>
      <c r="M72" s="7">
        <v>6.5351809999999996E-2</v>
      </c>
      <c r="O72" s="8">
        <v>101973.4</v>
      </c>
      <c r="P72" s="7">
        <v>0.1670413</v>
      </c>
      <c r="R72" s="8">
        <v>53471.42</v>
      </c>
      <c r="S72" s="7">
        <v>3.4779539999999998E-2</v>
      </c>
      <c r="U72" s="8">
        <v>155447.73000000001</v>
      </c>
      <c r="V72" s="7">
        <v>0.15359754</v>
      </c>
      <c r="X72" s="8">
        <v>66658.64</v>
      </c>
      <c r="Y72" s="7">
        <v>3.4632219999999998E-2</v>
      </c>
      <c r="AA72" s="8">
        <v>62398.64</v>
      </c>
      <c r="AB72" s="7">
        <v>3.2129289999999998E-2</v>
      </c>
      <c r="AD72" s="8">
        <v>61898.64</v>
      </c>
      <c r="AE72" s="7">
        <v>3.2562529999999999E-2</v>
      </c>
      <c r="AG72" s="8">
        <v>64908.639999999999</v>
      </c>
      <c r="AH72" s="7">
        <v>4.1581149999999997E-2</v>
      </c>
      <c r="AJ72" s="8">
        <v>64148.639999999999</v>
      </c>
      <c r="AK72" s="7">
        <v>5.5264010000000002E-2</v>
      </c>
      <c r="AM72" s="8">
        <v>60402.64</v>
      </c>
      <c r="AN72" s="7">
        <v>4.1515719999999999E-2</v>
      </c>
    </row>
    <row r="73" spans="2:40" ht="14" x14ac:dyDescent="0.15">
      <c r="B73" s="5" t="s">
        <v>40</v>
      </c>
      <c r="C73" s="8">
        <v>229503.06</v>
      </c>
      <c r="D73" s="7">
        <v>1.5043229999999999E-2</v>
      </c>
      <c r="F73" s="8">
        <v>3601.37</v>
      </c>
      <c r="G73" s="7">
        <v>6.5169700000000004E-3</v>
      </c>
      <c r="I73" s="8">
        <v>48386.239999999998</v>
      </c>
      <c r="J73" s="7">
        <v>9.1538830000000002E-2</v>
      </c>
      <c r="L73" s="8">
        <v>17536.48</v>
      </c>
      <c r="M73" s="7">
        <v>1.6380309999999999E-2</v>
      </c>
      <c r="O73" s="8">
        <v>26428.86</v>
      </c>
      <c r="P73" s="7">
        <v>4.3292770000000001E-2</v>
      </c>
      <c r="R73" s="8">
        <v>15293.03</v>
      </c>
      <c r="S73" s="7">
        <v>9.9470800000000005E-3</v>
      </c>
      <c r="U73" s="8">
        <v>44675.08</v>
      </c>
      <c r="V73" s="7">
        <v>4.4143340000000003E-2</v>
      </c>
      <c r="X73" s="8">
        <v>9597</v>
      </c>
      <c r="Y73" s="7">
        <v>4.9860800000000004E-3</v>
      </c>
      <c r="AA73" s="8">
        <v>24597</v>
      </c>
      <c r="AB73" s="7">
        <v>1.266509E-2</v>
      </c>
      <c r="AD73" s="8">
        <v>9597</v>
      </c>
      <c r="AE73" s="7">
        <v>5.0486200000000002E-3</v>
      </c>
      <c r="AG73" s="8">
        <v>10597</v>
      </c>
      <c r="AH73" s="7">
        <v>6.78855E-3</v>
      </c>
      <c r="AJ73" s="8">
        <v>9597</v>
      </c>
      <c r="AK73" s="7">
        <v>8.2678100000000004E-3</v>
      </c>
      <c r="AM73" s="8">
        <v>9597</v>
      </c>
      <c r="AN73" s="7">
        <v>6.5961700000000002E-3</v>
      </c>
    </row>
    <row r="74" spans="2:40" ht="14" x14ac:dyDescent="0.15">
      <c r="B74" s="325" t="s">
        <v>41</v>
      </c>
      <c r="C74" s="326">
        <v>-1377351.0648000001</v>
      </c>
      <c r="D74" s="327">
        <v>-9.0281189999999997E-2</v>
      </c>
      <c r="F74" s="326">
        <v>-95305.35</v>
      </c>
      <c r="G74" s="327">
        <v>-0.17246265</v>
      </c>
      <c r="I74" s="326">
        <v>-123396.02</v>
      </c>
      <c r="J74" s="327">
        <v>-0.23344503</v>
      </c>
      <c r="L74" s="326">
        <v>-106291.44</v>
      </c>
      <c r="M74" s="327">
        <v>-9.9283699999999989E-2</v>
      </c>
      <c r="O74" s="326">
        <v>-146077.53</v>
      </c>
      <c r="P74" s="327">
        <v>-0.23928770999999999</v>
      </c>
      <c r="R74" s="326">
        <v>-91182.84</v>
      </c>
      <c r="S74" s="327">
        <v>-5.9308270000000003E-2</v>
      </c>
      <c r="U74" s="326">
        <v>-218942.73</v>
      </c>
      <c r="V74" s="327">
        <v>-0.2163368</v>
      </c>
      <c r="X74" s="326">
        <v>-99948.525800000003</v>
      </c>
      <c r="Y74" s="327">
        <v>-5.1927840000000003E-2</v>
      </c>
      <c r="AA74" s="326">
        <v>-110688.5258</v>
      </c>
      <c r="AB74" s="327">
        <v>-5.699394E-2</v>
      </c>
      <c r="AD74" s="326">
        <v>-95188.525800000003</v>
      </c>
      <c r="AE74" s="327">
        <v>-5.0075079999999987E-2</v>
      </c>
      <c r="AG74" s="326">
        <v>-99198.525800000003</v>
      </c>
      <c r="AH74" s="327">
        <v>-6.3547610000000004E-2</v>
      </c>
      <c r="AJ74" s="326">
        <v>-97438.525800000003</v>
      </c>
      <c r="AK74" s="327">
        <v>-8.3943220000000013E-2</v>
      </c>
      <c r="AM74" s="326">
        <v>-93692.525800000003</v>
      </c>
      <c r="AN74" s="327">
        <v>-6.4396399999999993E-2</v>
      </c>
    </row>
    <row r="75" spans="2:40" x14ac:dyDescent="0.15">
      <c r="B75" s="8"/>
      <c r="C75" s="8"/>
      <c r="D75" s="8"/>
      <c r="F75" s="8"/>
      <c r="G75" s="8"/>
      <c r="I75" s="8"/>
      <c r="J75" s="8"/>
      <c r="L75" s="8"/>
      <c r="M75" s="8"/>
      <c r="O75" s="8"/>
      <c r="P75" s="8"/>
      <c r="R75" s="8"/>
      <c r="S75" s="8"/>
      <c r="U75" s="8"/>
      <c r="V75" s="8"/>
      <c r="X75" s="8"/>
      <c r="Y75" s="8"/>
      <c r="AA75" s="8"/>
      <c r="AB75" s="8"/>
      <c r="AD75" s="8"/>
      <c r="AE75" s="8"/>
      <c r="AG75" s="8"/>
      <c r="AH75" s="8"/>
      <c r="AJ75" s="8"/>
      <c r="AK75" s="8"/>
      <c r="AM75" s="8"/>
      <c r="AN75" s="8"/>
    </row>
    <row r="76" spans="2:40" ht="14" x14ac:dyDescent="0.15">
      <c r="B76" s="328" t="s">
        <v>57</v>
      </c>
      <c r="C76" s="329"/>
      <c r="D76" s="329"/>
      <c r="F76" s="329"/>
      <c r="G76" s="329"/>
      <c r="I76" s="329"/>
      <c r="J76" s="329"/>
      <c r="L76" s="329"/>
      <c r="M76" s="329"/>
      <c r="O76" s="329"/>
      <c r="P76" s="329"/>
      <c r="R76" s="329"/>
      <c r="S76" s="329"/>
      <c r="U76" s="329"/>
      <c r="V76" s="329"/>
      <c r="X76" s="329"/>
      <c r="Y76" s="329"/>
      <c r="AA76" s="329"/>
      <c r="AB76" s="329"/>
      <c r="AD76" s="329"/>
      <c r="AE76" s="329"/>
      <c r="AG76" s="329"/>
      <c r="AH76" s="329"/>
      <c r="AJ76" s="329"/>
      <c r="AK76" s="329"/>
      <c r="AM76" s="329"/>
      <c r="AN76" s="329"/>
    </row>
    <row r="77" spans="2:40" ht="14" x14ac:dyDescent="0.15">
      <c r="B77" s="5" t="s">
        <v>22</v>
      </c>
      <c r="C77" s="8">
        <v>4391194.0735999998</v>
      </c>
      <c r="D77" s="7">
        <v>0.28782948000000003</v>
      </c>
      <c r="F77" s="8">
        <v>370438.04</v>
      </c>
      <c r="G77" s="7">
        <v>0.6703372299999999</v>
      </c>
      <c r="I77" s="8">
        <v>684726.92</v>
      </c>
      <c r="J77" s="7">
        <v>1.295391</v>
      </c>
      <c r="L77" s="8">
        <v>359971.34</v>
      </c>
      <c r="M77" s="7">
        <v>0.33623861999999999</v>
      </c>
      <c r="O77" s="8">
        <v>272546.90999999997</v>
      </c>
      <c r="P77" s="7">
        <v>0.44645554999999998</v>
      </c>
      <c r="R77" s="8">
        <v>290479.17</v>
      </c>
      <c r="S77" s="7">
        <v>0.18893705</v>
      </c>
      <c r="U77" s="8">
        <v>275459.24</v>
      </c>
      <c r="V77" s="7">
        <v>0.27218062999999998</v>
      </c>
      <c r="X77" s="8">
        <v>371428.67570000002</v>
      </c>
      <c r="Y77" s="7">
        <v>0.19297423</v>
      </c>
      <c r="AA77" s="8">
        <v>362248.484</v>
      </c>
      <c r="AB77" s="7">
        <v>0.1865231</v>
      </c>
      <c r="AD77" s="8">
        <v>356941.51880000002</v>
      </c>
      <c r="AE77" s="7">
        <v>0.18777341</v>
      </c>
      <c r="AG77" s="8">
        <v>349634.2928</v>
      </c>
      <c r="AH77" s="7">
        <v>0.22397937000000001</v>
      </c>
      <c r="AJ77" s="8">
        <v>355889.36479999998</v>
      </c>
      <c r="AK77" s="7">
        <v>0.30659845000000002</v>
      </c>
      <c r="AM77" s="8">
        <v>341430.11749999999</v>
      </c>
      <c r="AN77" s="7">
        <v>0.23467046999999999</v>
      </c>
    </row>
    <row r="78" spans="2:40" ht="14" x14ac:dyDescent="0.15">
      <c r="B78" s="5" t="s">
        <v>40</v>
      </c>
      <c r="C78" s="8">
        <v>1736931.45</v>
      </c>
      <c r="D78" s="7">
        <v>0.1138506</v>
      </c>
      <c r="F78" s="8">
        <v>44418.91</v>
      </c>
      <c r="G78" s="7">
        <v>8.0379570000000011E-2</v>
      </c>
      <c r="I78" s="8">
        <v>159049.42000000001</v>
      </c>
      <c r="J78" s="7">
        <v>0.30089540999999997</v>
      </c>
      <c r="L78" s="8">
        <v>94552.6</v>
      </c>
      <c r="M78" s="7">
        <v>8.8318800000000003E-2</v>
      </c>
      <c r="O78" s="8">
        <v>92244.5</v>
      </c>
      <c r="P78" s="7">
        <v>0.15110451999999999</v>
      </c>
      <c r="R78" s="8">
        <v>149855.57</v>
      </c>
      <c r="S78" s="7">
        <v>9.7470909999999994E-2</v>
      </c>
      <c r="U78" s="8">
        <v>40767.449999999997</v>
      </c>
      <c r="V78" s="7">
        <v>4.0282220000000007E-2</v>
      </c>
      <c r="X78" s="8">
        <v>176828</v>
      </c>
      <c r="Y78" s="7">
        <v>9.1870250000000001E-2</v>
      </c>
      <c r="AA78" s="8">
        <v>281362</v>
      </c>
      <c r="AB78" s="7">
        <v>0.14487435000000001</v>
      </c>
      <c r="AD78" s="8">
        <v>187017</v>
      </c>
      <c r="AE78" s="7">
        <v>9.8382559999999994E-2</v>
      </c>
      <c r="AG78" s="8">
        <v>170711</v>
      </c>
      <c r="AH78" s="7">
        <v>0.10935925000000001</v>
      </c>
      <c r="AJ78" s="8">
        <v>171591</v>
      </c>
      <c r="AK78" s="7">
        <v>0.14782553000000001</v>
      </c>
      <c r="AM78" s="8">
        <v>168534</v>
      </c>
      <c r="AN78" s="7">
        <v>0.11583615999999999</v>
      </c>
    </row>
    <row r="79" spans="2:40" ht="14" x14ac:dyDescent="0.15">
      <c r="B79" s="325" t="s">
        <v>41</v>
      </c>
      <c r="C79" s="326">
        <v>-6128125.5236</v>
      </c>
      <c r="D79" s="327">
        <v>-0.40168008999999999</v>
      </c>
      <c r="F79" s="326">
        <v>-414856.95</v>
      </c>
      <c r="G79" s="327">
        <v>-0.75071679999999996</v>
      </c>
      <c r="I79" s="326">
        <v>-843776.34</v>
      </c>
      <c r="J79" s="327">
        <v>-1.59628641</v>
      </c>
      <c r="L79" s="326">
        <v>-454523.94</v>
      </c>
      <c r="M79" s="327">
        <v>-0.42455742000000002</v>
      </c>
      <c r="O79" s="326">
        <v>-364791.41</v>
      </c>
      <c r="P79" s="327">
        <v>-0.59756007</v>
      </c>
      <c r="R79" s="326">
        <v>-440334.74</v>
      </c>
      <c r="S79" s="327">
        <v>-0.28640796000000002</v>
      </c>
      <c r="U79" s="326">
        <v>-316226.69</v>
      </c>
      <c r="V79" s="327">
        <v>-0.31246285000000001</v>
      </c>
      <c r="X79" s="326">
        <v>-548256.67570000002</v>
      </c>
      <c r="Y79" s="327">
        <v>-0.28484448000000001</v>
      </c>
      <c r="AA79" s="326">
        <v>-643610.48400000005</v>
      </c>
      <c r="AB79" s="327">
        <v>-0.33139744999999998</v>
      </c>
      <c r="AD79" s="326">
        <v>-543958.51879999996</v>
      </c>
      <c r="AE79" s="327">
        <v>-0.28615596999999998</v>
      </c>
      <c r="AG79" s="326">
        <v>-520345.2928</v>
      </c>
      <c r="AH79" s="327">
        <v>-0.33333861999999997</v>
      </c>
      <c r="AJ79" s="326">
        <v>-527480.36479999998</v>
      </c>
      <c r="AK79" s="327">
        <v>-0.45442397999999989</v>
      </c>
      <c r="AM79" s="326">
        <v>-509964.11749999999</v>
      </c>
      <c r="AN79" s="327">
        <v>-0.35050662999999999</v>
      </c>
    </row>
    <row r="80" spans="2:40" x14ac:dyDescent="0.15">
      <c r="B80" s="8"/>
      <c r="C80" s="8"/>
      <c r="D80" s="8"/>
      <c r="F80" s="8"/>
      <c r="G80" s="8"/>
      <c r="I80" s="8"/>
      <c r="J80" s="8"/>
      <c r="L80" s="8"/>
      <c r="M80" s="8"/>
      <c r="O80" s="8"/>
      <c r="P80" s="8"/>
      <c r="R80" s="8"/>
      <c r="S80" s="8"/>
      <c r="U80" s="8"/>
      <c r="V80" s="8"/>
      <c r="X80" s="8"/>
      <c r="Y80" s="8"/>
      <c r="AA80" s="8"/>
      <c r="AB80" s="8"/>
      <c r="AD80" s="8"/>
      <c r="AE80" s="8"/>
      <c r="AG80" s="8"/>
      <c r="AH80" s="8"/>
      <c r="AJ80" s="8"/>
      <c r="AK80" s="8"/>
      <c r="AM80" s="8"/>
      <c r="AN80" s="8"/>
    </row>
    <row r="81" spans="2:40" ht="14" x14ac:dyDescent="0.15">
      <c r="B81" s="328" t="s">
        <v>58</v>
      </c>
      <c r="C81" s="329"/>
      <c r="D81" s="329"/>
      <c r="F81" s="329"/>
      <c r="G81" s="329"/>
      <c r="I81" s="329"/>
      <c r="J81" s="329"/>
      <c r="L81" s="329"/>
      <c r="M81" s="329"/>
      <c r="O81" s="329"/>
      <c r="P81" s="329"/>
      <c r="R81" s="329"/>
      <c r="S81" s="329"/>
      <c r="U81" s="329"/>
      <c r="V81" s="329"/>
      <c r="X81" s="329"/>
      <c r="Y81" s="329"/>
      <c r="AA81" s="329"/>
      <c r="AB81" s="329"/>
      <c r="AD81" s="329"/>
      <c r="AE81" s="329"/>
      <c r="AG81" s="329"/>
      <c r="AH81" s="329"/>
      <c r="AJ81" s="329"/>
      <c r="AK81" s="329"/>
      <c r="AM81" s="329"/>
      <c r="AN81" s="329"/>
    </row>
    <row r="82" spans="2:40" ht="14" x14ac:dyDescent="0.15">
      <c r="B82" s="5" t="s">
        <v>22</v>
      </c>
      <c r="C82" s="8">
        <v>0</v>
      </c>
      <c r="D82" s="7">
        <v>0</v>
      </c>
      <c r="F82" s="8">
        <v>0</v>
      </c>
      <c r="G82" s="7">
        <v>0</v>
      </c>
      <c r="I82" s="8">
        <v>0</v>
      </c>
      <c r="J82" s="7">
        <v>0</v>
      </c>
      <c r="L82" s="8">
        <v>0</v>
      </c>
      <c r="M82" s="7">
        <v>0</v>
      </c>
      <c r="O82" s="8">
        <v>0</v>
      </c>
      <c r="P82" s="7">
        <v>0</v>
      </c>
      <c r="R82" s="8">
        <v>0</v>
      </c>
      <c r="S82" s="7">
        <v>0</v>
      </c>
      <c r="U82" s="8">
        <v>0</v>
      </c>
      <c r="V82" s="7">
        <v>0</v>
      </c>
      <c r="X82" s="8">
        <v>0</v>
      </c>
      <c r="Y82" s="7">
        <v>0</v>
      </c>
      <c r="AA82" s="8">
        <v>0</v>
      </c>
      <c r="AB82" s="7">
        <v>0</v>
      </c>
      <c r="AD82" s="8">
        <v>0</v>
      </c>
      <c r="AE82" s="7">
        <v>0</v>
      </c>
      <c r="AG82" s="8">
        <v>0</v>
      </c>
      <c r="AH82" s="7">
        <v>0</v>
      </c>
      <c r="AJ82" s="8">
        <v>0</v>
      </c>
      <c r="AK82" s="7">
        <v>0</v>
      </c>
      <c r="AM82" s="8">
        <v>0</v>
      </c>
      <c r="AN82" s="7">
        <v>0</v>
      </c>
    </row>
    <row r="83" spans="2:40" ht="14" x14ac:dyDescent="0.15">
      <c r="B83" s="5" t="s">
        <v>40</v>
      </c>
      <c r="C83" s="8">
        <v>5266.78</v>
      </c>
      <c r="D83" s="7">
        <v>3.4521999999999998E-4</v>
      </c>
      <c r="F83" s="8">
        <v>0</v>
      </c>
      <c r="G83" s="7">
        <v>0</v>
      </c>
      <c r="I83" s="8">
        <v>0</v>
      </c>
      <c r="J83" s="7">
        <v>0</v>
      </c>
      <c r="L83" s="8">
        <v>0</v>
      </c>
      <c r="M83" s="7">
        <v>0</v>
      </c>
      <c r="O83" s="8">
        <v>0</v>
      </c>
      <c r="P83" s="7">
        <v>0</v>
      </c>
      <c r="R83" s="8">
        <v>5213.16</v>
      </c>
      <c r="S83" s="7">
        <v>3.3908100000000002E-3</v>
      </c>
      <c r="U83" s="8">
        <v>53.62</v>
      </c>
      <c r="V83" s="7">
        <v>5.2979999999999998E-5</v>
      </c>
      <c r="X83" s="8">
        <v>0</v>
      </c>
      <c r="Y83" s="7">
        <v>0</v>
      </c>
      <c r="AA83" s="8">
        <v>0</v>
      </c>
      <c r="AB83" s="7">
        <v>0</v>
      </c>
      <c r="AD83" s="8">
        <v>0</v>
      </c>
      <c r="AE83" s="7">
        <v>0</v>
      </c>
      <c r="AG83" s="8">
        <v>0</v>
      </c>
      <c r="AH83" s="7">
        <v>0</v>
      </c>
      <c r="AJ83" s="8">
        <v>0</v>
      </c>
      <c r="AK83" s="7">
        <v>0</v>
      </c>
      <c r="AM83" s="8">
        <v>0</v>
      </c>
      <c r="AN83" s="7">
        <v>0</v>
      </c>
    </row>
    <row r="84" spans="2:40" ht="14" x14ac:dyDescent="0.15">
      <c r="B84" s="325" t="s">
        <v>41</v>
      </c>
      <c r="C84" s="326">
        <v>-5266.78</v>
      </c>
      <c r="D84" s="327">
        <v>-3.4521999999999998E-4</v>
      </c>
      <c r="F84" s="326">
        <v>0</v>
      </c>
      <c r="G84" s="327">
        <v>0</v>
      </c>
      <c r="I84" s="326">
        <v>0</v>
      </c>
      <c r="J84" s="327">
        <v>0</v>
      </c>
      <c r="L84" s="326">
        <v>0</v>
      </c>
      <c r="M84" s="327">
        <v>0</v>
      </c>
      <c r="O84" s="326">
        <v>0</v>
      </c>
      <c r="P84" s="327">
        <v>0</v>
      </c>
      <c r="R84" s="326">
        <v>-5213.16</v>
      </c>
      <c r="S84" s="327">
        <v>-3.3908100000000002E-3</v>
      </c>
      <c r="U84" s="326">
        <v>-53.62</v>
      </c>
      <c r="V84" s="327">
        <v>-5.2979999999999998E-5</v>
      </c>
      <c r="X84" s="326">
        <v>0</v>
      </c>
      <c r="Y84" s="327">
        <v>0</v>
      </c>
      <c r="AA84" s="326">
        <v>0</v>
      </c>
      <c r="AB84" s="327">
        <v>0</v>
      </c>
      <c r="AD84" s="326">
        <v>0</v>
      </c>
      <c r="AE84" s="327">
        <v>0</v>
      </c>
      <c r="AG84" s="326">
        <v>0</v>
      </c>
      <c r="AH84" s="327">
        <v>0</v>
      </c>
      <c r="AJ84" s="326">
        <v>0</v>
      </c>
      <c r="AK84" s="327">
        <v>0</v>
      </c>
      <c r="AM84" s="326">
        <v>0</v>
      </c>
      <c r="AN84" s="327">
        <v>0</v>
      </c>
    </row>
    <row r="85" spans="2:40" x14ac:dyDescent="0.15">
      <c r="B85" s="8"/>
      <c r="C85" s="8"/>
      <c r="D85" s="8"/>
      <c r="F85" s="8"/>
      <c r="G85" s="8"/>
      <c r="I85" s="8"/>
      <c r="J85" s="8"/>
      <c r="L85" s="8"/>
      <c r="M85" s="8"/>
      <c r="O85" s="8"/>
      <c r="P85" s="8"/>
      <c r="R85" s="8"/>
      <c r="S85" s="8"/>
      <c r="U85" s="8"/>
      <c r="V85" s="8"/>
      <c r="X85" s="8"/>
      <c r="Y85" s="8"/>
      <c r="AA85" s="8"/>
      <c r="AB85" s="8"/>
      <c r="AD85" s="8"/>
      <c r="AE85" s="8"/>
      <c r="AG85" s="8"/>
      <c r="AH85" s="8"/>
      <c r="AJ85" s="8"/>
      <c r="AK85" s="8"/>
      <c r="AM85" s="8"/>
      <c r="AN85" s="8"/>
    </row>
    <row r="86" spans="2:40" ht="14" x14ac:dyDescent="0.15">
      <c r="B86" s="328" t="s">
        <v>59</v>
      </c>
      <c r="C86" s="329"/>
      <c r="D86" s="329"/>
      <c r="F86" s="329"/>
      <c r="G86" s="329"/>
      <c r="I86" s="329"/>
      <c r="J86" s="329"/>
      <c r="L86" s="329"/>
      <c r="M86" s="329"/>
      <c r="O86" s="329"/>
      <c r="P86" s="329"/>
      <c r="R86" s="329"/>
      <c r="S86" s="329"/>
      <c r="U86" s="329"/>
      <c r="V86" s="329"/>
      <c r="X86" s="329"/>
      <c r="Y86" s="329"/>
      <c r="AA86" s="329"/>
      <c r="AB86" s="329"/>
      <c r="AD86" s="329"/>
      <c r="AE86" s="329"/>
      <c r="AG86" s="329"/>
      <c r="AH86" s="329"/>
      <c r="AJ86" s="329"/>
      <c r="AK86" s="329"/>
      <c r="AM86" s="329"/>
      <c r="AN86" s="329"/>
    </row>
    <row r="87" spans="2:40" ht="14" x14ac:dyDescent="0.15">
      <c r="B87" s="325" t="s">
        <v>41</v>
      </c>
      <c r="C87" s="326">
        <v>0</v>
      </c>
      <c r="D87" s="327">
        <v>0</v>
      </c>
      <c r="F87" s="326">
        <v>0</v>
      </c>
      <c r="G87" s="327">
        <v>0</v>
      </c>
      <c r="I87" s="326">
        <v>0</v>
      </c>
      <c r="J87" s="327">
        <v>0</v>
      </c>
      <c r="L87" s="326">
        <v>0</v>
      </c>
      <c r="M87" s="327">
        <v>0</v>
      </c>
      <c r="O87" s="326">
        <v>0</v>
      </c>
      <c r="P87" s="327">
        <v>0</v>
      </c>
      <c r="R87" s="326">
        <v>0</v>
      </c>
      <c r="S87" s="327">
        <v>0</v>
      </c>
      <c r="U87" s="326">
        <v>0</v>
      </c>
      <c r="V87" s="327">
        <v>0</v>
      </c>
      <c r="X87" s="326">
        <v>0</v>
      </c>
      <c r="Y87" s="327">
        <v>0</v>
      </c>
      <c r="AA87" s="326">
        <v>0</v>
      </c>
      <c r="AB87" s="327">
        <v>0</v>
      </c>
      <c r="AD87" s="326">
        <v>0</v>
      </c>
      <c r="AE87" s="327">
        <v>0</v>
      </c>
      <c r="AG87" s="326">
        <v>0</v>
      </c>
      <c r="AH87" s="327">
        <v>0</v>
      </c>
      <c r="AJ87" s="326">
        <v>0</v>
      </c>
      <c r="AK87" s="327">
        <v>0</v>
      </c>
      <c r="AM87" s="326">
        <v>0</v>
      </c>
      <c r="AN87" s="327">
        <v>0</v>
      </c>
    </row>
    <row r="88" spans="2:40" x14ac:dyDescent="0.15">
      <c r="B88" s="8"/>
      <c r="C88" s="8"/>
      <c r="D88" s="8"/>
      <c r="F88" s="8"/>
      <c r="G88" s="8"/>
      <c r="I88" s="8"/>
      <c r="J88" s="8"/>
      <c r="L88" s="8"/>
      <c r="M88" s="8"/>
      <c r="O88" s="8"/>
      <c r="P88" s="8"/>
      <c r="R88" s="8"/>
      <c r="S88" s="8"/>
      <c r="U88" s="8"/>
      <c r="V88" s="8"/>
      <c r="X88" s="8"/>
      <c r="Y88" s="8"/>
      <c r="AA88" s="8"/>
      <c r="AB88" s="8"/>
      <c r="AD88" s="8"/>
      <c r="AE88" s="8"/>
      <c r="AG88" s="8"/>
      <c r="AH88" s="8"/>
      <c r="AJ88" s="8"/>
      <c r="AK88" s="8"/>
      <c r="AM88" s="8"/>
      <c r="AN88" s="8"/>
    </row>
    <row r="89" spans="2:40" ht="14" x14ac:dyDescent="0.15">
      <c r="B89" s="325" t="s">
        <v>23</v>
      </c>
      <c r="C89" s="326">
        <v>-2660258.6655999999</v>
      </c>
      <c r="D89" s="327">
        <v>-0.17437190999999999</v>
      </c>
      <c r="F89" s="326">
        <v>-440968.64</v>
      </c>
      <c r="G89" s="327">
        <v>-0.79796798999999996</v>
      </c>
      <c r="I89" s="326">
        <v>-1206024.22</v>
      </c>
      <c r="J89" s="327">
        <v>-2.2815999699999998</v>
      </c>
      <c r="L89" s="326">
        <v>-1369346.91</v>
      </c>
      <c r="M89" s="327">
        <v>-1.2790665999999999</v>
      </c>
      <c r="O89" s="326">
        <v>-503120.77</v>
      </c>
      <c r="P89" s="327">
        <v>-0.82415559999999999</v>
      </c>
      <c r="R89" s="326">
        <v>208360.81</v>
      </c>
      <c r="S89" s="327">
        <v>0.13552460999999999</v>
      </c>
      <c r="U89" s="326">
        <v>-219127.12</v>
      </c>
      <c r="V89" s="327">
        <v>-0.21651898999999999</v>
      </c>
      <c r="X89" s="326">
        <v>511747.35379999998</v>
      </c>
      <c r="Y89" s="327">
        <v>0.26587621</v>
      </c>
      <c r="AA89" s="326">
        <v>442965.1765</v>
      </c>
      <c r="AB89" s="327">
        <v>0.22808443</v>
      </c>
      <c r="AD89" s="326">
        <v>382822.23700000002</v>
      </c>
      <c r="AE89" s="327">
        <v>0.20138828</v>
      </c>
      <c r="AG89" s="326">
        <v>175366.86180000001</v>
      </c>
      <c r="AH89" s="327">
        <v>0.11234184</v>
      </c>
      <c r="AJ89" s="326">
        <v>-291353.76189999998</v>
      </c>
      <c r="AK89" s="327">
        <v>-0.25100106999999999</v>
      </c>
      <c r="AM89" s="326">
        <v>-351579.68280000001</v>
      </c>
      <c r="AN89" s="327">
        <v>-0.24164643999999999</v>
      </c>
    </row>
    <row r="90" spans="2:40" x14ac:dyDescent="0.15">
      <c r="B90" s="8"/>
      <c r="C90" s="8"/>
      <c r="D90" s="8"/>
      <c r="F90" s="8"/>
      <c r="G90" s="8"/>
      <c r="I90" s="8"/>
      <c r="J90" s="8"/>
      <c r="L90" s="8"/>
      <c r="M90" s="8"/>
      <c r="O90" s="8"/>
      <c r="P90" s="8"/>
      <c r="R90" s="8"/>
      <c r="S90" s="8"/>
      <c r="U90" s="8"/>
      <c r="V90" s="8"/>
      <c r="X90" s="8"/>
      <c r="Y90" s="8"/>
      <c r="AA90" s="8"/>
      <c r="AB90" s="8"/>
      <c r="AD90" s="8"/>
      <c r="AE90" s="8"/>
      <c r="AG90" s="8"/>
      <c r="AH90" s="8"/>
      <c r="AJ90" s="8"/>
      <c r="AK90" s="8"/>
      <c r="AM90" s="8"/>
      <c r="AN90" s="8"/>
    </row>
    <row r="91" spans="2:40" ht="14" x14ac:dyDescent="0.15">
      <c r="B91" s="325" t="s">
        <v>60</v>
      </c>
      <c r="C91" s="326">
        <v>5405386.4800000004</v>
      </c>
      <c r="D91" s="327">
        <v>0.35430673000000001</v>
      </c>
      <c r="F91" s="326">
        <v>0</v>
      </c>
      <c r="G91" s="327">
        <v>0</v>
      </c>
      <c r="I91" s="326">
        <v>1038962.82</v>
      </c>
      <c r="J91" s="327">
        <v>1.96554721</v>
      </c>
      <c r="L91" s="326">
        <v>466516.89</v>
      </c>
      <c r="M91" s="327">
        <v>0.43575967999999998</v>
      </c>
      <c r="O91" s="326">
        <v>603509.93000000005</v>
      </c>
      <c r="P91" s="327">
        <v>0.9886017800000001</v>
      </c>
      <c r="R91" s="326">
        <v>318313.34000000003</v>
      </c>
      <c r="S91" s="327">
        <v>0.20704128999999999</v>
      </c>
      <c r="U91" s="326">
        <v>-212962.5</v>
      </c>
      <c r="V91" s="327">
        <v>-0.21042774</v>
      </c>
      <c r="X91" s="326">
        <v>531841</v>
      </c>
      <c r="Y91" s="327">
        <v>0.27631578000000001</v>
      </c>
      <c r="AA91" s="326">
        <v>531841</v>
      </c>
      <c r="AB91" s="327">
        <v>0.27384691999999999</v>
      </c>
      <c r="AD91" s="326">
        <v>531841</v>
      </c>
      <c r="AE91" s="327">
        <v>0.27978141000000001</v>
      </c>
      <c r="AG91" s="326">
        <v>531841</v>
      </c>
      <c r="AH91" s="327">
        <v>0.34070288999999998</v>
      </c>
      <c r="AJ91" s="326">
        <v>531841</v>
      </c>
      <c r="AK91" s="327">
        <v>0.45818066000000002</v>
      </c>
      <c r="AM91" s="326">
        <v>531841</v>
      </c>
      <c r="AN91" s="327">
        <v>0.36554297000000002</v>
      </c>
    </row>
    <row r="92" spans="2:40" ht="14" x14ac:dyDescent="0.15">
      <c r="B92" s="5" t="s">
        <v>61</v>
      </c>
      <c r="C92" s="8">
        <v>4539013.99</v>
      </c>
      <c r="D92" s="7">
        <v>0.29751863000000001</v>
      </c>
      <c r="F92" s="8">
        <v>0</v>
      </c>
      <c r="G92" s="7">
        <v>0</v>
      </c>
      <c r="I92" s="8">
        <v>909673.82</v>
      </c>
      <c r="J92" s="7">
        <v>1.7209536299999999</v>
      </c>
      <c r="L92" s="8">
        <v>382215.89</v>
      </c>
      <c r="M92" s="7">
        <v>0.35701660000000002</v>
      </c>
      <c r="O92" s="8">
        <v>527457.93000000005</v>
      </c>
      <c r="P92" s="7">
        <v>0.86402198999999991</v>
      </c>
      <c r="R92" s="8">
        <v>236973.85</v>
      </c>
      <c r="S92" s="7">
        <v>0.15413546</v>
      </c>
      <c r="U92" s="8">
        <v>-301307.5</v>
      </c>
      <c r="V92" s="7">
        <v>-0.29772123</v>
      </c>
      <c r="X92" s="8">
        <v>464000</v>
      </c>
      <c r="Y92" s="7">
        <v>0.24106927</v>
      </c>
      <c r="AA92" s="8">
        <v>464000</v>
      </c>
      <c r="AB92" s="7">
        <v>0.23891534</v>
      </c>
      <c r="AD92" s="8">
        <v>464000</v>
      </c>
      <c r="AE92" s="7">
        <v>0.24409283000000001</v>
      </c>
      <c r="AG92" s="8">
        <v>464000</v>
      </c>
      <c r="AH92" s="7">
        <v>0.29724324000000002</v>
      </c>
      <c r="AJ92" s="8">
        <v>464000</v>
      </c>
      <c r="AK92" s="7">
        <v>0.39973568999999998</v>
      </c>
      <c r="AM92" s="8">
        <v>464000</v>
      </c>
      <c r="AN92" s="7">
        <v>0.31891475000000002</v>
      </c>
    </row>
    <row r="93" spans="2:40" ht="14" x14ac:dyDescent="0.15">
      <c r="B93" s="5" t="s">
        <v>62</v>
      </c>
      <c r="C93" s="8">
        <v>41.49</v>
      </c>
      <c r="D93" s="7">
        <v>2.7199999999999998E-6</v>
      </c>
      <c r="F93" s="8">
        <v>0</v>
      </c>
      <c r="G93" s="7">
        <v>0</v>
      </c>
      <c r="I93" s="8">
        <v>0</v>
      </c>
      <c r="J93" s="7">
        <v>0</v>
      </c>
      <c r="L93" s="8">
        <v>0</v>
      </c>
      <c r="M93" s="7">
        <v>0</v>
      </c>
      <c r="O93" s="8">
        <v>0</v>
      </c>
      <c r="P93" s="7">
        <v>0</v>
      </c>
      <c r="R93" s="8">
        <v>41.49</v>
      </c>
      <c r="S93" s="7">
        <v>2.6990000000000001E-5</v>
      </c>
      <c r="U93" s="8">
        <v>0</v>
      </c>
      <c r="V93" s="7">
        <v>0</v>
      </c>
      <c r="X93" s="8">
        <v>0</v>
      </c>
      <c r="Y93" s="7">
        <v>0</v>
      </c>
      <c r="AA93" s="8">
        <v>0</v>
      </c>
      <c r="AB93" s="7">
        <v>0</v>
      </c>
      <c r="AD93" s="8">
        <v>0</v>
      </c>
      <c r="AE93" s="7">
        <v>0</v>
      </c>
      <c r="AG93" s="8">
        <v>0</v>
      </c>
      <c r="AH93" s="7">
        <v>0</v>
      </c>
      <c r="AJ93" s="8">
        <v>0</v>
      </c>
      <c r="AK93" s="7">
        <v>0</v>
      </c>
      <c r="AM93" s="8">
        <v>0</v>
      </c>
      <c r="AN93" s="7">
        <v>0</v>
      </c>
    </row>
    <row r="94" spans="2:40" ht="14" x14ac:dyDescent="0.15">
      <c r="B94" s="5" t="s">
        <v>63</v>
      </c>
      <c r="C94" s="8">
        <v>866331</v>
      </c>
      <c r="D94" s="7">
        <v>5.6785380000000003E-2</v>
      </c>
      <c r="F94" s="8">
        <v>0</v>
      </c>
      <c r="G94" s="7">
        <v>0</v>
      </c>
      <c r="I94" s="8">
        <v>129289</v>
      </c>
      <c r="J94" s="7">
        <v>0.24459358</v>
      </c>
      <c r="L94" s="8">
        <v>84301</v>
      </c>
      <c r="M94" s="7">
        <v>7.8743080000000007E-2</v>
      </c>
      <c r="O94" s="8">
        <v>76052</v>
      </c>
      <c r="P94" s="7">
        <v>0.12457979</v>
      </c>
      <c r="R94" s="8">
        <v>81298</v>
      </c>
      <c r="S94" s="7">
        <v>5.2878850000000012E-2</v>
      </c>
      <c r="U94" s="8">
        <v>88345</v>
      </c>
      <c r="V94" s="7">
        <v>8.7293489999999987E-2</v>
      </c>
      <c r="X94" s="8">
        <v>67841</v>
      </c>
      <c r="Y94" s="7">
        <v>3.5246510000000002E-2</v>
      </c>
      <c r="AA94" s="8">
        <v>67841</v>
      </c>
      <c r="AB94" s="7">
        <v>3.4931579999999997E-2</v>
      </c>
      <c r="AD94" s="8">
        <v>67841</v>
      </c>
      <c r="AE94" s="7">
        <v>3.5688579999999998E-2</v>
      </c>
      <c r="AG94" s="8">
        <v>67841</v>
      </c>
      <c r="AH94" s="7">
        <v>4.3459650000000002E-2</v>
      </c>
      <c r="AJ94" s="8">
        <v>67841</v>
      </c>
      <c r="AK94" s="7">
        <v>5.8444980000000001E-2</v>
      </c>
      <c r="AM94" s="8">
        <v>67841</v>
      </c>
      <c r="AN94" s="7">
        <v>4.6628219999999998E-2</v>
      </c>
    </row>
    <row r="95" spans="2:40" ht="14" x14ac:dyDescent="0.15">
      <c r="B95" s="5" t="s">
        <v>64</v>
      </c>
      <c r="C95" s="8">
        <v>0</v>
      </c>
      <c r="D95" s="7">
        <v>0</v>
      </c>
      <c r="F95" s="8">
        <v>0</v>
      </c>
      <c r="G95" s="7">
        <v>0</v>
      </c>
      <c r="I95" s="8">
        <v>0</v>
      </c>
      <c r="J95" s="7">
        <v>0</v>
      </c>
      <c r="L95" s="8">
        <v>0</v>
      </c>
      <c r="M95" s="7">
        <v>0</v>
      </c>
      <c r="O95" s="8">
        <v>0</v>
      </c>
      <c r="P95" s="7">
        <v>0</v>
      </c>
      <c r="R95" s="8">
        <v>0</v>
      </c>
      <c r="S95" s="7">
        <v>0</v>
      </c>
      <c r="U95" s="8">
        <v>0</v>
      </c>
      <c r="V95" s="7">
        <v>0</v>
      </c>
      <c r="X95" s="8">
        <v>0</v>
      </c>
      <c r="Y95" s="7">
        <v>0</v>
      </c>
      <c r="AA95" s="8">
        <v>0</v>
      </c>
      <c r="AB95" s="7">
        <v>0</v>
      </c>
      <c r="AD95" s="8">
        <v>0</v>
      </c>
      <c r="AE95" s="7">
        <v>0</v>
      </c>
      <c r="AG95" s="8">
        <v>0</v>
      </c>
      <c r="AH95" s="7">
        <v>0</v>
      </c>
      <c r="AJ95" s="8">
        <v>0</v>
      </c>
      <c r="AK95" s="7">
        <v>0</v>
      </c>
      <c r="AM95" s="8">
        <v>0</v>
      </c>
      <c r="AN95" s="7">
        <v>0</v>
      </c>
    </row>
    <row r="96" spans="2:40" x14ac:dyDescent="0.15">
      <c r="B96" s="8"/>
      <c r="C96" s="8"/>
      <c r="D96" s="8"/>
      <c r="F96" s="8"/>
      <c r="G96" s="8"/>
      <c r="I96" s="8"/>
      <c r="J96" s="8"/>
      <c r="L96" s="8"/>
      <c r="M96" s="8"/>
      <c r="O96" s="8"/>
      <c r="P96" s="8"/>
      <c r="R96" s="8"/>
      <c r="S96" s="8"/>
      <c r="U96" s="8"/>
      <c r="V96" s="8"/>
      <c r="X96" s="8"/>
      <c r="Y96" s="8"/>
      <c r="AA96" s="8"/>
      <c r="AB96" s="8"/>
      <c r="AD96" s="8"/>
      <c r="AE96" s="8"/>
      <c r="AG96" s="8"/>
      <c r="AH96" s="8"/>
      <c r="AJ96" s="8"/>
      <c r="AK96" s="8"/>
      <c r="AM96" s="8"/>
      <c r="AN96" s="8"/>
    </row>
    <row r="97" spans="2:40" ht="14" x14ac:dyDescent="0.15">
      <c r="B97" s="325" t="s">
        <v>65</v>
      </c>
      <c r="C97" s="326">
        <v>5742920.9500000002</v>
      </c>
      <c r="D97" s="327">
        <v>0.37643109000000002</v>
      </c>
      <c r="F97" s="326">
        <v>0</v>
      </c>
      <c r="G97" s="327">
        <v>0</v>
      </c>
      <c r="I97" s="326">
        <v>939468.94</v>
      </c>
      <c r="J97" s="327">
        <v>1.7773211099999999</v>
      </c>
      <c r="L97" s="326">
        <v>469734.47</v>
      </c>
      <c r="M97" s="327">
        <v>0.43876513</v>
      </c>
      <c r="O97" s="326">
        <v>469734.47</v>
      </c>
      <c r="P97" s="327">
        <v>0.76946594000000001</v>
      </c>
      <c r="R97" s="326">
        <v>469734.47</v>
      </c>
      <c r="S97" s="327">
        <v>0.30553049999999998</v>
      </c>
      <c r="U97" s="326">
        <v>202248.6</v>
      </c>
      <c r="V97" s="327">
        <v>0.19984136</v>
      </c>
      <c r="X97" s="326">
        <v>532000</v>
      </c>
      <c r="Y97" s="327">
        <v>0.27639838999999999</v>
      </c>
      <c r="AA97" s="326">
        <v>532000</v>
      </c>
      <c r="AB97" s="327">
        <v>0.27392878999999998</v>
      </c>
      <c r="AD97" s="326">
        <v>532000</v>
      </c>
      <c r="AE97" s="327">
        <v>0.27986505</v>
      </c>
      <c r="AG97" s="326">
        <v>532000</v>
      </c>
      <c r="AH97" s="327">
        <v>0.34080474999999999</v>
      </c>
      <c r="AJ97" s="326">
        <v>532000</v>
      </c>
      <c r="AK97" s="327">
        <v>0.45831764000000003</v>
      </c>
      <c r="AM97" s="326">
        <v>532000</v>
      </c>
      <c r="AN97" s="327">
        <v>0.36565225000000001</v>
      </c>
    </row>
    <row r="98" spans="2:40" ht="14" x14ac:dyDescent="0.15">
      <c r="B98" s="5" t="s">
        <v>66</v>
      </c>
      <c r="C98" s="8">
        <v>5245535.59</v>
      </c>
      <c r="D98" s="7">
        <v>0.34382899</v>
      </c>
      <c r="F98" s="8">
        <v>0</v>
      </c>
      <c r="G98" s="7">
        <v>0</v>
      </c>
      <c r="I98" s="8">
        <v>909673.82</v>
      </c>
      <c r="J98" s="7">
        <v>1.7209536299999999</v>
      </c>
      <c r="L98" s="8">
        <v>454836.91</v>
      </c>
      <c r="M98" s="7">
        <v>0.42484976000000002</v>
      </c>
      <c r="O98" s="8">
        <v>454836.91</v>
      </c>
      <c r="P98" s="7">
        <v>0.74506243999999999</v>
      </c>
      <c r="R98" s="8">
        <v>454836.91</v>
      </c>
      <c r="S98" s="7">
        <v>0.29584063999999999</v>
      </c>
      <c r="U98" s="8">
        <v>187351.04000000001</v>
      </c>
      <c r="V98" s="7">
        <v>0.18512112</v>
      </c>
      <c r="X98" s="8">
        <v>464000</v>
      </c>
      <c r="Y98" s="7">
        <v>0.24106927</v>
      </c>
      <c r="AA98" s="8">
        <v>464000</v>
      </c>
      <c r="AB98" s="7">
        <v>0.23891534</v>
      </c>
      <c r="AD98" s="8">
        <v>464000</v>
      </c>
      <c r="AE98" s="7">
        <v>0.24409283000000001</v>
      </c>
      <c r="AG98" s="8">
        <v>464000</v>
      </c>
      <c r="AH98" s="7">
        <v>0.29724324000000002</v>
      </c>
      <c r="AJ98" s="8">
        <v>464000</v>
      </c>
      <c r="AK98" s="7">
        <v>0.39973568999999998</v>
      </c>
      <c r="AM98" s="8">
        <v>464000</v>
      </c>
      <c r="AN98" s="7">
        <v>0.31891475000000002</v>
      </c>
    </row>
    <row r="99" spans="2:40" ht="14" x14ac:dyDescent="0.15">
      <c r="B99" s="5" t="s">
        <v>67</v>
      </c>
      <c r="C99" s="8">
        <v>497385.36</v>
      </c>
      <c r="D99" s="7">
        <v>3.2602109999999997E-2</v>
      </c>
      <c r="F99" s="8">
        <v>0</v>
      </c>
      <c r="G99" s="7">
        <v>0</v>
      </c>
      <c r="I99" s="8">
        <v>29795.119999999999</v>
      </c>
      <c r="J99" s="7">
        <v>5.6367479999999998E-2</v>
      </c>
      <c r="L99" s="8">
        <v>14897.56</v>
      </c>
      <c r="M99" s="7">
        <v>1.391537E-2</v>
      </c>
      <c r="O99" s="8">
        <v>14897.56</v>
      </c>
      <c r="P99" s="7">
        <v>2.4403500000000002E-2</v>
      </c>
      <c r="R99" s="8">
        <v>14897.56</v>
      </c>
      <c r="S99" s="7">
        <v>9.6898499999999999E-3</v>
      </c>
      <c r="U99" s="8">
        <v>14897.56</v>
      </c>
      <c r="V99" s="7">
        <v>1.4720240000000001E-2</v>
      </c>
      <c r="X99" s="8">
        <v>68000</v>
      </c>
      <c r="Y99" s="7">
        <v>3.5329119999999999E-2</v>
      </c>
      <c r="AA99" s="8">
        <v>68000</v>
      </c>
      <c r="AB99" s="7">
        <v>3.5013450000000002E-2</v>
      </c>
      <c r="AD99" s="8">
        <v>68000</v>
      </c>
      <c r="AE99" s="7">
        <v>3.577222E-2</v>
      </c>
      <c r="AG99" s="8">
        <v>68000</v>
      </c>
      <c r="AH99" s="7">
        <v>4.3561509999999998E-2</v>
      </c>
      <c r="AJ99" s="8">
        <v>68000</v>
      </c>
      <c r="AK99" s="7">
        <v>5.8581950000000001E-2</v>
      </c>
      <c r="AM99" s="8">
        <v>68000</v>
      </c>
      <c r="AN99" s="7">
        <v>4.6737510000000003E-2</v>
      </c>
    </row>
    <row r="100" spans="2:40" x14ac:dyDescent="0.15">
      <c r="B100" s="8"/>
      <c r="C100" s="8"/>
      <c r="D100" s="8"/>
      <c r="F100" s="8"/>
      <c r="G100" s="8"/>
      <c r="I100" s="8"/>
      <c r="J100" s="8"/>
      <c r="L100" s="8"/>
      <c r="M100" s="8"/>
      <c r="O100" s="8"/>
      <c r="P100" s="8"/>
      <c r="R100" s="8"/>
      <c r="S100" s="8"/>
      <c r="U100" s="8"/>
      <c r="V100" s="8"/>
      <c r="X100" s="8"/>
      <c r="Y100" s="8"/>
      <c r="AA100" s="8"/>
      <c r="AB100" s="8"/>
      <c r="AD100" s="8"/>
      <c r="AE100" s="8"/>
      <c r="AG100" s="8"/>
      <c r="AH100" s="8"/>
      <c r="AJ100" s="8"/>
      <c r="AK100" s="8"/>
      <c r="AM100" s="8"/>
      <c r="AN100" s="8"/>
    </row>
    <row r="101" spans="2:40" ht="28" x14ac:dyDescent="0.15">
      <c r="B101" s="325" t="s">
        <v>68</v>
      </c>
      <c r="C101" s="326">
        <v>-337534.47</v>
      </c>
      <c r="D101" s="327">
        <v>-2.2124359999999999E-2</v>
      </c>
      <c r="F101" s="326">
        <v>0</v>
      </c>
      <c r="G101" s="327">
        <v>0</v>
      </c>
      <c r="I101" s="326">
        <v>99493.88</v>
      </c>
      <c r="J101" s="327">
        <v>0.18822610000000001</v>
      </c>
      <c r="L101" s="326">
        <v>-3217.58</v>
      </c>
      <c r="M101" s="327">
        <v>-3.0054499999999998E-3</v>
      </c>
      <c r="O101" s="326">
        <v>133775.46</v>
      </c>
      <c r="P101" s="327">
        <v>0.21913584</v>
      </c>
      <c r="R101" s="326">
        <v>-151421.13</v>
      </c>
      <c r="S101" s="327">
        <v>-9.8489199999999999E-2</v>
      </c>
      <c r="U101" s="326">
        <v>-415211.1</v>
      </c>
      <c r="V101" s="327">
        <v>-0.41026910999999999</v>
      </c>
      <c r="X101" s="326">
        <v>-159</v>
      </c>
      <c r="Y101" s="327">
        <v>-8.2609999999999997E-5</v>
      </c>
      <c r="AA101" s="326">
        <v>-159</v>
      </c>
      <c r="AB101" s="327">
        <v>-8.187E-5</v>
      </c>
      <c r="AD101" s="326">
        <v>-159</v>
      </c>
      <c r="AE101" s="327">
        <v>-8.3640000000000006E-5</v>
      </c>
      <c r="AG101" s="326">
        <v>-159</v>
      </c>
      <c r="AH101" s="327">
        <v>-1.0186E-4</v>
      </c>
      <c r="AJ101" s="326">
        <v>-159</v>
      </c>
      <c r="AK101" s="327">
        <v>-1.3698000000000001E-4</v>
      </c>
      <c r="AM101" s="326">
        <v>-159</v>
      </c>
      <c r="AN101" s="327">
        <v>-1.0928E-4</v>
      </c>
    </row>
    <row r="102" spans="2:40" x14ac:dyDescent="0.15">
      <c r="B102" s="8"/>
      <c r="C102" s="8"/>
      <c r="D102" s="8"/>
      <c r="F102" s="8"/>
      <c r="G102" s="8"/>
      <c r="I102" s="8"/>
      <c r="J102" s="8"/>
      <c r="L102" s="8"/>
      <c r="M102" s="8"/>
      <c r="O102" s="8"/>
      <c r="P102" s="8"/>
      <c r="R102" s="8"/>
      <c r="S102" s="8"/>
      <c r="U102" s="8"/>
      <c r="V102" s="8"/>
      <c r="X102" s="8"/>
      <c r="Y102" s="8"/>
      <c r="AA102" s="8"/>
      <c r="AB102" s="8"/>
      <c r="AD102" s="8"/>
      <c r="AE102" s="8"/>
      <c r="AG102" s="8"/>
      <c r="AH102" s="8"/>
      <c r="AJ102" s="8"/>
      <c r="AK102" s="8"/>
      <c r="AM102" s="8"/>
      <c r="AN102" s="8"/>
    </row>
    <row r="103" spans="2:40" ht="14" x14ac:dyDescent="0.15">
      <c r="B103" s="325" t="s">
        <v>69</v>
      </c>
      <c r="C103" s="326">
        <v>-2997793.1356000002</v>
      </c>
      <c r="D103" s="327">
        <v>-0.19649627</v>
      </c>
      <c r="F103" s="326">
        <v>-440968.64</v>
      </c>
      <c r="G103" s="327">
        <v>-0.79796798999999996</v>
      </c>
      <c r="I103" s="326">
        <v>-1106530.3400000001</v>
      </c>
      <c r="J103" s="327">
        <v>-2.0933738700000002</v>
      </c>
      <c r="L103" s="326">
        <v>-1372564.49</v>
      </c>
      <c r="M103" s="327">
        <v>-1.28207205</v>
      </c>
      <c r="O103" s="326">
        <v>-369345.31</v>
      </c>
      <c r="P103" s="327">
        <v>-0.60501976000000002</v>
      </c>
      <c r="R103" s="326">
        <v>56939.68</v>
      </c>
      <c r="S103" s="327">
        <v>3.7035409999999998E-2</v>
      </c>
      <c r="U103" s="326">
        <v>-634338.22</v>
      </c>
      <c r="V103" s="327">
        <v>-0.62678809999999996</v>
      </c>
      <c r="X103" s="326">
        <v>511588.35379999998</v>
      </c>
      <c r="Y103" s="327">
        <v>0.26579361000000001</v>
      </c>
      <c r="AA103" s="326">
        <v>442806.1765</v>
      </c>
      <c r="AB103" s="327">
        <v>0.22800255999999999</v>
      </c>
      <c r="AD103" s="326">
        <v>382663.23700000002</v>
      </c>
      <c r="AE103" s="327">
        <v>0.20130464000000001</v>
      </c>
      <c r="AG103" s="326">
        <v>175207.86180000001</v>
      </c>
      <c r="AH103" s="327">
        <v>0.11223998</v>
      </c>
      <c r="AJ103" s="326">
        <v>-291512.76189999998</v>
      </c>
      <c r="AK103" s="327">
        <v>-0.25113805</v>
      </c>
      <c r="AM103" s="326">
        <v>-351738.68280000001</v>
      </c>
      <c r="AN103" s="327">
        <v>-0.24175572000000001</v>
      </c>
    </row>
    <row r="104" spans="2:40" x14ac:dyDescent="0.15">
      <c r="B104" s="8"/>
      <c r="C104" s="8"/>
      <c r="D104" s="8"/>
      <c r="F104" s="8"/>
      <c r="G104" s="8"/>
      <c r="I104" s="8"/>
      <c r="J104" s="8"/>
      <c r="L104" s="8"/>
      <c r="M104" s="8"/>
      <c r="O104" s="8"/>
      <c r="P104" s="8"/>
      <c r="R104" s="8"/>
      <c r="S104" s="8"/>
      <c r="U104" s="8"/>
      <c r="V104" s="8"/>
      <c r="X104" s="8"/>
      <c r="Y104" s="8"/>
      <c r="AA104" s="8"/>
      <c r="AB104" s="8"/>
      <c r="AD104" s="8"/>
      <c r="AE104" s="8"/>
      <c r="AG104" s="8"/>
      <c r="AH104" s="8"/>
      <c r="AJ104" s="8"/>
      <c r="AK104" s="8"/>
      <c r="AM104" s="8"/>
      <c r="AN104" s="8"/>
    </row>
    <row r="105" spans="2:40" ht="14" x14ac:dyDescent="0.15">
      <c r="B105" s="325" t="s">
        <v>70</v>
      </c>
      <c r="C105" s="326">
        <v>213418.96</v>
      </c>
      <c r="D105" s="327">
        <v>1.398897E-2</v>
      </c>
      <c r="F105" s="326">
        <v>11906.74</v>
      </c>
      <c r="G105" s="327">
        <v>2.1546200000000001E-2</v>
      </c>
      <c r="I105" s="326">
        <v>4601.59</v>
      </c>
      <c r="J105" s="327">
        <v>8.70545E-3</v>
      </c>
      <c r="L105" s="326">
        <v>148.55000000000001</v>
      </c>
      <c r="M105" s="327">
        <v>1.3876000000000001E-4</v>
      </c>
      <c r="O105" s="326">
        <v>0</v>
      </c>
      <c r="P105" s="327">
        <v>0</v>
      </c>
      <c r="R105" s="326">
        <v>334.08</v>
      </c>
      <c r="S105" s="327">
        <v>2.173E-4</v>
      </c>
      <c r="U105" s="326">
        <v>0</v>
      </c>
      <c r="V105" s="327">
        <v>0</v>
      </c>
      <c r="X105" s="326">
        <v>32738</v>
      </c>
      <c r="Y105" s="327">
        <v>1.7008889999999999E-2</v>
      </c>
      <c r="AA105" s="326">
        <v>32738</v>
      </c>
      <c r="AB105" s="327">
        <v>1.6856920000000001E-2</v>
      </c>
      <c r="AD105" s="326">
        <v>32738</v>
      </c>
      <c r="AE105" s="327">
        <v>1.722222E-2</v>
      </c>
      <c r="AG105" s="326">
        <v>32738</v>
      </c>
      <c r="AH105" s="327">
        <v>2.0972299999999999E-2</v>
      </c>
      <c r="AJ105" s="326">
        <v>32738</v>
      </c>
      <c r="AK105" s="327">
        <v>2.8203760000000001E-2</v>
      </c>
      <c r="AM105" s="326">
        <v>32738</v>
      </c>
      <c r="AN105" s="327">
        <v>2.2501360000000001E-2</v>
      </c>
    </row>
    <row r="106" spans="2:40" ht="14" x14ac:dyDescent="0.15">
      <c r="B106" s="5" t="s">
        <v>71</v>
      </c>
      <c r="C106" s="8">
        <v>0</v>
      </c>
      <c r="D106" s="7">
        <v>0</v>
      </c>
      <c r="F106" s="8">
        <v>0</v>
      </c>
      <c r="G106" s="7">
        <v>0</v>
      </c>
      <c r="I106" s="8">
        <v>0</v>
      </c>
      <c r="J106" s="7">
        <v>0</v>
      </c>
      <c r="L106" s="8">
        <v>0</v>
      </c>
      <c r="M106" s="7">
        <v>0</v>
      </c>
      <c r="O106" s="8">
        <v>0</v>
      </c>
      <c r="P106" s="7">
        <v>0</v>
      </c>
      <c r="R106" s="8">
        <v>0</v>
      </c>
      <c r="S106" s="7">
        <v>0</v>
      </c>
      <c r="U106" s="8">
        <v>0</v>
      </c>
      <c r="V106" s="7">
        <v>0</v>
      </c>
      <c r="X106" s="8">
        <v>0</v>
      </c>
      <c r="Y106" s="7">
        <v>0</v>
      </c>
      <c r="AA106" s="8">
        <v>0</v>
      </c>
      <c r="AB106" s="7">
        <v>0</v>
      </c>
      <c r="AD106" s="8">
        <v>0</v>
      </c>
      <c r="AE106" s="7">
        <v>0</v>
      </c>
      <c r="AG106" s="8">
        <v>0</v>
      </c>
      <c r="AH106" s="7">
        <v>0</v>
      </c>
      <c r="AJ106" s="8">
        <v>0</v>
      </c>
      <c r="AK106" s="7">
        <v>0</v>
      </c>
      <c r="AM106" s="8">
        <v>0</v>
      </c>
      <c r="AN106" s="7">
        <v>0</v>
      </c>
    </row>
    <row r="107" spans="2:40" ht="14" x14ac:dyDescent="0.15">
      <c r="B107" s="5" t="s">
        <v>72</v>
      </c>
      <c r="C107" s="8">
        <v>53384.22</v>
      </c>
      <c r="D107" s="7">
        <v>3.4991699999999998E-3</v>
      </c>
      <c r="F107" s="8">
        <v>0</v>
      </c>
      <c r="G107" s="7">
        <v>0</v>
      </c>
      <c r="I107" s="8">
        <v>4601.59</v>
      </c>
      <c r="J107" s="7">
        <v>8.70545E-3</v>
      </c>
      <c r="L107" s="8">
        <v>148.55000000000001</v>
      </c>
      <c r="M107" s="7">
        <v>1.3876000000000001E-4</v>
      </c>
      <c r="O107" s="8">
        <v>0</v>
      </c>
      <c r="P107" s="7">
        <v>0</v>
      </c>
      <c r="R107" s="8">
        <v>334.08</v>
      </c>
      <c r="S107" s="7">
        <v>2.173E-4</v>
      </c>
      <c r="U107" s="8">
        <v>0</v>
      </c>
      <c r="V107" s="7">
        <v>0</v>
      </c>
      <c r="X107" s="8">
        <v>8050</v>
      </c>
      <c r="Y107" s="7">
        <v>4.1823399999999997E-3</v>
      </c>
      <c r="AA107" s="8">
        <v>8050</v>
      </c>
      <c r="AB107" s="7">
        <v>4.1449799999999986E-3</v>
      </c>
      <c r="AD107" s="8">
        <v>8050</v>
      </c>
      <c r="AE107" s="7">
        <v>4.2348000000000004E-3</v>
      </c>
      <c r="AG107" s="8">
        <v>8050</v>
      </c>
      <c r="AH107" s="7">
        <v>5.1569099999999998E-3</v>
      </c>
      <c r="AJ107" s="8">
        <v>8050</v>
      </c>
      <c r="AK107" s="7">
        <v>6.9350699999999998E-3</v>
      </c>
      <c r="AM107" s="8">
        <v>8050</v>
      </c>
      <c r="AN107" s="7">
        <v>5.5328999999999986E-3</v>
      </c>
    </row>
    <row r="108" spans="2:40" ht="14" x14ac:dyDescent="0.15">
      <c r="B108" s="5" t="s">
        <v>73</v>
      </c>
      <c r="C108" s="8">
        <v>27000</v>
      </c>
      <c r="D108" s="7">
        <v>1.7697699999999999E-3</v>
      </c>
      <c r="F108" s="8">
        <v>0</v>
      </c>
      <c r="G108" s="7">
        <v>0</v>
      </c>
      <c r="I108" s="8">
        <v>0</v>
      </c>
      <c r="J108" s="7">
        <v>0</v>
      </c>
      <c r="L108" s="8">
        <v>0</v>
      </c>
      <c r="M108" s="7">
        <v>0</v>
      </c>
      <c r="O108" s="8">
        <v>0</v>
      </c>
      <c r="P108" s="7">
        <v>0</v>
      </c>
      <c r="R108" s="8">
        <v>0</v>
      </c>
      <c r="S108" s="7">
        <v>0</v>
      </c>
      <c r="U108" s="8">
        <v>0</v>
      </c>
      <c r="V108" s="7">
        <v>0</v>
      </c>
      <c r="X108" s="8">
        <v>4500</v>
      </c>
      <c r="Y108" s="7">
        <v>2.33796E-3</v>
      </c>
      <c r="AA108" s="8">
        <v>4500</v>
      </c>
      <c r="AB108" s="7">
        <v>2.3170700000000001E-3</v>
      </c>
      <c r="AD108" s="8">
        <v>4500</v>
      </c>
      <c r="AE108" s="7">
        <v>2.3672799999999998E-3</v>
      </c>
      <c r="AG108" s="8">
        <v>4500</v>
      </c>
      <c r="AH108" s="7">
        <v>2.8827499999999999E-3</v>
      </c>
      <c r="AJ108" s="8">
        <v>4500</v>
      </c>
      <c r="AK108" s="7">
        <v>3.87675E-3</v>
      </c>
      <c r="AM108" s="8">
        <v>4500</v>
      </c>
      <c r="AN108" s="7">
        <v>3.0929199999999999E-3</v>
      </c>
    </row>
    <row r="109" spans="2:40" ht="14" x14ac:dyDescent="0.15">
      <c r="B109" s="5" t="s">
        <v>74</v>
      </c>
      <c r="C109" s="8">
        <v>0</v>
      </c>
      <c r="D109" s="7">
        <v>0</v>
      </c>
      <c r="F109" s="8">
        <v>0</v>
      </c>
      <c r="G109" s="7">
        <v>0</v>
      </c>
      <c r="I109" s="8">
        <v>0</v>
      </c>
      <c r="J109" s="7">
        <v>0</v>
      </c>
      <c r="L109" s="8">
        <v>0</v>
      </c>
      <c r="M109" s="7">
        <v>0</v>
      </c>
      <c r="O109" s="8">
        <v>0</v>
      </c>
      <c r="P109" s="7">
        <v>0</v>
      </c>
      <c r="R109" s="8">
        <v>0</v>
      </c>
      <c r="S109" s="7">
        <v>0</v>
      </c>
      <c r="U109" s="8">
        <v>0</v>
      </c>
      <c r="V109" s="7">
        <v>0</v>
      </c>
      <c r="X109" s="8">
        <v>0</v>
      </c>
      <c r="Y109" s="7">
        <v>0</v>
      </c>
      <c r="AA109" s="8">
        <v>0</v>
      </c>
      <c r="AB109" s="7">
        <v>0</v>
      </c>
      <c r="AD109" s="8">
        <v>0</v>
      </c>
      <c r="AE109" s="7">
        <v>0</v>
      </c>
      <c r="AG109" s="8">
        <v>0</v>
      </c>
      <c r="AH109" s="7">
        <v>0</v>
      </c>
      <c r="AJ109" s="8">
        <v>0</v>
      </c>
      <c r="AK109" s="7">
        <v>0</v>
      </c>
      <c r="AM109" s="8">
        <v>0</v>
      </c>
      <c r="AN109" s="7">
        <v>0</v>
      </c>
    </row>
    <row r="110" spans="2:40" ht="14" x14ac:dyDescent="0.15">
      <c r="B110" s="5" t="s">
        <v>75</v>
      </c>
      <c r="C110" s="8">
        <v>0</v>
      </c>
      <c r="D110" s="7">
        <v>0</v>
      </c>
      <c r="F110" s="8">
        <v>0</v>
      </c>
      <c r="G110" s="7">
        <v>0</v>
      </c>
      <c r="I110" s="8">
        <v>0</v>
      </c>
      <c r="J110" s="7">
        <v>0</v>
      </c>
      <c r="L110" s="8">
        <v>0</v>
      </c>
      <c r="M110" s="7">
        <v>0</v>
      </c>
      <c r="O110" s="8">
        <v>0</v>
      </c>
      <c r="P110" s="7">
        <v>0</v>
      </c>
      <c r="R110" s="8">
        <v>0</v>
      </c>
      <c r="S110" s="7">
        <v>0</v>
      </c>
      <c r="U110" s="8">
        <v>0</v>
      </c>
      <c r="V110" s="7">
        <v>0</v>
      </c>
      <c r="X110" s="8">
        <v>0</v>
      </c>
      <c r="Y110" s="7">
        <v>0</v>
      </c>
      <c r="AA110" s="8">
        <v>0</v>
      </c>
      <c r="AB110" s="7">
        <v>0</v>
      </c>
      <c r="AD110" s="8">
        <v>0</v>
      </c>
      <c r="AE110" s="7">
        <v>0</v>
      </c>
      <c r="AG110" s="8">
        <v>0</v>
      </c>
      <c r="AH110" s="7">
        <v>0</v>
      </c>
      <c r="AJ110" s="8">
        <v>0</v>
      </c>
      <c r="AK110" s="7">
        <v>0</v>
      </c>
      <c r="AM110" s="8">
        <v>0</v>
      </c>
      <c r="AN110" s="7">
        <v>0</v>
      </c>
    </row>
    <row r="111" spans="2:40" ht="14" x14ac:dyDescent="0.15">
      <c r="B111" s="5" t="s">
        <v>76</v>
      </c>
      <c r="C111" s="8">
        <v>133034.74</v>
      </c>
      <c r="D111" s="7">
        <v>8.7200200000000002E-3</v>
      </c>
      <c r="F111" s="8">
        <v>11906.74</v>
      </c>
      <c r="G111" s="7">
        <v>2.1546200000000001E-2</v>
      </c>
      <c r="I111" s="8">
        <v>0</v>
      </c>
      <c r="J111" s="7">
        <v>0</v>
      </c>
      <c r="L111" s="8">
        <v>0</v>
      </c>
      <c r="M111" s="7">
        <v>0</v>
      </c>
      <c r="O111" s="8">
        <v>0</v>
      </c>
      <c r="P111" s="7">
        <v>0</v>
      </c>
      <c r="R111" s="8">
        <v>0</v>
      </c>
      <c r="S111" s="7">
        <v>0</v>
      </c>
      <c r="U111" s="8">
        <v>0</v>
      </c>
      <c r="V111" s="7">
        <v>0</v>
      </c>
      <c r="X111" s="8">
        <v>20188</v>
      </c>
      <c r="Y111" s="7">
        <v>1.0488590000000001E-2</v>
      </c>
      <c r="AA111" s="8">
        <v>20188</v>
      </c>
      <c r="AB111" s="7">
        <v>1.039488E-2</v>
      </c>
      <c r="AD111" s="8">
        <v>20188</v>
      </c>
      <c r="AE111" s="7">
        <v>1.062014E-2</v>
      </c>
      <c r="AG111" s="8">
        <v>20188</v>
      </c>
      <c r="AH111" s="7">
        <v>1.293264E-2</v>
      </c>
      <c r="AJ111" s="8">
        <v>20188</v>
      </c>
      <c r="AK111" s="7">
        <v>1.739195E-2</v>
      </c>
      <c r="AM111" s="8">
        <v>20188</v>
      </c>
      <c r="AN111" s="7">
        <v>1.387554E-2</v>
      </c>
    </row>
    <row r="112" spans="2:40" ht="14" x14ac:dyDescent="0.15">
      <c r="B112" s="5" t="s">
        <v>77</v>
      </c>
      <c r="C112" s="8">
        <v>0</v>
      </c>
      <c r="D112" s="7">
        <v>0</v>
      </c>
      <c r="F112" s="8">
        <v>0</v>
      </c>
      <c r="G112" s="7">
        <v>0</v>
      </c>
      <c r="I112" s="8">
        <v>0</v>
      </c>
      <c r="J112" s="7">
        <v>0</v>
      </c>
      <c r="L112" s="8">
        <v>0</v>
      </c>
      <c r="M112" s="7">
        <v>0</v>
      </c>
      <c r="O112" s="8">
        <v>0</v>
      </c>
      <c r="P112" s="7">
        <v>0</v>
      </c>
      <c r="R112" s="8">
        <v>0</v>
      </c>
      <c r="S112" s="7">
        <v>0</v>
      </c>
      <c r="U112" s="8">
        <v>0</v>
      </c>
      <c r="V112" s="7">
        <v>0</v>
      </c>
      <c r="X112" s="8">
        <v>0</v>
      </c>
      <c r="Y112" s="7">
        <v>0</v>
      </c>
      <c r="AA112" s="8">
        <v>0</v>
      </c>
      <c r="AB112" s="7">
        <v>0</v>
      </c>
      <c r="AD112" s="8">
        <v>0</v>
      </c>
      <c r="AE112" s="7">
        <v>0</v>
      </c>
      <c r="AG112" s="8">
        <v>0</v>
      </c>
      <c r="AH112" s="7">
        <v>0</v>
      </c>
      <c r="AJ112" s="8">
        <v>0</v>
      </c>
      <c r="AK112" s="7">
        <v>0</v>
      </c>
      <c r="AM112" s="8">
        <v>0</v>
      </c>
      <c r="AN112" s="7">
        <v>0</v>
      </c>
    </row>
    <row r="113" spans="2:40" ht="14" x14ac:dyDescent="0.15">
      <c r="B113" s="5" t="s">
        <v>78</v>
      </c>
      <c r="C113" s="8">
        <v>0</v>
      </c>
      <c r="D113" s="7">
        <v>0</v>
      </c>
      <c r="F113" s="8">
        <v>0</v>
      </c>
      <c r="G113" s="7">
        <v>0</v>
      </c>
      <c r="I113" s="8">
        <v>0</v>
      </c>
      <c r="J113" s="7">
        <v>0</v>
      </c>
      <c r="L113" s="8">
        <v>0</v>
      </c>
      <c r="M113" s="7">
        <v>0</v>
      </c>
      <c r="O113" s="8">
        <v>0</v>
      </c>
      <c r="P113" s="7">
        <v>0</v>
      </c>
      <c r="R113" s="8">
        <v>0</v>
      </c>
      <c r="S113" s="7">
        <v>0</v>
      </c>
      <c r="U113" s="8">
        <v>0</v>
      </c>
      <c r="V113" s="7">
        <v>0</v>
      </c>
      <c r="X113" s="8">
        <v>0</v>
      </c>
      <c r="Y113" s="7">
        <v>0</v>
      </c>
      <c r="AA113" s="8">
        <v>0</v>
      </c>
      <c r="AB113" s="7">
        <v>0</v>
      </c>
      <c r="AD113" s="8">
        <v>0</v>
      </c>
      <c r="AE113" s="7">
        <v>0</v>
      </c>
      <c r="AG113" s="8">
        <v>0</v>
      </c>
      <c r="AH113" s="7">
        <v>0</v>
      </c>
      <c r="AJ113" s="8">
        <v>0</v>
      </c>
      <c r="AK113" s="7">
        <v>0</v>
      </c>
      <c r="AM113" s="8">
        <v>0</v>
      </c>
      <c r="AN113" s="7">
        <v>0</v>
      </c>
    </row>
    <row r="114" spans="2:40" ht="14" x14ac:dyDescent="0.15">
      <c r="B114" s="5" t="s">
        <v>79</v>
      </c>
      <c r="C114" s="8">
        <v>0</v>
      </c>
      <c r="D114" s="7">
        <v>0</v>
      </c>
      <c r="F114" s="8">
        <v>0</v>
      </c>
      <c r="G114" s="7">
        <v>0</v>
      </c>
      <c r="I114" s="8">
        <v>0</v>
      </c>
      <c r="J114" s="7">
        <v>0</v>
      </c>
      <c r="L114" s="8">
        <v>0</v>
      </c>
      <c r="M114" s="7">
        <v>0</v>
      </c>
      <c r="O114" s="8">
        <v>0</v>
      </c>
      <c r="P114" s="7">
        <v>0</v>
      </c>
      <c r="R114" s="8">
        <v>0</v>
      </c>
      <c r="S114" s="7">
        <v>0</v>
      </c>
      <c r="U114" s="8">
        <v>0</v>
      </c>
      <c r="V114" s="7">
        <v>0</v>
      </c>
      <c r="X114" s="8">
        <v>0</v>
      </c>
      <c r="Y114" s="7">
        <v>0</v>
      </c>
      <c r="AA114" s="8">
        <v>0</v>
      </c>
      <c r="AB114" s="7">
        <v>0</v>
      </c>
      <c r="AD114" s="8">
        <v>0</v>
      </c>
      <c r="AE114" s="7">
        <v>0</v>
      </c>
      <c r="AG114" s="8">
        <v>0</v>
      </c>
      <c r="AH114" s="7">
        <v>0</v>
      </c>
      <c r="AJ114" s="8">
        <v>0</v>
      </c>
      <c r="AK114" s="7">
        <v>0</v>
      </c>
      <c r="AM114" s="8">
        <v>0</v>
      </c>
      <c r="AN114" s="7">
        <v>0</v>
      </c>
    </row>
    <row r="115" spans="2:40" ht="14" x14ac:dyDescent="0.15">
      <c r="B115" s="5" t="s">
        <v>80</v>
      </c>
      <c r="C115" s="8">
        <v>0</v>
      </c>
      <c r="D115" s="7">
        <v>0</v>
      </c>
      <c r="F115" s="8">
        <v>0</v>
      </c>
      <c r="G115" s="7">
        <v>0</v>
      </c>
      <c r="I115" s="8">
        <v>0</v>
      </c>
      <c r="J115" s="7">
        <v>0</v>
      </c>
      <c r="L115" s="8">
        <v>0</v>
      </c>
      <c r="M115" s="7">
        <v>0</v>
      </c>
      <c r="O115" s="8">
        <v>0</v>
      </c>
      <c r="P115" s="7">
        <v>0</v>
      </c>
      <c r="R115" s="8">
        <v>0</v>
      </c>
      <c r="S115" s="7">
        <v>0</v>
      </c>
      <c r="U115" s="8">
        <v>0</v>
      </c>
      <c r="V115" s="7">
        <v>0</v>
      </c>
      <c r="X115" s="8">
        <v>0</v>
      </c>
      <c r="Y115" s="7">
        <v>0</v>
      </c>
      <c r="AA115" s="8">
        <v>0</v>
      </c>
      <c r="AB115" s="7">
        <v>0</v>
      </c>
      <c r="AD115" s="8">
        <v>0</v>
      </c>
      <c r="AE115" s="7">
        <v>0</v>
      </c>
      <c r="AG115" s="8">
        <v>0</v>
      </c>
      <c r="AH115" s="7">
        <v>0</v>
      </c>
      <c r="AJ115" s="8">
        <v>0</v>
      </c>
      <c r="AK115" s="7">
        <v>0</v>
      </c>
      <c r="AM115" s="8">
        <v>0</v>
      </c>
      <c r="AN115" s="7">
        <v>0</v>
      </c>
    </row>
    <row r="116" spans="2:40" x14ac:dyDescent="0.15">
      <c r="B116" s="8"/>
      <c r="C116" s="8"/>
      <c r="D116" s="8"/>
      <c r="F116" s="8"/>
      <c r="G116" s="8"/>
      <c r="I116" s="8"/>
      <c r="J116" s="8"/>
      <c r="L116" s="8"/>
      <c r="M116" s="8"/>
      <c r="O116" s="8"/>
      <c r="P116" s="8"/>
      <c r="R116" s="8"/>
      <c r="S116" s="8"/>
      <c r="U116" s="8"/>
      <c r="V116" s="8"/>
      <c r="X116" s="8"/>
      <c r="Y116" s="8"/>
      <c r="AA116" s="8"/>
      <c r="AB116" s="8"/>
      <c r="AD116" s="8"/>
      <c r="AE116" s="8"/>
      <c r="AG116" s="8"/>
      <c r="AH116" s="8"/>
      <c r="AJ116" s="8"/>
      <c r="AK116" s="8"/>
      <c r="AM116" s="8"/>
      <c r="AN116" s="8"/>
    </row>
    <row r="117" spans="2:40" ht="14" x14ac:dyDescent="0.15">
      <c r="B117" s="325" t="s">
        <v>81</v>
      </c>
      <c r="C117" s="326">
        <v>0</v>
      </c>
      <c r="D117" s="327">
        <v>0</v>
      </c>
      <c r="F117" s="326">
        <v>0</v>
      </c>
      <c r="G117" s="327">
        <v>0</v>
      </c>
      <c r="I117" s="326">
        <v>0</v>
      </c>
      <c r="J117" s="327">
        <v>0</v>
      </c>
      <c r="L117" s="326">
        <v>0</v>
      </c>
      <c r="M117" s="327">
        <v>0</v>
      </c>
      <c r="O117" s="326">
        <v>0</v>
      </c>
      <c r="P117" s="327">
        <v>0</v>
      </c>
      <c r="R117" s="326">
        <v>0</v>
      </c>
      <c r="S117" s="327">
        <v>0</v>
      </c>
      <c r="U117" s="326">
        <v>0</v>
      </c>
      <c r="V117" s="327">
        <v>0</v>
      </c>
      <c r="X117" s="326">
        <v>0</v>
      </c>
      <c r="Y117" s="327">
        <v>0</v>
      </c>
      <c r="AA117" s="326">
        <v>0</v>
      </c>
      <c r="AB117" s="327">
        <v>0</v>
      </c>
      <c r="AD117" s="326">
        <v>0</v>
      </c>
      <c r="AE117" s="327">
        <v>0</v>
      </c>
      <c r="AG117" s="326">
        <v>0</v>
      </c>
      <c r="AH117" s="327">
        <v>0</v>
      </c>
      <c r="AJ117" s="326">
        <v>0</v>
      </c>
      <c r="AK117" s="327">
        <v>0</v>
      </c>
      <c r="AM117" s="326">
        <v>0</v>
      </c>
      <c r="AN117" s="327">
        <v>0</v>
      </c>
    </row>
    <row r="118" spans="2:40" ht="14" x14ac:dyDescent="0.15">
      <c r="B118" s="5" t="s">
        <v>82</v>
      </c>
      <c r="C118" s="8">
        <v>0</v>
      </c>
      <c r="D118" s="7">
        <v>0</v>
      </c>
      <c r="F118" s="8">
        <v>0</v>
      </c>
      <c r="G118" s="7">
        <v>0</v>
      </c>
      <c r="I118" s="8">
        <v>0</v>
      </c>
      <c r="J118" s="7">
        <v>0</v>
      </c>
      <c r="L118" s="8">
        <v>0</v>
      </c>
      <c r="M118" s="7">
        <v>0</v>
      </c>
      <c r="O118" s="8">
        <v>0</v>
      </c>
      <c r="P118" s="7">
        <v>0</v>
      </c>
      <c r="R118" s="8">
        <v>0</v>
      </c>
      <c r="S118" s="7">
        <v>0</v>
      </c>
      <c r="U118" s="8">
        <v>0</v>
      </c>
      <c r="V118" s="7">
        <v>0</v>
      </c>
      <c r="X118" s="8">
        <v>0</v>
      </c>
      <c r="Y118" s="7">
        <v>0</v>
      </c>
      <c r="AA118" s="8">
        <v>0</v>
      </c>
      <c r="AB118" s="7">
        <v>0</v>
      </c>
      <c r="AD118" s="8">
        <v>0</v>
      </c>
      <c r="AE118" s="7">
        <v>0</v>
      </c>
      <c r="AG118" s="8">
        <v>0</v>
      </c>
      <c r="AH118" s="7">
        <v>0</v>
      </c>
      <c r="AJ118" s="8">
        <v>0</v>
      </c>
      <c r="AK118" s="7">
        <v>0</v>
      </c>
      <c r="AM118" s="8">
        <v>0</v>
      </c>
      <c r="AN118" s="7">
        <v>0</v>
      </c>
    </row>
    <row r="119" spans="2:40" ht="14" x14ac:dyDescent="0.15">
      <c r="B119" s="5" t="s">
        <v>83</v>
      </c>
      <c r="C119" s="8">
        <v>0</v>
      </c>
      <c r="D119" s="7">
        <v>0</v>
      </c>
      <c r="F119" s="8">
        <v>0</v>
      </c>
      <c r="G119" s="7">
        <v>0</v>
      </c>
      <c r="I119" s="8">
        <v>0</v>
      </c>
      <c r="J119" s="7">
        <v>0</v>
      </c>
      <c r="L119" s="8">
        <v>0</v>
      </c>
      <c r="M119" s="7">
        <v>0</v>
      </c>
      <c r="O119" s="8">
        <v>0</v>
      </c>
      <c r="P119" s="7">
        <v>0</v>
      </c>
      <c r="R119" s="8">
        <v>0</v>
      </c>
      <c r="S119" s="7">
        <v>0</v>
      </c>
      <c r="U119" s="8">
        <v>0</v>
      </c>
      <c r="V119" s="7">
        <v>0</v>
      </c>
      <c r="X119" s="8">
        <v>0</v>
      </c>
      <c r="Y119" s="7">
        <v>0</v>
      </c>
      <c r="AA119" s="8">
        <v>0</v>
      </c>
      <c r="AB119" s="7">
        <v>0</v>
      </c>
      <c r="AD119" s="8">
        <v>0</v>
      </c>
      <c r="AE119" s="7">
        <v>0</v>
      </c>
      <c r="AG119" s="8">
        <v>0</v>
      </c>
      <c r="AH119" s="7">
        <v>0</v>
      </c>
      <c r="AJ119" s="8">
        <v>0</v>
      </c>
      <c r="AK119" s="7">
        <v>0</v>
      </c>
      <c r="AM119" s="8">
        <v>0</v>
      </c>
      <c r="AN119" s="7">
        <v>0</v>
      </c>
    </row>
    <row r="120" spans="2:40" x14ac:dyDescent="0.15">
      <c r="B120" s="8"/>
      <c r="C120" s="8"/>
      <c r="D120" s="8"/>
      <c r="F120" s="8"/>
      <c r="G120" s="8"/>
      <c r="I120" s="8"/>
      <c r="J120" s="8"/>
      <c r="L120" s="8"/>
      <c r="M120" s="8"/>
      <c r="O120" s="8"/>
      <c r="P120" s="8"/>
      <c r="R120" s="8"/>
      <c r="S120" s="8"/>
      <c r="U120" s="8"/>
      <c r="V120" s="8"/>
      <c r="X120" s="8"/>
      <c r="Y120" s="8"/>
      <c r="AA120" s="8"/>
      <c r="AB120" s="8"/>
      <c r="AD120" s="8"/>
      <c r="AE120" s="8"/>
      <c r="AG120" s="8"/>
      <c r="AH120" s="8"/>
      <c r="AJ120" s="8"/>
      <c r="AK120" s="8"/>
      <c r="AM120" s="8"/>
      <c r="AN120" s="8"/>
    </row>
    <row r="121" spans="2:40" ht="14" x14ac:dyDescent="0.15">
      <c r="B121" s="325" t="s">
        <v>84</v>
      </c>
      <c r="C121" s="326">
        <v>-3211212.0956000001</v>
      </c>
      <c r="D121" s="327">
        <v>-0.21048523999999999</v>
      </c>
      <c r="F121" s="326">
        <v>-452875.38</v>
      </c>
      <c r="G121" s="327">
        <v>-0.81951418000000009</v>
      </c>
      <c r="I121" s="326">
        <v>-1111131.93</v>
      </c>
      <c r="J121" s="327">
        <v>-2.1020793200000001</v>
      </c>
      <c r="L121" s="326">
        <v>-1372713.04</v>
      </c>
      <c r="M121" s="327">
        <v>-1.28221081</v>
      </c>
      <c r="O121" s="326">
        <v>-369345.31</v>
      </c>
      <c r="P121" s="327">
        <v>-0.60501976000000002</v>
      </c>
      <c r="R121" s="326">
        <v>56605.599999999999</v>
      </c>
      <c r="S121" s="327">
        <v>3.6818110000000001E-2</v>
      </c>
      <c r="U121" s="326">
        <v>-634338.22</v>
      </c>
      <c r="V121" s="327">
        <v>-0.62678809999999996</v>
      </c>
      <c r="X121" s="326">
        <v>478850.35379999998</v>
      </c>
      <c r="Y121" s="327">
        <v>0.24878470999999999</v>
      </c>
      <c r="AA121" s="326">
        <v>410068.1765</v>
      </c>
      <c r="AB121" s="327">
        <v>0.21114564</v>
      </c>
      <c r="AD121" s="326">
        <v>349925.23700000002</v>
      </c>
      <c r="AE121" s="327">
        <v>0.18408241</v>
      </c>
      <c r="AG121" s="326">
        <v>142469.86180000001</v>
      </c>
      <c r="AH121" s="327">
        <v>9.1267680000000004E-2</v>
      </c>
      <c r="AJ121" s="326">
        <v>-324250.76189999998</v>
      </c>
      <c r="AK121" s="327">
        <v>-0.27934181000000002</v>
      </c>
      <c r="AM121" s="326">
        <v>-384476.68280000001</v>
      </c>
      <c r="AN121" s="327">
        <v>-0.26425707999999998</v>
      </c>
    </row>
    <row r="122" spans="2:40" ht="14" x14ac:dyDescent="0.15">
      <c r="B122" s="5" t="s">
        <v>85</v>
      </c>
      <c r="C122" s="8">
        <v>0</v>
      </c>
      <c r="D122" s="7">
        <v>0</v>
      </c>
      <c r="F122" s="8">
        <v>0</v>
      </c>
      <c r="G122" s="7">
        <v>0</v>
      </c>
      <c r="I122" s="8">
        <v>0</v>
      </c>
      <c r="J122" s="7">
        <v>0</v>
      </c>
      <c r="L122" s="8">
        <v>0</v>
      </c>
      <c r="M122" s="7">
        <v>0</v>
      </c>
      <c r="O122" s="8">
        <v>0</v>
      </c>
      <c r="P122" s="7">
        <v>0</v>
      </c>
      <c r="R122" s="8">
        <v>0</v>
      </c>
      <c r="S122" s="7">
        <v>0</v>
      </c>
      <c r="U122" s="8">
        <v>0</v>
      </c>
      <c r="V122" s="7">
        <v>0</v>
      </c>
      <c r="X122" s="8">
        <v>0</v>
      </c>
      <c r="Y122" s="7">
        <v>0</v>
      </c>
      <c r="AA122" s="8">
        <v>0</v>
      </c>
      <c r="AB122" s="7">
        <v>0</v>
      </c>
      <c r="AD122" s="8">
        <v>0</v>
      </c>
      <c r="AE122" s="7">
        <v>0</v>
      </c>
      <c r="AG122" s="8">
        <v>0</v>
      </c>
      <c r="AH122" s="7">
        <v>0</v>
      </c>
      <c r="AJ122" s="8">
        <v>0</v>
      </c>
      <c r="AK122" s="7">
        <v>0</v>
      </c>
      <c r="AM122" s="8">
        <v>0</v>
      </c>
      <c r="AN122" s="7">
        <v>0</v>
      </c>
    </row>
    <row r="123" spans="2:40" x14ac:dyDescent="0.15">
      <c r="B123" s="8"/>
      <c r="C123" s="8"/>
      <c r="D123" s="8"/>
      <c r="F123" s="8"/>
      <c r="G123" s="8"/>
      <c r="I123" s="8"/>
      <c r="J123" s="8"/>
      <c r="L123" s="8"/>
      <c r="M123" s="8"/>
      <c r="O123" s="8"/>
      <c r="P123" s="8"/>
      <c r="R123" s="8"/>
      <c r="S123" s="8"/>
      <c r="U123" s="8"/>
      <c r="V123" s="8"/>
      <c r="X123" s="8"/>
      <c r="Y123" s="8"/>
      <c r="AA123" s="8"/>
      <c r="AB123" s="8"/>
      <c r="AD123" s="8"/>
      <c r="AE123" s="8"/>
      <c r="AG123" s="8"/>
      <c r="AH123" s="8"/>
      <c r="AJ123" s="8"/>
      <c r="AK123" s="8"/>
      <c r="AM123" s="8"/>
      <c r="AN123" s="8"/>
    </row>
    <row r="124" spans="2:40" ht="14" x14ac:dyDescent="0.15">
      <c r="B124" s="325" t="s">
        <v>86</v>
      </c>
      <c r="C124" s="326">
        <v>-3211212.0956000001</v>
      </c>
      <c r="D124" s="327">
        <v>-0.21048523999999999</v>
      </c>
      <c r="F124" s="326">
        <v>-452875.38</v>
      </c>
      <c r="G124" s="327">
        <v>-0.81951418000000009</v>
      </c>
      <c r="I124" s="326">
        <v>-1111131.93</v>
      </c>
      <c r="J124" s="327">
        <v>-2.1020793200000001</v>
      </c>
      <c r="L124" s="326">
        <v>-1372713.04</v>
      </c>
      <c r="M124" s="327">
        <v>-1.28221081</v>
      </c>
      <c r="O124" s="326">
        <v>-369345.31</v>
      </c>
      <c r="P124" s="327">
        <v>-0.60501976000000002</v>
      </c>
      <c r="R124" s="326">
        <v>56605.599999999999</v>
      </c>
      <c r="S124" s="327">
        <v>3.6818110000000001E-2</v>
      </c>
      <c r="U124" s="326">
        <v>-634338.22</v>
      </c>
      <c r="V124" s="327">
        <v>-0.62678809999999996</v>
      </c>
      <c r="X124" s="326">
        <v>478850.35379999998</v>
      </c>
      <c r="Y124" s="327">
        <v>0.24878470999999999</v>
      </c>
      <c r="AA124" s="326">
        <v>410068.1765</v>
      </c>
      <c r="AB124" s="327">
        <v>0.21114564</v>
      </c>
      <c r="AD124" s="326">
        <v>349925.23700000002</v>
      </c>
      <c r="AE124" s="327">
        <v>0.18408241</v>
      </c>
      <c r="AG124" s="326">
        <v>142469.86180000001</v>
      </c>
      <c r="AH124" s="327">
        <v>9.1267680000000004E-2</v>
      </c>
      <c r="AJ124" s="326">
        <v>-324250.76189999998</v>
      </c>
      <c r="AK124" s="327">
        <v>-0.27934181000000002</v>
      </c>
      <c r="AM124" s="326">
        <v>-384476.68280000001</v>
      </c>
      <c r="AN124" s="327">
        <v>-0.26425707999999998</v>
      </c>
    </row>
    <row r="125" spans="2:40" ht="14" x14ac:dyDescent="0.15">
      <c r="B125" s="5" t="s">
        <v>87</v>
      </c>
      <c r="C125" s="8">
        <v>0</v>
      </c>
      <c r="D125" s="7">
        <v>0</v>
      </c>
      <c r="F125" s="8">
        <v>0</v>
      </c>
      <c r="G125" s="7">
        <v>0</v>
      </c>
      <c r="I125" s="8">
        <v>0</v>
      </c>
      <c r="J125" s="7">
        <v>0</v>
      </c>
      <c r="L125" s="8">
        <v>0</v>
      </c>
      <c r="M125" s="7">
        <v>0</v>
      </c>
      <c r="O125" s="8">
        <v>0</v>
      </c>
      <c r="P125" s="7">
        <v>0</v>
      </c>
      <c r="R125" s="8">
        <v>0</v>
      </c>
      <c r="S125" s="7">
        <v>0</v>
      </c>
      <c r="U125" s="8">
        <v>0</v>
      </c>
      <c r="V125" s="7">
        <v>0</v>
      </c>
      <c r="X125" s="8">
        <v>0</v>
      </c>
      <c r="Y125" s="7">
        <v>0</v>
      </c>
      <c r="AA125" s="8">
        <v>0</v>
      </c>
      <c r="AB125" s="7">
        <v>0</v>
      </c>
      <c r="AD125" s="8">
        <v>0</v>
      </c>
      <c r="AE125" s="7">
        <v>0</v>
      </c>
      <c r="AG125" s="8">
        <v>0</v>
      </c>
      <c r="AH125" s="7">
        <v>0</v>
      </c>
      <c r="AJ125" s="8">
        <v>0</v>
      </c>
      <c r="AK125" s="7">
        <v>0</v>
      </c>
      <c r="AM125" s="8">
        <v>0</v>
      </c>
      <c r="AN125" s="7">
        <v>0</v>
      </c>
    </row>
    <row r="126" spans="2:40" x14ac:dyDescent="0.15">
      <c r="B126" s="8"/>
      <c r="C126" s="8"/>
      <c r="D126" s="8"/>
      <c r="F126" s="8"/>
      <c r="G126" s="8"/>
      <c r="I126" s="8"/>
      <c r="J126" s="8"/>
      <c r="L126" s="8"/>
      <c r="M126" s="8"/>
      <c r="O126" s="8"/>
      <c r="P126" s="8"/>
      <c r="R126" s="8"/>
      <c r="S126" s="8"/>
      <c r="U126" s="8"/>
      <c r="V126" s="8"/>
      <c r="X126" s="8"/>
      <c r="Y126" s="8"/>
      <c r="AA126" s="8"/>
      <c r="AB126" s="8"/>
      <c r="AD126" s="8"/>
      <c r="AE126" s="8"/>
      <c r="AG126" s="8"/>
      <c r="AH126" s="8"/>
      <c r="AJ126" s="8"/>
      <c r="AK126" s="8"/>
      <c r="AM126" s="8"/>
      <c r="AN126" s="8"/>
    </row>
    <row r="127" spans="2:40" ht="14" x14ac:dyDescent="0.15">
      <c r="B127" s="325" t="s">
        <v>88</v>
      </c>
      <c r="C127" s="326">
        <v>-3211212.0956000001</v>
      </c>
      <c r="D127" s="327">
        <v>-0.21048523999999999</v>
      </c>
      <c r="F127" s="326">
        <v>-452875.38</v>
      </c>
      <c r="G127" s="327">
        <v>-0.81951418000000009</v>
      </c>
      <c r="I127" s="326">
        <v>-1111131.93</v>
      </c>
      <c r="J127" s="327">
        <v>-2.1020793200000001</v>
      </c>
      <c r="L127" s="326">
        <v>-1372713.04</v>
      </c>
      <c r="M127" s="327">
        <v>-1.28221081</v>
      </c>
      <c r="O127" s="326">
        <v>-369345.31</v>
      </c>
      <c r="P127" s="327">
        <v>-0.60501976000000002</v>
      </c>
      <c r="R127" s="326">
        <v>56605.599999999999</v>
      </c>
      <c r="S127" s="327">
        <v>3.6818110000000001E-2</v>
      </c>
      <c r="U127" s="326">
        <v>-634338.22</v>
      </c>
      <c r="V127" s="327">
        <v>-0.62678809999999996</v>
      </c>
      <c r="X127" s="326">
        <v>478850.35379999998</v>
      </c>
      <c r="Y127" s="327">
        <v>0.24878470999999999</v>
      </c>
      <c r="AA127" s="326">
        <v>410068.1765</v>
      </c>
      <c r="AB127" s="327">
        <v>0.21114564</v>
      </c>
      <c r="AD127" s="326">
        <v>349925.23700000002</v>
      </c>
      <c r="AE127" s="327">
        <v>0.18408241</v>
      </c>
      <c r="AG127" s="326">
        <v>142469.86180000001</v>
      </c>
      <c r="AH127" s="327">
        <v>9.1267680000000004E-2</v>
      </c>
      <c r="AJ127" s="326">
        <v>-324250.76189999998</v>
      </c>
      <c r="AK127" s="327">
        <v>-0.27934181000000002</v>
      </c>
      <c r="AM127" s="326">
        <v>-384476.68280000001</v>
      </c>
      <c r="AN127" s="327">
        <v>-0.26425707999999998</v>
      </c>
    </row>
    <row r="128" spans="2:40" x14ac:dyDescent="0.15">
      <c r="B128" s="8"/>
      <c r="C128" s="8"/>
      <c r="D128" s="8"/>
      <c r="F128" s="8"/>
      <c r="G128" s="8"/>
      <c r="I128" s="8"/>
      <c r="J128" s="8"/>
      <c r="L128" s="8"/>
      <c r="M128" s="8"/>
      <c r="O128" s="8"/>
      <c r="P128" s="8"/>
      <c r="R128" s="8"/>
      <c r="S128" s="8"/>
      <c r="U128" s="8"/>
      <c r="V128" s="8"/>
      <c r="X128" s="8"/>
      <c r="Y128" s="8"/>
      <c r="AA128" s="8"/>
      <c r="AB128" s="8"/>
      <c r="AD128" s="8"/>
      <c r="AE128" s="8"/>
      <c r="AG128" s="8"/>
      <c r="AH128" s="8"/>
      <c r="AJ128" s="8"/>
      <c r="AK128" s="8"/>
      <c r="AM128" s="8"/>
      <c r="AN128" s="8"/>
    </row>
    <row r="129" spans="2:40" ht="14" x14ac:dyDescent="0.15">
      <c r="B129" s="325" t="s">
        <v>89</v>
      </c>
      <c r="C129" s="326">
        <v>0</v>
      </c>
      <c r="D129" s="327">
        <v>0</v>
      </c>
      <c r="F129" s="326">
        <v>0</v>
      </c>
      <c r="G129" s="327">
        <v>0</v>
      </c>
      <c r="I129" s="326">
        <v>0</v>
      </c>
      <c r="J129" s="327">
        <v>0</v>
      </c>
      <c r="L129" s="326">
        <v>0</v>
      </c>
      <c r="M129" s="327">
        <v>0</v>
      </c>
      <c r="O129" s="326">
        <v>0</v>
      </c>
      <c r="P129" s="327">
        <v>0</v>
      </c>
      <c r="R129" s="326">
        <v>0</v>
      </c>
      <c r="S129" s="327">
        <v>0</v>
      </c>
      <c r="U129" s="326">
        <v>0</v>
      </c>
      <c r="V129" s="327">
        <v>0</v>
      </c>
      <c r="X129" s="326">
        <v>0</v>
      </c>
      <c r="Y129" s="327">
        <v>0</v>
      </c>
      <c r="AA129" s="326">
        <v>0</v>
      </c>
      <c r="AB129" s="327">
        <v>0</v>
      </c>
      <c r="AD129" s="326">
        <v>0</v>
      </c>
      <c r="AE129" s="327">
        <v>0</v>
      </c>
      <c r="AG129" s="326">
        <v>0</v>
      </c>
      <c r="AH129" s="327">
        <v>0</v>
      </c>
      <c r="AJ129" s="326">
        <v>0</v>
      </c>
      <c r="AK129" s="327">
        <v>0</v>
      </c>
      <c r="AM129" s="326">
        <v>0</v>
      </c>
      <c r="AN129" s="327">
        <v>0</v>
      </c>
    </row>
    <row r="130" spans="2:40" ht="14" x14ac:dyDescent="0.15">
      <c r="B130" s="5" t="s">
        <v>90</v>
      </c>
      <c r="C130" s="8">
        <v>0</v>
      </c>
      <c r="D130" s="7">
        <v>0</v>
      </c>
      <c r="F130" s="8">
        <v>0</v>
      </c>
      <c r="G130" s="7">
        <v>0</v>
      </c>
      <c r="I130" s="8">
        <v>0</v>
      </c>
      <c r="J130" s="7">
        <v>0</v>
      </c>
      <c r="L130" s="8">
        <v>0</v>
      </c>
      <c r="M130" s="7">
        <v>0</v>
      </c>
      <c r="O130" s="8">
        <v>0</v>
      </c>
      <c r="P130" s="7">
        <v>0</v>
      </c>
      <c r="R130" s="8">
        <v>0</v>
      </c>
      <c r="S130" s="7">
        <v>0</v>
      </c>
      <c r="U130" s="8">
        <v>0</v>
      </c>
      <c r="V130" s="7">
        <v>0</v>
      </c>
      <c r="X130" s="8">
        <v>0</v>
      </c>
      <c r="Y130" s="7">
        <v>0</v>
      </c>
      <c r="AA130" s="8">
        <v>0</v>
      </c>
      <c r="AB130" s="7">
        <v>0</v>
      </c>
      <c r="AD130" s="8">
        <v>0</v>
      </c>
      <c r="AE130" s="7">
        <v>0</v>
      </c>
      <c r="AG130" s="8">
        <v>0</v>
      </c>
      <c r="AH130" s="7">
        <v>0</v>
      </c>
      <c r="AJ130" s="8">
        <v>0</v>
      </c>
      <c r="AK130" s="7">
        <v>0</v>
      </c>
      <c r="AM130" s="8">
        <v>0</v>
      </c>
      <c r="AN130" s="7">
        <v>0</v>
      </c>
    </row>
    <row r="131" spans="2:40" ht="14" x14ac:dyDescent="0.15">
      <c r="B131" s="5" t="s">
        <v>91</v>
      </c>
      <c r="C131" s="8">
        <v>0</v>
      </c>
      <c r="D131" s="7">
        <v>0</v>
      </c>
      <c r="F131" s="8">
        <v>0</v>
      </c>
      <c r="G131" s="7">
        <v>0</v>
      </c>
      <c r="I131" s="8">
        <v>0</v>
      </c>
      <c r="J131" s="7">
        <v>0</v>
      </c>
      <c r="L131" s="8">
        <v>0</v>
      </c>
      <c r="M131" s="7">
        <v>0</v>
      </c>
      <c r="O131" s="8">
        <v>0</v>
      </c>
      <c r="P131" s="7">
        <v>0</v>
      </c>
      <c r="R131" s="8">
        <v>0</v>
      </c>
      <c r="S131" s="7">
        <v>0</v>
      </c>
      <c r="U131" s="8">
        <v>0</v>
      </c>
      <c r="V131" s="7">
        <v>0</v>
      </c>
      <c r="X131" s="8">
        <v>0</v>
      </c>
      <c r="Y131" s="7">
        <v>0</v>
      </c>
      <c r="AA131" s="8">
        <v>0</v>
      </c>
      <c r="AB131" s="7">
        <v>0</v>
      </c>
      <c r="AD131" s="8">
        <v>0</v>
      </c>
      <c r="AE131" s="7">
        <v>0</v>
      </c>
      <c r="AG131" s="8">
        <v>0</v>
      </c>
      <c r="AH131" s="7">
        <v>0</v>
      </c>
      <c r="AJ131" s="8">
        <v>0</v>
      </c>
      <c r="AK131" s="7">
        <v>0</v>
      </c>
      <c r="AM131" s="8">
        <v>0</v>
      </c>
      <c r="AN131" s="7">
        <v>0</v>
      </c>
    </row>
    <row r="132" spans="2:40" ht="14" x14ac:dyDescent="0.15">
      <c r="B132" s="5" t="s">
        <v>92</v>
      </c>
      <c r="C132" s="8">
        <v>0</v>
      </c>
      <c r="D132" s="7">
        <v>0</v>
      </c>
      <c r="F132" s="8">
        <v>0</v>
      </c>
      <c r="G132" s="7">
        <v>0</v>
      </c>
      <c r="I132" s="8">
        <v>0</v>
      </c>
      <c r="J132" s="7">
        <v>0</v>
      </c>
      <c r="L132" s="8">
        <v>0</v>
      </c>
      <c r="M132" s="7">
        <v>0</v>
      </c>
      <c r="O132" s="8">
        <v>0</v>
      </c>
      <c r="P132" s="7">
        <v>0</v>
      </c>
      <c r="R132" s="8">
        <v>0</v>
      </c>
      <c r="S132" s="7">
        <v>0</v>
      </c>
      <c r="U132" s="8">
        <v>0</v>
      </c>
      <c r="V132" s="7">
        <v>0</v>
      </c>
      <c r="X132" s="8">
        <v>0</v>
      </c>
      <c r="Y132" s="7">
        <v>0</v>
      </c>
      <c r="AA132" s="8">
        <v>0</v>
      </c>
      <c r="AB132" s="7">
        <v>0</v>
      </c>
      <c r="AD132" s="8">
        <v>0</v>
      </c>
      <c r="AE132" s="7">
        <v>0</v>
      </c>
      <c r="AG132" s="8">
        <v>0</v>
      </c>
      <c r="AH132" s="7">
        <v>0</v>
      </c>
      <c r="AJ132" s="8">
        <v>0</v>
      </c>
      <c r="AK132" s="7">
        <v>0</v>
      </c>
      <c r="AM132" s="8">
        <v>0</v>
      </c>
      <c r="AN132" s="7">
        <v>0</v>
      </c>
    </row>
    <row r="133" spans="2:40" x14ac:dyDescent="0.15">
      <c r="B133" s="8"/>
      <c r="C133" s="8"/>
      <c r="D133" s="8"/>
      <c r="F133" s="8"/>
      <c r="G133" s="8"/>
      <c r="I133" s="8"/>
      <c r="J133" s="8"/>
      <c r="L133" s="8"/>
      <c r="M133" s="8"/>
      <c r="O133" s="8"/>
      <c r="P133" s="8"/>
      <c r="R133" s="8"/>
      <c r="S133" s="8"/>
      <c r="U133" s="8"/>
      <c r="V133" s="8"/>
      <c r="X133" s="8"/>
      <c r="Y133" s="8"/>
      <c r="AA133" s="8"/>
      <c r="AB133" s="8"/>
      <c r="AD133" s="8"/>
      <c r="AE133" s="8"/>
      <c r="AG133" s="8"/>
      <c r="AH133" s="8"/>
      <c r="AJ133" s="8"/>
      <c r="AK133" s="8"/>
      <c r="AM133" s="8"/>
      <c r="AN133" s="8"/>
    </row>
    <row r="134" spans="2:40" ht="14" x14ac:dyDescent="0.15">
      <c r="B134" s="325" t="s">
        <v>93</v>
      </c>
      <c r="C134" s="326">
        <v>-3211212.0956000001</v>
      </c>
      <c r="D134" s="327">
        <v>-0.21048523999999999</v>
      </c>
      <c r="F134" s="326">
        <v>-452875.38</v>
      </c>
      <c r="G134" s="327">
        <v>-0.81951418000000009</v>
      </c>
      <c r="I134" s="326">
        <v>-1111131.93</v>
      </c>
      <c r="J134" s="327">
        <v>-2.1020793200000001</v>
      </c>
      <c r="L134" s="326">
        <v>-1372713.04</v>
      </c>
      <c r="M134" s="327">
        <v>-1.28221081</v>
      </c>
      <c r="O134" s="326">
        <v>-369345.31</v>
      </c>
      <c r="P134" s="327">
        <v>-0.60501976000000002</v>
      </c>
      <c r="R134" s="326">
        <v>56605.599999999999</v>
      </c>
      <c r="S134" s="327">
        <v>3.6818110000000001E-2</v>
      </c>
      <c r="U134" s="326">
        <v>-634338.22</v>
      </c>
      <c r="V134" s="327">
        <v>-0.62678809999999996</v>
      </c>
      <c r="X134" s="326">
        <v>478850.35379999998</v>
      </c>
      <c r="Y134" s="327">
        <v>0.24878470999999999</v>
      </c>
      <c r="AA134" s="326">
        <v>410068.1765</v>
      </c>
      <c r="AB134" s="327">
        <v>0.21114564</v>
      </c>
      <c r="AD134" s="326">
        <v>349925.23700000002</v>
      </c>
      <c r="AE134" s="327">
        <v>0.18408241</v>
      </c>
      <c r="AG134" s="326">
        <v>142469.86180000001</v>
      </c>
      <c r="AH134" s="327">
        <v>9.1267680000000004E-2</v>
      </c>
      <c r="AJ134" s="326">
        <v>-324250.76189999998</v>
      </c>
      <c r="AK134" s="327">
        <v>-0.27934181000000002</v>
      </c>
      <c r="AM134" s="326">
        <v>-384476.68280000001</v>
      </c>
      <c r="AN134" s="327">
        <v>-0.26425707999999998</v>
      </c>
    </row>
    <row r="135" spans="2:40" x14ac:dyDescent="0.15">
      <c r="B135" s="8"/>
      <c r="C135" s="8"/>
      <c r="D135" s="8"/>
      <c r="F135" s="8"/>
      <c r="G135" s="8"/>
      <c r="I135" s="8"/>
      <c r="J135" s="8"/>
      <c r="L135" s="8"/>
      <c r="M135" s="8"/>
      <c r="O135" s="8"/>
      <c r="P135" s="8"/>
      <c r="R135" s="8"/>
      <c r="S135" s="8"/>
      <c r="U135" s="8"/>
      <c r="V135" s="8"/>
      <c r="X135" s="8"/>
      <c r="Y135" s="8"/>
      <c r="AA135" s="8"/>
      <c r="AB135" s="8"/>
      <c r="AD135" s="8"/>
      <c r="AE135" s="8"/>
      <c r="AG135" s="8"/>
      <c r="AH135" s="8"/>
      <c r="AJ135" s="8"/>
      <c r="AK135" s="8"/>
      <c r="AM135" s="8"/>
      <c r="AN135" s="8"/>
    </row>
    <row r="136" spans="2:40" ht="14" x14ac:dyDescent="0.15">
      <c r="B136" s="325" t="s">
        <v>94</v>
      </c>
      <c r="C136" s="326">
        <v>275943.05</v>
      </c>
      <c r="D136" s="327">
        <v>1.8087229999999999E-2</v>
      </c>
      <c r="F136" s="326">
        <v>27808.720000000001</v>
      </c>
      <c r="G136" s="327">
        <v>5.0322100000000002E-2</v>
      </c>
      <c r="I136" s="326">
        <v>27808.720000000001</v>
      </c>
      <c r="J136" s="327">
        <v>5.2609540000000003E-2</v>
      </c>
      <c r="L136" s="326">
        <v>0</v>
      </c>
      <c r="M136" s="327">
        <v>0</v>
      </c>
      <c r="O136" s="326">
        <v>37769.61</v>
      </c>
      <c r="P136" s="327">
        <v>6.186991E-2</v>
      </c>
      <c r="R136" s="326">
        <v>0</v>
      </c>
      <c r="S136" s="327">
        <v>0</v>
      </c>
      <c r="U136" s="326">
        <v>0</v>
      </c>
      <c r="V136" s="327">
        <v>0</v>
      </c>
      <c r="X136" s="326">
        <v>30426</v>
      </c>
      <c r="Y136" s="327">
        <v>1.5807700000000001E-2</v>
      </c>
      <c r="AA136" s="326">
        <v>30426</v>
      </c>
      <c r="AB136" s="327">
        <v>1.566646E-2</v>
      </c>
      <c r="AD136" s="326">
        <v>30426</v>
      </c>
      <c r="AE136" s="327">
        <v>1.6005970000000001E-2</v>
      </c>
      <c r="AG136" s="326">
        <v>30426</v>
      </c>
      <c r="AH136" s="327">
        <v>1.9491209999999998E-2</v>
      </c>
      <c r="AJ136" s="326">
        <v>30426</v>
      </c>
      <c r="AK136" s="327">
        <v>2.6211979999999999E-2</v>
      </c>
      <c r="AM136" s="326">
        <v>30426</v>
      </c>
      <c r="AN136" s="327">
        <v>2.0912279999999998E-2</v>
      </c>
    </row>
    <row r="137" spans="2:40" ht="14" x14ac:dyDescent="0.15">
      <c r="B137" s="5" t="s">
        <v>95</v>
      </c>
      <c r="C137" s="8">
        <v>275943.05</v>
      </c>
      <c r="D137" s="7">
        <v>1.8087229999999999E-2</v>
      </c>
      <c r="F137" s="8">
        <v>27808.720000000001</v>
      </c>
      <c r="G137" s="7">
        <v>5.0322100000000002E-2</v>
      </c>
      <c r="I137" s="8">
        <v>27808.720000000001</v>
      </c>
      <c r="J137" s="7">
        <v>5.2609540000000003E-2</v>
      </c>
      <c r="L137" s="8">
        <v>0</v>
      </c>
      <c r="M137" s="7">
        <v>0</v>
      </c>
      <c r="O137" s="8">
        <v>37769.61</v>
      </c>
      <c r="P137" s="7">
        <v>6.186991E-2</v>
      </c>
      <c r="R137" s="8">
        <v>0</v>
      </c>
      <c r="S137" s="7">
        <v>0</v>
      </c>
      <c r="U137" s="8">
        <v>0</v>
      </c>
      <c r="V137" s="7">
        <v>0</v>
      </c>
      <c r="X137" s="8">
        <v>30426</v>
      </c>
      <c r="Y137" s="7">
        <v>1.5807700000000001E-2</v>
      </c>
      <c r="AA137" s="8">
        <v>30426</v>
      </c>
      <c r="AB137" s="7">
        <v>1.566646E-2</v>
      </c>
      <c r="AD137" s="8">
        <v>30426</v>
      </c>
      <c r="AE137" s="7">
        <v>1.6005970000000001E-2</v>
      </c>
      <c r="AG137" s="8">
        <v>30426</v>
      </c>
      <c r="AH137" s="7">
        <v>1.9491209999999998E-2</v>
      </c>
      <c r="AJ137" s="8">
        <v>30426</v>
      </c>
      <c r="AK137" s="7">
        <v>2.6211979999999999E-2</v>
      </c>
      <c r="AM137" s="8">
        <v>30426</v>
      </c>
      <c r="AN137" s="7">
        <v>2.0912279999999998E-2</v>
      </c>
    </row>
    <row r="138" spans="2:40" ht="14" x14ac:dyDescent="0.15">
      <c r="B138" s="5" t="s">
        <v>96</v>
      </c>
      <c r="C138" s="8">
        <v>0</v>
      </c>
      <c r="D138" s="7">
        <v>0</v>
      </c>
      <c r="F138" s="8">
        <v>0</v>
      </c>
      <c r="G138" s="7">
        <v>0</v>
      </c>
      <c r="I138" s="8">
        <v>0</v>
      </c>
      <c r="J138" s="7">
        <v>0</v>
      </c>
      <c r="L138" s="8">
        <v>0</v>
      </c>
      <c r="M138" s="7">
        <v>0</v>
      </c>
      <c r="O138" s="8">
        <v>0</v>
      </c>
      <c r="P138" s="7">
        <v>0</v>
      </c>
      <c r="R138" s="8">
        <v>0</v>
      </c>
      <c r="S138" s="7">
        <v>0</v>
      </c>
      <c r="U138" s="8">
        <v>0</v>
      </c>
      <c r="V138" s="7">
        <v>0</v>
      </c>
      <c r="X138" s="8">
        <v>0</v>
      </c>
      <c r="Y138" s="7">
        <v>0</v>
      </c>
      <c r="AA138" s="8">
        <v>0</v>
      </c>
      <c r="AB138" s="7">
        <v>0</v>
      </c>
      <c r="AD138" s="8">
        <v>0</v>
      </c>
      <c r="AE138" s="7">
        <v>0</v>
      </c>
      <c r="AG138" s="8">
        <v>0</v>
      </c>
      <c r="AH138" s="7">
        <v>0</v>
      </c>
      <c r="AJ138" s="8">
        <v>0</v>
      </c>
      <c r="AK138" s="7">
        <v>0</v>
      </c>
      <c r="AM138" s="8">
        <v>0</v>
      </c>
      <c r="AN138" s="7">
        <v>0</v>
      </c>
    </row>
    <row r="139" spans="2:40" ht="14" x14ac:dyDescent="0.15">
      <c r="B139" s="5" t="s">
        <v>97</v>
      </c>
      <c r="C139" s="8">
        <v>0</v>
      </c>
      <c r="D139" s="7">
        <v>0</v>
      </c>
      <c r="F139" s="8">
        <v>0</v>
      </c>
      <c r="G139" s="7">
        <v>0</v>
      </c>
      <c r="I139" s="8">
        <v>0</v>
      </c>
      <c r="J139" s="7">
        <v>0</v>
      </c>
      <c r="L139" s="8">
        <v>0</v>
      </c>
      <c r="M139" s="7">
        <v>0</v>
      </c>
      <c r="O139" s="8">
        <v>0</v>
      </c>
      <c r="P139" s="7">
        <v>0</v>
      </c>
      <c r="R139" s="8">
        <v>0</v>
      </c>
      <c r="S139" s="7">
        <v>0</v>
      </c>
      <c r="U139" s="8">
        <v>0</v>
      </c>
      <c r="V139" s="7">
        <v>0</v>
      </c>
      <c r="X139" s="8">
        <v>0</v>
      </c>
      <c r="Y139" s="7">
        <v>0</v>
      </c>
      <c r="AA139" s="8">
        <v>0</v>
      </c>
      <c r="AB139" s="7">
        <v>0</v>
      </c>
      <c r="AD139" s="8">
        <v>0</v>
      </c>
      <c r="AE139" s="7">
        <v>0</v>
      </c>
      <c r="AG139" s="8">
        <v>0</v>
      </c>
      <c r="AH139" s="7">
        <v>0</v>
      </c>
      <c r="AJ139" s="8">
        <v>0</v>
      </c>
      <c r="AK139" s="7">
        <v>0</v>
      </c>
      <c r="AM139" s="8">
        <v>0</v>
      </c>
      <c r="AN139" s="7">
        <v>0</v>
      </c>
    </row>
    <row r="140" spans="2:40" x14ac:dyDescent="0.15">
      <c r="B140" s="8"/>
      <c r="C140" s="8"/>
      <c r="D140" s="8"/>
      <c r="F140" s="8"/>
      <c r="G140" s="8"/>
      <c r="I140" s="8"/>
      <c r="J140" s="8"/>
      <c r="L140" s="8"/>
      <c r="M140" s="8"/>
      <c r="O140" s="8"/>
      <c r="P140" s="8"/>
      <c r="R140" s="8"/>
      <c r="S140" s="8"/>
      <c r="U140" s="8"/>
      <c r="V140" s="8"/>
      <c r="X140" s="8"/>
      <c r="Y140" s="8"/>
      <c r="AA140" s="8"/>
      <c r="AB140" s="8"/>
      <c r="AD140" s="8"/>
      <c r="AE140" s="8"/>
      <c r="AG140" s="8"/>
      <c r="AH140" s="8"/>
      <c r="AJ140" s="8"/>
      <c r="AK140" s="8"/>
      <c r="AM140" s="8"/>
      <c r="AN140" s="8"/>
    </row>
    <row r="141" spans="2:40" ht="28" x14ac:dyDescent="0.15">
      <c r="B141" s="325" t="s">
        <v>98</v>
      </c>
      <c r="C141" s="326">
        <v>-3487155.1455999999</v>
      </c>
      <c r="D141" s="327">
        <v>-0.22857247</v>
      </c>
      <c r="F141" s="326">
        <v>-480684.1</v>
      </c>
      <c r="G141" s="327">
        <v>-0.86983627999999991</v>
      </c>
      <c r="I141" s="326">
        <v>-1138940.6499999999</v>
      </c>
      <c r="J141" s="327">
        <v>-2.1546888599999998</v>
      </c>
      <c r="L141" s="326">
        <v>-1372713.04</v>
      </c>
      <c r="M141" s="327">
        <v>-1.28221081</v>
      </c>
      <c r="O141" s="326">
        <v>-407114.92</v>
      </c>
      <c r="P141" s="327">
        <v>-0.66688965999999994</v>
      </c>
      <c r="R141" s="326">
        <v>56605.599999999999</v>
      </c>
      <c r="S141" s="327">
        <v>3.6818110000000001E-2</v>
      </c>
      <c r="U141" s="326">
        <v>-634338.22</v>
      </c>
      <c r="V141" s="327">
        <v>-0.62678809999999996</v>
      </c>
      <c r="X141" s="326">
        <v>448424.35379999998</v>
      </c>
      <c r="Y141" s="327">
        <v>0.23297701000000001</v>
      </c>
      <c r="AA141" s="326">
        <v>379642.1765</v>
      </c>
      <c r="AB141" s="327">
        <v>0.19547918</v>
      </c>
      <c r="AD141" s="326">
        <v>319499.23700000002</v>
      </c>
      <c r="AE141" s="327">
        <v>0.16807644999999999</v>
      </c>
      <c r="AG141" s="326">
        <v>112043.8618</v>
      </c>
      <c r="AH141" s="327">
        <v>7.1776470000000009E-2</v>
      </c>
      <c r="AJ141" s="326">
        <v>-354676.76189999998</v>
      </c>
      <c r="AK141" s="327">
        <v>-0.30555378999999999</v>
      </c>
      <c r="AM141" s="326">
        <v>-414902.68280000001</v>
      </c>
      <c r="AN141" s="327">
        <v>-0.28516935999999998</v>
      </c>
    </row>
    <row r="142" spans="2:40" ht="14" x14ac:dyDescent="0.15">
      <c r="B142" s="5" t="s">
        <v>99</v>
      </c>
      <c r="C142" s="8">
        <v>90609</v>
      </c>
      <c r="D142" s="7">
        <v>5.9391499999999998E-3</v>
      </c>
      <c r="F142" s="8">
        <v>0</v>
      </c>
      <c r="G142" s="7">
        <v>0</v>
      </c>
      <c r="I142" s="8">
        <v>14399</v>
      </c>
      <c r="J142" s="7">
        <v>2.7240549999999999E-2</v>
      </c>
      <c r="L142" s="8">
        <v>8337</v>
      </c>
      <c r="M142" s="7">
        <v>7.7873499999999993E-3</v>
      </c>
      <c r="O142" s="8">
        <v>7326</v>
      </c>
      <c r="P142" s="7">
        <v>1.200063E-2</v>
      </c>
      <c r="R142" s="8">
        <v>7831</v>
      </c>
      <c r="S142" s="7">
        <v>5.0935399999999997E-3</v>
      </c>
      <c r="U142" s="8">
        <v>7326</v>
      </c>
      <c r="V142" s="7">
        <v>7.2388000000000001E-3</v>
      </c>
      <c r="X142" s="8">
        <v>7565</v>
      </c>
      <c r="Y142" s="7">
        <v>3.9303599999999999E-3</v>
      </c>
      <c r="AA142" s="8">
        <v>7565</v>
      </c>
      <c r="AB142" s="7">
        <v>3.8952499999999998E-3</v>
      </c>
      <c r="AD142" s="8">
        <v>7565</v>
      </c>
      <c r="AE142" s="7">
        <v>3.9796599999999986E-3</v>
      </c>
      <c r="AG142" s="8">
        <v>7565</v>
      </c>
      <c r="AH142" s="7">
        <v>4.84622E-3</v>
      </c>
      <c r="AJ142" s="8">
        <v>7565</v>
      </c>
      <c r="AK142" s="7">
        <v>6.5172399999999997E-3</v>
      </c>
      <c r="AM142" s="8">
        <v>7565</v>
      </c>
      <c r="AN142" s="7">
        <v>5.1995499999999998E-3</v>
      </c>
    </row>
    <row r="143" spans="2:40" x14ac:dyDescent="0.15">
      <c r="B143" s="8"/>
      <c r="C143" s="8"/>
      <c r="D143" s="8"/>
      <c r="F143" s="8"/>
      <c r="G143" s="8"/>
      <c r="I143" s="8"/>
      <c r="J143" s="8"/>
      <c r="L143" s="8"/>
      <c r="M143" s="8"/>
      <c r="O143" s="8"/>
      <c r="P143" s="8"/>
      <c r="R143" s="8"/>
      <c r="S143" s="8"/>
      <c r="U143" s="8"/>
      <c r="V143" s="8"/>
      <c r="X143" s="8"/>
      <c r="Y143" s="8"/>
      <c r="AA143" s="8"/>
      <c r="AB143" s="8"/>
      <c r="AD143" s="8"/>
      <c r="AE143" s="8"/>
      <c r="AG143" s="8"/>
      <c r="AH143" s="8"/>
      <c r="AJ143" s="8"/>
      <c r="AK143" s="8"/>
      <c r="AM143" s="8"/>
      <c r="AN143" s="8"/>
    </row>
    <row r="144" spans="2:40" ht="14" x14ac:dyDescent="0.15">
      <c r="B144" s="325" t="s">
        <v>100</v>
      </c>
      <c r="C144" s="326">
        <v>-3577764.1455999999</v>
      </c>
      <c r="D144" s="327">
        <v>-0.23451161000000001</v>
      </c>
      <c r="F144" s="326">
        <v>-480684.1</v>
      </c>
      <c r="G144" s="327">
        <v>-0.86983627999999991</v>
      </c>
      <c r="I144" s="326">
        <v>-1153339.6499999999</v>
      </c>
      <c r="J144" s="327">
        <v>-2.18192941</v>
      </c>
      <c r="L144" s="326">
        <v>-1381050.04</v>
      </c>
      <c r="M144" s="327">
        <v>-1.28999815</v>
      </c>
      <c r="O144" s="326">
        <v>-414440.92</v>
      </c>
      <c r="P144" s="327">
        <v>-0.6788902899999999</v>
      </c>
      <c r="R144" s="326">
        <v>48774.6</v>
      </c>
      <c r="S144" s="327">
        <v>3.1724580000000002E-2</v>
      </c>
      <c r="U144" s="326">
        <v>-641664.22</v>
      </c>
      <c r="V144" s="327">
        <v>-0.63402689999999995</v>
      </c>
      <c r="X144" s="326">
        <v>440859.35379999998</v>
      </c>
      <c r="Y144" s="327">
        <v>0.22904664999999999</v>
      </c>
      <c r="AA144" s="326">
        <v>372077.1765</v>
      </c>
      <c r="AB144" s="327">
        <v>0.19158393000000001</v>
      </c>
      <c r="AD144" s="326">
        <v>311934.23700000002</v>
      </c>
      <c r="AE144" s="327">
        <v>0.16409678999999999</v>
      </c>
      <c r="AG144" s="326">
        <v>104478.8618</v>
      </c>
      <c r="AH144" s="327">
        <v>6.6930249999999997E-2</v>
      </c>
      <c r="AJ144" s="326">
        <v>-362241.76189999998</v>
      </c>
      <c r="AK144" s="327">
        <v>-0.31207103000000003</v>
      </c>
      <c r="AM144" s="326">
        <v>-422467.68280000001</v>
      </c>
      <c r="AN144" s="327">
        <v>-0.29036890999999998</v>
      </c>
    </row>
    <row r="145" spans="2:40" ht="14" x14ac:dyDescent="0.15">
      <c r="B145" s="5" t="s">
        <v>101</v>
      </c>
      <c r="C145" s="8">
        <v>0</v>
      </c>
      <c r="D145" s="7">
        <v>0</v>
      </c>
      <c r="F145" s="8">
        <v>0</v>
      </c>
      <c r="G145" s="7">
        <v>0</v>
      </c>
      <c r="I145" s="8">
        <v>0</v>
      </c>
      <c r="J145" s="7">
        <v>0</v>
      </c>
      <c r="L145" s="8">
        <v>0</v>
      </c>
      <c r="M145" s="7">
        <v>0</v>
      </c>
      <c r="O145" s="8">
        <v>0</v>
      </c>
      <c r="P145" s="7">
        <v>0</v>
      </c>
      <c r="R145" s="8">
        <v>0</v>
      </c>
      <c r="S145" s="7">
        <v>0</v>
      </c>
      <c r="U145" s="8">
        <v>0</v>
      </c>
      <c r="V145" s="7">
        <v>0</v>
      </c>
      <c r="X145" s="8">
        <v>0</v>
      </c>
      <c r="Y145" s="7">
        <v>0</v>
      </c>
      <c r="AA145" s="8">
        <v>0</v>
      </c>
      <c r="AB145" s="7">
        <v>0</v>
      </c>
      <c r="AD145" s="8">
        <v>0</v>
      </c>
      <c r="AE145" s="7">
        <v>0</v>
      </c>
      <c r="AG145" s="8">
        <v>0</v>
      </c>
      <c r="AH145" s="7">
        <v>0</v>
      </c>
      <c r="AJ145" s="8">
        <v>0</v>
      </c>
      <c r="AK145" s="7">
        <v>0</v>
      </c>
      <c r="AM145" s="8">
        <v>0</v>
      </c>
      <c r="AN145" s="7">
        <v>0</v>
      </c>
    </row>
    <row r="146" spans="2:40" x14ac:dyDescent="0.15">
      <c r="B146" s="8"/>
      <c r="C146" s="8"/>
      <c r="D146" s="8"/>
      <c r="F146" s="8"/>
      <c r="G146" s="8"/>
      <c r="I146" s="8"/>
      <c r="J146" s="8"/>
      <c r="L146" s="8"/>
      <c r="M146" s="8"/>
      <c r="O146" s="8"/>
      <c r="P146" s="8"/>
      <c r="R146" s="8"/>
      <c r="S146" s="8"/>
      <c r="U146" s="8"/>
      <c r="V146" s="8"/>
      <c r="X146" s="8"/>
      <c r="Y146" s="8"/>
      <c r="AA146" s="8"/>
      <c r="AB146" s="8"/>
      <c r="AD146" s="8"/>
      <c r="AE146" s="8"/>
      <c r="AG146" s="8"/>
      <c r="AH146" s="8"/>
      <c r="AJ146" s="8"/>
      <c r="AK146" s="8"/>
      <c r="AM146" s="8"/>
      <c r="AN146" s="8"/>
    </row>
    <row r="147" spans="2:40" ht="28" x14ac:dyDescent="0.15">
      <c r="B147" s="325" t="s">
        <v>102</v>
      </c>
      <c r="C147" s="326">
        <v>-3577764.1455999999</v>
      </c>
      <c r="D147" s="327">
        <v>-0.23451161000000001</v>
      </c>
      <c r="F147" s="326">
        <v>-480684.1</v>
      </c>
      <c r="G147" s="327">
        <v>-0.86983627999999991</v>
      </c>
      <c r="I147" s="326">
        <v>-1153339.6499999999</v>
      </c>
      <c r="J147" s="327">
        <v>-2.18192941</v>
      </c>
      <c r="L147" s="326">
        <v>-1381050.04</v>
      </c>
      <c r="M147" s="327">
        <v>-1.28999815</v>
      </c>
      <c r="O147" s="326">
        <v>-414440.92</v>
      </c>
      <c r="P147" s="327">
        <v>-0.6788902899999999</v>
      </c>
      <c r="R147" s="326">
        <v>48774.6</v>
      </c>
      <c r="S147" s="327">
        <v>3.1724580000000002E-2</v>
      </c>
      <c r="U147" s="326">
        <v>-641664.22</v>
      </c>
      <c r="V147" s="327">
        <v>-0.63402689999999995</v>
      </c>
      <c r="X147" s="326">
        <v>440859.35379999998</v>
      </c>
      <c r="Y147" s="327">
        <v>0.22904664999999999</v>
      </c>
      <c r="AA147" s="326">
        <v>372077.1765</v>
      </c>
      <c r="AB147" s="327">
        <v>0.19158393000000001</v>
      </c>
      <c r="AD147" s="326">
        <v>311934.23700000002</v>
      </c>
      <c r="AE147" s="327">
        <v>0.16409678999999999</v>
      </c>
      <c r="AG147" s="326">
        <v>104478.8618</v>
      </c>
      <c r="AH147" s="327">
        <v>6.6930249999999997E-2</v>
      </c>
      <c r="AJ147" s="326">
        <v>-362241.76189999998</v>
      </c>
      <c r="AK147" s="327">
        <v>-0.31207103000000003</v>
      </c>
      <c r="AM147" s="326">
        <v>-422467.68280000001</v>
      </c>
      <c r="AN147" s="327">
        <v>-0.29036890999999998</v>
      </c>
    </row>
    <row r="148" spans="2:40" ht="14" x14ac:dyDescent="0.15">
      <c r="B148" s="5" t="s">
        <v>103</v>
      </c>
      <c r="C148" s="8">
        <v>0</v>
      </c>
      <c r="D148" s="7">
        <v>0</v>
      </c>
      <c r="F148" s="8">
        <v>0</v>
      </c>
      <c r="G148" s="7">
        <v>0</v>
      </c>
      <c r="I148" s="8">
        <v>0</v>
      </c>
      <c r="J148" s="7">
        <v>0</v>
      </c>
      <c r="L148" s="8">
        <v>0</v>
      </c>
      <c r="M148" s="7">
        <v>0</v>
      </c>
      <c r="O148" s="8">
        <v>0</v>
      </c>
      <c r="P148" s="7">
        <v>0</v>
      </c>
      <c r="R148" s="8">
        <v>0</v>
      </c>
      <c r="S148" s="7">
        <v>0</v>
      </c>
      <c r="U148" s="8">
        <v>0</v>
      </c>
      <c r="V148" s="7">
        <v>0</v>
      </c>
      <c r="X148" s="8">
        <v>0</v>
      </c>
      <c r="Y148" s="7">
        <v>0</v>
      </c>
      <c r="AA148" s="8">
        <v>0</v>
      </c>
      <c r="AB148" s="7">
        <v>0</v>
      </c>
      <c r="AD148" s="8">
        <v>0</v>
      </c>
      <c r="AE148" s="7">
        <v>0</v>
      </c>
      <c r="AG148" s="8">
        <v>0</v>
      </c>
      <c r="AH148" s="7">
        <v>0</v>
      </c>
      <c r="AJ148" s="8">
        <v>0</v>
      </c>
      <c r="AK148" s="7">
        <v>0</v>
      </c>
      <c r="AM148" s="8">
        <v>0</v>
      </c>
      <c r="AN148" s="7">
        <v>0</v>
      </c>
    </row>
    <row r="149" spans="2:40" x14ac:dyDescent="0.15">
      <c r="B149" s="8"/>
      <c r="C149" s="8"/>
      <c r="D149" s="8"/>
      <c r="F149" s="8"/>
      <c r="G149" s="8"/>
      <c r="I149" s="8"/>
      <c r="J149" s="8"/>
      <c r="L149" s="8"/>
      <c r="M149" s="8"/>
      <c r="O149" s="8"/>
      <c r="P149" s="8"/>
      <c r="R149" s="8"/>
      <c r="S149" s="8"/>
      <c r="U149" s="8"/>
      <c r="V149" s="8"/>
      <c r="X149" s="8"/>
      <c r="Y149" s="8"/>
      <c r="AA149" s="8"/>
      <c r="AB149" s="8"/>
      <c r="AD149" s="8"/>
      <c r="AE149" s="8"/>
      <c r="AG149" s="8"/>
      <c r="AH149" s="8"/>
      <c r="AJ149" s="8"/>
      <c r="AK149" s="8"/>
      <c r="AM149" s="8"/>
      <c r="AN149" s="8"/>
    </row>
    <row r="150" spans="2:40" ht="14" x14ac:dyDescent="0.15">
      <c r="B150" s="325" t="s">
        <v>104</v>
      </c>
      <c r="C150" s="326">
        <v>-3577764.1455999999</v>
      </c>
      <c r="D150" s="327">
        <v>-0.23451161000000001</v>
      </c>
      <c r="F150" s="326">
        <v>-480684.1</v>
      </c>
      <c r="G150" s="327">
        <v>-0.86983627999999991</v>
      </c>
      <c r="I150" s="326">
        <v>-1153339.6499999999</v>
      </c>
      <c r="J150" s="327">
        <v>-2.18192941</v>
      </c>
      <c r="L150" s="326">
        <v>-1381050.04</v>
      </c>
      <c r="M150" s="327">
        <v>-1.28999815</v>
      </c>
      <c r="O150" s="326">
        <v>-414440.92</v>
      </c>
      <c r="P150" s="327">
        <v>-0.6788902899999999</v>
      </c>
      <c r="R150" s="326">
        <v>48774.6</v>
      </c>
      <c r="S150" s="327">
        <v>3.1724580000000002E-2</v>
      </c>
      <c r="U150" s="326">
        <v>-641664.22</v>
      </c>
      <c r="V150" s="327">
        <v>-0.63402689999999995</v>
      </c>
      <c r="X150" s="326">
        <v>440859.35379999998</v>
      </c>
      <c r="Y150" s="327">
        <v>0.22904664999999999</v>
      </c>
      <c r="AA150" s="326">
        <v>372077.1765</v>
      </c>
      <c r="AB150" s="327">
        <v>0.19158393000000001</v>
      </c>
      <c r="AD150" s="326">
        <v>311934.23700000002</v>
      </c>
      <c r="AE150" s="327">
        <v>0.16409678999999999</v>
      </c>
      <c r="AG150" s="326">
        <v>104478.8618</v>
      </c>
      <c r="AH150" s="327">
        <v>6.6930249999999997E-2</v>
      </c>
      <c r="AJ150" s="326">
        <v>-362241.76189999998</v>
      </c>
      <c r="AK150" s="327">
        <v>-0.31207103000000003</v>
      </c>
      <c r="AM150" s="326">
        <v>-422467.68280000001</v>
      </c>
      <c r="AN150" s="327">
        <v>-0.29036890999999998</v>
      </c>
    </row>
    <row r="151" spans="2:40" x14ac:dyDescent="0.15">
      <c r="B151" s="8"/>
      <c r="C151" s="8"/>
      <c r="D151" s="8"/>
      <c r="F151" s="8"/>
      <c r="G151" s="8"/>
      <c r="I151" s="8"/>
      <c r="J151" s="8"/>
      <c r="L151" s="8"/>
      <c r="M151" s="8"/>
      <c r="O151" s="8"/>
      <c r="P151" s="8"/>
      <c r="R151" s="8"/>
      <c r="S151" s="8"/>
      <c r="U151" s="8"/>
      <c r="V151" s="8"/>
      <c r="X151" s="8"/>
      <c r="Y151" s="8"/>
      <c r="AA151" s="8"/>
      <c r="AB151" s="8"/>
      <c r="AD151" s="8"/>
      <c r="AE151" s="8"/>
      <c r="AG151" s="8"/>
      <c r="AH151" s="8"/>
      <c r="AJ151" s="8"/>
      <c r="AK151" s="8"/>
      <c r="AM151" s="8"/>
      <c r="AN151" s="8"/>
    </row>
    <row r="152" spans="2:40" ht="14" x14ac:dyDescent="0.15">
      <c r="B152" s="328" t="s">
        <v>105</v>
      </c>
      <c r="C152" s="329"/>
      <c r="D152" s="329"/>
      <c r="F152" s="329"/>
      <c r="G152" s="329"/>
      <c r="I152" s="329"/>
      <c r="J152" s="329"/>
      <c r="L152" s="329"/>
      <c r="M152" s="329"/>
      <c r="O152" s="329"/>
      <c r="P152" s="329"/>
      <c r="R152" s="329"/>
      <c r="S152" s="329"/>
      <c r="U152" s="329"/>
      <c r="V152" s="329"/>
      <c r="X152" s="329"/>
      <c r="Y152" s="329"/>
      <c r="AA152" s="329"/>
      <c r="AB152" s="329"/>
      <c r="AD152" s="329"/>
      <c r="AE152" s="329"/>
      <c r="AG152" s="329"/>
      <c r="AH152" s="329"/>
      <c r="AJ152" s="329"/>
      <c r="AK152" s="329"/>
      <c r="AM152" s="329"/>
      <c r="AN152" s="329"/>
    </row>
    <row r="153" spans="2:40" ht="14" x14ac:dyDescent="0.15">
      <c r="B153" s="5" t="s">
        <v>106</v>
      </c>
      <c r="C153" s="6">
        <v>-4193451.4056000002</v>
      </c>
      <c r="D153" s="7">
        <v>-0.27486804999999997</v>
      </c>
      <c r="F153" s="8">
        <v>-468777.36</v>
      </c>
      <c r="G153" s="7">
        <v>-0.84829009</v>
      </c>
      <c r="I153" s="8">
        <v>-1268229.6499999999</v>
      </c>
      <c r="J153" s="7">
        <v>-2.3992824399999999</v>
      </c>
      <c r="L153" s="8">
        <v>-1457014.04</v>
      </c>
      <c r="M153" s="7">
        <v>-1.36095389</v>
      </c>
      <c r="O153" s="8">
        <v>-483166.92</v>
      </c>
      <c r="P153" s="7">
        <v>-0.79146945999999996</v>
      </c>
      <c r="R153" s="8">
        <v>-24692.400000000001</v>
      </c>
      <c r="S153" s="7">
        <v>-1.606074E-2</v>
      </c>
      <c r="U153" s="8">
        <v>-722683.22</v>
      </c>
      <c r="V153" s="7">
        <v>-0.71408158999999993</v>
      </c>
      <c r="X153" s="8">
        <v>405271.35379999998</v>
      </c>
      <c r="Y153" s="7">
        <v>0.21055705</v>
      </c>
      <c r="AA153" s="8">
        <v>336489.1765</v>
      </c>
      <c r="AB153" s="7">
        <v>0.17325953999999999</v>
      </c>
      <c r="AD153" s="8">
        <v>276346.23700000002</v>
      </c>
      <c r="AE153" s="7">
        <v>0.14537528999999999</v>
      </c>
      <c r="AG153" s="8">
        <v>68890.861799999999</v>
      </c>
      <c r="AH153" s="7">
        <v>4.4132200000000003E-2</v>
      </c>
      <c r="AJ153" s="8">
        <v>-397829.76189999998</v>
      </c>
      <c r="AK153" s="7">
        <v>-0.34273007</v>
      </c>
      <c r="AM153" s="8">
        <v>-458055.68280000001</v>
      </c>
      <c r="AN153" s="7">
        <v>-0.31482912000000002</v>
      </c>
    </row>
    <row r="154" spans="2:40" ht="14" x14ac:dyDescent="0.15">
      <c r="B154" s="5" t="s">
        <v>107</v>
      </c>
      <c r="C154" s="6">
        <v>-4220451.4056000002</v>
      </c>
      <c r="D154" s="7">
        <v>-0.27663781999999998</v>
      </c>
      <c r="F154" s="8">
        <v>-468777.36</v>
      </c>
      <c r="G154" s="7">
        <v>-0.84829009</v>
      </c>
      <c r="I154" s="8">
        <v>-1268229.6499999999</v>
      </c>
      <c r="J154" s="7">
        <v>-2.3992824399999999</v>
      </c>
      <c r="L154" s="8">
        <v>-1457014.04</v>
      </c>
      <c r="M154" s="7">
        <v>-1.36095389</v>
      </c>
      <c r="O154" s="8">
        <v>-483166.92</v>
      </c>
      <c r="P154" s="7">
        <v>-0.79146945999999996</v>
      </c>
      <c r="R154" s="8">
        <v>-24692.400000000001</v>
      </c>
      <c r="S154" s="7">
        <v>-1.606074E-2</v>
      </c>
      <c r="U154" s="8">
        <v>-722683.22</v>
      </c>
      <c r="V154" s="7">
        <v>-0.71408158999999993</v>
      </c>
      <c r="X154" s="8">
        <v>400771.35379999998</v>
      </c>
      <c r="Y154" s="7">
        <v>0.20821909</v>
      </c>
      <c r="AA154" s="8">
        <v>331989.1765</v>
      </c>
      <c r="AB154" s="7">
        <v>0.17094247000000001</v>
      </c>
      <c r="AD154" s="8">
        <v>271846.23700000002</v>
      </c>
      <c r="AE154" s="7">
        <v>0.14300800999999999</v>
      </c>
      <c r="AG154" s="8">
        <v>64390.861799999999</v>
      </c>
      <c r="AH154" s="7">
        <v>4.1249459999999988E-2</v>
      </c>
      <c r="AJ154" s="8">
        <v>-402329.76189999998</v>
      </c>
      <c r="AK154" s="7">
        <v>-0.34660681999999998</v>
      </c>
      <c r="AM154" s="8">
        <v>-462555.68280000001</v>
      </c>
      <c r="AN154" s="7">
        <v>-0.31792205000000001</v>
      </c>
    </row>
    <row r="155" spans="2:40" ht="14" x14ac:dyDescent="0.15">
      <c r="B155" s="325" t="s">
        <v>108</v>
      </c>
      <c r="C155" s="330">
        <v>0</v>
      </c>
      <c r="D155" s="327">
        <v>0</v>
      </c>
      <c r="F155" s="326">
        <v>0</v>
      </c>
      <c r="G155" s="327">
        <v>0</v>
      </c>
      <c r="I155" s="326">
        <v>0</v>
      </c>
      <c r="J155" s="327">
        <v>0</v>
      </c>
      <c r="L155" s="326">
        <v>0</v>
      </c>
      <c r="M155" s="327">
        <v>0</v>
      </c>
      <c r="O155" s="326">
        <v>0</v>
      </c>
      <c r="P155" s="327">
        <v>0</v>
      </c>
      <c r="R155" s="326">
        <v>0</v>
      </c>
      <c r="S155" s="327">
        <v>0</v>
      </c>
      <c r="U155" s="326">
        <v>0</v>
      </c>
      <c r="V155" s="327">
        <v>0</v>
      </c>
      <c r="X155" s="326">
        <v>0</v>
      </c>
      <c r="Y155" s="327">
        <v>0</v>
      </c>
      <c r="AA155" s="326">
        <v>0</v>
      </c>
      <c r="AB155" s="327">
        <v>0</v>
      </c>
      <c r="AD155" s="326">
        <v>0</v>
      </c>
      <c r="AE155" s="327">
        <v>0</v>
      </c>
      <c r="AG155" s="326">
        <v>0</v>
      </c>
      <c r="AH155" s="327">
        <v>0</v>
      </c>
      <c r="AJ155" s="326">
        <v>0</v>
      </c>
      <c r="AK155" s="327">
        <v>0</v>
      </c>
      <c r="AM155" s="326">
        <v>0</v>
      </c>
      <c r="AN155" s="327">
        <v>0</v>
      </c>
    </row>
    <row r="156" spans="2:40" ht="14" x14ac:dyDescent="0.15">
      <c r="B156" s="5" t="s">
        <v>109</v>
      </c>
      <c r="C156" s="6">
        <v>0</v>
      </c>
      <c r="D156" s="7">
        <v>0</v>
      </c>
      <c r="F156" s="8">
        <v>0</v>
      </c>
      <c r="G156" s="7">
        <v>0</v>
      </c>
      <c r="I156" s="8">
        <v>0</v>
      </c>
      <c r="J156" s="7">
        <v>0</v>
      </c>
      <c r="L156" s="8">
        <v>0</v>
      </c>
      <c r="M156" s="7">
        <v>0</v>
      </c>
      <c r="O156" s="8">
        <v>0</v>
      </c>
      <c r="P156" s="7">
        <v>0</v>
      </c>
      <c r="R156" s="8">
        <v>0</v>
      </c>
      <c r="S156" s="7">
        <v>0</v>
      </c>
      <c r="U156" s="8">
        <v>0</v>
      </c>
      <c r="V156" s="7">
        <v>0</v>
      </c>
      <c r="X156" s="8">
        <v>0</v>
      </c>
      <c r="Y156" s="7">
        <v>0</v>
      </c>
      <c r="AA156" s="8">
        <v>0</v>
      </c>
      <c r="AB156" s="7">
        <v>0</v>
      </c>
      <c r="AD156" s="8">
        <v>0</v>
      </c>
      <c r="AE156" s="7">
        <v>0</v>
      </c>
      <c r="AG156" s="8">
        <v>0</v>
      </c>
      <c r="AH156" s="7">
        <v>0</v>
      </c>
      <c r="AJ156" s="8">
        <v>0</v>
      </c>
      <c r="AK156" s="7">
        <v>0</v>
      </c>
      <c r="AM156" s="8">
        <v>0</v>
      </c>
      <c r="AN156" s="7">
        <v>0</v>
      </c>
    </row>
    <row r="157" spans="2:40" ht="14" x14ac:dyDescent="0.15">
      <c r="B157" s="5" t="s">
        <v>110</v>
      </c>
      <c r="C157" s="6">
        <v>0</v>
      </c>
      <c r="D157" s="7">
        <v>0</v>
      </c>
      <c r="F157" s="8">
        <v>0</v>
      </c>
      <c r="G157" s="7">
        <v>0</v>
      </c>
      <c r="I157" s="8">
        <v>0</v>
      </c>
      <c r="J157" s="7">
        <v>0</v>
      </c>
      <c r="L157" s="8">
        <v>0</v>
      </c>
      <c r="M157" s="7">
        <v>0</v>
      </c>
      <c r="O157" s="8">
        <v>0</v>
      </c>
      <c r="P157" s="7">
        <v>0</v>
      </c>
      <c r="R157" s="8">
        <v>0</v>
      </c>
      <c r="S157" s="7">
        <v>0</v>
      </c>
      <c r="U157" s="8">
        <v>0</v>
      </c>
      <c r="V157" s="7">
        <v>0</v>
      </c>
      <c r="X157" s="8">
        <v>0</v>
      </c>
      <c r="Y157" s="7">
        <v>0</v>
      </c>
      <c r="AA157" s="8">
        <v>0</v>
      </c>
      <c r="AB157" s="7">
        <v>0</v>
      </c>
      <c r="AD157" s="8">
        <v>0</v>
      </c>
      <c r="AE157" s="7">
        <v>0</v>
      </c>
      <c r="AG157" s="8">
        <v>0</v>
      </c>
      <c r="AH157" s="7">
        <v>0</v>
      </c>
      <c r="AJ157" s="8">
        <v>0</v>
      </c>
      <c r="AK157" s="7">
        <v>0</v>
      </c>
      <c r="AM157" s="8">
        <v>0</v>
      </c>
      <c r="AN157" s="7">
        <v>0</v>
      </c>
    </row>
    <row r="158" spans="2:40" ht="14" x14ac:dyDescent="0.15">
      <c r="B158" s="5" t="s">
        <v>111</v>
      </c>
      <c r="C158" s="6">
        <v>0</v>
      </c>
      <c r="D158" s="7">
        <v>0</v>
      </c>
      <c r="F158" s="8">
        <v>0</v>
      </c>
      <c r="G158" s="7">
        <v>0</v>
      </c>
      <c r="I158" s="8">
        <v>0</v>
      </c>
      <c r="J158" s="7">
        <v>0</v>
      </c>
      <c r="L158" s="8">
        <v>0</v>
      </c>
      <c r="M158" s="7">
        <v>0</v>
      </c>
      <c r="O158" s="8">
        <v>0</v>
      </c>
      <c r="P158" s="7">
        <v>0</v>
      </c>
      <c r="R158" s="8">
        <v>0</v>
      </c>
      <c r="S158" s="7">
        <v>0</v>
      </c>
      <c r="U158" s="8">
        <v>0</v>
      </c>
      <c r="V158" s="7">
        <v>0</v>
      </c>
      <c r="X158" s="8">
        <v>0</v>
      </c>
      <c r="Y158" s="7">
        <v>0</v>
      </c>
      <c r="AA158" s="8">
        <v>0</v>
      </c>
      <c r="AB158" s="7">
        <v>0</v>
      </c>
      <c r="AD158" s="8">
        <v>0</v>
      </c>
      <c r="AE158" s="7">
        <v>0</v>
      </c>
      <c r="AG158" s="8">
        <v>0</v>
      </c>
      <c r="AH158" s="7">
        <v>0</v>
      </c>
      <c r="AJ158" s="8">
        <v>0</v>
      </c>
      <c r="AK158" s="7">
        <v>0</v>
      </c>
      <c r="AM158" s="8">
        <v>0</v>
      </c>
      <c r="AN158" s="7">
        <v>0</v>
      </c>
    </row>
    <row r="159" spans="2:40" ht="14" x14ac:dyDescent="0.15">
      <c r="B159" s="5" t="s">
        <v>112</v>
      </c>
      <c r="C159" s="6">
        <v>0</v>
      </c>
      <c r="D159" s="7">
        <v>0</v>
      </c>
      <c r="F159" s="8">
        <v>0</v>
      </c>
      <c r="G159" s="7">
        <v>0</v>
      </c>
      <c r="I159" s="8">
        <v>0</v>
      </c>
      <c r="J159" s="7">
        <v>0</v>
      </c>
      <c r="L159" s="8">
        <v>0</v>
      </c>
      <c r="M159" s="7">
        <v>0</v>
      </c>
      <c r="O159" s="8">
        <v>0</v>
      </c>
      <c r="P159" s="7">
        <v>0</v>
      </c>
      <c r="R159" s="8">
        <v>0</v>
      </c>
      <c r="S159" s="7">
        <v>0</v>
      </c>
      <c r="U159" s="8">
        <v>0</v>
      </c>
      <c r="V159" s="7">
        <v>0</v>
      </c>
      <c r="X159" s="8">
        <v>0</v>
      </c>
      <c r="Y159" s="7">
        <v>0</v>
      </c>
      <c r="AA159" s="8">
        <v>0</v>
      </c>
      <c r="AB159" s="7">
        <v>0</v>
      </c>
      <c r="AD159" s="8">
        <v>0</v>
      </c>
      <c r="AE159" s="7">
        <v>0</v>
      </c>
      <c r="AG159" s="8">
        <v>0</v>
      </c>
      <c r="AH159" s="7">
        <v>0</v>
      </c>
      <c r="AJ159" s="8">
        <v>0</v>
      </c>
      <c r="AK159" s="7">
        <v>0</v>
      </c>
      <c r="AM159" s="8">
        <v>0</v>
      </c>
      <c r="AN159" s="7">
        <v>0</v>
      </c>
    </row>
    <row r="160" spans="2:40" ht="14" x14ac:dyDescent="0.15">
      <c r="B160" s="5" t="s">
        <v>113</v>
      </c>
      <c r="C160" s="6">
        <v>0</v>
      </c>
      <c r="D160" s="7">
        <v>0</v>
      </c>
      <c r="F160" s="8">
        <v>0</v>
      </c>
      <c r="G160" s="7">
        <v>0</v>
      </c>
      <c r="I160" s="8">
        <v>0</v>
      </c>
      <c r="J160" s="7">
        <v>0</v>
      </c>
      <c r="L160" s="8">
        <v>0</v>
      </c>
      <c r="M160" s="7">
        <v>0</v>
      </c>
      <c r="O160" s="8">
        <v>0</v>
      </c>
      <c r="P160" s="7">
        <v>0</v>
      </c>
      <c r="R160" s="8">
        <v>0</v>
      </c>
      <c r="S160" s="7">
        <v>0</v>
      </c>
      <c r="U160" s="8">
        <v>0</v>
      </c>
      <c r="V160" s="7">
        <v>0</v>
      </c>
      <c r="X160" s="8">
        <v>0</v>
      </c>
      <c r="Y160" s="7">
        <v>0</v>
      </c>
      <c r="AA160" s="8">
        <v>0</v>
      </c>
      <c r="AB160" s="7">
        <v>0</v>
      </c>
      <c r="AD160" s="8">
        <v>0</v>
      </c>
      <c r="AE160" s="7">
        <v>0</v>
      </c>
      <c r="AG160" s="8">
        <v>0</v>
      </c>
      <c r="AH160" s="7">
        <v>0</v>
      </c>
      <c r="AJ160" s="8">
        <v>0</v>
      </c>
      <c r="AK160" s="7">
        <v>0</v>
      </c>
      <c r="AM160" s="8">
        <v>0</v>
      </c>
      <c r="AN160" s="7">
        <v>0</v>
      </c>
    </row>
    <row r="161" spans="2:40" ht="14" x14ac:dyDescent="0.15">
      <c r="B161" s="5" t="s">
        <v>114</v>
      </c>
      <c r="C161" s="6">
        <v>0</v>
      </c>
      <c r="D161" s="7">
        <v>0</v>
      </c>
      <c r="F161" s="8">
        <v>0</v>
      </c>
      <c r="G161" s="7">
        <v>0</v>
      </c>
      <c r="I161" s="8">
        <v>0</v>
      </c>
      <c r="J161" s="7">
        <v>0</v>
      </c>
      <c r="L161" s="8">
        <v>0</v>
      </c>
      <c r="M161" s="7">
        <v>0</v>
      </c>
      <c r="O161" s="8">
        <v>0</v>
      </c>
      <c r="P161" s="7">
        <v>0</v>
      </c>
      <c r="R161" s="8">
        <v>0</v>
      </c>
      <c r="S161" s="7">
        <v>0</v>
      </c>
      <c r="U161" s="8">
        <v>0</v>
      </c>
      <c r="V161" s="7">
        <v>0</v>
      </c>
      <c r="X161" s="8">
        <v>0</v>
      </c>
      <c r="Y161" s="7">
        <v>0</v>
      </c>
      <c r="AA161" s="8">
        <v>0</v>
      </c>
      <c r="AB161" s="7">
        <v>0</v>
      </c>
      <c r="AD161" s="8">
        <v>0</v>
      </c>
      <c r="AE161" s="7">
        <v>0</v>
      </c>
      <c r="AG161" s="8">
        <v>0</v>
      </c>
      <c r="AH161" s="7">
        <v>0</v>
      </c>
      <c r="AJ161" s="8">
        <v>0</v>
      </c>
      <c r="AK161" s="7">
        <v>0</v>
      </c>
      <c r="AM161" s="8">
        <v>0</v>
      </c>
      <c r="AN161" s="7">
        <v>0</v>
      </c>
    </row>
    <row r="162" spans="2:40" ht="14" x14ac:dyDescent="0.15">
      <c r="B162" s="325" t="s">
        <v>115</v>
      </c>
      <c r="C162" s="330">
        <v>8415.81</v>
      </c>
      <c r="D162" s="327">
        <v>5.5163E-4</v>
      </c>
      <c r="F162" s="326">
        <v>0</v>
      </c>
      <c r="G162" s="327">
        <v>0</v>
      </c>
      <c r="I162" s="326">
        <v>6270.89</v>
      </c>
      <c r="J162" s="327">
        <v>1.1863500000000001E-2</v>
      </c>
      <c r="L162" s="326">
        <v>0</v>
      </c>
      <c r="M162" s="327">
        <v>0</v>
      </c>
      <c r="O162" s="326">
        <v>2174.6799999999998</v>
      </c>
      <c r="P162" s="327">
        <v>3.5623199999999999E-3</v>
      </c>
      <c r="R162" s="326">
        <v>282.64</v>
      </c>
      <c r="S162" s="327">
        <v>1.8384E-4</v>
      </c>
      <c r="U162" s="326">
        <v>-312.39999999999998</v>
      </c>
      <c r="V162" s="327">
        <v>-3.0867999999999998E-4</v>
      </c>
      <c r="X162" s="326">
        <v>0</v>
      </c>
      <c r="Y162" s="327">
        <v>0</v>
      </c>
      <c r="AA162" s="326">
        <v>0</v>
      </c>
      <c r="AB162" s="327">
        <v>0</v>
      </c>
      <c r="AD162" s="326">
        <v>0</v>
      </c>
      <c r="AE162" s="327">
        <v>0</v>
      </c>
      <c r="AG162" s="326">
        <v>0</v>
      </c>
      <c r="AH162" s="327">
        <v>0</v>
      </c>
      <c r="AJ162" s="326">
        <v>0</v>
      </c>
      <c r="AK162" s="327">
        <v>0</v>
      </c>
      <c r="AM162" s="326">
        <v>0</v>
      </c>
      <c r="AN162" s="327">
        <v>0</v>
      </c>
    </row>
    <row r="163" spans="2:40" ht="14" x14ac:dyDescent="0.15">
      <c r="B163" s="5" t="s">
        <v>116</v>
      </c>
      <c r="C163" s="6">
        <v>0</v>
      </c>
      <c r="D163" s="7">
        <v>0</v>
      </c>
      <c r="F163" s="8">
        <v>0</v>
      </c>
      <c r="G163" s="7">
        <v>0</v>
      </c>
      <c r="I163" s="8">
        <v>0</v>
      </c>
      <c r="J163" s="7">
        <v>0</v>
      </c>
      <c r="L163" s="8">
        <v>0</v>
      </c>
      <c r="M163" s="7">
        <v>0</v>
      </c>
      <c r="O163" s="8">
        <v>0</v>
      </c>
      <c r="P163" s="7">
        <v>0</v>
      </c>
      <c r="R163" s="8">
        <v>0</v>
      </c>
      <c r="S163" s="7">
        <v>0</v>
      </c>
      <c r="U163" s="8">
        <v>0</v>
      </c>
      <c r="V163" s="7">
        <v>0</v>
      </c>
      <c r="X163" s="8">
        <v>0</v>
      </c>
      <c r="Y163" s="7">
        <v>0</v>
      </c>
      <c r="AA163" s="8">
        <v>0</v>
      </c>
      <c r="AB163" s="7">
        <v>0</v>
      </c>
      <c r="AD163" s="8">
        <v>0</v>
      </c>
      <c r="AE163" s="7">
        <v>0</v>
      </c>
      <c r="AG163" s="8">
        <v>0</v>
      </c>
      <c r="AH163" s="7">
        <v>0</v>
      </c>
      <c r="AJ163" s="8">
        <v>0</v>
      </c>
      <c r="AK163" s="7">
        <v>0</v>
      </c>
      <c r="AM163" s="8">
        <v>0</v>
      </c>
      <c r="AN163" s="7">
        <v>0</v>
      </c>
    </row>
    <row r="164" spans="2:40" ht="14" x14ac:dyDescent="0.15">
      <c r="B164" s="5" t="s">
        <v>117</v>
      </c>
      <c r="C164" s="6">
        <v>6220.26</v>
      </c>
      <c r="D164" s="7">
        <v>4.0771999999999998E-4</v>
      </c>
      <c r="F164" s="8">
        <v>0</v>
      </c>
      <c r="G164" s="7">
        <v>0</v>
      </c>
      <c r="I164" s="8">
        <v>5607.91</v>
      </c>
      <c r="J164" s="7">
        <v>1.0609250000000001E-2</v>
      </c>
      <c r="L164" s="8">
        <v>0</v>
      </c>
      <c r="M164" s="7">
        <v>0</v>
      </c>
      <c r="O164" s="8">
        <v>0</v>
      </c>
      <c r="P164" s="7">
        <v>0</v>
      </c>
      <c r="R164" s="8">
        <v>924.75</v>
      </c>
      <c r="S164" s="7">
        <v>6.0148999999999999E-4</v>
      </c>
      <c r="U164" s="8">
        <v>-312.39999999999998</v>
      </c>
      <c r="V164" s="7">
        <v>-3.0867999999999998E-4</v>
      </c>
      <c r="X164" s="8">
        <v>0</v>
      </c>
      <c r="Y164" s="7">
        <v>0</v>
      </c>
      <c r="AA164" s="8">
        <v>0</v>
      </c>
      <c r="AB164" s="7">
        <v>0</v>
      </c>
      <c r="AD164" s="8">
        <v>0</v>
      </c>
      <c r="AE164" s="7">
        <v>0</v>
      </c>
      <c r="AG164" s="8">
        <v>0</v>
      </c>
      <c r="AH164" s="7">
        <v>0</v>
      </c>
      <c r="AJ164" s="8">
        <v>0</v>
      </c>
      <c r="AK164" s="7">
        <v>0</v>
      </c>
      <c r="AM164" s="8">
        <v>0</v>
      </c>
      <c r="AN164" s="7">
        <v>0</v>
      </c>
    </row>
    <row r="165" spans="2:40" ht="14" x14ac:dyDescent="0.15">
      <c r="B165" s="5" t="s">
        <v>118</v>
      </c>
      <c r="C165" s="6">
        <v>2195.5500000000002</v>
      </c>
      <c r="D165" s="7">
        <v>1.4391E-4</v>
      </c>
      <c r="F165" s="8">
        <v>0</v>
      </c>
      <c r="G165" s="7">
        <v>0</v>
      </c>
      <c r="I165" s="8">
        <v>662.98</v>
      </c>
      <c r="J165" s="7">
        <v>1.2542499999999999E-3</v>
      </c>
      <c r="L165" s="8">
        <v>0</v>
      </c>
      <c r="M165" s="7">
        <v>0</v>
      </c>
      <c r="O165" s="8">
        <v>2174.6799999999998</v>
      </c>
      <c r="P165" s="7">
        <v>3.5623199999999999E-3</v>
      </c>
      <c r="R165" s="8">
        <v>-642.11</v>
      </c>
      <c r="S165" s="7">
        <v>-4.1764999999999999E-4</v>
      </c>
      <c r="U165" s="8">
        <v>0</v>
      </c>
      <c r="V165" s="7">
        <v>0</v>
      </c>
      <c r="X165" s="8">
        <v>0</v>
      </c>
      <c r="Y165" s="7">
        <v>0</v>
      </c>
      <c r="AA165" s="8">
        <v>0</v>
      </c>
      <c r="AB165" s="7">
        <v>0</v>
      </c>
      <c r="AD165" s="8">
        <v>0</v>
      </c>
      <c r="AE165" s="7">
        <v>0</v>
      </c>
      <c r="AG165" s="8">
        <v>0</v>
      </c>
      <c r="AH165" s="7">
        <v>0</v>
      </c>
      <c r="AJ165" s="8">
        <v>0</v>
      </c>
      <c r="AK165" s="7">
        <v>0</v>
      </c>
      <c r="AM165" s="8">
        <v>0</v>
      </c>
      <c r="AN165" s="7">
        <v>0</v>
      </c>
    </row>
    <row r="166" spans="2:40" ht="14" x14ac:dyDescent="0.15">
      <c r="B166" s="5" t="s">
        <v>119</v>
      </c>
      <c r="C166" s="6">
        <v>0</v>
      </c>
      <c r="D166" s="7">
        <v>0</v>
      </c>
      <c r="F166" s="8">
        <v>0</v>
      </c>
      <c r="G166" s="7">
        <v>0</v>
      </c>
      <c r="I166" s="8">
        <v>0</v>
      </c>
      <c r="J166" s="7">
        <v>0</v>
      </c>
      <c r="L166" s="8">
        <v>0</v>
      </c>
      <c r="M166" s="7">
        <v>0</v>
      </c>
      <c r="O166" s="8">
        <v>0</v>
      </c>
      <c r="P166" s="7">
        <v>0</v>
      </c>
      <c r="R166" s="8">
        <v>0</v>
      </c>
      <c r="S166" s="7">
        <v>0</v>
      </c>
      <c r="U166" s="8">
        <v>0</v>
      </c>
      <c r="V166" s="7">
        <v>0</v>
      </c>
      <c r="X166" s="8">
        <v>0</v>
      </c>
      <c r="Y166" s="7">
        <v>0</v>
      </c>
      <c r="AA166" s="8">
        <v>0</v>
      </c>
      <c r="AB166" s="7">
        <v>0</v>
      </c>
      <c r="AD166" s="8">
        <v>0</v>
      </c>
      <c r="AE166" s="7">
        <v>0</v>
      </c>
      <c r="AG166" s="8">
        <v>0</v>
      </c>
      <c r="AH166" s="7">
        <v>0</v>
      </c>
      <c r="AJ166" s="8">
        <v>0</v>
      </c>
      <c r="AK166" s="7">
        <v>0</v>
      </c>
      <c r="AM166" s="8">
        <v>0</v>
      </c>
      <c r="AN166" s="7">
        <v>0</v>
      </c>
    </row>
    <row r="168" spans="2:40" ht="14" x14ac:dyDescent="0.15">
      <c r="B168" t="s">
        <v>614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R10:S10"/>
    <mergeCell ref="C10:D10"/>
    <mergeCell ref="F10:G10"/>
    <mergeCell ref="I10:J10"/>
    <mergeCell ref="L10:M10"/>
    <mergeCell ref="O10:P10"/>
    <mergeCell ref="AM10:AN10"/>
    <mergeCell ref="U10:V10"/>
    <mergeCell ref="X10:Y10"/>
    <mergeCell ref="AA10:AB10"/>
    <mergeCell ref="AD10:AE10"/>
    <mergeCell ref="AG10:AH10"/>
    <mergeCell ref="AJ10:AK10"/>
  </mergeCells>
  <pageMargins left="0.5" right="0.5" top="0.5" bottom="0.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1D5F-DF42-470B-B227-229F462056DA}">
  <sheetPr>
    <pageSetUpPr fitToPage="1"/>
  </sheetPr>
  <dimension ref="B2:U168"/>
  <sheetViews>
    <sheetView zoomScale="70" zoomScaleNormal="70" workbookViewId="0">
      <pane xSplit="2" ySplit="10" topLeftCell="C141" activePane="bottomRight" state="frozen"/>
      <selection activeCell="F178" sqref="F178"/>
      <selection pane="topRight" activeCell="F178" sqref="F178"/>
      <selection pane="bottomLeft" activeCell="F178" sqref="F178"/>
      <selection pane="bottomRight" activeCell="H144" sqref="H144"/>
    </sheetView>
  </sheetViews>
  <sheetFormatPr baseColWidth="10" defaultColWidth="8.83203125" defaultRowHeight="13" x14ac:dyDescent="0.15"/>
  <cols>
    <col min="1" max="1" width="0.6640625" style="33" customWidth="1"/>
    <col min="2" max="2" width="38.33203125" style="33" customWidth="1"/>
    <col min="3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28" x14ac:dyDescent="0.15">
      <c r="B3" s="35" t="s">
        <v>131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/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v>17743719.738699999</v>
      </c>
      <c r="D11" s="39">
        <v>895011.80680000002</v>
      </c>
      <c r="E11" s="39">
        <v>947308.99939999997</v>
      </c>
      <c r="F11" s="39">
        <v>1308592.57</v>
      </c>
      <c r="G11" s="39">
        <v>1153258.9772999999</v>
      </c>
      <c r="H11" s="39">
        <v>1558420.3855000001</v>
      </c>
      <c r="I11" s="39">
        <v>1849613.2905999999</v>
      </c>
      <c r="J11" s="39">
        <v>1941368.6676</v>
      </c>
      <c r="K11" s="39">
        <v>1959969.6998999999</v>
      </c>
      <c r="L11" s="39">
        <v>1919889.4911</v>
      </c>
      <c r="M11" s="39">
        <v>1575559.9702999999</v>
      </c>
      <c r="N11" s="39">
        <v>1173034.7313000001</v>
      </c>
      <c r="O11" s="39">
        <v>1461691.1488999999</v>
      </c>
    </row>
    <row r="12" spans="2:15" ht="14" x14ac:dyDescent="0.15">
      <c r="B12" s="38" t="s">
        <v>22</v>
      </c>
      <c r="C12" s="39">
        <v>11104134.3213</v>
      </c>
      <c r="D12" s="39">
        <v>988637.07689999999</v>
      </c>
      <c r="E12" s="39">
        <v>984320.97649999999</v>
      </c>
      <c r="F12" s="39">
        <v>974301.82339999999</v>
      </c>
      <c r="G12" s="39">
        <v>934827.59860000003</v>
      </c>
      <c r="H12" s="39">
        <v>951576.30409999995</v>
      </c>
      <c r="I12" s="39">
        <v>931473.44979999994</v>
      </c>
      <c r="J12" s="39">
        <v>898293.78469999996</v>
      </c>
      <c r="K12" s="39">
        <v>889113.59290000005</v>
      </c>
      <c r="L12" s="39">
        <v>897432.12809999997</v>
      </c>
      <c r="M12" s="39">
        <v>884811.12760000001</v>
      </c>
      <c r="N12" s="39">
        <v>900707.63549999997</v>
      </c>
      <c r="O12" s="39">
        <v>868638.82319999998</v>
      </c>
    </row>
    <row r="13" spans="2:15" ht="14" x14ac:dyDescent="0.15">
      <c r="B13" s="38" t="s">
        <v>23</v>
      </c>
      <c r="C13" s="39">
        <v>-957050.26260000002</v>
      </c>
      <c r="D13" s="39">
        <v>-649247.41009999998</v>
      </c>
      <c r="E13" s="39">
        <v>-692087.11710000003</v>
      </c>
      <c r="F13" s="39">
        <v>-425237.3934</v>
      </c>
      <c r="G13" s="39">
        <v>-355935.76130000001</v>
      </c>
      <c r="H13" s="39">
        <v>69522.941399999996</v>
      </c>
      <c r="I13" s="39">
        <v>84816.700800000006</v>
      </c>
      <c r="J13" s="39">
        <v>536585.74289999995</v>
      </c>
      <c r="K13" s="39">
        <v>503301.967</v>
      </c>
      <c r="L13" s="39">
        <v>415673.223</v>
      </c>
      <c r="M13" s="39">
        <v>186365.70269999999</v>
      </c>
      <c r="N13" s="39">
        <v>-284936.0442</v>
      </c>
      <c r="O13" s="39">
        <v>-345872.81430000003</v>
      </c>
    </row>
    <row r="14" spans="2:15" ht="14" x14ac:dyDescent="0.15">
      <c r="B14" s="38" t="s">
        <v>24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</row>
    <row r="15" spans="2:15" ht="14" x14ac:dyDescent="0.15">
      <c r="B15" s="38" t="s">
        <v>25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</row>
    <row r="16" spans="2:15" ht="14" x14ac:dyDescent="0.15">
      <c r="B16" s="38" t="s">
        <v>26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</row>
    <row r="17" spans="2:15" ht="14" x14ac:dyDescent="0.15">
      <c r="B17" s="38" t="s">
        <v>27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</row>
    <row r="18" spans="2:15" ht="14" x14ac:dyDescent="0.15">
      <c r="B18" s="38" t="s">
        <v>28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</row>
    <row r="19" spans="2:15" ht="14" x14ac:dyDescent="0.15">
      <c r="B19" s="38" t="s">
        <v>29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</row>
    <row r="20" spans="2:15" ht="14" x14ac:dyDescent="0.15">
      <c r="B20" s="38" t="s">
        <v>30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</row>
    <row r="21" spans="2:15" ht="14" x14ac:dyDescent="0.15">
      <c r="B21" s="38" t="s">
        <v>31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</row>
    <row r="22" spans="2:15" ht="14" x14ac:dyDescent="0.15">
      <c r="B22" s="38" t="s">
        <v>32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</row>
    <row r="23" spans="2:15" ht="14" x14ac:dyDescent="0.15">
      <c r="B23" s="38" t="s">
        <v>33</v>
      </c>
      <c r="C23" s="40">
        <v>99.902500000000003</v>
      </c>
      <c r="D23" s="40">
        <v>109.32</v>
      </c>
      <c r="E23" s="40">
        <v>109.32</v>
      </c>
      <c r="F23" s="40">
        <v>108.32</v>
      </c>
      <c r="G23" s="40">
        <v>101.38</v>
      </c>
      <c r="H23" s="40">
        <v>101.38</v>
      </c>
      <c r="I23" s="40">
        <v>99.38</v>
      </c>
      <c r="J23" s="40">
        <v>97.38</v>
      </c>
      <c r="K23" s="40">
        <v>96.87</v>
      </c>
      <c r="L23" s="40">
        <v>93.87</v>
      </c>
      <c r="M23" s="40">
        <v>93.87</v>
      </c>
      <c r="N23" s="40">
        <v>93.87</v>
      </c>
      <c r="O23" s="40">
        <v>93.87</v>
      </c>
    </row>
    <row r="25" spans="2:15" ht="14" x14ac:dyDescent="0.15">
      <c r="B25" s="38" t="s">
        <v>34</v>
      </c>
      <c r="C25" s="40"/>
    </row>
    <row r="26" spans="2:15" x14ac:dyDescent="0.15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</row>
    <row r="27" spans="2:15" ht="14" x14ac:dyDescent="0.15">
      <c r="B27" s="42" t="s">
        <v>21</v>
      </c>
      <c r="C27" s="43">
        <v>17743719.738699999</v>
      </c>
      <c r="D27" s="43">
        <v>895011.80680000002</v>
      </c>
      <c r="E27" s="43">
        <v>947308.99939999997</v>
      </c>
      <c r="F27" s="43">
        <v>1308592.57</v>
      </c>
      <c r="G27" s="43">
        <v>1153258.9772999999</v>
      </c>
      <c r="H27" s="43">
        <v>1558420.3855000001</v>
      </c>
      <c r="I27" s="43">
        <v>1849613.2905999999</v>
      </c>
      <c r="J27" s="43">
        <v>1941368.6676</v>
      </c>
      <c r="K27" s="43">
        <v>1959969.6998999999</v>
      </c>
      <c r="L27" s="43">
        <v>1919889.4911</v>
      </c>
      <c r="M27" s="43">
        <v>1575559.9702999999</v>
      </c>
      <c r="N27" s="43">
        <v>1173034.7313000001</v>
      </c>
      <c r="O27" s="43">
        <v>1461691.1488999999</v>
      </c>
    </row>
    <row r="28" spans="2:15" ht="14" x14ac:dyDescent="0.15">
      <c r="B28" s="38" t="s">
        <v>35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</row>
    <row r="29" spans="2:15" ht="14" x14ac:dyDescent="0.15">
      <c r="B29" s="38" t="s">
        <v>36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</row>
    <row r="30" spans="2:15" ht="14" x14ac:dyDescent="0.15">
      <c r="B30" s="38" t="s">
        <v>37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</row>
    <row r="31" spans="2:15" ht="14" x14ac:dyDescent="0.15">
      <c r="B31" s="38" t="s">
        <v>38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</row>
    <row r="32" spans="2:15" x14ac:dyDescent="0.1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</row>
    <row r="33" spans="2:15" ht="14" x14ac:dyDescent="0.15">
      <c r="B33" s="44" t="s">
        <v>39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</row>
    <row r="34" spans="2:15" ht="14" x14ac:dyDescent="0.15">
      <c r="B34" s="42" t="s">
        <v>35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</row>
    <row r="35" spans="2:15" ht="14" x14ac:dyDescent="0.15">
      <c r="B35" s="38" t="s">
        <v>22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</row>
    <row r="36" spans="2:15" ht="14" x14ac:dyDescent="0.15">
      <c r="B36" s="38" t="s">
        <v>40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</row>
    <row r="37" spans="2:15" ht="14" x14ac:dyDescent="0.15">
      <c r="B37" s="42" t="s">
        <v>41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</row>
    <row r="38" spans="2:15" x14ac:dyDescent="0.1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</row>
    <row r="39" spans="2:15" ht="14" x14ac:dyDescent="0.15">
      <c r="B39" s="44" t="s">
        <v>42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</row>
    <row r="40" spans="2:15" ht="14" x14ac:dyDescent="0.15">
      <c r="B40" s="38" t="s">
        <v>43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</row>
    <row r="41" spans="2:15" ht="14" x14ac:dyDescent="0.15">
      <c r="B41" s="38" t="s">
        <v>44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</row>
    <row r="42" spans="2:15" ht="14" x14ac:dyDescent="0.15">
      <c r="B42" s="38" t="s">
        <v>45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</row>
    <row r="43" spans="2:15" ht="14" x14ac:dyDescent="0.15">
      <c r="B43" s="42" t="s">
        <v>36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</row>
    <row r="44" spans="2:15" ht="14" x14ac:dyDescent="0.15">
      <c r="B44" s="38" t="s">
        <v>46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</row>
    <row r="45" spans="2:15" ht="14" x14ac:dyDescent="0.15">
      <c r="B45" s="38" t="s">
        <v>47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</row>
    <row r="46" spans="2:15" ht="14" x14ac:dyDescent="0.15">
      <c r="B46" s="38" t="s">
        <v>48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</row>
    <row r="47" spans="2:15" ht="14" x14ac:dyDescent="0.15">
      <c r="B47" s="42" t="s">
        <v>49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</row>
    <row r="48" spans="2:15" ht="14" x14ac:dyDescent="0.15">
      <c r="B48" s="38" t="s">
        <v>22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</row>
    <row r="49" spans="2:15" ht="14" x14ac:dyDescent="0.15">
      <c r="B49" s="38" t="s">
        <v>40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</row>
    <row r="50" spans="2:15" ht="14" x14ac:dyDescent="0.15">
      <c r="B50" s="42" t="s">
        <v>41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</row>
    <row r="51" spans="2:15" x14ac:dyDescent="0.15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2:15" ht="14" x14ac:dyDescent="0.15">
      <c r="B52" s="44" t="s">
        <v>50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</row>
    <row r="53" spans="2:15" ht="14" x14ac:dyDescent="0.15">
      <c r="B53" s="38" t="s">
        <v>37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</row>
    <row r="54" spans="2:15" ht="14" x14ac:dyDescent="0.15">
      <c r="B54" s="38" t="s">
        <v>49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</row>
    <row r="55" spans="2:15" ht="14" x14ac:dyDescent="0.15">
      <c r="B55" s="38" t="s">
        <v>22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</row>
    <row r="56" spans="2:15" ht="14" x14ac:dyDescent="0.15">
      <c r="B56" s="38" t="s">
        <v>40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</row>
    <row r="57" spans="2:15" ht="14" x14ac:dyDescent="0.15">
      <c r="B57" s="42" t="s">
        <v>41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</row>
    <row r="58" spans="2:15" x14ac:dyDescent="0.15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spans="2:15" ht="14" x14ac:dyDescent="0.15">
      <c r="B59" s="44" t="s">
        <v>38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</row>
    <row r="60" spans="2:15" ht="14" x14ac:dyDescent="0.15">
      <c r="B60" s="42" t="s">
        <v>38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</row>
    <row r="61" spans="2:15" x14ac:dyDescent="0.15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</row>
    <row r="62" spans="2:15" ht="14" x14ac:dyDescent="0.15">
      <c r="B62" s="44" t="s">
        <v>51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</row>
    <row r="63" spans="2:15" ht="14" x14ac:dyDescent="0.15">
      <c r="B63" s="42" t="s">
        <v>52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</row>
    <row r="64" spans="2:15" x14ac:dyDescent="0.15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spans="2:15" ht="14" x14ac:dyDescent="0.15">
      <c r="B65" s="44" t="s">
        <v>53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</row>
    <row r="66" spans="2:15" ht="14" x14ac:dyDescent="0.15">
      <c r="B66" s="38" t="s">
        <v>22</v>
      </c>
      <c r="C66" s="40">
        <v>4452404.7636000002</v>
      </c>
      <c r="D66" s="40">
        <v>379210.55099999998</v>
      </c>
      <c r="E66" s="40">
        <v>379210.56839999999</v>
      </c>
      <c r="F66" s="40">
        <v>379210.56839999999</v>
      </c>
      <c r="G66" s="40">
        <v>384252.55570000003</v>
      </c>
      <c r="H66" s="40">
        <v>384241.65529999998</v>
      </c>
      <c r="I66" s="40">
        <v>363749.90100000001</v>
      </c>
      <c r="J66" s="40">
        <v>363754.8273</v>
      </c>
      <c r="K66" s="40">
        <v>363754.8273</v>
      </c>
      <c r="L66" s="40">
        <v>363754.8273</v>
      </c>
      <c r="M66" s="40">
        <v>363754.8273</v>
      </c>
      <c r="N66" s="40">
        <v>363754.8273</v>
      </c>
      <c r="O66" s="40">
        <v>363754.8273</v>
      </c>
    </row>
    <row r="67" spans="2:15" ht="14" x14ac:dyDescent="0.15">
      <c r="B67" s="38" t="s">
        <v>40</v>
      </c>
      <c r="C67" s="40">
        <v>3591771</v>
      </c>
      <c r="D67" s="40">
        <v>203716.5</v>
      </c>
      <c r="E67" s="40">
        <v>211311.5</v>
      </c>
      <c r="F67" s="40">
        <v>349471.5</v>
      </c>
      <c r="G67" s="40">
        <v>218086.5</v>
      </c>
      <c r="H67" s="40">
        <v>204313.5</v>
      </c>
      <c r="I67" s="40">
        <v>528158.5</v>
      </c>
      <c r="J67" s="40">
        <v>219155.5</v>
      </c>
      <c r="K67" s="40">
        <v>205343.5</v>
      </c>
      <c r="L67" s="40">
        <v>314668.5</v>
      </c>
      <c r="M67" s="40">
        <v>215583.5</v>
      </c>
      <c r="N67" s="40">
        <v>252423.5</v>
      </c>
      <c r="O67" s="40">
        <v>669538.5</v>
      </c>
    </row>
    <row r="68" spans="2:15" ht="14" x14ac:dyDescent="0.15">
      <c r="B68" s="42" t="s">
        <v>41</v>
      </c>
      <c r="C68" s="43">
        <v>-8044175.7636000002</v>
      </c>
      <c r="D68" s="43">
        <v>-582927.05099999998</v>
      </c>
      <c r="E68" s="43">
        <v>-590522.06839999999</v>
      </c>
      <c r="F68" s="43">
        <v>-728682.06839999999</v>
      </c>
      <c r="G68" s="43">
        <v>-602339.05570000003</v>
      </c>
      <c r="H68" s="43">
        <v>-588555.15529999998</v>
      </c>
      <c r="I68" s="43">
        <v>-891908.40099999995</v>
      </c>
      <c r="J68" s="43">
        <v>-582910.3273</v>
      </c>
      <c r="K68" s="43">
        <v>-569098.3273</v>
      </c>
      <c r="L68" s="43">
        <v>-678423.3273</v>
      </c>
      <c r="M68" s="43">
        <v>-579338.3273</v>
      </c>
      <c r="N68" s="43">
        <v>-616178.3273</v>
      </c>
      <c r="O68" s="43">
        <v>-1033293.3273</v>
      </c>
    </row>
    <row r="69" spans="2:15" x14ac:dyDescent="0.15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</row>
    <row r="70" spans="2:15" ht="14" x14ac:dyDescent="0.15">
      <c r="B70" s="44" t="s">
        <v>54</v>
      </c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</row>
    <row r="71" spans="2:15" ht="14" x14ac:dyDescent="0.15">
      <c r="B71" s="38" t="s">
        <v>55</v>
      </c>
      <c r="C71" s="40">
        <v>0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</row>
    <row r="72" spans="2:15" ht="14" x14ac:dyDescent="0.15">
      <c r="B72" s="38" t="s">
        <v>56</v>
      </c>
      <c r="C72" s="40">
        <v>811887.68</v>
      </c>
      <c r="D72" s="40">
        <v>72468.639999999999</v>
      </c>
      <c r="E72" s="40">
        <v>72408.639999999999</v>
      </c>
      <c r="F72" s="40">
        <v>72458.64</v>
      </c>
      <c r="G72" s="40">
        <v>74468.639999999999</v>
      </c>
      <c r="H72" s="40">
        <v>69708.639999999999</v>
      </c>
      <c r="I72" s="40">
        <v>69958.64</v>
      </c>
      <c r="J72" s="40">
        <v>66658.64</v>
      </c>
      <c r="K72" s="40">
        <v>62398.64</v>
      </c>
      <c r="L72" s="40">
        <v>61898.64</v>
      </c>
      <c r="M72" s="40">
        <v>64908.639999999999</v>
      </c>
      <c r="N72" s="40">
        <v>64148.639999999999</v>
      </c>
      <c r="O72" s="40">
        <v>60402.64</v>
      </c>
    </row>
    <row r="73" spans="2:15" ht="14" x14ac:dyDescent="0.15">
      <c r="B73" s="38" t="s">
        <v>40</v>
      </c>
      <c r="C73" s="40">
        <v>370154</v>
      </c>
      <c r="D73" s="40">
        <v>34797</v>
      </c>
      <c r="E73" s="40">
        <v>90387</v>
      </c>
      <c r="F73" s="40">
        <v>54597</v>
      </c>
      <c r="G73" s="40">
        <v>51597</v>
      </c>
      <c r="H73" s="40">
        <v>44597</v>
      </c>
      <c r="I73" s="40">
        <v>20597</v>
      </c>
      <c r="J73" s="40">
        <v>9597</v>
      </c>
      <c r="K73" s="40">
        <v>24597</v>
      </c>
      <c r="L73" s="40">
        <v>9597</v>
      </c>
      <c r="M73" s="40">
        <v>10597</v>
      </c>
      <c r="N73" s="40">
        <v>9597</v>
      </c>
      <c r="O73" s="40">
        <v>9597</v>
      </c>
    </row>
    <row r="74" spans="2:15" ht="14" x14ac:dyDescent="0.15">
      <c r="B74" s="42" t="s">
        <v>41</v>
      </c>
      <c r="C74" s="43">
        <v>-1432323.9705999999</v>
      </c>
      <c r="D74" s="43">
        <v>-125286.4693</v>
      </c>
      <c r="E74" s="43">
        <v>-180816.4693</v>
      </c>
      <c r="F74" s="43">
        <v>-145076.4693</v>
      </c>
      <c r="G74" s="43">
        <v>-144086.4693</v>
      </c>
      <c r="H74" s="43">
        <v>-132326.4693</v>
      </c>
      <c r="I74" s="43">
        <v>-108576.4693</v>
      </c>
      <c r="J74" s="43">
        <v>-99948.525800000003</v>
      </c>
      <c r="K74" s="43">
        <v>-110688.5258</v>
      </c>
      <c r="L74" s="43">
        <v>-95188.525800000003</v>
      </c>
      <c r="M74" s="43">
        <v>-99198.525800000003</v>
      </c>
      <c r="N74" s="43">
        <v>-97438.525800000003</v>
      </c>
      <c r="O74" s="43">
        <v>-93692.525800000003</v>
      </c>
    </row>
    <row r="75" spans="2:15" x14ac:dyDescent="0.15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</row>
    <row r="76" spans="2:15" ht="14" x14ac:dyDescent="0.15">
      <c r="B76" s="44" t="s">
        <v>57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</row>
    <row r="77" spans="2:15" ht="14" x14ac:dyDescent="0.15">
      <c r="B77" s="38" t="s">
        <v>22</v>
      </c>
      <c r="C77" s="40">
        <v>4599753.5782000003</v>
      </c>
      <c r="D77" s="40">
        <v>435035.13900000002</v>
      </c>
      <c r="E77" s="40">
        <v>434703.0858</v>
      </c>
      <c r="F77" s="40">
        <v>430341.3039</v>
      </c>
      <c r="G77" s="40">
        <v>389809.15629999997</v>
      </c>
      <c r="H77" s="40">
        <v>392943.26179999998</v>
      </c>
      <c r="I77" s="40">
        <v>392332.1618</v>
      </c>
      <c r="J77" s="40">
        <v>367101.01439999999</v>
      </c>
      <c r="K77" s="40">
        <v>357920.82270000002</v>
      </c>
      <c r="L77" s="40">
        <v>352613.85739999998</v>
      </c>
      <c r="M77" s="40">
        <v>349634.2928</v>
      </c>
      <c r="N77" s="40">
        <v>355889.36479999998</v>
      </c>
      <c r="O77" s="40">
        <v>341430.11749999999</v>
      </c>
    </row>
    <row r="78" spans="2:15" ht="14" x14ac:dyDescent="0.15">
      <c r="B78" s="38" t="s">
        <v>40</v>
      </c>
      <c r="C78" s="40">
        <v>2268525</v>
      </c>
      <c r="D78" s="40">
        <v>206428</v>
      </c>
      <c r="E78" s="40">
        <v>237690</v>
      </c>
      <c r="F78" s="40">
        <v>230528</v>
      </c>
      <c r="G78" s="40">
        <v>179281</v>
      </c>
      <c r="H78" s="40">
        <v>168409</v>
      </c>
      <c r="I78" s="40">
        <v>167946</v>
      </c>
      <c r="J78" s="40">
        <v>168028</v>
      </c>
      <c r="K78" s="40">
        <v>237562</v>
      </c>
      <c r="L78" s="40">
        <v>173217</v>
      </c>
      <c r="M78" s="40">
        <v>166911</v>
      </c>
      <c r="N78" s="40">
        <v>167791</v>
      </c>
      <c r="O78" s="40">
        <v>164734</v>
      </c>
    </row>
    <row r="79" spans="2:15" ht="14" x14ac:dyDescent="0.15">
      <c r="B79" s="42" t="s">
        <v>41</v>
      </c>
      <c r="C79" s="43">
        <v>-6868278.5782000003</v>
      </c>
      <c r="D79" s="43">
        <v>-641463.13899999997</v>
      </c>
      <c r="E79" s="43">
        <v>-672393.0858</v>
      </c>
      <c r="F79" s="43">
        <v>-660869.30390000006</v>
      </c>
      <c r="G79" s="43">
        <v>-569090.15630000003</v>
      </c>
      <c r="H79" s="43">
        <v>-561352.26179999998</v>
      </c>
      <c r="I79" s="43">
        <v>-560278.1618</v>
      </c>
      <c r="J79" s="43">
        <v>-535129.01439999999</v>
      </c>
      <c r="K79" s="43">
        <v>-595482.82270000002</v>
      </c>
      <c r="L79" s="43">
        <v>-525830.85739999998</v>
      </c>
      <c r="M79" s="43">
        <v>-516545.2928</v>
      </c>
      <c r="N79" s="43">
        <v>-523680.36479999998</v>
      </c>
      <c r="O79" s="43">
        <v>-506164.11749999999</v>
      </c>
    </row>
    <row r="80" spans="2:15" x14ac:dyDescent="0.15"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spans="2:21" ht="14" x14ac:dyDescent="0.15">
      <c r="B81" s="44" t="s">
        <v>58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</row>
    <row r="82" spans="2:21" ht="14" x14ac:dyDescent="0.15">
      <c r="B82" s="38" t="s">
        <v>22</v>
      </c>
      <c r="C82" s="40">
        <v>0</v>
      </c>
      <c r="D82" s="40">
        <v>0</v>
      </c>
      <c r="E82" s="40">
        <v>0</v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</row>
    <row r="83" spans="2:21" ht="14" x14ac:dyDescent="0.15">
      <c r="B83" s="38" t="s">
        <v>40</v>
      </c>
      <c r="C83" s="40">
        <v>0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</row>
    <row r="84" spans="2:21" ht="14" x14ac:dyDescent="0.15">
      <c r="B84" s="42" t="s">
        <v>41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</row>
    <row r="85" spans="2:21" x14ac:dyDescent="0.15"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</row>
    <row r="86" spans="2:21" ht="14" x14ac:dyDescent="0.15">
      <c r="B86" s="44" t="s">
        <v>59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</row>
    <row r="87" spans="2:21" ht="14" x14ac:dyDescent="0.15">
      <c r="B87" s="42" t="s">
        <v>41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</row>
    <row r="88" spans="2:21" x14ac:dyDescent="0.15"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spans="2:21" ht="14" x14ac:dyDescent="0.15">
      <c r="B89" s="42" t="s">
        <v>23</v>
      </c>
      <c r="C89" s="43">
        <v>-957050.26260000002</v>
      </c>
      <c r="D89" s="43">
        <v>-649247.41009999998</v>
      </c>
      <c r="E89" s="43">
        <v>-692087.11710000003</v>
      </c>
      <c r="F89" s="43">
        <v>-425237.3934</v>
      </c>
      <c r="G89" s="43">
        <v>-355935.76130000001</v>
      </c>
      <c r="H89" s="43">
        <v>69522.941399999996</v>
      </c>
      <c r="I89" s="43">
        <v>84816.700800000006</v>
      </c>
      <c r="J89" s="43">
        <v>536585.74289999995</v>
      </c>
      <c r="K89" s="43">
        <v>503301.967</v>
      </c>
      <c r="L89" s="43">
        <v>415673.223</v>
      </c>
      <c r="M89" s="43">
        <v>186365.70269999999</v>
      </c>
      <c r="N89" s="43">
        <v>-284936.0442</v>
      </c>
      <c r="O89" s="43">
        <v>-345872.81430000003</v>
      </c>
    </row>
    <row r="90" spans="2:21" x14ac:dyDescent="0.15"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2:21" ht="14" x14ac:dyDescent="0.15">
      <c r="B91" s="42" t="s">
        <v>60</v>
      </c>
      <c r="C91" s="43">
        <v>6382092</v>
      </c>
      <c r="D91" s="43">
        <v>531841</v>
      </c>
      <c r="E91" s="43">
        <v>531841</v>
      </c>
      <c r="F91" s="43">
        <v>531841</v>
      </c>
      <c r="G91" s="43">
        <v>531841</v>
      </c>
      <c r="H91" s="43">
        <v>531841</v>
      </c>
      <c r="I91" s="43">
        <v>531841</v>
      </c>
      <c r="J91" s="43">
        <v>531841</v>
      </c>
      <c r="K91" s="43">
        <v>531841</v>
      </c>
      <c r="L91" s="43">
        <v>531841</v>
      </c>
      <c r="M91" s="43">
        <v>531841</v>
      </c>
      <c r="N91" s="43">
        <v>531841</v>
      </c>
      <c r="O91" s="43">
        <v>531841</v>
      </c>
    </row>
    <row r="92" spans="2:21" ht="14" x14ac:dyDescent="0.15">
      <c r="B92" s="38" t="s">
        <v>61</v>
      </c>
      <c r="C92" s="40">
        <v>5568000</v>
      </c>
      <c r="D92" s="40">
        <v>464000</v>
      </c>
      <c r="E92" s="40">
        <v>464000</v>
      </c>
      <c r="F92" s="40">
        <v>464000</v>
      </c>
      <c r="G92" s="40">
        <v>464000</v>
      </c>
      <c r="H92" s="40">
        <v>464000</v>
      </c>
      <c r="I92" s="40">
        <v>464000</v>
      </c>
      <c r="J92" s="40">
        <v>464000</v>
      </c>
      <c r="K92" s="40">
        <v>464000</v>
      </c>
      <c r="L92" s="40">
        <v>464000</v>
      </c>
      <c r="M92" s="40">
        <v>464000</v>
      </c>
      <c r="N92" s="40">
        <v>464000</v>
      </c>
      <c r="O92" s="40">
        <v>464000</v>
      </c>
      <c r="U92" s="33">
        <f>0.65*10*365*5</f>
        <v>11862.5</v>
      </c>
    </row>
    <row r="93" spans="2:21" ht="14" x14ac:dyDescent="0.15">
      <c r="B93" s="38" t="s">
        <v>62</v>
      </c>
      <c r="C93" s="40">
        <v>0</v>
      </c>
      <c r="D93" s="40">
        <v>0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</row>
    <row r="94" spans="2:21" ht="14" x14ac:dyDescent="0.15">
      <c r="B94" s="38" t="s">
        <v>63</v>
      </c>
      <c r="C94" s="40">
        <v>814092</v>
      </c>
      <c r="D94" s="40">
        <v>67841</v>
      </c>
      <c r="E94" s="40">
        <v>67841</v>
      </c>
      <c r="F94" s="40">
        <v>67841</v>
      </c>
      <c r="G94" s="40">
        <v>67841</v>
      </c>
      <c r="H94" s="40">
        <v>67841</v>
      </c>
      <c r="I94" s="40">
        <v>67841</v>
      </c>
      <c r="J94" s="40">
        <v>67841</v>
      </c>
      <c r="K94" s="40">
        <v>67841</v>
      </c>
      <c r="L94" s="40">
        <v>67841</v>
      </c>
      <c r="M94" s="40">
        <v>67841</v>
      </c>
      <c r="N94" s="40">
        <v>67841</v>
      </c>
      <c r="O94" s="40">
        <v>67841</v>
      </c>
    </row>
    <row r="95" spans="2:21" ht="14" x14ac:dyDescent="0.15">
      <c r="B95" s="38" t="s">
        <v>64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</row>
    <row r="96" spans="2:21" x14ac:dyDescent="0.15"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spans="2:15" ht="14" x14ac:dyDescent="0.15">
      <c r="B97" s="42" t="s">
        <v>65</v>
      </c>
      <c r="C97" s="43">
        <v>6384000</v>
      </c>
      <c r="D97" s="43">
        <v>532000</v>
      </c>
      <c r="E97" s="43">
        <v>532000</v>
      </c>
      <c r="F97" s="43">
        <v>532000</v>
      </c>
      <c r="G97" s="43">
        <v>532000</v>
      </c>
      <c r="H97" s="43">
        <v>532000</v>
      </c>
      <c r="I97" s="43">
        <v>532000</v>
      </c>
      <c r="J97" s="43">
        <v>532000</v>
      </c>
      <c r="K97" s="43">
        <v>532000</v>
      </c>
      <c r="L97" s="43">
        <v>532000</v>
      </c>
      <c r="M97" s="43">
        <v>532000</v>
      </c>
      <c r="N97" s="43">
        <v>532000</v>
      </c>
      <c r="O97" s="43">
        <v>532000</v>
      </c>
    </row>
    <row r="98" spans="2:15" ht="14" x14ac:dyDescent="0.15">
      <c r="B98" s="38" t="s">
        <v>66</v>
      </c>
      <c r="C98" s="40">
        <v>5568000</v>
      </c>
      <c r="D98" s="40">
        <v>464000</v>
      </c>
      <c r="E98" s="40">
        <v>464000</v>
      </c>
      <c r="F98" s="40">
        <v>464000</v>
      </c>
      <c r="G98" s="40">
        <v>464000</v>
      </c>
      <c r="H98" s="40">
        <v>464000</v>
      </c>
      <c r="I98" s="40">
        <v>464000</v>
      </c>
      <c r="J98" s="40">
        <v>464000</v>
      </c>
      <c r="K98" s="40">
        <v>464000</v>
      </c>
      <c r="L98" s="40">
        <v>464000</v>
      </c>
      <c r="M98" s="40">
        <v>464000</v>
      </c>
      <c r="N98" s="40">
        <v>464000</v>
      </c>
      <c r="O98" s="40">
        <v>464000</v>
      </c>
    </row>
    <row r="99" spans="2:15" ht="14" x14ac:dyDescent="0.15">
      <c r="B99" s="38" t="s">
        <v>67</v>
      </c>
      <c r="C99" s="40">
        <v>816000</v>
      </c>
      <c r="D99" s="40">
        <v>68000</v>
      </c>
      <c r="E99" s="40">
        <v>68000</v>
      </c>
      <c r="F99" s="40">
        <v>68000</v>
      </c>
      <c r="G99" s="40">
        <v>68000</v>
      </c>
      <c r="H99" s="40">
        <v>68000</v>
      </c>
      <c r="I99" s="40">
        <v>68000</v>
      </c>
      <c r="J99" s="40">
        <v>68000</v>
      </c>
      <c r="K99" s="40">
        <v>68000</v>
      </c>
      <c r="L99" s="40">
        <v>68000</v>
      </c>
      <c r="M99" s="40">
        <v>68000</v>
      </c>
      <c r="N99" s="40">
        <v>68000</v>
      </c>
      <c r="O99" s="40">
        <v>68000</v>
      </c>
    </row>
    <row r="100" spans="2:15" x14ac:dyDescent="0.15"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</row>
    <row r="101" spans="2:15" ht="28" x14ac:dyDescent="0.15">
      <c r="B101" s="42" t="s">
        <v>68</v>
      </c>
      <c r="C101" s="43">
        <v>-1908</v>
      </c>
      <c r="D101" s="43">
        <v>-159</v>
      </c>
      <c r="E101" s="43">
        <v>-159</v>
      </c>
      <c r="F101" s="43">
        <v>-159</v>
      </c>
      <c r="G101" s="43">
        <v>-159</v>
      </c>
      <c r="H101" s="43">
        <v>-159</v>
      </c>
      <c r="I101" s="43">
        <v>-159</v>
      </c>
      <c r="J101" s="43">
        <v>-159</v>
      </c>
      <c r="K101" s="43">
        <v>-159</v>
      </c>
      <c r="L101" s="43">
        <v>-159</v>
      </c>
      <c r="M101" s="43">
        <v>-159</v>
      </c>
      <c r="N101" s="43">
        <v>-159</v>
      </c>
      <c r="O101" s="43">
        <v>-159</v>
      </c>
    </row>
    <row r="102" spans="2:15" x14ac:dyDescent="0.15"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</row>
    <row r="103" spans="2:15" ht="14" x14ac:dyDescent="0.15">
      <c r="B103" s="42" t="s">
        <v>69</v>
      </c>
      <c r="C103" s="43">
        <v>-958958.26260000002</v>
      </c>
      <c r="D103" s="43">
        <v>-649406.41009999998</v>
      </c>
      <c r="E103" s="43">
        <v>-692246.11710000003</v>
      </c>
      <c r="F103" s="43">
        <v>-425396.3934</v>
      </c>
      <c r="G103" s="43">
        <v>-356094.76130000001</v>
      </c>
      <c r="H103" s="43">
        <v>69363.941399999996</v>
      </c>
      <c r="I103" s="43">
        <v>84657.700800000006</v>
      </c>
      <c r="J103" s="43">
        <v>536426.74289999995</v>
      </c>
      <c r="K103" s="43">
        <v>503142.967</v>
      </c>
      <c r="L103" s="43">
        <v>415514.223</v>
      </c>
      <c r="M103" s="43">
        <v>186206.70269999999</v>
      </c>
      <c r="N103" s="43">
        <v>-285095.0442</v>
      </c>
      <c r="O103" s="43">
        <v>-346031.81430000003</v>
      </c>
    </row>
    <row r="104" spans="2:15" x14ac:dyDescent="0.15"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  <row r="105" spans="2:15" ht="14" x14ac:dyDescent="0.15">
      <c r="B105" s="42" t="s">
        <v>70</v>
      </c>
      <c r="C105" s="43">
        <v>392856</v>
      </c>
      <c r="D105" s="43">
        <v>32738</v>
      </c>
      <c r="E105" s="43">
        <v>32738</v>
      </c>
      <c r="F105" s="43">
        <v>32738</v>
      </c>
      <c r="G105" s="43">
        <v>32738</v>
      </c>
      <c r="H105" s="43">
        <v>32738</v>
      </c>
      <c r="I105" s="43">
        <v>32738</v>
      </c>
      <c r="J105" s="43">
        <v>32738</v>
      </c>
      <c r="K105" s="43">
        <v>32738</v>
      </c>
      <c r="L105" s="43">
        <v>32738</v>
      </c>
      <c r="M105" s="43">
        <v>32738</v>
      </c>
      <c r="N105" s="43">
        <v>32738</v>
      </c>
      <c r="O105" s="43">
        <v>32738</v>
      </c>
    </row>
    <row r="106" spans="2:15" ht="14" x14ac:dyDescent="0.15">
      <c r="B106" s="38" t="s">
        <v>71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</row>
    <row r="107" spans="2:15" ht="14" x14ac:dyDescent="0.15">
      <c r="B107" s="38" t="s">
        <v>72</v>
      </c>
      <c r="C107" s="40">
        <v>96600</v>
      </c>
      <c r="D107" s="40">
        <v>8050</v>
      </c>
      <c r="E107" s="40">
        <v>8050</v>
      </c>
      <c r="F107" s="40">
        <v>8050</v>
      </c>
      <c r="G107" s="40">
        <v>8050</v>
      </c>
      <c r="H107" s="40">
        <v>8050</v>
      </c>
      <c r="I107" s="40">
        <v>8050</v>
      </c>
      <c r="J107" s="40">
        <v>8050</v>
      </c>
      <c r="K107" s="40">
        <v>8050</v>
      </c>
      <c r="L107" s="40">
        <v>8050</v>
      </c>
      <c r="M107" s="40">
        <v>8050</v>
      </c>
      <c r="N107" s="40">
        <v>8050</v>
      </c>
      <c r="O107" s="40">
        <v>8050</v>
      </c>
    </row>
    <row r="108" spans="2:15" ht="14" x14ac:dyDescent="0.15">
      <c r="B108" s="38" t="s">
        <v>73</v>
      </c>
      <c r="C108" s="40">
        <v>54000</v>
      </c>
      <c r="D108" s="40">
        <v>4500</v>
      </c>
      <c r="E108" s="40">
        <v>4500</v>
      </c>
      <c r="F108" s="40">
        <v>4500</v>
      </c>
      <c r="G108" s="40">
        <v>4500</v>
      </c>
      <c r="H108" s="40">
        <v>4500</v>
      </c>
      <c r="I108" s="40">
        <v>4500</v>
      </c>
      <c r="J108" s="40">
        <v>4500</v>
      </c>
      <c r="K108" s="40">
        <v>4500</v>
      </c>
      <c r="L108" s="40">
        <v>4500</v>
      </c>
      <c r="M108" s="40">
        <v>4500</v>
      </c>
      <c r="N108" s="40">
        <v>4500</v>
      </c>
      <c r="O108" s="40">
        <v>4500</v>
      </c>
    </row>
    <row r="109" spans="2:15" ht="14" x14ac:dyDescent="0.15">
      <c r="B109" s="38" t="s">
        <v>74</v>
      </c>
      <c r="C109" s="40">
        <v>0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</row>
    <row r="110" spans="2:15" ht="14" x14ac:dyDescent="0.15">
      <c r="B110" s="38" t="s">
        <v>75</v>
      </c>
      <c r="C110" s="40">
        <v>0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</row>
    <row r="111" spans="2:15" ht="14" x14ac:dyDescent="0.15">
      <c r="B111" s="38" t="s">
        <v>76</v>
      </c>
      <c r="C111" s="40">
        <v>242256</v>
      </c>
      <c r="D111" s="40">
        <v>20188</v>
      </c>
      <c r="E111" s="40">
        <v>20188</v>
      </c>
      <c r="F111" s="40">
        <v>20188</v>
      </c>
      <c r="G111" s="40">
        <v>20188</v>
      </c>
      <c r="H111" s="40">
        <v>20188</v>
      </c>
      <c r="I111" s="40">
        <v>20188</v>
      </c>
      <c r="J111" s="40">
        <v>20188</v>
      </c>
      <c r="K111" s="40">
        <v>20188</v>
      </c>
      <c r="L111" s="40">
        <v>20188</v>
      </c>
      <c r="M111" s="40">
        <v>20188</v>
      </c>
      <c r="N111" s="40">
        <v>20188</v>
      </c>
      <c r="O111" s="40">
        <v>20188</v>
      </c>
    </row>
    <row r="112" spans="2:15" ht="14" x14ac:dyDescent="0.15">
      <c r="B112" s="38" t="s">
        <v>77</v>
      </c>
      <c r="C112" s="40">
        <v>0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</row>
    <row r="113" spans="2:15" ht="14" x14ac:dyDescent="0.15">
      <c r="B113" s="38" t="s">
        <v>78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</row>
    <row r="114" spans="2:15" ht="14" x14ac:dyDescent="0.15">
      <c r="B114" s="38" t="s">
        <v>79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</row>
    <row r="115" spans="2:15" ht="14" x14ac:dyDescent="0.15">
      <c r="B115" s="38" t="s">
        <v>80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</row>
    <row r="116" spans="2:15" x14ac:dyDescent="0.15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</row>
    <row r="117" spans="2:15" ht="14" x14ac:dyDescent="0.15">
      <c r="B117" s="42" t="s">
        <v>81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</row>
    <row r="118" spans="2:15" ht="14" x14ac:dyDescent="0.15">
      <c r="B118" s="38" t="s">
        <v>82</v>
      </c>
      <c r="C118" s="40">
        <v>0</v>
      </c>
      <c r="D118" s="40">
        <v>0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  <c r="O118" s="40">
        <v>0</v>
      </c>
    </row>
    <row r="119" spans="2:15" ht="14" x14ac:dyDescent="0.15">
      <c r="B119" s="38" t="s">
        <v>83</v>
      </c>
      <c r="C119" s="40">
        <v>0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</row>
    <row r="120" spans="2:15" x14ac:dyDescent="0.15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</row>
    <row r="121" spans="2:15" ht="14" x14ac:dyDescent="0.15">
      <c r="B121" s="42" t="s">
        <v>84</v>
      </c>
      <c r="C121" s="43">
        <v>-1351814.2626</v>
      </c>
      <c r="D121" s="43">
        <v>-682144.41009999998</v>
      </c>
      <c r="E121" s="43">
        <v>-724984.11710000003</v>
      </c>
      <c r="F121" s="43">
        <v>-458134.3934</v>
      </c>
      <c r="G121" s="43">
        <v>-388832.76130000001</v>
      </c>
      <c r="H121" s="43">
        <v>36625.941400000003</v>
      </c>
      <c r="I121" s="43">
        <v>51919.700799999999</v>
      </c>
      <c r="J121" s="43">
        <v>503688.74290000001</v>
      </c>
      <c r="K121" s="43">
        <v>470404.967</v>
      </c>
      <c r="L121" s="43">
        <v>382776.223</v>
      </c>
      <c r="M121" s="43">
        <v>153468.70269999999</v>
      </c>
      <c r="N121" s="43">
        <v>-317833.0442</v>
      </c>
      <c r="O121" s="43">
        <v>-378769.81430000003</v>
      </c>
    </row>
    <row r="122" spans="2:15" ht="14" x14ac:dyDescent="0.15">
      <c r="B122" s="38" t="s">
        <v>85</v>
      </c>
      <c r="C122" s="40">
        <v>0</v>
      </c>
      <c r="D122" s="40">
        <v>0</v>
      </c>
      <c r="E122" s="40">
        <v>0</v>
      </c>
      <c r="F122" s="40">
        <v>0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</row>
    <row r="123" spans="2:15" x14ac:dyDescent="0.15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</row>
    <row r="124" spans="2:15" ht="14" x14ac:dyDescent="0.15">
      <c r="B124" s="42" t="s">
        <v>86</v>
      </c>
      <c r="C124" s="43">
        <v>-1351814.2626</v>
      </c>
      <c r="D124" s="43">
        <v>-682144.41009999998</v>
      </c>
      <c r="E124" s="43">
        <v>-724984.11710000003</v>
      </c>
      <c r="F124" s="43">
        <v>-458134.3934</v>
      </c>
      <c r="G124" s="43">
        <v>-388832.76130000001</v>
      </c>
      <c r="H124" s="43">
        <v>36625.941400000003</v>
      </c>
      <c r="I124" s="43">
        <v>51919.700799999999</v>
      </c>
      <c r="J124" s="43">
        <v>503688.74290000001</v>
      </c>
      <c r="K124" s="43">
        <v>470404.967</v>
      </c>
      <c r="L124" s="43">
        <v>382776.223</v>
      </c>
      <c r="M124" s="43">
        <v>153468.70269999999</v>
      </c>
      <c r="N124" s="43">
        <v>-317833.0442</v>
      </c>
      <c r="O124" s="43">
        <v>-378769.81430000003</v>
      </c>
    </row>
    <row r="125" spans="2:15" ht="14" x14ac:dyDescent="0.15">
      <c r="B125" s="38" t="s">
        <v>87</v>
      </c>
      <c r="C125" s="40">
        <v>0</v>
      </c>
      <c r="D125" s="40">
        <v>0</v>
      </c>
      <c r="E125" s="40">
        <v>0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</row>
    <row r="126" spans="2:15" x14ac:dyDescent="0.15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2:15" ht="14" x14ac:dyDescent="0.15">
      <c r="B127" s="42" t="s">
        <v>88</v>
      </c>
      <c r="C127" s="43">
        <v>-1351814.2626</v>
      </c>
      <c r="D127" s="43">
        <v>-682144.41009999998</v>
      </c>
      <c r="E127" s="43">
        <v>-724984.11710000003</v>
      </c>
      <c r="F127" s="43">
        <v>-458134.3934</v>
      </c>
      <c r="G127" s="43">
        <v>-388832.76130000001</v>
      </c>
      <c r="H127" s="43">
        <v>36625.941400000003</v>
      </c>
      <c r="I127" s="43">
        <v>51919.700799999999</v>
      </c>
      <c r="J127" s="43">
        <v>503688.74290000001</v>
      </c>
      <c r="K127" s="43">
        <v>470404.967</v>
      </c>
      <c r="L127" s="43">
        <v>382776.223</v>
      </c>
      <c r="M127" s="43">
        <v>153468.70269999999</v>
      </c>
      <c r="N127" s="43">
        <v>-317833.0442</v>
      </c>
      <c r="O127" s="43">
        <v>-378769.81430000003</v>
      </c>
    </row>
    <row r="128" spans="2:15" x14ac:dyDescent="0.15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2:15" ht="14" x14ac:dyDescent="0.15">
      <c r="B129" s="42" t="s">
        <v>89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</row>
    <row r="130" spans="2:15" ht="14" x14ac:dyDescent="0.15">
      <c r="B130" s="38" t="s">
        <v>90</v>
      </c>
      <c r="C130" s="40">
        <v>0</v>
      </c>
      <c r="D130" s="40">
        <v>0</v>
      </c>
      <c r="E130" s="40">
        <v>0</v>
      </c>
      <c r="F130" s="40">
        <v>0</v>
      </c>
      <c r="G130" s="40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  <c r="O130" s="40">
        <v>0</v>
      </c>
    </row>
    <row r="131" spans="2:15" ht="14" x14ac:dyDescent="0.15">
      <c r="B131" s="38" t="s">
        <v>91</v>
      </c>
      <c r="C131" s="40">
        <v>0</v>
      </c>
      <c r="D131" s="40">
        <v>0</v>
      </c>
      <c r="E131" s="40">
        <v>0</v>
      </c>
      <c r="F131" s="40">
        <v>0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</row>
    <row r="132" spans="2:15" ht="14" x14ac:dyDescent="0.15">
      <c r="B132" s="38" t="s">
        <v>92</v>
      </c>
      <c r="C132" s="40">
        <v>0</v>
      </c>
      <c r="D132" s="40">
        <v>0</v>
      </c>
      <c r="E132" s="40">
        <v>0</v>
      </c>
      <c r="F132" s="40">
        <v>0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</row>
    <row r="133" spans="2:15" x14ac:dyDescent="0.15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2:15" ht="14" x14ac:dyDescent="0.15">
      <c r="B134" s="42" t="s">
        <v>93</v>
      </c>
      <c r="C134" s="43">
        <v>-1351814.2626</v>
      </c>
      <c r="D134" s="43">
        <v>-682144.41009999998</v>
      </c>
      <c r="E134" s="43">
        <v>-724984.11710000003</v>
      </c>
      <c r="F134" s="43">
        <v>-458134.3934</v>
      </c>
      <c r="G134" s="43">
        <v>-388832.76130000001</v>
      </c>
      <c r="H134" s="43">
        <v>36625.941400000003</v>
      </c>
      <c r="I134" s="43">
        <v>51919.700799999999</v>
      </c>
      <c r="J134" s="43">
        <v>503688.74290000001</v>
      </c>
      <c r="K134" s="43">
        <v>470404.967</v>
      </c>
      <c r="L134" s="43">
        <v>382776.223</v>
      </c>
      <c r="M134" s="43">
        <v>153468.70269999999</v>
      </c>
      <c r="N134" s="43">
        <v>-317833.0442</v>
      </c>
      <c r="O134" s="43">
        <v>-378769.81430000003</v>
      </c>
    </row>
    <row r="135" spans="2:15" x14ac:dyDescent="0.15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2:15" ht="14" x14ac:dyDescent="0.15">
      <c r="B136" s="42" t="s">
        <v>94</v>
      </c>
      <c r="C136" s="43">
        <v>365112</v>
      </c>
      <c r="D136" s="43">
        <v>30426</v>
      </c>
      <c r="E136" s="43">
        <v>30426</v>
      </c>
      <c r="F136" s="43">
        <v>30426</v>
      </c>
      <c r="G136" s="43">
        <v>30426</v>
      </c>
      <c r="H136" s="43">
        <v>30426</v>
      </c>
      <c r="I136" s="43">
        <v>30426</v>
      </c>
      <c r="J136" s="43">
        <v>30426</v>
      </c>
      <c r="K136" s="43">
        <v>30426</v>
      </c>
      <c r="L136" s="43">
        <v>30426</v>
      </c>
      <c r="M136" s="43">
        <v>30426</v>
      </c>
      <c r="N136" s="43">
        <v>30426</v>
      </c>
      <c r="O136" s="43">
        <v>30426</v>
      </c>
    </row>
    <row r="137" spans="2:15" ht="14" x14ac:dyDescent="0.15">
      <c r="B137" s="38" t="s">
        <v>95</v>
      </c>
      <c r="C137" s="40">
        <v>365112</v>
      </c>
      <c r="D137" s="40">
        <v>30426</v>
      </c>
      <c r="E137" s="40">
        <v>30426</v>
      </c>
      <c r="F137" s="40">
        <v>30426</v>
      </c>
      <c r="G137" s="40">
        <v>30426</v>
      </c>
      <c r="H137" s="40">
        <v>30426</v>
      </c>
      <c r="I137" s="40">
        <v>30426</v>
      </c>
      <c r="J137" s="40">
        <v>30426</v>
      </c>
      <c r="K137" s="40">
        <v>30426</v>
      </c>
      <c r="L137" s="40">
        <v>30426</v>
      </c>
      <c r="M137" s="40">
        <v>30426</v>
      </c>
      <c r="N137" s="40">
        <v>30426</v>
      </c>
      <c r="O137" s="40">
        <v>30426</v>
      </c>
    </row>
    <row r="138" spans="2:15" ht="14" x14ac:dyDescent="0.15">
      <c r="B138" s="38" t="s">
        <v>96</v>
      </c>
      <c r="C138" s="40">
        <v>0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  <c r="O138" s="40">
        <v>0</v>
      </c>
    </row>
    <row r="139" spans="2:15" ht="14" x14ac:dyDescent="0.15">
      <c r="B139" s="38" t="s">
        <v>97</v>
      </c>
      <c r="C139" s="40">
        <v>0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  <c r="O139" s="40">
        <v>0</v>
      </c>
    </row>
    <row r="140" spans="2:15" x14ac:dyDescent="0.15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2:15" ht="28" x14ac:dyDescent="0.15">
      <c r="B141" s="42" t="s">
        <v>98</v>
      </c>
      <c r="C141" s="43">
        <v>-1716926.2626</v>
      </c>
      <c r="D141" s="43">
        <v>-712570.41009999998</v>
      </c>
      <c r="E141" s="43">
        <v>-755410.11710000003</v>
      </c>
      <c r="F141" s="43">
        <v>-488560.3934</v>
      </c>
      <c r="G141" s="43">
        <v>-419258.76130000001</v>
      </c>
      <c r="H141" s="43">
        <v>6199.9413999999997</v>
      </c>
      <c r="I141" s="43">
        <v>21493.700799999999</v>
      </c>
      <c r="J141" s="43">
        <v>473262.74290000001</v>
      </c>
      <c r="K141" s="43">
        <v>439978.967</v>
      </c>
      <c r="L141" s="43">
        <v>352350.223</v>
      </c>
      <c r="M141" s="43">
        <v>123042.70269999999</v>
      </c>
      <c r="N141" s="43">
        <v>-348259.0442</v>
      </c>
      <c r="O141" s="43">
        <v>-409195.81430000003</v>
      </c>
    </row>
    <row r="142" spans="2:15" ht="14" x14ac:dyDescent="0.15">
      <c r="B142" s="38" t="s">
        <v>99</v>
      </c>
      <c r="C142" s="40">
        <v>90780</v>
      </c>
      <c r="D142" s="40">
        <v>7565</v>
      </c>
      <c r="E142" s="40">
        <v>7565</v>
      </c>
      <c r="F142" s="40">
        <v>7565</v>
      </c>
      <c r="G142" s="40">
        <v>7565</v>
      </c>
      <c r="H142" s="40">
        <v>7565</v>
      </c>
      <c r="I142" s="40">
        <v>7565</v>
      </c>
      <c r="J142" s="40">
        <v>7565</v>
      </c>
      <c r="K142" s="40">
        <v>7565</v>
      </c>
      <c r="L142" s="40">
        <v>7565</v>
      </c>
      <c r="M142" s="40">
        <v>7565</v>
      </c>
      <c r="N142" s="40">
        <v>7565</v>
      </c>
      <c r="O142" s="40">
        <v>7565</v>
      </c>
    </row>
    <row r="143" spans="2:15" x14ac:dyDescent="0.15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2:15" ht="14" x14ac:dyDescent="0.15">
      <c r="B144" s="42" t="s">
        <v>100</v>
      </c>
      <c r="C144" s="43">
        <v>-1807706.2626</v>
      </c>
      <c r="D144" s="43">
        <v>-720135.41009999998</v>
      </c>
      <c r="E144" s="43">
        <v>-762975.11710000003</v>
      </c>
      <c r="F144" s="43">
        <v>-496125.3934</v>
      </c>
      <c r="G144" s="43">
        <v>-426823.76130000001</v>
      </c>
      <c r="H144" s="43">
        <v>-1365.0586000000001</v>
      </c>
      <c r="I144" s="43">
        <v>13928.700800000001</v>
      </c>
      <c r="J144" s="43">
        <v>465697.74290000001</v>
      </c>
      <c r="K144" s="43">
        <v>432413.967</v>
      </c>
      <c r="L144" s="43">
        <v>344785.223</v>
      </c>
      <c r="M144" s="43">
        <v>115477.70269999999</v>
      </c>
      <c r="N144" s="43">
        <v>-355824.0442</v>
      </c>
      <c r="O144" s="43">
        <v>-416760.81430000003</v>
      </c>
    </row>
    <row r="145" spans="2:15" ht="14" x14ac:dyDescent="0.15">
      <c r="B145" s="38" t="s">
        <v>101</v>
      </c>
      <c r="C145" s="40">
        <v>0</v>
      </c>
      <c r="D145" s="40">
        <v>0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</row>
    <row r="146" spans="2:15" x14ac:dyDescent="0.15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2:15" ht="28" x14ac:dyDescent="0.15">
      <c r="B147" s="42" t="s">
        <v>102</v>
      </c>
      <c r="C147" s="43">
        <v>-1807706.2626</v>
      </c>
      <c r="D147" s="43">
        <v>-720135.41009999998</v>
      </c>
      <c r="E147" s="43">
        <v>-762975.11710000003</v>
      </c>
      <c r="F147" s="43">
        <v>-496125.3934</v>
      </c>
      <c r="G147" s="43">
        <v>-426823.76130000001</v>
      </c>
      <c r="H147" s="43">
        <v>-1365.0586000000001</v>
      </c>
      <c r="I147" s="43">
        <v>13928.700800000001</v>
      </c>
      <c r="J147" s="43">
        <v>465697.74290000001</v>
      </c>
      <c r="K147" s="43">
        <v>432413.967</v>
      </c>
      <c r="L147" s="43">
        <v>344785.223</v>
      </c>
      <c r="M147" s="43">
        <v>115477.70269999999</v>
      </c>
      <c r="N147" s="43">
        <v>-355824.0442</v>
      </c>
      <c r="O147" s="43">
        <v>-416760.81430000003</v>
      </c>
    </row>
    <row r="148" spans="2:15" ht="14" x14ac:dyDescent="0.15">
      <c r="B148" s="38" t="s">
        <v>103</v>
      </c>
      <c r="C148" s="40">
        <v>0</v>
      </c>
      <c r="D148" s="40">
        <v>0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0</v>
      </c>
      <c r="M148" s="40">
        <v>0</v>
      </c>
      <c r="N148" s="40">
        <v>0</v>
      </c>
      <c r="O148" s="40">
        <v>0</v>
      </c>
    </row>
    <row r="149" spans="2:15" x14ac:dyDescent="0.15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2:15" ht="14" x14ac:dyDescent="0.15">
      <c r="B150" s="42" t="s">
        <v>104</v>
      </c>
      <c r="C150" s="43">
        <v>-1807706.2626</v>
      </c>
      <c r="D150" s="43">
        <v>-720135.41009999998</v>
      </c>
      <c r="E150" s="43">
        <v>-762975.11710000003</v>
      </c>
      <c r="F150" s="43">
        <v>-496125.3934</v>
      </c>
      <c r="G150" s="43">
        <v>-426823.76130000001</v>
      </c>
      <c r="H150" s="43">
        <v>-1365.0586000000001</v>
      </c>
      <c r="I150" s="43">
        <v>13928.700800000001</v>
      </c>
      <c r="J150" s="43">
        <v>465697.74290000001</v>
      </c>
      <c r="K150" s="43">
        <v>432413.967</v>
      </c>
      <c r="L150" s="43">
        <v>344785.223</v>
      </c>
      <c r="M150" s="43">
        <v>115477.70269999999</v>
      </c>
      <c r="N150" s="43">
        <v>-355824.0442</v>
      </c>
      <c r="O150" s="43">
        <v>-416760.81430000003</v>
      </c>
    </row>
    <row r="151" spans="2:15" x14ac:dyDescent="0.15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2:15" ht="14" x14ac:dyDescent="0.15">
      <c r="B152" s="44" t="s">
        <v>105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</row>
    <row r="153" spans="2:15" ht="14" x14ac:dyDescent="0.15">
      <c r="B153" s="38" t="s">
        <v>106</v>
      </c>
      <c r="C153" s="39">
        <v>-2234762.2626</v>
      </c>
      <c r="D153" s="40">
        <v>-755723.41009999998</v>
      </c>
      <c r="E153" s="40">
        <v>-798563.11710000003</v>
      </c>
      <c r="F153" s="40">
        <v>-531713.39339999994</v>
      </c>
      <c r="G153" s="40">
        <v>-462411.76130000001</v>
      </c>
      <c r="H153" s="40">
        <v>-36953.058599999997</v>
      </c>
      <c r="I153" s="40">
        <v>-21659.299200000001</v>
      </c>
      <c r="J153" s="40">
        <v>430109.74290000001</v>
      </c>
      <c r="K153" s="40">
        <v>396825.967</v>
      </c>
      <c r="L153" s="40">
        <v>309197.223</v>
      </c>
      <c r="M153" s="40">
        <v>79889.702699999994</v>
      </c>
      <c r="N153" s="40">
        <v>-391412.0442</v>
      </c>
      <c r="O153" s="40">
        <v>-452348.81430000003</v>
      </c>
    </row>
    <row r="154" spans="2:15" ht="14" x14ac:dyDescent="0.15">
      <c r="B154" s="38" t="s">
        <v>107</v>
      </c>
      <c r="C154" s="39">
        <v>-2288762.2626</v>
      </c>
      <c r="D154" s="40">
        <v>-760223.41009999998</v>
      </c>
      <c r="E154" s="40">
        <v>-803063.11710000003</v>
      </c>
      <c r="F154" s="40">
        <v>-536213.39339999994</v>
      </c>
      <c r="G154" s="40">
        <v>-466911.76130000001</v>
      </c>
      <c r="H154" s="40">
        <v>-41453.058599999997</v>
      </c>
      <c r="I154" s="40">
        <v>-26159.299200000001</v>
      </c>
      <c r="J154" s="40">
        <v>425609.74290000001</v>
      </c>
      <c r="K154" s="40">
        <v>392325.967</v>
      </c>
      <c r="L154" s="40">
        <v>304697.223</v>
      </c>
      <c r="M154" s="40">
        <v>75389.702699999994</v>
      </c>
      <c r="N154" s="40">
        <v>-395912.0442</v>
      </c>
      <c r="O154" s="40">
        <v>-456848.81430000003</v>
      </c>
    </row>
    <row r="155" spans="2:15" ht="14" x14ac:dyDescent="0.15">
      <c r="B155" s="42" t="s">
        <v>108</v>
      </c>
      <c r="C155" s="46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</row>
    <row r="156" spans="2:15" ht="14" x14ac:dyDescent="0.15">
      <c r="B156" s="38" t="s">
        <v>109</v>
      </c>
      <c r="C156" s="39">
        <v>0</v>
      </c>
      <c r="D156" s="40">
        <v>0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  <c r="O156" s="40">
        <v>0</v>
      </c>
    </row>
    <row r="157" spans="2:15" ht="14" x14ac:dyDescent="0.15">
      <c r="B157" s="38" t="s">
        <v>110</v>
      </c>
      <c r="C157" s="39">
        <v>0</v>
      </c>
      <c r="D157" s="40">
        <v>0</v>
      </c>
      <c r="E157" s="40">
        <v>0</v>
      </c>
      <c r="F157" s="40">
        <v>0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  <c r="O157" s="40">
        <v>0</v>
      </c>
    </row>
    <row r="158" spans="2:15" ht="14" x14ac:dyDescent="0.15">
      <c r="B158" s="38" t="s">
        <v>111</v>
      </c>
      <c r="C158" s="39">
        <v>0</v>
      </c>
      <c r="D158" s="40">
        <v>0</v>
      </c>
      <c r="E158" s="40">
        <v>0</v>
      </c>
      <c r="F158" s="40">
        <v>0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  <c r="M158" s="40">
        <v>0</v>
      </c>
      <c r="N158" s="40">
        <v>0</v>
      </c>
      <c r="O158" s="40">
        <v>0</v>
      </c>
    </row>
    <row r="159" spans="2:15" ht="14" x14ac:dyDescent="0.15">
      <c r="B159" s="38" t="s">
        <v>112</v>
      </c>
      <c r="C159" s="39">
        <v>0</v>
      </c>
      <c r="D159" s="40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</row>
    <row r="160" spans="2:15" ht="14" x14ac:dyDescent="0.15">
      <c r="B160" s="38" t="s">
        <v>113</v>
      </c>
      <c r="C160" s="39">
        <v>0</v>
      </c>
      <c r="D160" s="40">
        <v>0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</row>
    <row r="161" spans="2:15" ht="14" x14ac:dyDescent="0.15">
      <c r="B161" s="38" t="s">
        <v>114</v>
      </c>
      <c r="C161" s="39">
        <v>0</v>
      </c>
      <c r="D161" s="40">
        <v>0</v>
      </c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</row>
    <row r="162" spans="2:15" ht="14" x14ac:dyDescent="0.15">
      <c r="B162" s="42" t="s">
        <v>115</v>
      </c>
      <c r="C162" s="46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</row>
    <row r="163" spans="2:15" ht="14" x14ac:dyDescent="0.15">
      <c r="B163" s="38" t="s">
        <v>116</v>
      </c>
      <c r="C163" s="39">
        <v>0</v>
      </c>
      <c r="D163" s="40">
        <v>0</v>
      </c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</row>
    <row r="164" spans="2:15" ht="14" x14ac:dyDescent="0.15">
      <c r="B164" s="38" t="s">
        <v>117</v>
      </c>
      <c r="C164" s="39">
        <v>0</v>
      </c>
      <c r="D164" s="40">
        <v>0</v>
      </c>
      <c r="E164" s="40">
        <v>0</v>
      </c>
      <c r="F164" s="40">
        <v>0</v>
      </c>
      <c r="G164" s="40">
        <v>0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  <c r="M164" s="40">
        <v>0</v>
      </c>
      <c r="N164" s="40">
        <v>0</v>
      </c>
      <c r="O164" s="40">
        <v>0</v>
      </c>
    </row>
    <row r="165" spans="2:15" ht="14" x14ac:dyDescent="0.15">
      <c r="B165" s="38" t="s">
        <v>118</v>
      </c>
      <c r="C165" s="39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</row>
    <row r="166" spans="2:15" ht="14" x14ac:dyDescent="0.15">
      <c r="B166" s="38" t="s">
        <v>119</v>
      </c>
      <c r="C166" s="39">
        <v>0</v>
      </c>
      <c r="D166" s="40">
        <v>0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</row>
    <row r="168" spans="2:15" ht="14" x14ac:dyDescent="0.15">
      <c r="B168" s="33" t="s">
        <v>132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2F57-B1C4-481C-8408-5E822B6CC4FA}">
  <sheetPr>
    <pageSetUpPr fitToPage="1"/>
  </sheetPr>
  <dimension ref="B2:O168"/>
  <sheetViews>
    <sheetView zoomScale="70" zoomScaleNormal="70" workbookViewId="0">
      <pane xSplit="2" ySplit="10" topLeftCell="C109" activePane="bottomRight" state="frozen"/>
      <selection pane="topRight"/>
      <selection pane="bottomLeft"/>
      <selection pane="bottomRight" activeCell="I136" sqref="I136"/>
    </sheetView>
  </sheetViews>
  <sheetFormatPr baseColWidth="10" defaultColWidth="8.83203125" defaultRowHeight="13" x14ac:dyDescent="0.15"/>
  <cols>
    <col min="1" max="1" width="0.6640625" style="33" customWidth="1"/>
    <col min="2" max="2" width="34.6640625" style="33" customWidth="1"/>
    <col min="3" max="3" width="15.33203125" style="33" bestFit="1" customWidth="1"/>
    <col min="4" max="15" width="14.5" style="33" customWidth="1"/>
    <col min="16" max="16" width="0.6640625" style="33" customWidth="1"/>
    <col min="17" max="16384" width="8.83203125" style="33"/>
  </cols>
  <sheetData>
    <row r="2" spans="2:15" ht="35" customHeight="1" x14ac:dyDescent="0.3">
      <c r="B2" s="34" t="s">
        <v>0</v>
      </c>
    </row>
    <row r="3" spans="2:15" ht="14" x14ac:dyDescent="0.15">
      <c r="B3" s="35" t="s">
        <v>126</v>
      </c>
      <c r="C3" s="36"/>
    </row>
    <row r="4" spans="2:15" ht="14" x14ac:dyDescent="0.15">
      <c r="B4" s="35" t="s">
        <v>2</v>
      </c>
      <c r="C4" s="36"/>
    </row>
    <row r="5" spans="2:15" ht="14" x14ac:dyDescent="0.15">
      <c r="B5" s="35" t="s">
        <v>3</v>
      </c>
      <c r="C5" s="36">
        <f>C28/C27</f>
        <v>0.68756585153527716</v>
      </c>
    </row>
    <row r="6" spans="2:15" ht="14" x14ac:dyDescent="0.15">
      <c r="B6" s="35" t="s">
        <v>4</v>
      </c>
      <c r="C6" s="36"/>
    </row>
    <row r="7" spans="2:15" ht="14" x14ac:dyDescent="0.15">
      <c r="B7" s="35" t="s">
        <v>5</v>
      </c>
      <c r="C7" s="36"/>
    </row>
    <row r="8" spans="2:15" ht="14" x14ac:dyDescent="0.15">
      <c r="B8" s="35" t="s">
        <v>6</v>
      </c>
      <c r="C8" s="36"/>
    </row>
    <row r="10" spans="2:15" ht="14" x14ac:dyDescent="0.15">
      <c r="B10" s="37" t="s">
        <v>7</v>
      </c>
      <c r="C10" s="37" t="s">
        <v>8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37" t="s">
        <v>20</v>
      </c>
    </row>
    <row r="11" spans="2:15" ht="14" x14ac:dyDescent="0.15">
      <c r="B11" s="38" t="s">
        <v>21</v>
      </c>
      <c r="C11" s="39">
        <v>104244756.34639999</v>
      </c>
      <c r="D11" s="39">
        <v>6345075.5492000002</v>
      </c>
      <c r="E11" s="39">
        <v>7367537.3300999999</v>
      </c>
      <c r="F11" s="39">
        <v>9809967.9995000008</v>
      </c>
      <c r="G11" s="39">
        <v>7689161.0832000002</v>
      </c>
      <c r="H11" s="39">
        <v>9519256.7825000007</v>
      </c>
      <c r="I11" s="39">
        <v>9058508.7261999995</v>
      </c>
      <c r="J11" s="39">
        <v>7449197.6485000001</v>
      </c>
      <c r="K11" s="39">
        <v>8290181.5827000001</v>
      </c>
      <c r="L11" s="39">
        <v>10977786.314200001</v>
      </c>
      <c r="M11" s="39">
        <v>10811665.2991</v>
      </c>
      <c r="N11" s="39">
        <v>9621684.0499000009</v>
      </c>
      <c r="O11" s="39">
        <v>7304733.9813000001</v>
      </c>
    </row>
    <row r="12" spans="2:15" ht="14" x14ac:dyDescent="0.15">
      <c r="B12" s="38" t="s">
        <v>22</v>
      </c>
      <c r="C12" s="39">
        <v>35871761.75</v>
      </c>
      <c r="D12" s="39">
        <v>2803727.9912999999</v>
      </c>
      <c r="E12" s="39">
        <v>2924305.0649999999</v>
      </c>
      <c r="F12" s="39">
        <v>3072430.7497</v>
      </c>
      <c r="G12" s="39">
        <v>2911361.4441999998</v>
      </c>
      <c r="H12" s="39">
        <v>2986148.4723</v>
      </c>
      <c r="I12" s="39">
        <v>3107630.8659999999</v>
      </c>
      <c r="J12" s="39">
        <v>2854236.3054999998</v>
      </c>
      <c r="K12" s="39">
        <v>2887820.2344</v>
      </c>
      <c r="L12" s="39">
        <v>3098464.6638000002</v>
      </c>
      <c r="M12" s="39">
        <v>3048293.1085999999</v>
      </c>
      <c r="N12" s="39">
        <v>3245887.2749999999</v>
      </c>
      <c r="O12" s="39">
        <v>2931455.5742000001</v>
      </c>
    </row>
    <row r="13" spans="2:15" ht="14" x14ac:dyDescent="0.15">
      <c r="B13" s="38" t="s">
        <v>23</v>
      </c>
      <c r="C13" s="39">
        <v>31032879.182599999</v>
      </c>
      <c r="D13" s="39">
        <v>939291.83140000002</v>
      </c>
      <c r="E13" s="39">
        <v>1581692.6285999999</v>
      </c>
      <c r="F13" s="39">
        <v>3237585.9257999999</v>
      </c>
      <c r="G13" s="39">
        <v>1852723.9169000001</v>
      </c>
      <c r="H13" s="39">
        <v>3317247.1751999999</v>
      </c>
      <c r="I13" s="39">
        <v>2757129.6809</v>
      </c>
      <c r="J13" s="39">
        <v>1740024.7086</v>
      </c>
      <c r="K13" s="39">
        <v>2401923.8075000001</v>
      </c>
      <c r="L13" s="39">
        <v>4208462.7785999998</v>
      </c>
      <c r="M13" s="39">
        <v>4256334.0691999998</v>
      </c>
      <c r="N13" s="39">
        <v>3103927.9484999999</v>
      </c>
      <c r="O13" s="39">
        <v>1636534.7113999999</v>
      </c>
    </row>
    <row r="14" spans="2:15" ht="14" x14ac:dyDescent="0.15">
      <c r="B14" s="38" t="s">
        <v>24</v>
      </c>
      <c r="C14" s="40">
        <v>824900</v>
      </c>
      <c r="D14" s="40">
        <v>70060</v>
      </c>
      <c r="E14" s="40">
        <v>63280</v>
      </c>
      <c r="F14" s="40">
        <v>70060</v>
      </c>
      <c r="G14" s="40">
        <v>67800</v>
      </c>
      <c r="H14" s="40">
        <v>70060</v>
      </c>
      <c r="I14" s="40">
        <v>67800</v>
      </c>
      <c r="J14" s="40">
        <v>70060</v>
      </c>
      <c r="K14" s="40">
        <v>70060</v>
      </c>
      <c r="L14" s="40">
        <v>67800</v>
      </c>
      <c r="M14" s="40">
        <v>70060</v>
      </c>
      <c r="N14" s="40">
        <v>67800</v>
      </c>
      <c r="O14" s="40">
        <v>70060</v>
      </c>
    </row>
    <row r="15" spans="2:15" ht="14" x14ac:dyDescent="0.15">
      <c r="B15" s="38" t="s">
        <v>25</v>
      </c>
      <c r="C15" s="41">
        <v>540060</v>
      </c>
      <c r="D15" s="41">
        <v>36033</v>
      </c>
      <c r="E15" s="41">
        <v>39507</v>
      </c>
      <c r="F15" s="41">
        <v>49055</v>
      </c>
      <c r="G15" s="41">
        <v>41789</v>
      </c>
      <c r="H15" s="41">
        <v>47550</v>
      </c>
      <c r="I15" s="41">
        <v>47041</v>
      </c>
      <c r="J15" s="41">
        <v>42384</v>
      </c>
      <c r="K15" s="41">
        <v>46032</v>
      </c>
      <c r="L15" s="41">
        <v>52526</v>
      </c>
      <c r="M15" s="41">
        <v>49112</v>
      </c>
      <c r="N15" s="41">
        <v>48568</v>
      </c>
      <c r="O15" s="41">
        <v>40463</v>
      </c>
    </row>
    <row r="16" spans="2:15" ht="14" x14ac:dyDescent="0.15">
      <c r="B16" s="38" t="s">
        <v>26</v>
      </c>
      <c r="C16" s="40">
        <v>65.813310704328003</v>
      </c>
      <c r="D16" s="40">
        <v>51.7727662004</v>
      </c>
      <c r="E16" s="40">
        <v>62.923514538558997</v>
      </c>
      <c r="F16" s="40">
        <v>70.342563516984995</v>
      </c>
      <c r="G16" s="40">
        <v>62.010324483776003</v>
      </c>
      <c r="H16" s="40">
        <v>68.305737938909999</v>
      </c>
      <c r="I16" s="40">
        <v>69.824483775811004</v>
      </c>
      <c r="J16" s="40">
        <v>60.852126748501</v>
      </c>
      <c r="K16" s="40">
        <v>66.074793034541997</v>
      </c>
      <c r="L16" s="40">
        <v>77.817109144542997</v>
      </c>
      <c r="M16" s="40">
        <v>70.324007993148996</v>
      </c>
      <c r="N16" s="40">
        <v>71.883480825958998</v>
      </c>
      <c r="O16" s="40">
        <v>57.938909506138003</v>
      </c>
    </row>
    <row r="17" spans="2:15" ht="14" x14ac:dyDescent="0.15">
      <c r="B17" s="38" t="s">
        <v>27</v>
      </c>
      <c r="C17" s="41">
        <v>132.71698453024001</v>
      </c>
      <c r="D17" s="41">
        <v>114.80619145506</v>
      </c>
      <c r="E17" s="41">
        <v>121.51362113296</v>
      </c>
      <c r="F17" s="41">
        <v>138.74131626542001</v>
      </c>
      <c r="G17" s="41">
        <v>123.40963399459</v>
      </c>
      <c r="H17" s="41">
        <v>141.99155388643999</v>
      </c>
      <c r="I17" s="41">
        <v>132.54899154992</v>
      </c>
      <c r="J17" s="41">
        <v>123.94446482399</v>
      </c>
      <c r="K17" s="41">
        <v>127.68629654154</v>
      </c>
      <c r="L17" s="41">
        <v>142.64024072078999</v>
      </c>
      <c r="M17" s="41">
        <v>157.60430521665</v>
      </c>
      <c r="N17" s="41">
        <v>133.2835920215</v>
      </c>
      <c r="O17" s="41">
        <v>122.35398652348999</v>
      </c>
    </row>
    <row r="18" spans="2:15" ht="14" x14ac:dyDescent="0.15">
      <c r="B18" s="38" t="s">
        <v>28</v>
      </c>
      <c r="C18" s="39">
        <v>85.627390793307995</v>
      </c>
      <c r="D18" s="39">
        <v>57.891971120468</v>
      </c>
      <c r="E18" s="39">
        <v>74.542329805625997</v>
      </c>
      <c r="F18" s="39">
        <v>95.729450034256004</v>
      </c>
      <c r="G18" s="39">
        <v>74.821758038347994</v>
      </c>
      <c r="H18" s="39">
        <v>95.038515376820001</v>
      </c>
      <c r="I18" s="39">
        <v>90.696712558997007</v>
      </c>
      <c r="J18" s="39">
        <v>73.926808408507</v>
      </c>
      <c r="K18" s="39">
        <v>82.742015449614996</v>
      </c>
      <c r="L18" s="39">
        <v>109.06963545870001</v>
      </c>
      <c r="M18" s="39">
        <v>109.01174190408</v>
      </c>
      <c r="N18" s="39">
        <v>94.157337718289</v>
      </c>
      <c r="O18" s="39">
        <v>69.673984537538999</v>
      </c>
    </row>
    <row r="19" spans="2:15" ht="14" x14ac:dyDescent="0.15">
      <c r="B19" s="38" t="s">
        <v>29</v>
      </c>
      <c r="C19" s="41">
        <v>126.37259831058</v>
      </c>
      <c r="D19" s="41">
        <v>90.566308153012002</v>
      </c>
      <c r="E19" s="41">
        <v>116.42758106985001</v>
      </c>
      <c r="F19" s="41">
        <v>140.02238080930999</v>
      </c>
      <c r="G19" s="41">
        <v>113.40945550442</v>
      </c>
      <c r="H19" s="41">
        <v>135.87292010420001</v>
      </c>
      <c r="I19" s="41">
        <v>133.60632339527999</v>
      </c>
      <c r="J19" s="41">
        <v>106.32597271624</v>
      </c>
      <c r="K19" s="41">
        <v>118.32973997574</v>
      </c>
      <c r="L19" s="41">
        <v>161.91425242183001</v>
      </c>
      <c r="M19" s="41">
        <v>154.32008705537999</v>
      </c>
      <c r="N19" s="41">
        <v>141.91274409882001</v>
      </c>
      <c r="O19" s="41">
        <v>104.26397346988</v>
      </c>
    </row>
    <row r="20" spans="2:15" ht="14" x14ac:dyDescent="0.15">
      <c r="B20" s="38" t="s">
        <v>30</v>
      </c>
      <c r="C20" s="40">
        <v>744636.92469999997</v>
      </c>
      <c r="D20" s="40">
        <v>46243.554700000001</v>
      </c>
      <c r="E20" s="40">
        <v>51902.210500000001</v>
      </c>
      <c r="F20" s="40">
        <v>65871.501600000003</v>
      </c>
      <c r="G20" s="40">
        <v>56416.150999999998</v>
      </c>
      <c r="H20" s="40">
        <v>65738.665500000003</v>
      </c>
      <c r="I20" s="40">
        <v>64694.092400000001</v>
      </c>
      <c r="J20" s="40">
        <v>62619.381999999998</v>
      </c>
      <c r="K20" s="40">
        <v>68425.838900000002</v>
      </c>
      <c r="L20" s="40">
        <v>71191.698099999994</v>
      </c>
      <c r="M20" s="40">
        <v>69161.3</v>
      </c>
      <c r="N20" s="40">
        <v>63404.9</v>
      </c>
      <c r="O20" s="40">
        <v>58967.63</v>
      </c>
    </row>
    <row r="21" spans="2:15" ht="14" x14ac:dyDescent="0.15">
      <c r="B21" s="38" t="s">
        <v>31</v>
      </c>
      <c r="C21" s="41">
        <v>1.371606473271</v>
      </c>
      <c r="D21" s="41">
        <v>1.2749105287825</v>
      </c>
      <c r="E21" s="41">
        <v>1.3034861243658999</v>
      </c>
      <c r="F21" s="41">
        <v>1.3366239519500001</v>
      </c>
      <c r="G21" s="41">
        <v>1.3418678733677001</v>
      </c>
      <c r="H21" s="41">
        <v>1.3737052659074001</v>
      </c>
      <c r="I21" s="41">
        <v>1.3665552565429999</v>
      </c>
      <c r="J21" s="41">
        <v>1.4688007412099</v>
      </c>
      <c r="K21" s="41">
        <v>1.4781352911950001</v>
      </c>
      <c r="L21" s="41">
        <v>1.3493498502654</v>
      </c>
      <c r="M21" s="41">
        <v>1.4037488075666</v>
      </c>
      <c r="N21" s="41">
        <v>1.3009602560683</v>
      </c>
      <c r="O21" s="41">
        <v>1.4526909243201001</v>
      </c>
    </row>
    <row r="22" spans="2:15" ht="14" x14ac:dyDescent="0.15">
      <c r="B22" s="38" t="s">
        <v>32</v>
      </c>
      <c r="C22" s="40">
        <v>887397.83039999998</v>
      </c>
      <c r="D22" s="40">
        <v>57581.770499999999</v>
      </c>
      <c r="E22" s="40">
        <v>64906.698900000003</v>
      </c>
      <c r="F22" s="40">
        <v>76338.346000000005</v>
      </c>
      <c r="G22" s="40">
        <v>68538.0386</v>
      </c>
      <c r="H22" s="40">
        <v>76858.808399999994</v>
      </c>
      <c r="I22" s="40">
        <v>74693.977100000004</v>
      </c>
      <c r="J22" s="40">
        <v>69081.763699999996</v>
      </c>
      <c r="K22" s="40">
        <v>79196.072899999999</v>
      </c>
      <c r="L22" s="40">
        <v>88605.0959</v>
      </c>
      <c r="M22" s="40">
        <v>85343.551099999997</v>
      </c>
      <c r="N22" s="40">
        <v>79676.765100000004</v>
      </c>
      <c r="O22" s="40">
        <v>66576.942200000005</v>
      </c>
    </row>
    <row r="23" spans="2:15" ht="14" x14ac:dyDescent="0.15">
      <c r="B23" s="38" t="s">
        <v>33</v>
      </c>
      <c r="C23" s="40">
        <v>526.65440000000001</v>
      </c>
      <c r="D23" s="40">
        <v>518.75840000000005</v>
      </c>
      <c r="E23" s="40">
        <v>527.35839999999996</v>
      </c>
      <c r="F23" s="40">
        <v>528.85839999999996</v>
      </c>
      <c r="G23" s="40">
        <v>528.44839999999999</v>
      </c>
      <c r="H23" s="40">
        <v>530.94839999999999</v>
      </c>
      <c r="I23" s="40">
        <v>529.94839999999999</v>
      </c>
      <c r="J23" s="40">
        <v>527.28840000000002</v>
      </c>
      <c r="K23" s="40">
        <v>527.44839999999999</v>
      </c>
      <c r="L23" s="40">
        <v>524.44839999999999</v>
      </c>
      <c r="M23" s="40">
        <v>525.44839999999999</v>
      </c>
      <c r="N23" s="40">
        <v>525.44839999999999</v>
      </c>
      <c r="O23" s="40">
        <v>525.44839999999999</v>
      </c>
    </row>
    <row r="25" spans="2:15" ht="14" x14ac:dyDescent="0.15">
      <c r="B25" s="38" t="s">
        <v>34</v>
      </c>
      <c r="C25" s="40"/>
    </row>
    <row r="26" spans="2:15" x14ac:dyDescent="0.15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</row>
    <row r="27" spans="2:15" ht="14" x14ac:dyDescent="0.15">
      <c r="B27" s="42" t="s">
        <v>21</v>
      </c>
      <c r="C27" s="43">
        <v>104244756.34639999</v>
      </c>
      <c r="D27" s="43">
        <v>6345075.5492000002</v>
      </c>
      <c r="E27" s="43">
        <v>7367537.3300999999</v>
      </c>
      <c r="F27" s="43">
        <v>9809967.9995000008</v>
      </c>
      <c r="G27" s="43">
        <v>7689161.0832000002</v>
      </c>
      <c r="H27" s="43">
        <v>9519256.7825000007</v>
      </c>
      <c r="I27" s="43">
        <v>9058508.7261999995</v>
      </c>
      <c r="J27" s="43">
        <v>7449197.6485000001</v>
      </c>
      <c r="K27" s="43">
        <v>8290181.5827000001</v>
      </c>
      <c r="L27" s="43">
        <v>10977786.314200001</v>
      </c>
      <c r="M27" s="43">
        <v>10811665.2991</v>
      </c>
      <c r="N27" s="43">
        <v>9621684.0499000009</v>
      </c>
      <c r="O27" s="43">
        <v>7304733.9813000001</v>
      </c>
    </row>
    <row r="28" spans="2:15" ht="14" x14ac:dyDescent="0.15">
      <c r="B28" s="38" t="s">
        <v>35</v>
      </c>
      <c r="C28" s="40">
        <v>71675134.665399998</v>
      </c>
      <c r="D28" s="40">
        <v>4136811.4967</v>
      </c>
      <c r="E28" s="40">
        <v>4800638.6300999997</v>
      </c>
      <c r="F28" s="40">
        <v>6805955.2693999996</v>
      </c>
      <c r="G28" s="40">
        <v>5157165.1950000003</v>
      </c>
      <c r="H28" s="40">
        <v>6751698.3872999996</v>
      </c>
      <c r="I28" s="40">
        <v>6235237.1114999996</v>
      </c>
      <c r="J28" s="40">
        <v>5253262.1971000005</v>
      </c>
      <c r="K28" s="40">
        <v>5877655.6024000002</v>
      </c>
      <c r="L28" s="40">
        <v>7492321.2840999998</v>
      </c>
      <c r="M28" s="40">
        <v>7740262.6377999997</v>
      </c>
      <c r="N28" s="40">
        <v>6473317.4972999999</v>
      </c>
      <c r="O28" s="40">
        <v>4950809.3567000004</v>
      </c>
    </row>
    <row r="29" spans="2:15" ht="14" x14ac:dyDescent="0.15">
      <c r="B29" s="38" t="s">
        <v>36</v>
      </c>
      <c r="C29" s="40">
        <v>27110904.108199999</v>
      </c>
      <c r="D29" s="40">
        <v>1845934.3166</v>
      </c>
      <c r="E29" s="40">
        <v>2166474.8553999998</v>
      </c>
      <c r="F29" s="40">
        <v>2499682.7285000002</v>
      </c>
      <c r="G29" s="40">
        <v>2111881.6501000002</v>
      </c>
      <c r="H29" s="40">
        <v>2284825.7527999999</v>
      </c>
      <c r="I29" s="40">
        <v>2341321.5921</v>
      </c>
      <c r="J29" s="40">
        <v>1757392.7945999999</v>
      </c>
      <c r="K29" s="40">
        <v>1960046.3940999999</v>
      </c>
      <c r="L29" s="40">
        <v>2945980.5183999999</v>
      </c>
      <c r="M29" s="40">
        <v>2550904.9545999998</v>
      </c>
      <c r="N29" s="40">
        <v>2675402.9707999998</v>
      </c>
      <c r="O29" s="40">
        <v>1971055.5802</v>
      </c>
    </row>
    <row r="30" spans="2:15" ht="14" x14ac:dyDescent="0.15">
      <c r="B30" s="38" t="s">
        <v>37</v>
      </c>
      <c r="C30" s="40">
        <v>4283822.7854000004</v>
      </c>
      <c r="D30" s="40">
        <v>286832.35230000003</v>
      </c>
      <c r="E30" s="40">
        <v>324057.58620000002</v>
      </c>
      <c r="F30" s="40">
        <v>363546.35979999998</v>
      </c>
      <c r="G30" s="40">
        <v>338467.56969999999</v>
      </c>
      <c r="H30" s="40">
        <v>398241.1433</v>
      </c>
      <c r="I30" s="40">
        <v>383543.99080000003</v>
      </c>
      <c r="J30" s="40">
        <v>368802.62699999998</v>
      </c>
      <c r="K30" s="40">
        <v>378084.87939999998</v>
      </c>
      <c r="L30" s="40">
        <v>408861.68329999998</v>
      </c>
      <c r="M30" s="40">
        <v>375262.86580000003</v>
      </c>
      <c r="N30" s="40">
        <v>348985.92129999999</v>
      </c>
      <c r="O30" s="40">
        <v>309135.80650000001</v>
      </c>
    </row>
    <row r="31" spans="2:15" ht="14" x14ac:dyDescent="0.15">
      <c r="B31" s="38" t="s">
        <v>38</v>
      </c>
      <c r="C31" s="40">
        <v>1174894.7871999999</v>
      </c>
      <c r="D31" s="40">
        <v>75497.383600000001</v>
      </c>
      <c r="E31" s="40">
        <v>76366.258300000001</v>
      </c>
      <c r="F31" s="40">
        <v>140783.64180000001</v>
      </c>
      <c r="G31" s="40">
        <v>81646.668399999995</v>
      </c>
      <c r="H31" s="40">
        <v>84491.499200000006</v>
      </c>
      <c r="I31" s="40">
        <v>98406.031799999997</v>
      </c>
      <c r="J31" s="40">
        <v>69740.029599999994</v>
      </c>
      <c r="K31" s="40">
        <v>74394.7068</v>
      </c>
      <c r="L31" s="40">
        <v>130622.8284</v>
      </c>
      <c r="M31" s="40">
        <v>145234.84090000001</v>
      </c>
      <c r="N31" s="40">
        <v>123977.6606</v>
      </c>
      <c r="O31" s="40">
        <v>73733.237800000003</v>
      </c>
    </row>
    <row r="32" spans="2:15" x14ac:dyDescent="0.1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</row>
    <row r="33" spans="2:15" ht="14" x14ac:dyDescent="0.15">
      <c r="B33" s="44" t="s">
        <v>39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</row>
    <row r="34" spans="2:15" ht="14" x14ac:dyDescent="0.15">
      <c r="B34" s="42" t="s">
        <v>35</v>
      </c>
      <c r="C34" s="43">
        <v>71675134.665399998</v>
      </c>
      <c r="D34" s="43">
        <v>4136811.4967</v>
      </c>
      <c r="E34" s="43">
        <v>4800638.6300999997</v>
      </c>
      <c r="F34" s="43">
        <v>6805955.2693999996</v>
      </c>
      <c r="G34" s="43">
        <v>5157165.1950000003</v>
      </c>
      <c r="H34" s="43">
        <v>6751698.3872999996</v>
      </c>
      <c r="I34" s="43">
        <v>6235237.1114999996</v>
      </c>
      <c r="J34" s="43">
        <v>5253262.1971000005</v>
      </c>
      <c r="K34" s="43">
        <v>5877655.6024000002</v>
      </c>
      <c r="L34" s="43">
        <v>7492321.2840999998</v>
      </c>
      <c r="M34" s="43">
        <v>7740262.6377999997</v>
      </c>
      <c r="N34" s="43">
        <v>6473317.4972999999</v>
      </c>
      <c r="O34" s="43">
        <v>4950809.3567000004</v>
      </c>
    </row>
    <row r="35" spans="2:15" ht="14" x14ac:dyDescent="0.15">
      <c r="B35" s="38" t="s">
        <v>22</v>
      </c>
      <c r="C35" s="40">
        <v>14927382.4592</v>
      </c>
      <c r="D35" s="40">
        <v>1150985.6713</v>
      </c>
      <c r="E35" s="40">
        <v>1195591.5341</v>
      </c>
      <c r="F35" s="40">
        <v>1263390.6207999999</v>
      </c>
      <c r="G35" s="40">
        <v>1199755.3711000001</v>
      </c>
      <c r="H35" s="40">
        <v>1254052.1975</v>
      </c>
      <c r="I35" s="40">
        <v>1308247.9791000001</v>
      </c>
      <c r="J35" s="40">
        <v>1209967.9504</v>
      </c>
      <c r="K35" s="40">
        <v>1224281.4886</v>
      </c>
      <c r="L35" s="40">
        <v>1308659.7807</v>
      </c>
      <c r="M35" s="40">
        <v>1265785.868</v>
      </c>
      <c r="N35" s="40">
        <v>1331244.6022000001</v>
      </c>
      <c r="O35" s="40">
        <v>1215419.3954</v>
      </c>
    </row>
    <row r="36" spans="2:15" ht="14" x14ac:dyDescent="0.15">
      <c r="B36" s="38" t="s">
        <v>40</v>
      </c>
      <c r="C36" s="40">
        <v>11316499.7019</v>
      </c>
      <c r="D36" s="40">
        <v>699808.75910000002</v>
      </c>
      <c r="E36" s="40">
        <v>798402.25699999998</v>
      </c>
      <c r="F36" s="40">
        <v>1064316.4924999999</v>
      </c>
      <c r="G36" s="40">
        <v>833095.10930000001</v>
      </c>
      <c r="H36" s="40">
        <v>1008530.1256</v>
      </c>
      <c r="I36" s="40">
        <v>1009980.4182</v>
      </c>
      <c r="J36" s="40">
        <v>892610.80810000002</v>
      </c>
      <c r="K36" s="40">
        <v>975216.26690000005</v>
      </c>
      <c r="L36" s="40">
        <v>1141191.2808000001</v>
      </c>
      <c r="M36" s="40">
        <v>1124487.8914000001</v>
      </c>
      <c r="N36" s="40">
        <v>978351.73360000004</v>
      </c>
      <c r="O36" s="40">
        <v>790508.55940000003</v>
      </c>
    </row>
    <row r="37" spans="2:15" ht="14" x14ac:dyDescent="0.15">
      <c r="B37" s="42" t="s">
        <v>41</v>
      </c>
      <c r="C37" s="43">
        <v>45431252.504600003</v>
      </c>
      <c r="D37" s="43">
        <v>2286017.0660999999</v>
      </c>
      <c r="E37" s="43">
        <v>2806644.8391</v>
      </c>
      <c r="F37" s="43">
        <v>4478248.1561000003</v>
      </c>
      <c r="G37" s="43">
        <v>3124314.7146999999</v>
      </c>
      <c r="H37" s="43">
        <v>4489116.0641999999</v>
      </c>
      <c r="I37" s="43">
        <v>3917008.7143999999</v>
      </c>
      <c r="J37" s="43">
        <v>3150683.4386999998</v>
      </c>
      <c r="K37" s="43">
        <v>3678157.8467999999</v>
      </c>
      <c r="L37" s="43">
        <v>5042470.2226</v>
      </c>
      <c r="M37" s="43">
        <v>5349988.8783999998</v>
      </c>
      <c r="N37" s="43">
        <v>4163721.1616000002</v>
      </c>
      <c r="O37" s="43">
        <v>2944881.4018999999</v>
      </c>
    </row>
    <row r="38" spans="2:15" x14ac:dyDescent="0.15">
      <c r="B38" s="40"/>
      <c r="C38" s="40"/>
      <c r="D38" s="99"/>
      <c r="E38" s="99"/>
      <c r="F38" s="99"/>
      <c r="G38" s="40"/>
      <c r="H38" s="40"/>
      <c r="I38" s="40"/>
      <c r="J38" s="40"/>
      <c r="K38" s="40"/>
      <c r="L38" s="40"/>
      <c r="M38" s="40"/>
      <c r="N38" s="40"/>
      <c r="O38" s="40"/>
    </row>
    <row r="39" spans="2:15" ht="14" x14ac:dyDescent="0.15">
      <c r="B39" s="44" t="s">
        <v>42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</row>
    <row r="40" spans="2:15" ht="14" x14ac:dyDescent="0.15">
      <c r="B40" s="38" t="s">
        <v>43</v>
      </c>
      <c r="C40" s="40">
        <v>16634037.8061</v>
      </c>
      <c r="D40" s="40">
        <v>1107459.2039999999</v>
      </c>
      <c r="E40" s="40">
        <v>1274039.1037999999</v>
      </c>
      <c r="F40" s="40">
        <v>1523950.2117999999</v>
      </c>
      <c r="G40" s="40">
        <v>1288151.6702000001</v>
      </c>
      <c r="H40" s="40">
        <v>1414044.2265000001</v>
      </c>
      <c r="I40" s="40">
        <v>1445661.3732</v>
      </c>
      <c r="J40" s="40">
        <v>1107692.2431999999</v>
      </c>
      <c r="K40" s="40">
        <v>1242505.1157</v>
      </c>
      <c r="L40" s="40">
        <v>1825679.5924</v>
      </c>
      <c r="M40" s="40">
        <v>1583714.976</v>
      </c>
      <c r="N40" s="40">
        <v>1603559.317</v>
      </c>
      <c r="O40" s="40">
        <v>1217580.7723000001</v>
      </c>
    </row>
    <row r="41" spans="2:15" ht="14" x14ac:dyDescent="0.15">
      <c r="B41" s="38" t="s">
        <v>44</v>
      </c>
      <c r="C41" s="40">
        <v>7486725.0777000003</v>
      </c>
      <c r="D41" s="40">
        <v>500796.2928</v>
      </c>
      <c r="E41" s="40">
        <v>639110.1716</v>
      </c>
      <c r="F41" s="40">
        <v>714857.08649999998</v>
      </c>
      <c r="G41" s="40">
        <v>597059.20010000002</v>
      </c>
      <c r="H41" s="40">
        <v>623253.12639999995</v>
      </c>
      <c r="I41" s="40">
        <v>629867.79890000005</v>
      </c>
      <c r="J41" s="40">
        <v>497756.88650000002</v>
      </c>
      <c r="K41" s="40">
        <v>570156.99840000004</v>
      </c>
      <c r="L41" s="40">
        <v>765251.85620000004</v>
      </c>
      <c r="M41" s="40">
        <v>677870.48860000004</v>
      </c>
      <c r="N41" s="40">
        <v>727029.87379999994</v>
      </c>
      <c r="O41" s="40">
        <v>543715.29790000001</v>
      </c>
    </row>
    <row r="42" spans="2:15" ht="14" x14ac:dyDescent="0.15">
      <c r="B42" s="38" t="s">
        <v>45</v>
      </c>
      <c r="C42" s="40">
        <v>2990141.2250000001</v>
      </c>
      <c r="D42" s="40">
        <v>237678.82</v>
      </c>
      <c r="E42" s="40">
        <v>253325.58</v>
      </c>
      <c r="F42" s="40">
        <v>260875.43</v>
      </c>
      <c r="G42" s="40">
        <v>226670.78</v>
      </c>
      <c r="H42" s="40">
        <v>247528.4</v>
      </c>
      <c r="I42" s="40">
        <v>265792.42</v>
      </c>
      <c r="J42" s="40">
        <v>151943.66500000001</v>
      </c>
      <c r="K42" s="40">
        <v>147384.28</v>
      </c>
      <c r="L42" s="40">
        <v>355049.07</v>
      </c>
      <c r="M42" s="40">
        <v>289319.49</v>
      </c>
      <c r="N42" s="40">
        <v>344813.78</v>
      </c>
      <c r="O42" s="40">
        <v>209759.51</v>
      </c>
    </row>
    <row r="43" spans="2:15" ht="14" x14ac:dyDescent="0.15">
      <c r="B43" s="42" t="s">
        <v>36</v>
      </c>
      <c r="C43" s="43">
        <v>27110904.108199999</v>
      </c>
      <c r="D43" s="43">
        <v>1845934.3166</v>
      </c>
      <c r="E43" s="43">
        <v>2166474.8553999998</v>
      </c>
      <c r="F43" s="43">
        <v>2499682.7285000002</v>
      </c>
      <c r="G43" s="43">
        <v>2111881.6501000002</v>
      </c>
      <c r="H43" s="43">
        <v>2284825.7527999999</v>
      </c>
      <c r="I43" s="43">
        <v>2341321.5921</v>
      </c>
      <c r="J43" s="43">
        <v>1757392.7945999999</v>
      </c>
      <c r="K43" s="43">
        <v>1960046.3940999999</v>
      </c>
      <c r="L43" s="43">
        <v>2945980.5183999999</v>
      </c>
      <c r="M43" s="43">
        <v>2550904.9545999998</v>
      </c>
      <c r="N43" s="43">
        <v>2675402.9707999998</v>
      </c>
      <c r="O43" s="43">
        <v>1971055.5802</v>
      </c>
    </row>
    <row r="44" spans="2:15" ht="14" x14ac:dyDescent="0.15">
      <c r="B44" s="38" t="s">
        <v>46</v>
      </c>
      <c r="C44" s="40">
        <v>5085929.5042000003</v>
      </c>
      <c r="D44" s="40">
        <v>333187.26010000001</v>
      </c>
      <c r="E44" s="40">
        <v>391538.5552</v>
      </c>
      <c r="F44" s="40">
        <v>465349.65210000001</v>
      </c>
      <c r="G44" s="40">
        <v>393745.48259999999</v>
      </c>
      <c r="H44" s="40">
        <v>431554.1054</v>
      </c>
      <c r="I44" s="40">
        <v>438140.12239999999</v>
      </c>
      <c r="J44" s="40">
        <v>347743.08769999997</v>
      </c>
      <c r="K44" s="40">
        <v>391621.18609999999</v>
      </c>
      <c r="L44" s="40">
        <v>552937.66020000004</v>
      </c>
      <c r="M44" s="40">
        <v>484700.42959999997</v>
      </c>
      <c r="N44" s="40">
        <v>485892.95199999999</v>
      </c>
      <c r="O44" s="40">
        <v>369519.01079999999</v>
      </c>
    </row>
    <row r="45" spans="2:15" ht="14" x14ac:dyDescent="0.15">
      <c r="B45" s="38" t="s">
        <v>47</v>
      </c>
      <c r="C45" s="40">
        <v>1338622.2476999999</v>
      </c>
      <c r="D45" s="40">
        <v>88165.581399999995</v>
      </c>
      <c r="E45" s="40">
        <v>113913.7674</v>
      </c>
      <c r="F45" s="40">
        <v>127404.4871</v>
      </c>
      <c r="G45" s="40">
        <v>106416.2064</v>
      </c>
      <c r="H45" s="40">
        <v>112350.47289999999</v>
      </c>
      <c r="I45" s="40">
        <v>113728.0791</v>
      </c>
      <c r="J45" s="40">
        <v>90660.094200000007</v>
      </c>
      <c r="K45" s="40">
        <v>103337.5362</v>
      </c>
      <c r="L45" s="40">
        <v>136041.6966</v>
      </c>
      <c r="M45" s="40">
        <v>120505.7868</v>
      </c>
      <c r="N45" s="40">
        <v>128344.90360000001</v>
      </c>
      <c r="O45" s="40">
        <v>97753.635999999999</v>
      </c>
    </row>
    <row r="46" spans="2:15" ht="14" x14ac:dyDescent="0.15">
      <c r="B46" s="38" t="s">
        <v>48</v>
      </c>
      <c r="C46" s="40">
        <v>209170</v>
      </c>
      <c r="D46" s="40">
        <v>17577</v>
      </c>
      <c r="E46" s="40">
        <v>18470</v>
      </c>
      <c r="F46" s="40">
        <v>21130</v>
      </c>
      <c r="G46" s="40">
        <v>15530</v>
      </c>
      <c r="H46" s="40">
        <v>15740</v>
      </c>
      <c r="I46" s="40">
        <v>20265</v>
      </c>
      <c r="J46" s="40">
        <v>12265</v>
      </c>
      <c r="K46" s="40">
        <v>10018</v>
      </c>
      <c r="L46" s="40">
        <v>25790</v>
      </c>
      <c r="M46" s="40">
        <v>17110</v>
      </c>
      <c r="N46" s="40">
        <v>21720</v>
      </c>
      <c r="O46" s="40">
        <v>13555</v>
      </c>
    </row>
    <row r="47" spans="2:15" ht="14" x14ac:dyDescent="0.15">
      <c r="B47" s="42" t="s">
        <v>49</v>
      </c>
      <c r="C47" s="43">
        <v>6633721.7520000003</v>
      </c>
      <c r="D47" s="43">
        <v>438929.84159999999</v>
      </c>
      <c r="E47" s="43">
        <v>523922.32260000001</v>
      </c>
      <c r="F47" s="43">
        <v>613884.13919999998</v>
      </c>
      <c r="G47" s="43">
        <v>515691.68900000001</v>
      </c>
      <c r="H47" s="43">
        <v>559644.57830000005</v>
      </c>
      <c r="I47" s="43">
        <v>572133.20149999997</v>
      </c>
      <c r="J47" s="43">
        <v>450668.18180000002</v>
      </c>
      <c r="K47" s="43">
        <v>504976.72220000002</v>
      </c>
      <c r="L47" s="43">
        <v>714769.35679999995</v>
      </c>
      <c r="M47" s="43">
        <v>622316.21649999998</v>
      </c>
      <c r="N47" s="43">
        <v>635957.85569999996</v>
      </c>
      <c r="O47" s="43">
        <v>480827.64679999999</v>
      </c>
    </row>
    <row r="48" spans="2:15" ht="14" x14ac:dyDescent="0.15">
      <c r="B48" s="38" t="s">
        <v>22</v>
      </c>
      <c r="C48" s="40">
        <v>13286922.394099999</v>
      </c>
      <c r="D48" s="40">
        <v>1062408.7786000001</v>
      </c>
      <c r="E48" s="40">
        <v>1103781.0983</v>
      </c>
      <c r="F48" s="40">
        <v>1146025.5518</v>
      </c>
      <c r="G48" s="40">
        <v>1093535.3507999999</v>
      </c>
      <c r="H48" s="40">
        <v>1096980.3001999999</v>
      </c>
      <c r="I48" s="40">
        <v>1143363.3784</v>
      </c>
      <c r="J48" s="40">
        <v>1026101.3255</v>
      </c>
      <c r="K48" s="40">
        <v>1038345.4771</v>
      </c>
      <c r="L48" s="40">
        <v>1138209.9823</v>
      </c>
      <c r="M48" s="40">
        <v>1112443.2056</v>
      </c>
      <c r="N48" s="40">
        <v>1243016.6664</v>
      </c>
      <c r="O48" s="40">
        <v>1082711.2790999999</v>
      </c>
    </row>
    <row r="49" spans="2:15" ht="14" x14ac:dyDescent="0.15">
      <c r="B49" s="38" t="s">
        <v>40</v>
      </c>
      <c r="C49" s="40">
        <v>1192925.3177</v>
      </c>
      <c r="D49" s="40">
        <v>89119.326300000001</v>
      </c>
      <c r="E49" s="40">
        <v>102029.48759999999</v>
      </c>
      <c r="F49" s="40">
        <v>117551.68090000001</v>
      </c>
      <c r="G49" s="40">
        <v>91479.499899999995</v>
      </c>
      <c r="H49" s="40">
        <v>109869.25260000001</v>
      </c>
      <c r="I49" s="40">
        <v>103611.6982</v>
      </c>
      <c r="J49" s="40">
        <v>77884.5677</v>
      </c>
      <c r="K49" s="40">
        <v>86531.902100000007</v>
      </c>
      <c r="L49" s="40">
        <v>122022.0422</v>
      </c>
      <c r="M49" s="40">
        <v>97260.821599999996</v>
      </c>
      <c r="N49" s="40">
        <v>105924.85830000001</v>
      </c>
      <c r="O49" s="40">
        <v>89640.180300000007</v>
      </c>
    </row>
    <row r="50" spans="2:15" ht="14" x14ac:dyDescent="0.15">
      <c r="B50" s="42" t="s">
        <v>41</v>
      </c>
      <c r="C50" s="43">
        <v>5997334.6458999999</v>
      </c>
      <c r="D50" s="43">
        <v>255476.3702</v>
      </c>
      <c r="E50" s="43">
        <v>436741.94669999997</v>
      </c>
      <c r="F50" s="43">
        <v>622221.35660000006</v>
      </c>
      <c r="G50" s="43">
        <v>411175.11060000001</v>
      </c>
      <c r="H50" s="43">
        <v>518331.62209999998</v>
      </c>
      <c r="I50" s="43">
        <v>522213.31390000001</v>
      </c>
      <c r="J50" s="43">
        <v>202738.7199</v>
      </c>
      <c r="K50" s="43">
        <v>330192.29259999999</v>
      </c>
      <c r="L50" s="43">
        <v>970979.13710000005</v>
      </c>
      <c r="M50" s="43">
        <v>718884.71120000002</v>
      </c>
      <c r="N50" s="43">
        <v>690503.59069999994</v>
      </c>
      <c r="O50" s="43">
        <v>317876.4743</v>
      </c>
    </row>
    <row r="51" spans="2:15" x14ac:dyDescent="0.15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2:15" ht="14" x14ac:dyDescent="0.15">
      <c r="B52" s="44" t="s">
        <v>50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</row>
    <row r="53" spans="2:15" ht="14" x14ac:dyDescent="0.15">
      <c r="B53" s="38" t="s">
        <v>37</v>
      </c>
      <c r="C53" s="40">
        <v>4283822.7854000004</v>
      </c>
      <c r="D53" s="40">
        <v>286832.35230000003</v>
      </c>
      <c r="E53" s="40">
        <v>324057.58620000002</v>
      </c>
      <c r="F53" s="40">
        <v>363546.35979999998</v>
      </c>
      <c r="G53" s="40">
        <v>338467.56969999999</v>
      </c>
      <c r="H53" s="40">
        <v>398241.1433</v>
      </c>
      <c r="I53" s="40">
        <v>383543.99080000003</v>
      </c>
      <c r="J53" s="40">
        <v>368802.62699999998</v>
      </c>
      <c r="K53" s="40">
        <v>378084.87939999998</v>
      </c>
      <c r="L53" s="40">
        <v>408861.68329999998</v>
      </c>
      <c r="M53" s="40">
        <v>375262.86580000003</v>
      </c>
      <c r="N53" s="40">
        <v>348985.92129999999</v>
      </c>
      <c r="O53" s="40">
        <v>309135.80650000001</v>
      </c>
    </row>
    <row r="54" spans="2:15" ht="14" x14ac:dyDescent="0.15">
      <c r="B54" s="38" t="s">
        <v>49</v>
      </c>
      <c r="C54" s="40">
        <v>416646.95699999999</v>
      </c>
      <c r="D54" s="40">
        <v>20680.179100000001</v>
      </c>
      <c r="E54" s="40">
        <v>33491.7094</v>
      </c>
      <c r="F54" s="40">
        <v>31243.796999999999</v>
      </c>
      <c r="G54" s="40">
        <v>63332.372499999998</v>
      </c>
      <c r="H54" s="40">
        <v>38878.293799999999</v>
      </c>
      <c r="I54" s="40">
        <v>40776.303599999999</v>
      </c>
      <c r="J54" s="40">
        <v>35983.223299999998</v>
      </c>
      <c r="K54" s="40">
        <v>33253.996500000001</v>
      </c>
      <c r="L54" s="40">
        <v>39881.940699999999</v>
      </c>
      <c r="M54" s="40">
        <v>36487.345200000003</v>
      </c>
      <c r="N54" s="40">
        <v>22415.027999999998</v>
      </c>
      <c r="O54" s="40">
        <v>20222.767899999999</v>
      </c>
    </row>
    <row r="55" spans="2:15" ht="14" x14ac:dyDescent="0.15">
      <c r="B55" s="38" t="s">
        <v>22</v>
      </c>
      <c r="C55" s="40">
        <v>830021.17630000005</v>
      </c>
      <c r="D55" s="40">
        <v>57504.482600000003</v>
      </c>
      <c r="E55" s="40">
        <v>69671.885399999999</v>
      </c>
      <c r="F55" s="40">
        <v>68024.207299999995</v>
      </c>
      <c r="G55" s="40">
        <v>72444.037500000006</v>
      </c>
      <c r="H55" s="40">
        <v>74221.403000000006</v>
      </c>
      <c r="I55" s="40">
        <v>75127.923500000004</v>
      </c>
      <c r="J55" s="40">
        <v>71906.876900000003</v>
      </c>
      <c r="K55" s="40">
        <v>72346.635200000004</v>
      </c>
      <c r="L55" s="40">
        <v>74455.064299999998</v>
      </c>
      <c r="M55" s="40">
        <v>72463.234500000006</v>
      </c>
      <c r="N55" s="40">
        <v>61102.9637</v>
      </c>
      <c r="O55" s="40">
        <v>60752.462399999997</v>
      </c>
    </row>
    <row r="56" spans="2:15" ht="14" x14ac:dyDescent="0.15">
      <c r="B56" s="38" t="s">
        <v>40</v>
      </c>
      <c r="C56" s="40">
        <v>233976.36</v>
      </c>
      <c r="D56" s="40">
        <v>5196.28</v>
      </c>
      <c r="E56" s="40">
        <v>7296.28</v>
      </c>
      <c r="F56" s="40">
        <v>20146.28</v>
      </c>
      <c r="G56" s="40">
        <v>25921.279999999999</v>
      </c>
      <c r="H56" s="40">
        <v>30446.28</v>
      </c>
      <c r="I56" s="40">
        <v>26046.28</v>
      </c>
      <c r="J56" s="40">
        <v>22919.279999999999</v>
      </c>
      <c r="K56" s="40">
        <v>21446.28</v>
      </c>
      <c r="L56" s="40">
        <v>23946.28</v>
      </c>
      <c r="M56" s="40">
        <v>22846.28</v>
      </c>
      <c r="N56" s="40">
        <v>15696.28</v>
      </c>
      <c r="O56" s="40">
        <v>12069.28</v>
      </c>
    </row>
    <row r="57" spans="2:15" ht="14" x14ac:dyDescent="0.15">
      <c r="B57" s="42" t="s">
        <v>41</v>
      </c>
      <c r="C57" s="43">
        <v>2803178.2921000002</v>
      </c>
      <c r="D57" s="43">
        <v>203451.4106</v>
      </c>
      <c r="E57" s="43">
        <v>213597.7114</v>
      </c>
      <c r="F57" s="43">
        <v>244132.07550000001</v>
      </c>
      <c r="G57" s="43">
        <v>176769.87959999999</v>
      </c>
      <c r="H57" s="43">
        <v>254695.16649999999</v>
      </c>
      <c r="I57" s="43">
        <v>241593.48370000001</v>
      </c>
      <c r="J57" s="43">
        <v>237993.24679999999</v>
      </c>
      <c r="K57" s="43">
        <v>251037.96780000001</v>
      </c>
      <c r="L57" s="43">
        <v>270578.3982</v>
      </c>
      <c r="M57" s="43">
        <v>243466.0061</v>
      </c>
      <c r="N57" s="43">
        <v>249771.64970000001</v>
      </c>
      <c r="O57" s="43">
        <v>216091.29620000001</v>
      </c>
    </row>
    <row r="58" spans="2:15" x14ac:dyDescent="0.15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spans="2:15" ht="14" x14ac:dyDescent="0.15">
      <c r="B59" s="44" t="s">
        <v>38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</row>
    <row r="60" spans="2:15" ht="14" x14ac:dyDescent="0.15">
      <c r="B60" s="42" t="s">
        <v>38</v>
      </c>
      <c r="C60" s="43">
        <v>1174894.7871999999</v>
      </c>
      <c r="D60" s="43">
        <v>75497.383600000001</v>
      </c>
      <c r="E60" s="43">
        <v>76366.258300000001</v>
      </c>
      <c r="F60" s="43">
        <v>140783.64180000001</v>
      </c>
      <c r="G60" s="43">
        <v>81646.668399999995</v>
      </c>
      <c r="H60" s="43">
        <v>84491.499200000006</v>
      </c>
      <c r="I60" s="43">
        <v>98406.031799999997</v>
      </c>
      <c r="J60" s="43">
        <v>69740.029599999994</v>
      </c>
      <c r="K60" s="43">
        <v>74394.7068</v>
      </c>
      <c r="L60" s="43">
        <v>130622.8284</v>
      </c>
      <c r="M60" s="43">
        <v>145234.84090000001</v>
      </c>
      <c r="N60" s="43">
        <v>123977.6606</v>
      </c>
      <c r="O60" s="43">
        <v>73733.237800000003</v>
      </c>
    </row>
    <row r="61" spans="2:15" x14ac:dyDescent="0.15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</row>
    <row r="62" spans="2:15" ht="14" x14ac:dyDescent="0.15">
      <c r="B62" s="44" t="s">
        <v>51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</row>
    <row r="63" spans="2:15" ht="14" x14ac:dyDescent="0.15">
      <c r="B63" s="42" t="s">
        <v>52</v>
      </c>
      <c r="C63" s="43">
        <v>55406660.2293</v>
      </c>
      <c r="D63" s="43">
        <v>2820442.2303999998</v>
      </c>
      <c r="E63" s="43">
        <v>3533350.7552999998</v>
      </c>
      <c r="F63" s="43">
        <v>5485385.2302000001</v>
      </c>
      <c r="G63" s="43">
        <v>3793906.3731999998</v>
      </c>
      <c r="H63" s="43">
        <v>5346634.3518000003</v>
      </c>
      <c r="I63" s="43">
        <v>4779221.5438000001</v>
      </c>
      <c r="J63" s="43">
        <v>3661155.4350000001</v>
      </c>
      <c r="K63" s="43">
        <v>4333782.8141999999</v>
      </c>
      <c r="L63" s="43">
        <v>6414650.5861999998</v>
      </c>
      <c r="M63" s="43">
        <v>6457574.4369000001</v>
      </c>
      <c r="N63" s="43">
        <v>5227974.0624000002</v>
      </c>
      <c r="O63" s="43">
        <v>3552582.4098999999</v>
      </c>
    </row>
    <row r="64" spans="2:15" ht="14" x14ac:dyDescent="0.15">
      <c r="B64" s="40" t="s">
        <v>200</v>
      </c>
      <c r="C64" s="94">
        <f>+C63/C11</f>
        <v>0.53150548930429176</v>
      </c>
      <c r="D64" s="94">
        <f t="shared" ref="D64:O64" si="0">+D63/D11</f>
        <v>0.44450884919023648</v>
      </c>
      <c r="E64" s="94">
        <f t="shared" si="0"/>
        <v>0.47958369221483693</v>
      </c>
      <c r="F64" s="94">
        <f t="shared" si="0"/>
        <v>0.55916443667090265</v>
      </c>
      <c r="G64" s="94">
        <f t="shared" si="0"/>
        <v>0.49340966226982574</v>
      </c>
      <c r="H64" s="94">
        <f t="shared" si="0"/>
        <v>0.56166510411076831</v>
      </c>
      <c r="I64" s="94">
        <f t="shared" si="0"/>
        <v>0.52759473863253215</v>
      </c>
      <c r="J64" s="94">
        <f t="shared" si="0"/>
        <v>0.49148319158066972</v>
      </c>
      <c r="K64" s="94">
        <f t="shared" si="0"/>
        <v>0.52276090348174808</v>
      </c>
      <c r="L64" s="94">
        <f t="shared" si="0"/>
        <v>0.58433006460533055</v>
      </c>
      <c r="M64" s="94">
        <f t="shared" si="0"/>
        <v>0.59727842642682905</v>
      </c>
      <c r="N64" s="94">
        <f t="shared" si="0"/>
        <v>0.54335332934304104</v>
      </c>
      <c r="O64" s="94">
        <f t="shared" si="0"/>
        <v>0.48633973790073026</v>
      </c>
    </row>
    <row r="65" spans="2:15" ht="14" x14ac:dyDescent="0.15">
      <c r="B65" s="44" t="s">
        <v>53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</row>
    <row r="66" spans="2:15" ht="14" x14ac:dyDescent="0.15">
      <c r="B66" s="38" t="s">
        <v>22</v>
      </c>
      <c r="C66" s="40">
        <v>3476683.2884999998</v>
      </c>
      <c r="D66" s="40">
        <v>281267.31839999999</v>
      </c>
      <c r="E66" s="40">
        <v>289714.94170000002</v>
      </c>
      <c r="F66" s="40">
        <v>297198.28389999998</v>
      </c>
      <c r="G66" s="40">
        <v>287002.9461</v>
      </c>
      <c r="H66" s="40">
        <v>281429.41619999998</v>
      </c>
      <c r="I66" s="40">
        <v>297620.49160000001</v>
      </c>
      <c r="J66" s="40">
        <v>285771.02480000001</v>
      </c>
      <c r="K66" s="40">
        <v>287944.81829999998</v>
      </c>
      <c r="L66" s="40">
        <v>272708.51040000003</v>
      </c>
      <c r="M66" s="40">
        <v>289492.60239999997</v>
      </c>
      <c r="N66" s="40">
        <v>296813.5673</v>
      </c>
      <c r="O66" s="40">
        <v>309719.36739999999</v>
      </c>
    </row>
    <row r="67" spans="2:15" ht="14" x14ac:dyDescent="0.15">
      <c r="B67" s="38" t="s">
        <v>40</v>
      </c>
      <c r="C67" s="40">
        <v>2836977.3536999999</v>
      </c>
      <c r="D67" s="40">
        <v>185876.02849999999</v>
      </c>
      <c r="E67" s="40">
        <v>220982.87390000001</v>
      </c>
      <c r="F67" s="40">
        <v>290832.3322</v>
      </c>
      <c r="G67" s="40">
        <v>212976.43830000001</v>
      </c>
      <c r="H67" s="40">
        <v>249554.84210000001</v>
      </c>
      <c r="I67" s="40">
        <v>234735.52350000001</v>
      </c>
      <c r="J67" s="40">
        <v>210904.3659</v>
      </c>
      <c r="K67" s="40">
        <v>219997.11410000001</v>
      </c>
      <c r="L67" s="40">
        <v>269924.32500000001</v>
      </c>
      <c r="M67" s="40">
        <v>266676.34610000002</v>
      </c>
      <c r="N67" s="40">
        <v>275229.22120000003</v>
      </c>
      <c r="O67" s="40">
        <v>199287.94289999999</v>
      </c>
    </row>
    <row r="68" spans="2:15" ht="14" x14ac:dyDescent="0.15">
      <c r="B68" s="42" t="s">
        <v>41</v>
      </c>
      <c r="C68" s="43">
        <v>-6313660.6425999999</v>
      </c>
      <c r="D68" s="43">
        <v>-467143.34669999999</v>
      </c>
      <c r="E68" s="43">
        <v>-510697.81540000002</v>
      </c>
      <c r="F68" s="43">
        <v>-588030.61600000004</v>
      </c>
      <c r="G68" s="43">
        <v>-499979.3849</v>
      </c>
      <c r="H68" s="43">
        <v>-530984.25820000004</v>
      </c>
      <c r="I68" s="43">
        <v>-532356.01509999996</v>
      </c>
      <c r="J68" s="43">
        <v>-496675.39079999999</v>
      </c>
      <c r="K68" s="43">
        <v>-507941.93239999999</v>
      </c>
      <c r="L68" s="43">
        <v>-542632.83530000004</v>
      </c>
      <c r="M68" s="43">
        <v>-556168.94869999995</v>
      </c>
      <c r="N68" s="43">
        <v>-572042.78859999997</v>
      </c>
      <c r="O68" s="43">
        <v>-509007.31050000002</v>
      </c>
    </row>
    <row r="69" spans="2:15" x14ac:dyDescent="0.15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</row>
    <row r="70" spans="2:15" ht="14" x14ac:dyDescent="0.15">
      <c r="B70" s="44" t="s">
        <v>54</v>
      </c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</row>
    <row r="71" spans="2:15" ht="14" x14ac:dyDescent="0.15">
      <c r="B71" s="38" t="s">
        <v>55</v>
      </c>
      <c r="C71" s="40">
        <v>326313.71999999997</v>
      </c>
      <c r="D71" s="40">
        <v>27211.81</v>
      </c>
      <c r="E71" s="40">
        <v>27211.81</v>
      </c>
      <c r="F71" s="40">
        <v>27211.81</v>
      </c>
      <c r="G71" s="40">
        <v>26911.81</v>
      </c>
      <c r="H71" s="40">
        <v>27211.81</v>
      </c>
      <c r="I71" s="40">
        <v>27247.81</v>
      </c>
      <c r="J71" s="40">
        <v>27247.81</v>
      </c>
      <c r="K71" s="40">
        <v>27211.81</v>
      </c>
      <c r="L71" s="40">
        <v>27211.81</v>
      </c>
      <c r="M71" s="40">
        <v>27211.81</v>
      </c>
      <c r="N71" s="40">
        <v>27211.81</v>
      </c>
      <c r="O71" s="40">
        <v>27211.81</v>
      </c>
    </row>
    <row r="72" spans="2:15" ht="14" x14ac:dyDescent="0.15">
      <c r="B72" s="38" t="s">
        <v>56</v>
      </c>
      <c r="C72" s="40">
        <v>1652727.3618000001</v>
      </c>
      <c r="D72" s="40">
        <v>166859.63740000001</v>
      </c>
      <c r="E72" s="40">
        <v>137779.14739999999</v>
      </c>
      <c r="F72" s="40">
        <v>133744.6274</v>
      </c>
      <c r="G72" s="40">
        <v>148147.6274</v>
      </c>
      <c r="H72" s="40">
        <v>128481.46739999999</v>
      </c>
      <c r="I72" s="40">
        <v>130893.3774</v>
      </c>
      <c r="J72" s="40">
        <v>151957.6274</v>
      </c>
      <c r="K72" s="40">
        <v>127142.97040000001</v>
      </c>
      <c r="L72" s="40">
        <v>127862.13740000001</v>
      </c>
      <c r="M72" s="40">
        <v>144883.61739999999</v>
      </c>
      <c r="N72" s="40">
        <v>125392.9874</v>
      </c>
      <c r="O72" s="40">
        <v>129582.13740000001</v>
      </c>
    </row>
    <row r="73" spans="2:15" ht="14" x14ac:dyDescent="0.15">
      <c r="B73" s="38" t="s">
        <v>40</v>
      </c>
      <c r="C73" s="40">
        <v>61907</v>
      </c>
      <c r="D73" s="40">
        <v>4982.25</v>
      </c>
      <c r="E73" s="40">
        <v>4687.25</v>
      </c>
      <c r="F73" s="40">
        <v>5807.25</v>
      </c>
      <c r="G73" s="40">
        <v>4982.25</v>
      </c>
      <c r="H73" s="40">
        <v>4687.25</v>
      </c>
      <c r="I73" s="40">
        <v>5807.25</v>
      </c>
      <c r="J73" s="40">
        <v>4982.25</v>
      </c>
      <c r="K73" s="40">
        <v>4687.25</v>
      </c>
      <c r="L73" s="40">
        <v>5807.25</v>
      </c>
      <c r="M73" s="40">
        <v>4982.25</v>
      </c>
      <c r="N73" s="40">
        <v>4687.25</v>
      </c>
      <c r="O73" s="40">
        <v>5807.25</v>
      </c>
    </row>
    <row r="74" spans="2:15" ht="14" x14ac:dyDescent="0.15">
      <c r="B74" s="42" t="s">
        <v>41</v>
      </c>
      <c r="C74" s="43">
        <v>-2049672.0818</v>
      </c>
      <c r="D74" s="43">
        <v>-203510.6974</v>
      </c>
      <c r="E74" s="43">
        <v>-171275.20740000001</v>
      </c>
      <c r="F74" s="43">
        <v>-166960.6874</v>
      </c>
      <c r="G74" s="43">
        <v>-180938.6874</v>
      </c>
      <c r="H74" s="43">
        <v>-160577.52739999999</v>
      </c>
      <c r="I74" s="43">
        <v>-164145.4374</v>
      </c>
      <c r="J74" s="43">
        <v>-184384.6874</v>
      </c>
      <c r="K74" s="43">
        <v>-159239.03039999999</v>
      </c>
      <c r="L74" s="43">
        <v>-161078.1974</v>
      </c>
      <c r="M74" s="43">
        <v>-177274.67739999999</v>
      </c>
      <c r="N74" s="43">
        <v>-157489.04740000001</v>
      </c>
      <c r="O74" s="43">
        <v>-162798.1974</v>
      </c>
    </row>
    <row r="75" spans="2:15" x14ac:dyDescent="0.15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</row>
    <row r="76" spans="2:15" ht="14" x14ac:dyDescent="0.15">
      <c r="B76" s="44" t="s">
        <v>57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</row>
    <row r="77" spans="2:15" ht="14" x14ac:dyDescent="0.15">
      <c r="B77" s="38" t="s">
        <v>22</v>
      </c>
      <c r="C77" s="40">
        <v>1448463.3888999999</v>
      </c>
      <c r="D77" s="40">
        <v>92811.649699999994</v>
      </c>
      <c r="E77" s="40">
        <v>104169.7209</v>
      </c>
      <c r="F77" s="40">
        <v>138168.83240000001</v>
      </c>
      <c r="G77" s="40">
        <v>106657.5693</v>
      </c>
      <c r="H77" s="40">
        <v>130791.37450000001</v>
      </c>
      <c r="I77" s="40">
        <v>123459.8443</v>
      </c>
      <c r="J77" s="40">
        <v>100723.1447</v>
      </c>
      <c r="K77" s="40">
        <v>111470.5572</v>
      </c>
      <c r="L77" s="40">
        <v>148567.32250000001</v>
      </c>
      <c r="M77" s="40">
        <v>150434.06950000001</v>
      </c>
      <c r="N77" s="40">
        <v>136785.36559999999</v>
      </c>
      <c r="O77" s="40">
        <v>104423.93829999999</v>
      </c>
    </row>
    <row r="78" spans="2:15" ht="14" x14ac:dyDescent="0.15">
      <c r="B78" s="38" t="s">
        <v>40</v>
      </c>
      <c r="C78" s="40">
        <v>4711859.4461000003</v>
      </c>
      <c r="D78" s="40">
        <v>303936.3039</v>
      </c>
      <c r="E78" s="40">
        <v>345384.14929999999</v>
      </c>
      <c r="F78" s="40">
        <v>439161.83519999997</v>
      </c>
      <c r="G78" s="40">
        <v>351878.23690000002</v>
      </c>
      <c r="H78" s="40">
        <v>426432.55869999999</v>
      </c>
      <c r="I78" s="40">
        <v>404210.23389999999</v>
      </c>
      <c r="J78" s="40">
        <v>349352.81829999998</v>
      </c>
      <c r="K78" s="40">
        <v>377979.45250000001</v>
      </c>
      <c r="L78" s="40">
        <v>471817.92129999999</v>
      </c>
      <c r="M78" s="40">
        <v>473199.73869999999</v>
      </c>
      <c r="N78" s="40">
        <v>423412.36070000002</v>
      </c>
      <c r="O78" s="40">
        <v>345093.83669999999</v>
      </c>
    </row>
    <row r="79" spans="2:15" ht="14" x14ac:dyDescent="0.15">
      <c r="B79" s="42" t="s">
        <v>41</v>
      </c>
      <c r="C79" s="43">
        <v>-6160322.8355999999</v>
      </c>
      <c r="D79" s="43">
        <v>-396747.95360000001</v>
      </c>
      <c r="E79" s="43">
        <v>-449553.87040000001</v>
      </c>
      <c r="F79" s="43">
        <v>-577330.66760000004</v>
      </c>
      <c r="G79" s="43">
        <v>-458535.80609999999</v>
      </c>
      <c r="H79" s="43">
        <v>-557223.93299999996</v>
      </c>
      <c r="I79" s="43">
        <v>-527670.0784</v>
      </c>
      <c r="J79" s="43">
        <v>-450075.96309999999</v>
      </c>
      <c r="K79" s="43">
        <v>-489450.0097</v>
      </c>
      <c r="L79" s="43">
        <v>-620385.24340000004</v>
      </c>
      <c r="M79" s="43">
        <v>-623633.80830000003</v>
      </c>
      <c r="N79" s="43">
        <v>-560197.72660000005</v>
      </c>
      <c r="O79" s="43">
        <v>-449517.77539999998</v>
      </c>
    </row>
    <row r="80" spans="2:15" x14ac:dyDescent="0.15"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spans="2:15" ht="14" x14ac:dyDescent="0.15">
      <c r="B81" s="44" t="s">
        <v>58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</row>
    <row r="82" spans="2:15" ht="14" x14ac:dyDescent="0.15">
      <c r="B82" s="38" t="s">
        <v>22</v>
      </c>
      <c r="C82" s="40">
        <v>1902289.0427000001</v>
      </c>
      <c r="D82" s="40">
        <v>158750.09049999999</v>
      </c>
      <c r="E82" s="40">
        <v>161375.88440000001</v>
      </c>
      <c r="F82" s="40">
        <v>159623.25380000001</v>
      </c>
      <c r="G82" s="40">
        <v>151966.16889999999</v>
      </c>
      <c r="H82" s="40">
        <v>148673.78140000001</v>
      </c>
      <c r="I82" s="40">
        <v>159811.2488</v>
      </c>
      <c r="J82" s="40">
        <v>159765.98310000001</v>
      </c>
      <c r="K82" s="40">
        <v>153431.25779999999</v>
      </c>
      <c r="L82" s="40">
        <v>155864.0036</v>
      </c>
      <c r="M82" s="40">
        <v>157674.12880000001</v>
      </c>
      <c r="N82" s="40">
        <v>176924.10990000001</v>
      </c>
      <c r="O82" s="40">
        <v>158429.1317</v>
      </c>
    </row>
    <row r="83" spans="2:15" ht="14" x14ac:dyDescent="0.15">
      <c r="B83" s="38" t="s">
        <v>40</v>
      </c>
      <c r="C83" s="40">
        <v>3062245.7895999998</v>
      </c>
      <c r="D83" s="40">
        <v>253628.90330000001</v>
      </c>
      <c r="E83" s="40">
        <v>260474.07329999999</v>
      </c>
      <c r="F83" s="40">
        <v>286685.7133</v>
      </c>
      <c r="G83" s="40">
        <v>260610.03330000001</v>
      </c>
      <c r="H83" s="40">
        <v>244648.84330000001</v>
      </c>
      <c r="I83" s="40">
        <v>254791.7133</v>
      </c>
      <c r="J83" s="40">
        <v>240734.50330000001</v>
      </c>
      <c r="K83" s="40">
        <v>229329.07329999999</v>
      </c>
      <c r="L83" s="40">
        <v>299105.11330000003</v>
      </c>
      <c r="M83" s="40">
        <v>268581.5833</v>
      </c>
      <c r="N83" s="40">
        <v>224246.5233</v>
      </c>
      <c r="O83" s="40">
        <v>239409.7133</v>
      </c>
    </row>
    <row r="84" spans="2:15" ht="14" x14ac:dyDescent="0.15">
      <c r="B84" s="42" t="s">
        <v>41</v>
      </c>
      <c r="C84" s="43">
        <v>-4964534.8322999999</v>
      </c>
      <c r="D84" s="43">
        <v>-412378.9938</v>
      </c>
      <c r="E84" s="43">
        <v>-421849.95770000003</v>
      </c>
      <c r="F84" s="43">
        <v>-446308.96710000001</v>
      </c>
      <c r="G84" s="43">
        <v>-412576.2022</v>
      </c>
      <c r="H84" s="43">
        <v>-393322.62469999999</v>
      </c>
      <c r="I84" s="43">
        <v>-414602.9621</v>
      </c>
      <c r="J84" s="43">
        <v>-400500.48639999999</v>
      </c>
      <c r="K84" s="43">
        <v>-382760.33110000001</v>
      </c>
      <c r="L84" s="43">
        <v>-454969.11690000002</v>
      </c>
      <c r="M84" s="43">
        <v>-426255.7121</v>
      </c>
      <c r="N84" s="43">
        <v>-401170.63319999998</v>
      </c>
      <c r="O84" s="43">
        <v>-397838.84499999997</v>
      </c>
    </row>
    <row r="85" spans="2:15" x14ac:dyDescent="0.15"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</row>
    <row r="86" spans="2:15" ht="14" x14ac:dyDescent="0.15">
      <c r="B86" s="44" t="s">
        <v>59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</row>
    <row r="87" spans="2:15" ht="14" x14ac:dyDescent="0.15">
      <c r="B87" s="42" t="s">
        <v>41</v>
      </c>
      <c r="C87" s="43">
        <v>-4885590.6551999999</v>
      </c>
      <c r="D87" s="43">
        <v>-401369.40730000002</v>
      </c>
      <c r="E87" s="43">
        <v>-398281.27590000001</v>
      </c>
      <c r="F87" s="43">
        <v>-469168.36609999998</v>
      </c>
      <c r="G87" s="43">
        <v>-389152.37579999998</v>
      </c>
      <c r="H87" s="43">
        <v>-387278.8334</v>
      </c>
      <c r="I87" s="43">
        <v>-383317.37</v>
      </c>
      <c r="J87" s="43">
        <v>-389494.1986</v>
      </c>
      <c r="K87" s="43">
        <v>-392467.70289999997</v>
      </c>
      <c r="L87" s="43">
        <v>-427122.41450000001</v>
      </c>
      <c r="M87" s="43">
        <v>-417907.22149999999</v>
      </c>
      <c r="N87" s="43">
        <v>-433145.91840000002</v>
      </c>
      <c r="O87" s="43">
        <v>-396885.57079999999</v>
      </c>
    </row>
    <row r="88" spans="2:15" x14ac:dyDescent="0.15"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spans="2:15" ht="14" x14ac:dyDescent="0.15">
      <c r="B89" s="42" t="s">
        <v>23</v>
      </c>
      <c r="C89" s="43">
        <v>31032879.182599999</v>
      </c>
      <c r="D89" s="43">
        <v>939291.83140000002</v>
      </c>
      <c r="E89" s="43">
        <v>1581692.6285999999</v>
      </c>
      <c r="F89" s="43">
        <v>3237585.9257999999</v>
      </c>
      <c r="G89" s="43">
        <v>1852723.9169000001</v>
      </c>
      <c r="H89" s="43">
        <v>3317247.1751999999</v>
      </c>
      <c r="I89" s="43">
        <v>2757129.6809</v>
      </c>
      <c r="J89" s="43">
        <v>1740024.7086</v>
      </c>
      <c r="K89" s="43">
        <v>2401923.8075000001</v>
      </c>
      <c r="L89" s="43">
        <v>4208462.7785999998</v>
      </c>
      <c r="M89" s="43">
        <v>4256334.0691999998</v>
      </c>
      <c r="N89" s="43">
        <v>3103927.9484999999</v>
      </c>
      <c r="O89" s="43">
        <v>1636534.7113999999</v>
      </c>
    </row>
    <row r="90" spans="2:15" x14ac:dyDescent="0.15"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2:15" ht="14" x14ac:dyDescent="0.15">
      <c r="B91" s="42" t="s">
        <v>60</v>
      </c>
      <c r="C91" s="43">
        <v>237824.53</v>
      </c>
      <c r="D91" s="43">
        <v>22308.53</v>
      </c>
      <c r="E91" s="43">
        <v>836</v>
      </c>
      <c r="F91" s="43">
        <v>6468</v>
      </c>
      <c r="G91" s="43">
        <v>6468</v>
      </c>
      <c r="H91" s="43">
        <v>6468</v>
      </c>
      <c r="I91" s="43">
        <v>6468</v>
      </c>
      <c r="J91" s="43">
        <v>156468</v>
      </c>
      <c r="K91" s="43">
        <v>6468</v>
      </c>
      <c r="L91" s="43">
        <v>6468</v>
      </c>
      <c r="M91" s="43">
        <v>6468</v>
      </c>
      <c r="N91" s="43">
        <v>6468</v>
      </c>
      <c r="O91" s="43">
        <v>6468</v>
      </c>
    </row>
    <row r="92" spans="2:15" ht="14" x14ac:dyDescent="0.15">
      <c r="B92" s="38" t="s">
        <v>61</v>
      </c>
      <c r="C92" s="40">
        <v>31504.53</v>
      </c>
      <c r="D92" s="40">
        <v>22308.53</v>
      </c>
      <c r="E92" s="40">
        <v>836</v>
      </c>
      <c r="F92" s="40">
        <v>836</v>
      </c>
      <c r="G92" s="40">
        <v>836</v>
      </c>
      <c r="H92" s="40">
        <v>836</v>
      </c>
      <c r="I92" s="40">
        <v>836</v>
      </c>
      <c r="J92" s="40">
        <v>836</v>
      </c>
      <c r="K92" s="40">
        <v>836</v>
      </c>
      <c r="L92" s="40">
        <v>836</v>
      </c>
      <c r="M92" s="40">
        <v>836</v>
      </c>
      <c r="N92" s="40">
        <v>836</v>
      </c>
      <c r="O92" s="40">
        <v>836</v>
      </c>
    </row>
    <row r="93" spans="2:15" ht="14" x14ac:dyDescent="0.15">
      <c r="B93" s="38" t="s">
        <v>62</v>
      </c>
      <c r="C93" s="40">
        <v>206320</v>
      </c>
      <c r="D93" s="40">
        <v>0</v>
      </c>
      <c r="E93" s="40">
        <v>0</v>
      </c>
      <c r="F93" s="40">
        <v>5632</v>
      </c>
      <c r="G93" s="40">
        <v>5632</v>
      </c>
      <c r="H93" s="40">
        <v>5632</v>
      </c>
      <c r="I93" s="40">
        <v>5632</v>
      </c>
      <c r="J93" s="40">
        <v>155632</v>
      </c>
      <c r="K93" s="40">
        <v>5632</v>
      </c>
      <c r="L93" s="40">
        <v>5632</v>
      </c>
      <c r="M93" s="40">
        <v>5632</v>
      </c>
      <c r="N93" s="40">
        <v>5632</v>
      </c>
      <c r="O93" s="40">
        <v>5632</v>
      </c>
    </row>
    <row r="94" spans="2:15" ht="14" x14ac:dyDescent="0.15">
      <c r="B94" s="38" t="s">
        <v>63</v>
      </c>
      <c r="C94" s="40">
        <v>0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</row>
    <row r="95" spans="2:15" ht="14" x14ac:dyDescent="0.15">
      <c r="B95" s="38" t="s">
        <v>64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</row>
    <row r="96" spans="2:15" x14ac:dyDescent="0.15"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spans="2:15" ht="14" x14ac:dyDescent="0.15">
      <c r="B97" s="42" t="s">
        <v>65</v>
      </c>
      <c r="C97" s="43">
        <v>404960</v>
      </c>
      <c r="D97" s="43">
        <v>16220</v>
      </c>
      <c r="E97" s="43">
        <v>16220</v>
      </c>
      <c r="F97" s="43">
        <v>21852</v>
      </c>
      <c r="G97" s="43">
        <v>21852</v>
      </c>
      <c r="H97" s="43">
        <v>21852</v>
      </c>
      <c r="I97" s="43">
        <v>21852</v>
      </c>
      <c r="J97" s="43">
        <v>175852</v>
      </c>
      <c r="K97" s="43">
        <v>21852</v>
      </c>
      <c r="L97" s="43">
        <v>21852</v>
      </c>
      <c r="M97" s="43">
        <v>21852</v>
      </c>
      <c r="N97" s="43">
        <v>21852</v>
      </c>
      <c r="O97" s="43">
        <v>21852</v>
      </c>
    </row>
    <row r="98" spans="2:15" ht="14" x14ac:dyDescent="0.15">
      <c r="B98" s="38" t="s">
        <v>66</v>
      </c>
      <c r="C98" s="40">
        <v>0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</row>
    <row r="99" spans="2:15" ht="14" x14ac:dyDescent="0.15">
      <c r="B99" s="38" t="s">
        <v>67</v>
      </c>
      <c r="C99" s="40">
        <v>404960</v>
      </c>
      <c r="D99" s="40">
        <v>16220</v>
      </c>
      <c r="E99" s="40">
        <v>16220</v>
      </c>
      <c r="F99" s="40">
        <v>21852</v>
      </c>
      <c r="G99" s="40">
        <v>21852</v>
      </c>
      <c r="H99" s="40">
        <v>21852</v>
      </c>
      <c r="I99" s="40">
        <v>21852</v>
      </c>
      <c r="J99" s="40">
        <v>175852</v>
      </c>
      <c r="K99" s="40">
        <v>21852</v>
      </c>
      <c r="L99" s="40">
        <v>21852</v>
      </c>
      <c r="M99" s="40">
        <v>21852</v>
      </c>
      <c r="N99" s="40">
        <v>21852</v>
      </c>
      <c r="O99" s="40">
        <v>21852</v>
      </c>
    </row>
    <row r="100" spans="2:15" x14ac:dyDescent="0.15"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</row>
    <row r="101" spans="2:15" ht="28" x14ac:dyDescent="0.15">
      <c r="B101" s="42" t="s">
        <v>68</v>
      </c>
      <c r="C101" s="43">
        <v>-167135.47</v>
      </c>
      <c r="D101" s="43">
        <v>6088.53</v>
      </c>
      <c r="E101" s="43">
        <v>-15384</v>
      </c>
      <c r="F101" s="43">
        <v>-15384</v>
      </c>
      <c r="G101" s="43">
        <v>-15384</v>
      </c>
      <c r="H101" s="43">
        <v>-15384</v>
      </c>
      <c r="I101" s="43">
        <v>-15384</v>
      </c>
      <c r="J101" s="43">
        <v>-19384</v>
      </c>
      <c r="K101" s="43">
        <v>-15384</v>
      </c>
      <c r="L101" s="43">
        <v>-15384</v>
      </c>
      <c r="M101" s="43">
        <v>-15384</v>
      </c>
      <c r="N101" s="43">
        <v>-15384</v>
      </c>
      <c r="O101" s="43">
        <v>-15384</v>
      </c>
    </row>
    <row r="102" spans="2:15" x14ac:dyDescent="0.15"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</row>
    <row r="103" spans="2:15" ht="14" x14ac:dyDescent="0.15">
      <c r="B103" s="42" t="s">
        <v>69</v>
      </c>
      <c r="C103" s="43">
        <v>30865743.7126</v>
      </c>
      <c r="D103" s="43">
        <v>945380.36140000005</v>
      </c>
      <c r="E103" s="43">
        <v>1566308.6285999999</v>
      </c>
      <c r="F103" s="43">
        <v>3222201.9257999999</v>
      </c>
      <c r="G103" s="43">
        <v>1837339.9169000001</v>
      </c>
      <c r="H103" s="43">
        <v>3301863.1751999999</v>
      </c>
      <c r="I103" s="43">
        <v>2741745.6809</v>
      </c>
      <c r="J103" s="43">
        <v>1720640.7086</v>
      </c>
      <c r="K103" s="43">
        <v>2386539.8075000001</v>
      </c>
      <c r="L103" s="43">
        <v>4193078.7785999998</v>
      </c>
      <c r="M103" s="43">
        <v>4240950.0691999998</v>
      </c>
      <c r="N103" s="43">
        <v>3088543.9484999999</v>
      </c>
      <c r="O103" s="43">
        <v>1621150.7113999999</v>
      </c>
    </row>
    <row r="104" spans="2:15" x14ac:dyDescent="0.15"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  <row r="105" spans="2:15" ht="14" x14ac:dyDescent="0.15">
      <c r="B105" s="42" t="s">
        <v>70</v>
      </c>
      <c r="C105" s="43">
        <v>2122347.6</v>
      </c>
      <c r="D105" s="43">
        <v>174993.94</v>
      </c>
      <c r="E105" s="43">
        <v>182844.91</v>
      </c>
      <c r="F105" s="43">
        <v>174993.94</v>
      </c>
      <c r="G105" s="43">
        <v>174635.1</v>
      </c>
      <c r="H105" s="43">
        <v>180768.07</v>
      </c>
      <c r="I105" s="43">
        <v>174635.1</v>
      </c>
      <c r="J105" s="43">
        <v>174635.1</v>
      </c>
      <c r="K105" s="43">
        <v>180468.07</v>
      </c>
      <c r="L105" s="43">
        <v>174635.1</v>
      </c>
      <c r="M105" s="43">
        <v>174635.1</v>
      </c>
      <c r="N105" s="43">
        <v>180468.07</v>
      </c>
      <c r="O105" s="43">
        <v>174635.1</v>
      </c>
    </row>
    <row r="106" spans="2:15" ht="14" x14ac:dyDescent="0.15">
      <c r="B106" s="38" t="s">
        <v>71</v>
      </c>
      <c r="C106" s="40">
        <v>717658.56</v>
      </c>
      <c r="D106" s="40">
        <v>59779.88</v>
      </c>
      <c r="E106" s="40">
        <v>59779.88</v>
      </c>
      <c r="F106" s="40">
        <v>59779.88</v>
      </c>
      <c r="G106" s="40">
        <v>59779.88</v>
      </c>
      <c r="H106" s="40">
        <v>60079.88</v>
      </c>
      <c r="I106" s="40">
        <v>59779.88</v>
      </c>
      <c r="J106" s="40">
        <v>59779.88</v>
      </c>
      <c r="K106" s="40">
        <v>59779.88</v>
      </c>
      <c r="L106" s="40">
        <v>59779.88</v>
      </c>
      <c r="M106" s="40">
        <v>59779.88</v>
      </c>
      <c r="N106" s="40">
        <v>59779.88</v>
      </c>
      <c r="O106" s="40">
        <v>59779.88</v>
      </c>
    </row>
    <row r="107" spans="2:15" ht="14" x14ac:dyDescent="0.15">
      <c r="B107" s="38" t="s">
        <v>72</v>
      </c>
      <c r="C107" s="40">
        <v>45962.12</v>
      </c>
      <c r="D107" s="40">
        <v>3662.01</v>
      </c>
      <c r="E107" s="40">
        <v>5680.01</v>
      </c>
      <c r="F107" s="40">
        <v>3662.01</v>
      </c>
      <c r="G107" s="40">
        <v>3662.01</v>
      </c>
      <c r="H107" s="40">
        <v>3662.01</v>
      </c>
      <c r="I107" s="40">
        <v>3662.01</v>
      </c>
      <c r="J107" s="40">
        <v>3662.01</v>
      </c>
      <c r="K107" s="40">
        <v>3662.01</v>
      </c>
      <c r="L107" s="40">
        <v>3662.01</v>
      </c>
      <c r="M107" s="40">
        <v>3662.01</v>
      </c>
      <c r="N107" s="40">
        <v>3662.01</v>
      </c>
      <c r="O107" s="40">
        <v>3662.01</v>
      </c>
    </row>
    <row r="108" spans="2:15" ht="14" x14ac:dyDescent="0.15">
      <c r="B108" s="38" t="s">
        <v>73</v>
      </c>
      <c r="C108" s="40">
        <v>671064</v>
      </c>
      <c r="D108" s="40">
        <v>55922</v>
      </c>
      <c r="E108" s="40">
        <v>55922</v>
      </c>
      <c r="F108" s="40">
        <v>55922</v>
      </c>
      <c r="G108" s="40">
        <v>55922</v>
      </c>
      <c r="H108" s="40">
        <v>55922</v>
      </c>
      <c r="I108" s="40">
        <v>55922</v>
      </c>
      <c r="J108" s="40">
        <v>55922</v>
      </c>
      <c r="K108" s="40">
        <v>55922</v>
      </c>
      <c r="L108" s="40">
        <v>55922</v>
      </c>
      <c r="M108" s="40">
        <v>55922</v>
      </c>
      <c r="N108" s="40">
        <v>55922</v>
      </c>
      <c r="O108" s="40">
        <v>55922</v>
      </c>
    </row>
    <row r="109" spans="2:15" ht="14" x14ac:dyDescent="0.15">
      <c r="B109" s="38" t="s">
        <v>74</v>
      </c>
      <c r="C109" s="40">
        <v>104562.96</v>
      </c>
      <c r="D109" s="40">
        <v>8982.7099999999991</v>
      </c>
      <c r="E109" s="40">
        <v>8982.7099999999991</v>
      </c>
      <c r="F109" s="40">
        <v>8982.7099999999991</v>
      </c>
      <c r="G109" s="40">
        <v>8623.8700000000008</v>
      </c>
      <c r="H109" s="40">
        <v>8623.8700000000008</v>
      </c>
      <c r="I109" s="40">
        <v>8623.8700000000008</v>
      </c>
      <c r="J109" s="40">
        <v>8623.8700000000008</v>
      </c>
      <c r="K109" s="40">
        <v>8623.8700000000008</v>
      </c>
      <c r="L109" s="40">
        <v>8623.8700000000008</v>
      </c>
      <c r="M109" s="40">
        <v>8623.8700000000008</v>
      </c>
      <c r="N109" s="40">
        <v>8623.8700000000008</v>
      </c>
      <c r="O109" s="40">
        <v>8623.8700000000008</v>
      </c>
    </row>
    <row r="110" spans="2:15" ht="14" x14ac:dyDescent="0.15">
      <c r="B110" s="38" t="s">
        <v>75</v>
      </c>
      <c r="C110" s="40">
        <v>572863.36</v>
      </c>
      <c r="D110" s="40">
        <v>45794.29</v>
      </c>
      <c r="E110" s="40">
        <v>51627.26</v>
      </c>
      <c r="F110" s="40">
        <v>45794.29</v>
      </c>
      <c r="G110" s="40">
        <v>45794.29</v>
      </c>
      <c r="H110" s="40">
        <v>51627.26</v>
      </c>
      <c r="I110" s="40">
        <v>45794.29</v>
      </c>
      <c r="J110" s="40">
        <v>45794.29</v>
      </c>
      <c r="K110" s="40">
        <v>51627.26</v>
      </c>
      <c r="L110" s="40">
        <v>45794.29</v>
      </c>
      <c r="M110" s="40">
        <v>45794.29</v>
      </c>
      <c r="N110" s="40">
        <v>51627.26</v>
      </c>
      <c r="O110" s="40">
        <v>45794.29</v>
      </c>
    </row>
    <row r="111" spans="2:15" ht="14" x14ac:dyDescent="0.15">
      <c r="B111" s="38" t="s">
        <v>76</v>
      </c>
      <c r="C111" s="40">
        <v>10236.6</v>
      </c>
      <c r="D111" s="40">
        <v>853.05</v>
      </c>
      <c r="E111" s="40">
        <v>853.05</v>
      </c>
      <c r="F111" s="40">
        <v>853.05</v>
      </c>
      <c r="G111" s="40">
        <v>853.05</v>
      </c>
      <c r="H111" s="40">
        <v>853.05</v>
      </c>
      <c r="I111" s="40">
        <v>853.05</v>
      </c>
      <c r="J111" s="40">
        <v>853.05</v>
      </c>
      <c r="K111" s="40">
        <v>853.05</v>
      </c>
      <c r="L111" s="40">
        <v>853.05</v>
      </c>
      <c r="M111" s="40">
        <v>853.05</v>
      </c>
      <c r="N111" s="40">
        <v>853.05</v>
      </c>
      <c r="O111" s="40">
        <v>853.05</v>
      </c>
    </row>
    <row r="112" spans="2:15" ht="14" x14ac:dyDescent="0.15">
      <c r="B112" s="38" t="s">
        <v>77</v>
      </c>
      <c r="C112" s="40">
        <v>0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</row>
    <row r="113" spans="2:15" ht="14" x14ac:dyDescent="0.15">
      <c r="B113" s="38" t="s">
        <v>78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</row>
    <row r="114" spans="2:15" ht="14" x14ac:dyDescent="0.15">
      <c r="B114" s="38" t="s">
        <v>79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</row>
    <row r="115" spans="2:15" ht="14" x14ac:dyDescent="0.15">
      <c r="B115" s="38" t="s">
        <v>80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</row>
    <row r="116" spans="2:15" x14ac:dyDescent="0.15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</row>
    <row r="117" spans="2:15" ht="14" x14ac:dyDescent="0.15">
      <c r="B117" s="42" t="s">
        <v>81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</row>
    <row r="118" spans="2:15" ht="14" x14ac:dyDescent="0.15">
      <c r="B118" s="38" t="s">
        <v>82</v>
      </c>
      <c r="C118" s="40">
        <v>0</v>
      </c>
      <c r="D118" s="40">
        <v>0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  <c r="O118" s="40">
        <v>0</v>
      </c>
    </row>
    <row r="119" spans="2:15" ht="14" x14ac:dyDescent="0.15">
      <c r="B119" s="38" t="s">
        <v>83</v>
      </c>
      <c r="C119" s="40">
        <v>0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</row>
    <row r="120" spans="2:15" x14ac:dyDescent="0.15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</row>
    <row r="121" spans="2:15" ht="14" x14ac:dyDescent="0.15">
      <c r="B121" s="42" t="s">
        <v>84</v>
      </c>
      <c r="C121" s="43">
        <v>28743396.112599999</v>
      </c>
      <c r="D121" s="43">
        <v>770386.42139999999</v>
      </c>
      <c r="E121" s="43">
        <v>1383463.7186</v>
      </c>
      <c r="F121" s="43">
        <v>3047207.9857999999</v>
      </c>
      <c r="G121" s="43">
        <v>1662704.8169</v>
      </c>
      <c r="H121" s="43">
        <v>3121095.1052000001</v>
      </c>
      <c r="I121" s="43">
        <v>2567110.5808999999</v>
      </c>
      <c r="J121" s="43">
        <v>1546005.6085999999</v>
      </c>
      <c r="K121" s="43">
        <v>2206071.7374999998</v>
      </c>
      <c r="L121" s="43">
        <v>4018443.6786000002</v>
      </c>
      <c r="M121" s="43">
        <v>4066314.9692000002</v>
      </c>
      <c r="N121" s="43">
        <v>2908075.8785000001</v>
      </c>
      <c r="O121" s="43">
        <v>1446515.6114000001</v>
      </c>
    </row>
    <row r="122" spans="2:15" ht="14" x14ac:dyDescent="0.15">
      <c r="B122" s="38" t="s">
        <v>85</v>
      </c>
      <c r="C122" s="40">
        <v>1573804.1085000001</v>
      </c>
      <c r="D122" s="40">
        <v>102746.63860000001</v>
      </c>
      <c r="E122" s="40">
        <v>117386.89969999999</v>
      </c>
      <c r="F122" s="40">
        <v>152516.6153</v>
      </c>
      <c r="G122" s="40">
        <v>114441.72749999999</v>
      </c>
      <c r="H122" s="40">
        <v>135659.66930000001</v>
      </c>
      <c r="I122" s="40">
        <v>132476.35070000001</v>
      </c>
      <c r="J122" s="40">
        <v>109311.1409</v>
      </c>
      <c r="K122" s="40">
        <v>122870.51850000001</v>
      </c>
      <c r="L122" s="40">
        <v>162467.09160000001</v>
      </c>
      <c r="M122" s="40">
        <v>155833.04639999999</v>
      </c>
      <c r="N122" s="40">
        <v>152632.10130000001</v>
      </c>
      <c r="O122" s="40">
        <v>115462.30869999999</v>
      </c>
    </row>
    <row r="123" spans="2:15" x14ac:dyDescent="0.15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</row>
    <row r="124" spans="2:15" ht="28" x14ac:dyDescent="0.15">
      <c r="B124" s="42" t="s">
        <v>86</v>
      </c>
      <c r="C124" s="43">
        <v>27169592.004099999</v>
      </c>
      <c r="D124" s="43">
        <v>667639.78280000004</v>
      </c>
      <c r="E124" s="43">
        <v>1266076.8189000001</v>
      </c>
      <c r="F124" s="43">
        <v>2894691.3703999999</v>
      </c>
      <c r="G124" s="43">
        <v>1548263.0891</v>
      </c>
      <c r="H124" s="43">
        <v>2985435.4360000002</v>
      </c>
      <c r="I124" s="43">
        <v>2434634.2302000001</v>
      </c>
      <c r="J124" s="43">
        <v>1436694.4676999999</v>
      </c>
      <c r="K124" s="43">
        <v>2083201.219</v>
      </c>
      <c r="L124" s="43">
        <v>3855976.5871000001</v>
      </c>
      <c r="M124" s="43">
        <v>3910481.9227999998</v>
      </c>
      <c r="N124" s="43">
        <v>2755443.7773000002</v>
      </c>
      <c r="O124" s="43">
        <v>1331053.3027999999</v>
      </c>
    </row>
    <row r="125" spans="2:15" ht="14" x14ac:dyDescent="0.15">
      <c r="B125" s="38" t="s">
        <v>87</v>
      </c>
      <c r="C125" s="40">
        <v>0</v>
      </c>
      <c r="D125" s="40">
        <v>0</v>
      </c>
      <c r="E125" s="40">
        <v>0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</row>
    <row r="126" spans="2:15" x14ac:dyDescent="0.15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2:15" ht="14" x14ac:dyDescent="0.15">
      <c r="B127" s="42" t="s">
        <v>88</v>
      </c>
      <c r="C127" s="43">
        <v>27169592.004099999</v>
      </c>
      <c r="D127" s="43">
        <v>667639.78280000004</v>
      </c>
      <c r="E127" s="43">
        <v>1266076.8189000001</v>
      </c>
      <c r="F127" s="43">
        <v>2894691.3703999999</v>
      </c>
      <c r="G127" s="43">
        <v>1548263.0891</v>
      </c>
      <c r="H127" s="43">
        <v>2985435.4360000002</v>
      </c>
      <c r="I127" s="43">
        <v>2434634.2302000001</v>
      </c>
      <c r="J127" s="43">
        <v>1436694.4676999999</v>
      </c>
      <c r="K127" s="43">
        <v>2083201.219</v>
      </c>
      <c r="L127" s="43">
        <v>3855976.5871000001</v>
      </c>
      <c r="M127" s="43">
        <v>3910481.9227999998</v>
      </c>
      <c r="N127" s="43">
        <v>2755443.7773000002</v>
      </c>
      <c r="O127" s="43">
        <v>1331053.3027999999</v>
      </c>
    </row>
    <row r="128" spans="2:15" x14ac:dyDescent="0.15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2:15" ht="14" x14ac:dyDescent="0.15">
      <c r="B129" s="42" t="s">
        <v>89</v>
      </c>
      <c r="C129" s="43">
        <v>3127342.6905999999</v>
      </c>
      <c r="D129" s="43">
        <v>190352.26629999999</v>
      </c>
      <c r="E129" s="43">
        <v>221026.11989999999</v>
      </c>
      <c r="F129" s="43">
        <v>294299.03989999997</v>
      </c>
      <c r="G129" s="43">
        <v>230674.83249999999</v>
      </c>
      <c r="H129" s="43">
        <v>285577.7035</v>
      </c>
      <c r="I129" s="43">
        <v>271755.26179999998</v>
      </c>
      <c r="J129" s="43">
        <v>223475.9295</v>
      </c>
      <c r="K129" s="43">
        <v>248705.44769999999</v>
      </c>
      <c r="L129" s="43">
        <v>329333.5894</v>
      </c>
      <c r="M129" s="43">
        <v>324349.95909999998</v>
      </c>
      <c r="N129" s="43">
        <v>288650.52159999998</v>
      </c>
      <c r="O129" s="43">
        <v>219142.01939999999</v>
      </c>
    </row>
    <row r="130" spans="2:15" ht="14" x14ac:dyDescent="0.15">
      <c r="B130" s="38" t="s">
        <v>90</v>
      </c>
      <c r="C130" s="40">
        <v>3127342.6905999999</v>
      </c>
      <c r="D130" s="40">
        <v>190352.26629999999</v>
      </c>
      <c r="E130" s="40">
        <v>221026.11989999999</v>
      </c>
      <c r="F130" s="40">
        <v>294299.03989999997</v>
      </c>
      <c r="G130" s="40">
        <v>230674.83249999999</v>
      </c>
      <c r="H130" s="40">
        <v>285577.7035</v>
      </c>
      <c r="I130" s="40">
        <v>271755.26179999998</v>
      </c>
      <c r="J130" s="40">
        <v>223475.9295</v>
      </c>
      <c r="K130" s="40">
        <v>248705.44769999999</v>
      </c>
      <c r="L130" s="40">
        <v>329333.5894</v>
      </c>
      <c r="M130" s="40">
        <v>324349.95909999998</v>
      </c>
      <c r="N130" s="40">
        <v>288650.52159999998</v>
      </c>
      <c r="O130" s="40">
        <v>219142.01939999999</v>
      </c>
    </row>
    <row r="131" spans="2:15" ht="14" x14ac:dyDescent="0.15">
      <c r="B131" s="38" t="s">
        <v>91</v>
      </c>
      <c r="C131" s="40">
        <v>0</v>
      </c>
      <c r="D131" s="40">
        <v>0</v>
      </c>
      <c r="E131" s="40">
        <v>0</v>
      </c>
      <c r="F131" s="40">
        <v>0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</row>
    <row r="132" spans="2:15" ht="14" x14ac:dyDescent="0.15">
      <c r="B132" s="38" t="s">
        <v>92</v>
      </c>
      <c r="C132" s="40">
        <v>0</v>
      </c>
      <c r="D132" s="40">
        <v>0</v>
      </c>
      <c r="E132" s="40">
        <v>0</v>
      </c>
      <c r="F132" s="40">
        <v>0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</row>
    <row r="133" spans="2:15" x14ac:dyDescent="0.15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2:15" ht="14" x14ac:dyDescent="0.15">
      <c r="B134" s="42" t="s">
        <v>93</v>
      </c>
      <c r="C134" s="43">
        <v>24042249.312800001</v>
      </c>
      <c r="D134" s="43">
        <v>477287.51620000001</v>
      </c>
      <c r="E134" s="43">
        <v>1045050.699</v>
      </c>
      <c r="F134" s="43">
        <v>2600392.3303999999</v>
      </c>
      <c r="G134" s="43">
        <v>1317588.2566</v>
      </c>
      <c r="H134" s="43">
        <v>2699857.7326000002</v>
      </c>
      <c r="I134" s="43">
        <v>2162878.9682</v>
      </c>
      <c r="J134" s="43">
        <v>1213218.5382999999</v>
      </c>
      <c r="K134" s="43">
        <v>1834495.7715</v>
      </c>
      <c r="L134" s="43">
        <v>3526642.9974000002</v>
      </c>
      <c r="M134" s="43">
        <v>3586131.9638</v>
      </c>
      <c r="N134" s="43">
        <v>2466793.2555999998</v>
      </c>
      <c r="O134" s="43">
        <v>1111911.2831999999</v>
      </c>
    </row>
    <row r="135" spans="2:15" x14ac:dyDescent="0.15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2:15" ht="14" x14ac:dyDescent="0.15">
      <c r="B136" s="42" t="s">
        <v>94</v>
      </c>
      <c r="C136" s="43">
        <v>25608833.7062</v>
      </c>
      <c r="D136" s="43">
        <v>2063211.0789999999</v>
      </c>
      <c r="E136" s="43">
        <v>2066889.5164000001</v>
      </c>
      <c r="F136" s="43">
        <v>2257751.0671999999</v>
      </c>
      <c r="G136" s="43">
        <v>2051323.4635999999</v>
      </c>
      <c r="H136" s="43">
        <v>2154348.4602000001</v>
      </c>
      <c r="I136" s="43">
        <v>2067232.7638000001</v>
      </c>
      <c r="J136" s="43">
        <v>2012959.1647999999</v>
      </c>
      <c r="K136" s="43">
        <v>2073949.3816</v>
      </c>
      <c r="L136" s="43">
        <v>2257416.0554</v>
      </c>
      <c r="M136" s="43">
        <v>2341713.3368000002</v>
      </c>
      <c r="N136" s="43">
        <v>2248206.2231000001</v>
      </c>
      <c r="O136" s="43">
        <v>2013833.1943000001</v>
      </c>
    </row>
    <row r="137" spans="2:15" ht="14" x14ac:dyDescent="0.15">
      <c r="B137" s="38" t="s">
        <v>95</v>
      </c>
      <c r="C137" s="40">
        <v>19820502.440000001</v>
      </c>
      <c r="D137" s="40">
        <v>1649139.96</v>
      </c>
      <c r="E137" s="40">
        <v>1651942.04</v>
      </c>
      <c r="F137" s="40">
        <v>1651942.04</v>
      </c>
      <c r="G137" s="40">
        <v>1651942.04</v>
      </c>
      <c r="H137" s="40">
        <v>1651942.04</v>
      </c>
      <c r="I137" s="40">
        <v>1651942.04</v>
      </c>
      <c r="J137" s="40">
        <v>1651942.04</v>
      </c>
      <c r="K137" s="40">
        <v>1651942.04</v>
      </c>
      <c r="L137" s="40">
        <v>1651942.04</v>
      </c>
      <c r="M137" s="40">
        <v>1651942.04</v>
      </c>
      <c r="N137" s="40">
        <v>1651942.04</v>
      </c>
      <c r="O137" s="40">
        <v>1651942.08</v>
      </c>
    </row>
    <row r="138" spans="2:15" ht="14" x14ac:dyDescent="0.15">
      <c r="B138" s="38" t="s">
        <v>96</v>
      </c>
      <c r="C138" s="40">
        <v>5788331.2662000004</v>
      </c>
      <c r="D138" s="40">
        <v>414071.11900000001</v>
      </c>
      <c r="E138" s="40">
        <v>414947.47639999999</v>
      </c>
      <c r="F138" s="40">
        <v>605809.02720000001</v>
      </c>
      <c r="G138" s="40">
        <v>399381.42359999998</v>
      </c>
      <c r="H138" s="40">
        <v>502406.42019999999</v>
      </c>
      <c r="I138" s="40">
        <v>415290.72379999998</v>
      </c>
      <c r="J138" s="40">
        <v>361017.12479999999</v>
      </c>
      <c r="K138" s="40">
        <v>422007.34159999999</v>
      </c>
      <c r="L138" s="40">
        <v>605474.01540000003</v>
      </c>
      <c r="M138" s="40">
        <v>689771.29680000001</v>
      </c>
      <c r="N138" s="40">
        <v>596264.18310000002</v>
      </c>
      <c r="O138" s="40">
        <v>361891.11430000002</v>
      </c>
    </row>
    <row r="139" spans="2:15" ht="14" x14ac:dyDescent="0.15">
      <c r="B139" s="38" t="s">
        <v>97</v>
      </c>
      <c r="C139" s="40">
        <v>0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  <c r="O139" s="40">
        <v>0</v>
      </c>
    </row>
    <row r="140" spans="2:15" x14ac:dyDescent="0.15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2:15" ht="28" x14ac:dyDescent="0.15">
      <c r="B141" s="42" t="s">
        <v>98</v>
      </c>
      <c r="C141" s="43">
        <v>-1566584.3929999999</v>
      </c>
      <c r="D141" s="43">
        <v>-1585923.5628</v>
      </c>
      <c r="E141" s="43">
        <v>-1021838.8173</v>
      </c>
      <c r="F141" s="43">
        <v>342641.26319999999</v>
      </c>
      <c r="G141" s="43">
        <v>-733735.20700000005</v>
      </c>
      <c r="H141" s="43">
        <v>545509.27240000002</v>
      </c>
      <c r="I141" s="43">
        <v>95646.204500000007</v>
      </c>
      <c r="J141" s="43">
        <v>-799740.62639999995</v>
      </c>
      <c r="K141" s="43">
        <v>-239453.60990000001</v>
      </c>
      <c r="L141" s="43">
        <v>1269226.9421999999</v>
      </c>
      <c r="M141" s="43">
        <v>1244418.6268</v>
      </c>
      <c r="N141" s="43">
        <v>218587.0324</v>
      </c>
      <c r="O141" s="43">
        <v>-901921.91110000003</v>
      </c>
    </row>
    <row r="142" spans="2:15" ht="14" x14ac:dyDescent="0.15">
      <c r="B142" s="38" t="s">
        <v>99</v>
      </c>
      <c r="C142" s="40">
        <v>0</v>
      </c>
      <c r="D142" s="40">
        <v>0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</row>
    <row r="143" spans="2:15" x14ac:dyDescent="0.15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2:15" ht="14" x14ac:dyDescent="0.15">
      <c r="B144" s="42" t="s">
        <v>100</v>
      </c>
      <c r="C144" s="43">
        <v>-1566584.3929999999</v>
      </c>
      <c r="D144" s="43">
        <v>-1585923.5628</v>
      </c>
      <c r="E144" s="43">
        <v>-1021838.8173</v>
      </c>
      <c r="F144" s="43">
        <v>342641.26319999999</v>
      </c>
      <c r="G144" s="43">
        <v>-733735.20700000005</v>
      </c>
      <c r="H144" s="43">
        <v>545509.27240000002</v>
      </c>
      <c r="I144" s="43">
        <v>95646.204500000007</v>
      </c>
      <c r="J144" s="43">
        <v>-799740.62639999995</v>
      </c>
      <c r="K144" s="43">
        <v>-239453.60990000001</v>
      </c>
      <c r="L144" s="43">
        <v>1269226.9421999999</v>
      </c>
      <c r="M144" s="43">
        <v>1244418.6268</v>
      </c>
      <c r="N144" s="43">
        <v>218587.0324</v>
      </c>
      <c r="O144" s="43">
        <v>-901921.91110000003</v>
      </c>
    </row>
    <row r="145" spans="2:15" ht="14" x14ac:dyDescent="0.15">
      <c r="B145" s="38" t="s">
        <v>101</v>
      </c>
      <c r="C145" s="40">
        <v>0</v>
      </c>
      <c r="D145" s="40">
        <v>0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</row>
    <row r="146" spans="2:15" x14ac:dyDescent="0.15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2:15" ht="28" x14ac:dyDescent="0.15">
      <c r="B147" s="42" t="s">
        <v>102</v>
      </c>
      <c r="C147" s="43">
        <v>-1566584.3929999999</v>
      </c>
      <c r="D147" s="43">
        <v>-1585923.5628</v>
      </c>
      <c r="E147" s="43">
        <v>-1021838.8173</v>
      </c>
      <c r="F147" s="43">
        <v>342641.26319999999</v>
      </c>
      <c r="G147" s="43">
        <v>-733735.20700000005</v>
      </c>
      <c r="H147" s="43">
        <v>545509.27240000002</v>
      </c>
      <c r="I147" s="43">
        <v>95646.204500000007</v>
      </c>
      <c r="J147" s="43">
        <v>-799740.62639999995</v>
      </c>
      <c r="K147" s="43">
        <v>-239453.60990000001</v>
      </c>
      <c r="L147" s="43">
        <v>1269226.9421999999</v>
      </c>
      <c r="M147" s="43">
        <v>1244418.6268</v>
      </c>
      <c r="N147" s="43">
        <v>218587.0324</v>
      </c>
      <c r="O147" s="43">
        <v>-901921.91110000003</v>
      </c>
    </row>
    <row r="148" spans="2:15" ht="14" x14ac:dyDescent="0.15">
      <c r="B148" s="38" t="s">
        <v>103</v>
      </c>
      <c r="C148" s="40">
        <v>0</v>
      </c>
      <c r="D148" s="40">
        <v>0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0</v>
      </c>
      <c r="M148" s="40">
        <v>0</v>
      </c>
      <c r="N148" s="40">
        <v>0</v>
      </c>
      <c r="O148" s="40">
        <v>0</v>
      </c>
    </row>
    <row r="149" spans="2:15" x14ac:dyDescent="0.15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2:15" ht="14" x14ac:dyDescent="0.15">
      <c r="B150" s="42" t="s">
        <v>104</v>
      </c>
      <c r="C150" s="43">
        <v>-1566584.3929999999</v>
      </c>
      <c r="D150" s="43">
        <v>-1585923.5628</v>
      </c>
      <c r="E150" s="43">
        <v>-1021838.8173</v>
      </c>
      <c r="F150" s="43">
        <v>342641.26319999999</v>
      </c>
      <c r="G150" s="43">
        <v>-733735.20700000005</v>
      </c>
      <c r="H150" s="43">
        <v>545509.27240000002</v>
      </c>
      <c r="I150" s="43">
        <v>95646.204500000007</v>
      </c>
      <c r="J150" s="43">
        <v>-799740.62639999995</v>
      </c>
      <c r="K150" s="43">
        <v>-239453.60990000001</v>
      </c>
      <c r="L150" s="43">
        <v>1269226.9421999999</v>
      </c>
      <c r="M150" s="43">
        <v>1244418.6268</v>
      </c>
      <c r="N150" s="43">
        <v>218587.0324</v>
      </c>
      <c r="O150" s="43">
        <v>-901921.91110000003</v>
      </c>
    </row>
    <row r="151" spans="2:15" x14ac:dyDescent="0.15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2:15" ht="14" x14ac:dyDescent="0.15">
      <c r="B152" s="44" t="s">
        <v>105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</row>
    <row r="153" spans="2:15" ht="14" x14ac:dyDescent="0.15">
      <c r="B153" s="38" t="s">
        <v>106</v>
      </c>
      <c r="C153" s="39">
        <v>-885283.79299999995</v>
      </c>
      <c r="D153" s="40">
        <v>-1529148.5127999999</v>
      </c>
      <c r="E153" s="40">
        <v>-965063.76729999995</v>
      </c>
      <c r="F153" s="40">
        <v>399416.31319999998</v>
      </c>
      <c r="G153" s="40">
        <v>-676960.15700000001</v>
      </c>
      <c r="H153" s="40">
        <v>602284.32239999995</v>
      </c>
      <c r="I153" s="40">
        <v>152421.25450000001</v>
      </c>
      <c r="J153" s="40">
        <v>-742965.57640000002</v>
      </c>
      <c r="K153" s="40">
        <v>-182678.55989999999</v>
      </c>
      <c r="L153" s="40">
        <v>1326001.9922</v>
      </c>
      <c r="M153" s="40">
        <v>1301193.6768</v>
      </c>
      <c r="N153" s="40">
        <v>275362.08240000001</v>
      </c>
      <c r="O153" s="40">
        <v>-845146.86109999998</v>
      </c>
    </row>
    <row r="154" spans="2:15" ht="14" x14ac:dyDescent="0.15">
      <c r="B154" s="38" t="s">
        <v>107</v>
      </c>
      <c r="C154" s="39">
        <v>-1556347.7930000001</v>
      </c>
      <c r="D154" s="40">
        <v>-1585070.5127999999</v>
      </c>
      <c r="E154" s="40">
        <v>-1020985.7672999999</v>
      </c>
      <c r="F154" s="40">
        <v>343494.31319999998</v>
      </c>
      <c r="G154" s="40">
        <v>-732882.15700000001</v>
      </c>
      <c r="H154" s="40">
        <v>546362.32239999995</v>
      </c>
      <c r="I154" s="40">
        <v>96499.254499999995</v>
      </c>
      <c r="J154" s="40">
        <v>-798887.57640000002</v>
      </c>
      <c r="K154" s="40">
        <v>-238600.55989999999</v>
      </c>
      <c r="L154" s="40">
        <v>1270079.9922</v>
      </c>
      <c r="M154" s="40">
        <v>1245271.6768</v>
      </c>
      <c r="N154" s="40">
        <v>219440.08240000001</v>
      </c>
      <c r="O154" s="40">
        <v>-901068.86109999998</v>
      </c>
    </row>
    <row r="155" spans="2:15" ht="14" x14ac:dyDescent="0.15">
      <c r="B155" s="42" t="s">
        <v>108</v>
      </c>
      <c r="C155" s="46">
        <v>4160395.4879000001</v>
      </c>
      <c r="D155" s="43">
        <v>254149.81529999999</v>
      </c>
      <c r="E155" s="43">
        <v>294153.17450000002</v>
      </c>
      <c r="F155" s="43">
        <v>391859.55589999998</v>
      </c>
      <c r="G155" s="43">
        <v>307497.56469999999</v>
      </c>
      <c r="H155" s="43">
        <v>379857.78080000001</v>
      </c>
      <c r="I155" s="43">
        <v>361279.7585</v>
      </c>
      <c r="J155" s="43">
        <v>297345.39449999999</v>
      </c>
      <c r="K155" s="43">
        <v>331319.20929999999</v>
      </c>
      <c r="L155" s="43">
        <v>435788.14049999998</v>
      </c>
      <c r="M155" s="43">
        <v>431239.46519999998</v>
      </c>
      <c r="N155" s="43">
        <v>383534.5624</v>
      </c>
      <c r="O155" s="43">
        <v>292371.06630000001</v>
      </c>
    </row>
    <row r="156" spans="2:15" ht="14" x14ac:dyDescent="0.15">
      <c r="B156" s="38" t="s">
        <v>109</v>
      </c>
      <c r="C156" s="39">
        <v>0</v>
      </c>
      <c r="D156" s="40">
        <v>0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  <c r="O156" s="40">
        <v>0</v>
      </c>
    </row>
    <row r="157" spans="2:15" ht="14" x14ac:dyDescent="0.15">
      <c r="B157" s="38" t="s">
        <v>110</v>
      </c>
      <c r="C157" s="39">
        <v>0</v>
      </c>
      <c r="D157" s="40">
        <v>0</v>
      </c>
      <c r="E157" s="40">
        <v>0</v>
      </c>
      <c r="F157" s="40">
        <v>0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  <c r="O157" s="40">
        <v>0</v>
      </c>
    </row>
    <row r="158" spans="2:15" ht="14" x14ac:dyDescent="0.15">
      <c r="B158" s="38" t="s">
        <v>111</v>
      </c>
      <c r="C158" s="39">
        <v>1033052.7971</v>
      </c>
      <c r="D158" s="40">
        <v>63797.548799999997</v>
      </c>
      <c r="E158" s="40">
        <v>73127.054499999998</v>
      </c>
      <c r="F158" s="40">
        <v>97560.515899999999</v>
      </c>
      <c r="G158" s="40">
        <v>76822.732000000004</v>
      </c>
      <c r="H158" s="40">
        <v>94280.077300000004</v>
      </c>
      <c r="I158" s="40">
        <v>89524.496700000003</v>
      </c>
      <c r="J158" s="40">
        <v>73869.464900000006</v>
      </c>
      <c r="K158" s="40">
        <v>82613.762000000002</v>
      </c>
      <c r="L158" s="40">
        <v>106454.5512</v>
      </c>
      <c r="M158" s="40">
        <v>106889.50629999999</v>
      </c>
      <c r="N158" s="40">
        <v>94884.040699999998</v>
      </c>
      <c r="O158" s="40">
        <v>73229.046799999996</v>
      </c>
    </row>
    <row r="159" spans="2:15" ht="14" x14ac:dyDescent="0.15">
      <c r="B159" s="38" t="s">
        <v>112</v>
      </c>
      <c r="C159" s="39">
        <v>2418669.0238000001</v>
      </c>
      <c r="D159" s="40">
        <v>150337.35329999999</v>
      </c>
      <c r="E159" s="40">
        <v>171866.75409999999</v>
      </c>
      <c r="F159" s="40">
        <v>230236.8841</v>
      </c>
      <c r="G159" s="40">
        <v>177410.19149999999</v>
      </c>
      <c r="H159" s="40">
        <v>219844.9534</v>
      </c>
      <c r="I159" s="40">
        <v>207896.75529999999</v>
      </c>
      <c r="J159" s="40">
        <v>169280.7035</v>
      </c>
      <c r="K159" s="40">
        <v>188180.58780000001</v>
      </c>
      <c r="L159" s="40">
        <v>252314.79370000001</v>
      </c>
      <c r="M159" s="40">
        <v>252575.04209999999</v>
      </c>
      <c r="N159" s="40">
        <v>227133.1023</v>
      </c>
      <c r="O159" s="40">
        <v>171591.90270000001</v>
      </c>
    </row>
    <row r="160" spans="2:15" ht="14" x14ac:dyDescent="0.15">
      <c r="B160" s="38" t="s">
        <v>113</v>
      </c>
      <c r="C160" s="39">
        <v>3127342.6905999999</v>
      </c>
      <c r="D160" s="40">
        <v>190352.26629999999</v>
      </c>
      <c r="E160" s="40">
        <v>221026.11989999999</v>
      </c>
      <c r="F160" s="40">
        <v>294299.03989999997</v>
      </c>
      <c r="G160" s="40">
        <v>230674.83249999999</v>
      </c>
      <c r="H160" s="40">
        <v>285577.7035</v>
      </c>
      <c r="I160" s="40">
        <v>271755.26179999998</v>
      </c>
      <c r="J160" s="40">
        <v>223475.9295</v>
      </c>
      <c r="K160" s="40">
        <v>248705.44769999999</v>
      </c>
      <c r="L160" s="40">
        <v>329333.5894</v>
      </c>
      <c r="M160" s="40">
        <v>324349.95909999998</v>
      </c>
      <c r="N160" s="40">
        <v>288650.52159999998</v>
      </c>
      <c r="O160" s="40">
        <v>219142.01939999999</v>
      </c>
    </row>
    <row r="161" spans="2:15" ht="14" x14ac:dyDescent="0.15">
      <c r="B161" s="38" t="s">
        <v>114</v>
      </c>
      <c r="C161" s="39">
        <v>0</v>
      </c>
      <c r="D161" s="40">
        <v>0</v>
      </c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</row>
    <row r="162" spans="2:15" ht="14" x14ac:dyDescent="0.15">
      <c r="B162" s="42" t="s">
        <v>115</v>
      </c>
      <c r="C162" s="46">
        <v>5421528.3071999997</v>
      </c>
      <c r="D162" s="43">
        <v>321800.78100000002</v>
      </c>
      <c r="E162" s="43">
        <v>370816.67839999998</v>
      </c>
      <c r="F162" s="43">
        <v>508313.2303</v>
      </c>
      <c r="G162" s="43">
        <v>396081.39390000002</v>
      </c>
      <c r="H162" s="43">
        <v>509182.45970000001</v>
      </c>
      <c r="I162" s="43">
        <v>469049.60749999998</v>
      </c>
      <c r="J162" s="43">
        <v>398502.1655</v>
      </c>
      <c r="K162" s="43">
        <v>442441.45130000002</v>
      </c>
      <c r="L162" s="43">
        <v>559171.65119999996</v>
      </c>
      <c r="M162" s="43">
        <v>572548.69310000003</v>
      </c>
      <c r="N162" s="43">
        <v>490725.74449999997</v>
      </c>
      <c r="O162" s="43">
        <v>382894.45079999999</v>
      </c>
    </row>
    <row r="163" spans="2:15" ht="14" x14ac:dyDescent="0.15">
      <c r="B163" s="38" t="s">
        <v>116</v>
      </c>
      <c r="C163" s="39">
        <v>2502065.3531999998</v>
      </c>
      <c r="D163" s="40">
        <v>144249.6324</v>
      </c>
      <c r="E163" s="40">
        <v>167507.98199999999</v>
      </c>
      <c r="F163" s="40">
        <v>237601.2395</v>
      </c>
      <c r="G163" s="40">
        <v>179874.04180000001</v>
      </c>
      <c r="H163" s="40">
        <v>235614.09349999999</v>
      </c>
      <c r="I163" s="40">
        <v>217667.42389999999</v>
      </c>
      <c r="J163" s="40">
        <v>183219.5269</v>
      </c>
      <c r="K163" s="40">
        <v>204950.99609999999</v>
      </c>
      <c r="L163" s="40">
        <v>261490.61489999999</v>
      </c>
      <c r="M163" s="40">
        <v>270150.91230000003</v>
      </c>
      <c r="N163" s="40">
        <v>226947.76240000001</v>
      </c>
      <c r="O163" s="40">
        <v>172791.1275</v>
      </c>
    </row>
    <row r="164" spans="2:15" ht="14" x14ac:dyDescent="0.15">
      <c r="B164" s="38" t="s">
        <v>117</v>
      </c>
      <c r="C164" s="39">
        <v>1755859.2709999999</v>
      </c>
      <c r="D164" s="40">
        <v>102437.7404</v>
      </c>
      <c r="E164" s="40">
        <v>119315.4513</v>
      </c>
      <c r="F164" s="40">
        <v>167411.33689999999</v>
      </c>
      <c r="G164" s="40">
        <v>126269.8051</v>
      </c>
      <c r="H164" s="40">
        <v>164536.08199999999</v>
      </c>
      <c r="I164" s="40">
        <v>151240.5533</v>
      </c>
      <c r="J164" s="40">
        <v>126618.88069999999</v>
      </c>
      <c r="K164" s="40">
        <v>141832.37330000001</v>
      </c>
      <c r="L164" s="40">
        <v>183333.52290000001</v>
      </c>
      <c r="M164" s="40">
        <v>189808.1385</v>
      </c>
      <c r="N164" s="40">
        <v>160826.73800000001</v>
      </c>
      <c r="O164" s="40">
        <v>122228.6486</v>
      </c>
    </row>
    <row r="165" spans="2:15" ht="14" x14ac:dyDescent="0.15">
      <c r="B165" s="38" t="s">
        <v>118</v>
      </c>
      <c r="C165" s="39">
        <v>592089.2746</v>
      </c>
      <c r="D165" s="40">
        <v>41108.1466</v>
      </c>
      <c r="E165" s="40">
        <v>43713.8151</v>
      </c>
      <c r="F165" s="40">
        <v>50105.742200000001</v>
      </c>
      <c r="G165" s="40">
        <v>47175.474999999999</v>
      </c>
      <c r="H165" s="40">
        <v>56055.0746</v>
      </c>
      <c r="I165" s="40">
        <v>50117.468500000003</v>
      </c>
      <c r="J165" s="40">
        <v>47691.346299999997</v>
      </c>
      <c r="K165" s="40">
        <v>51111.215300000003</v>
      </c>
      <c r="L165" s="40">
        <v>54698.928200000002</v>
      </c>
      <c r="M165" s="40">
        <v>53294.206700000002</v>
      </c>
      <c r="N165" s="40">
        <v>50259.500399999997</v>
      </c>
      <c r="O165" s="40">
        <v>46758.3557</v>
      </c>
    </row>
    <row r="166" spans="2:15" ht="14" x14ac:dyDescent="0.15">
      <c r="B166" s="38" t="s">
        <v>119</v>
      </c>
      <c r="C166" s="39">
        <v>571514.40899999999</v>
      </c>
      <c r="D166" s="40">
        <v>34005.2618</v>
      </c>
      <c r="E166" s="40">
        <v>40279.430200000003</v>
      </c>
      <c r="F166" s="40">
        <v>53194.911800000002</v>
      </c>
      <c r="G166" s="40">
        <v>42762.072</v>
      </c>
      <c r="H166" s="40">
        <v>52977.209600000002</v>
      </c>
      <c r="I166" s="40">
        <v>50024.161800000002</v>
      </c>
      <c r="J166" s="40">
        <v>40972.411599999999</v>
      </c>
      <c r="K166" s="40">
        <v>44546.866699999999</v>
      </c>
      <c r="L166" s="40">
        <v>59648.585099999997</v>
      </c>
      <c r="M166" s="40">
        <v>59295.435599999997</v>
      </c>
      <c r="N166" s="40">
        <v>52691.743699999999</v>
      </c>
      <c r="O166" s="40">
        <v>41116.319100000001</v>
      </c>
    </row>
    <row r="168" spans="2:15" ht="14" x14ac:dyDescent="0.15">
      <c r="B168" s="33" t="s">
        <v>127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FB56-315A-4147-A4E8-1F7D003C6EDB}">
  <sheetPr>
    <tabColor rgb="FF92D050"/>
    <pageSetUpPr fitToPage="1"/>
  </sheetPr>
  <dimension ref="A1:AF79"/>
  <sheetViews>
    <sheetView zoomScale="80" zoomScaleNormal="100" workbookViewId="0">
      <pane xSplit="1" ySplit="3" topLeftCell="J4" activePane="bottomRight" state="frozen"/>
      <selection pane="topRight"/>
      <selection pane="bottomLeft"/>
      <selection pane="bottomRight" activeCell="J42" sqref="J42:M42"/>
    </sheetView>
  </sheetViews>
  <sheetFormatPr baseColWidth="10" defaultColWidth="9.1640625" defaultRowHeight="14" outlineLevelRow="1" outlineLevelCol="1" x14ac:dyDescent="0.15"/>
  <cols>
    <col min="1" max="1" width="49" style="103" customWidth="1"/>
    <col min="2" max="8" width="11.5" customWidth="1"/>
    <col min="10" max="10" width="10.5" customWidth="1" outlineLevel="1"/>
    <col min="11" max="14" width="12" customWidth="1" outlineLevel="1"/>
    <col min="15" max="15" width="5.33203125" customWidth="1"/>
    <col min="16" max="20" width="10.6640625" bestFit="1" customWidth="1"/>
    <col min="21" max="21" width="10.6640625" customWidth="1"/>
    <col min="22" max="22" width="9.6640625" bestFit="1" customWidth="1"/>
    <col min="23" max="23" width="10.6640625" bestFit="1" customWidth="1"/>
    <col min="25" max="31" width="11.5" customWidth="1" outlineLevel="1"/>
    <col min="32" max="32" width="10.6640625" bestFit="1" customWidth="1" outlineLevel="1"/>
  </cols>
  <sheetData>
    <row r="1" spans="1:32" ht="35.5" customHeight="1" thickBot="1" x14ac:dyDescent="0.2">
      <c r="A1" s="105" t="s">
        <v>367</v>
      </c>
      <c r="J1" s="348" t="s">
        <v>408</v>
      </c>
      <c r="K1" s="348"/>
      <c r="L1" s="348"/>
      <c r="M1" s="348"/>
      <c r="N1" s="348"/>
      <c r="P1" s="348" t="s">
        <v>514</v>
      </c>
      <c r="Q1" s="348"/>
      <c r="R1" s="348"/>
      <c r="S1" s="348"/>
      <c r="T1" s="348"/>
      <c r="U1" s="348"/>
      <c r="V1" s="348"/>
      <c r="W1" s="348"/>
      <c r="Y1" s="348" t="s">
        <v>510</v>
      </c>
      <c r="Z1" s="348"/>
      <c r="AA1" s="348"/>
      <c r="AB1" s="348"/>
      <c r="AC1" s="348"/>
      <c r="AD1" s="348"/>
      <c r="AE1" s="348"/>
      <c r="AF1" s="348"/>
    </row>
    <row r="2" spans="1:32" ht="24" customHeight="1" x14ac:dyDescent="0.15">
      <c r="A2" s="221" t="s">
        <v>123</v>
      </c>
      <c r="B2" s="183" t="s">
        <v>326</v>
      </c>
      <c r="C2" s="183" t="s">
        <v>322</v>
      </c>
      <c r="D2" s="183" t="s">
        <v>323</v>
      </c>
      <c r="E2" s="183" t="s">
        <v>324</v>
      </c>
      <c r="F2" s="183" t="s">
        <v>307</v>
      </c>
      <c r="G2" s="183" t="s">
        <v>312</v>
      </c>
      <c r="H2" s="184" t="s">
        <v>325</v>
      </c>
      <c r="I2" s="47"/>
      <c r="J2" s="183" t="s">
        <v>20</v>
      </c>
      <c r="K2" s="183" t="s">
        <v>322</v>
      </c>
      <c r="L2" s="183" t="s">
        <v>323</v>
      </c>
      <c r="M2" s="183" t="s">
        <v>324</v>
      </c>
      <c r="N2" s="184" t="s">
        <v>390</v>
      </c>
      <c r="P2" s="183" t="s">
        <v>20</v>
      </c>
      <c r="Q2" s="183" t="s">
        <v>322</v>
      </c>
      <c r="R2" s="183" t="s">
        <v>323</v>
      </c>
      <c r="S2" s="183" t="s">
        <v>324</v>
      </c>
      <c r="T2" s="183" t="s">
        <v>307</v>
      </c>
      <c r="U2" s="183" t="s">
        <v>312</v>
      </c>
      <c r="V2" s="184" t="s">
        <v>325</v>
      </c>
      <c r="W2" s="184" t="s">
        <v>390</v>
      </c>
      <c r="Y2" s="183" t="s">
        <v>20</v>
      </c>
      <c r="Z2" s="183" t="s">
        <v>322</v>
      </c>
      <c r="AA2" s="183" t="s">
        <v>323</v>
      </c>
      <c r="AB2" s="183" t="s">
        <v>324</v>
      </c>
      <c r="AC2" s="183" t="s">
        <v>307</v>
      </c>
      <c r="AD2" s="183" t="s">
        <v>312</v>
      </c>
      <c r="AE2" s="184" t="s">
        <v>325</v>
      </c>
      <c r="AF2" s="184" t="s">
        <v>390</v>
      </c>
    </row>
    <row r="3" spans="1:32" ht="6" customHeight="1" x14ac:dyDescent="0.15">
      <c r="A3" s="185"/>
      <c r="H3" s="186"/>
    </row>
    <row r="4" spans="1:32" x14ac:dyDescent="0.15">
      <c r="A4" s="187" t="s">
        <v>327</v>
      </c>
      <c r="B4" s="177">
        <f>Dezember24!R4</f>
        <v>3000000</v>
      </c>
      <c r="C4" s="177">
        <f>Januar!B4</f>
        <v>3442499.73</v>
      </c>
      <c r="D4" s="177">
        <f>Februar!B4</f>
        <v>4095387.8299999991</v>
      </c>
      <c r="E4" s="177">
        <f>März!B6</f>
        <v>4710438.2096599992</v>
      </c>
      <c r="F4" s="177">
        <f>April!B4</f>
        <v>8081456.306072792</v>
      </c>
      <c r="G4" s="177">
        <f>Mai!B4</f>
        <v>10995169.233803123</v>
      </c>
      <c r="H4" s="188">
        <f>Juni!B4</f>
        <v>9104878.2504321374</v>
      </c>
      <c r="J4" s="177">
        <f>B4-'Exec.Summary_Liquiplanung ORG'!B4</f>
        <v>0</v>
      </c>
      <c r="K4" s="177">
        <f>C4-'Exec.Summary_Liquiplanung ORG'!C4</f>
        <v>-1318969.02</v>
      </c>
      <c r="L4" s="177">
        <f>D4-'Exec.Summary_Liquiplanung ORG'!D4</f>
        <v>-2019137.3903463269</v>
      </c>
      <c r="M4" s="177">
        <f>E4-'Exec.Summary_Liquiplanung ORG'!E4</f>
        <v>-1993950.6888227882</v>
      </c>
      <c r="P4" s="177">
        <f t="shared" ref="P4:V4" si="0">B4-Y4</f>
        <v>0</v>
      </c>
      <c r="Q4" s="177">
        <f t="shared" si="0"/>
        <v>0</v>
      </c>
      <c r="R4" s="177">
        <f t="shared" si="0"/>
        <v>0</v>
      </c>
      <c r="S4" s="177">
        <f t="shared" si="0"/>
        <v>-27005.421728506684</v>
      </c>
      <c r="T4" s="177">
        <f t="shared" si="0"/>
        <v>3575168.7503291275</v>
      </c>
      <c r="U4" s="177">
        <f t="shared" si="0"/>
        <v>7123474.5695172288</v>
      </c>
      <c r="V4" s="177">
        <f t="shared" si="0"/>
        <v>4897967.2483604234</v>
      </c>
      <c r="Y4" s="177">
        <v>3000000</v>
      </c>
      <c r="Z4" s="177">
        <v>3442499.73</v>
      </c>
      <c r="AA4" s="177">
        <v>4095387.8299999991</v>
      </c>
      <c r="AB4" s="177">
        <v>4737443.6313885059</v>
      </c>
      <c r="AC4" s="177">
        <v>4506287.5557436645</v>
      </c>
      <c r="AD4" s="177">
        <v>3871694.6642858949</v>
      </c>
      <c r="AE4" s="177">
        <v>4206911.002071714</v>
      </c>
    </row>
    <row r="5" spans="1:32" ht="15" hidden="1" thickBot="1" x14ac:dyDescent="0.2">
      <c r="A5" s="189" t="s">
        <v>262</v>
      </c>
      <c r="B5" s="178">
        <f>Dezember24!AH5</f>
        <v>0</v>
      </c>
      <c r="C5" s="178">
        <f>Januar!AH5</f>
        <v>0</v>
      </c>
      <c r="D5" s="178">
        <f>Februar!AH5</f>
        <v>0</v>
      </c>
      <c r="E5" s="178">
        <f>März!AH5</f>
        <v>0</v>
      </c>
      <c r="F5" s="178">
        <f>April!AH5</f>
        <v>0</v>
      </c>
      <c r="G5" s="178">
        <f>Mai!AH5</f>
        <v>0</v>
      </c>
      <c r="H5" s="190">
        <f>Juni!AH5</f>
        <v>0</v>
      </c>
      <c r="J5" s="177">
        <f>B5-'Exec.Summary_Liquiplanung ORG'!B5</f>
        <v>0</v>
      </c>
      <c r="K5" s="177">
        <f>C5-'Exec.Summary_Liquiplanung ORG'!C5</f>
        <v>0</v>
      </c>
      <c r="L5" s="177">
        <f>D5-'Exec.Summary_Liquiplanung ORG'!D5</f>
        <v>0</v>
      </c>
      <c r="M5" s="177">
        <f>E5-'Exec.Summary_Liquiplanung ORG'!E5</f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  <c r="U5" s="177">
        <v>0</v>
      </c>
      <c r="V5" s="177">
        <v>0</v>
      </c>
      <c r="Y5" s="177">
        <v>0</v>
      </c>
      <c r="Z5" s="177">
        <v>0</v>
      </c>
      <c r="AA5" s="177">
        <v>0</v>
      </c>
      <c r="AB5" s="177">
        <v>0</v>
      </c>
      <c r="AC5" s="177">
        <v>0</v>
      </c>
      <c r="AD5" s="177">
        <v>0</v>
      </c>
      <c r="AE5" s="177">
        <v>0</v>
      </c>
    </row>
    <row r="6" spans="1:32" hidden="1" x14ac:dyDescent="0.15">
      <c r="A6" s="191" t="s">
        <v>261</v>
      </c>
      <c r="B6" s="177">
        <f>Dezember24!AH6</f>
        <v>0</v>
      </c>
      <c r="C6" s="177">
        <f>Januar!AH6</f>
        <v>3442499.73</v>
      </c>
      <c r="D6" s="177">
        <f>Februar!AH6</f>
        <v>4095387.8299999991</v>
      </c>
      <c r="E6" s="177">
        <f>März!AH6</f>
        <v>4710438.2096599992</v>
      </c>
      <c r="F6" s="177">
        <f>April!AH6</f>
        <v>8081456.306072792</v>
      </c>
      <c r="G6" s="177">
        <f>Mai!AH6</f>
        <v>10995169.233803123</v>
      </c>
      <c r="H6" s="188">
        <f>Juni!AH6</f>
        <v>9104878.2504321374</v>
      </c>
      <c r="J6" s="177">
        <f>B6-'Exec.Summary_Liquiplanung ORG'!B6</f>
        <v>0</v>
      </c>
      <c r="K6" s="177">
        <f>C6-'Exec.Summary_Liquiplanung ORG'!C6</f>
        <v>-1318969.02</v>
      </c>
      <c r="L6" s="177">
        <f>D6-'Exec.Summary_Liquiplanung ORG'!D6</f>
        <v>-2019137.3903463269</v>
      </c>
      <c r="M6" s="177">
        <f>E6-'Exec.Summary_Liquiplanung ORG'!E6</f>
        <v>-1993950.6888227882</v>
      </c>
      <c r="P6" s="177">
        <v>-1318969.02</v>
      </c>
      <c r="Q6" s="177">
        <v>-3360685.9316349225</v>
      </c>
      <c r="R6" s="177">
        <v>-3301536.4112143442</v>
      </c>
      <c r="S6" s="177">
        <v>-1284799.0534797767</v>
      </c>
      <c r="T6" s="177">
        <v>-790865.99843713641</v>
      </c>
      <c r="U6" s="177">
        <v>-390733.17463275604</v>
      </c>
      <c r="V6" s="177">
        <v>0</v>
      </c>
      <c r="Y6" s="177">
        <v>0</v>
      </c>
      <c r="Z6" s="177">
        <v>3442499.73</v>
      </c>
      <c r="AA6" s="177">
        <v>4095387.8299999991</v>
      </c>
      <c r="AB6" s="177">
        <v>4737443.6313885059</v>
      </c>
      <c r="AC6" s="177">
        <v>4506287.5557436645</v>
      </c>
      <c r="AD6" s="177">
        <v>3871694.6642858949</v>
      </c>
      <c r="AE6" s="177">
        <v>4206911.002071714</v>
      </c>
    </row>
    <row r="7" spans="1:32" x14ac:dyDescent="0.15">
      <c r="A7" s="192" t="s">
        <v>260</v>
      </c>
      <c r="B7" s="193"/>
      <c r="C7" s="193"/>
      <c r="D7" s="193"/>
      <c r="E7" s="193"/>
      <c r="F7" s="193"/>
      <c r="G7" s="193" t="str">
        <f>Mai!AH7</f>
        <v xml:space="preserve"> </v>
      </c>
      <c r="H7" s="194" t="str">
        <f>Juni!AH7</f>
        <v xml:space="preserve"> </v>
      </c>
      <c r="J7" s="193"/>
      <c r="K7" s="193"/>
      <c r="L7" s="193"/>
      <c r="M7" s="193"/>
      <c r="N7" s="257"/>
      <c r="P7" s="193"/>
      <c r="Q7" s="193"/>
      <c r="R7" s="193"/>
      <c r="S7" s="193"/>
      <c r="T7" s="193"/>
      <c r="U7" s="193"/>
      <c r="V7" s="193"/>
      <c r="W7" s="257"/>
      <c r="Y7" s="193"/>
      <c r="Z7" s="193"/>
      <c r="AA7" s="193"/>
      <c r="AB7" s="193"/>
      <c r="AC7" s="193"/>
      <c r="AD7" s="193" t="s">
        <v>219</v>
      </c>
      <c r="AE7" s="193" t="s">
        <v>219</v>
      </c>
      <c r="AF7" s="257"/>
    </row>
    <row r="8" spans="1:32" ht="14.5" customHeight="1" x14ac:dyDescent="0.15">
      <c r="A8" s="195" t="s">
        <v>259</v>
      </c>
      <c r="B8" s="177">
        <f>Dezember24!AH8</f>
        <v>0</v>
      </c>
      <c r="C8" s="177">
        <f>Januar!AH8</f>
        <v>1336978.3400000001</v>
      </c>
      <c r="D8" s="177">
        <f>Februar!AH8</f>
        <v>-227726.59999999998</v>
      </c>
      <c r="E8" s="177">
        <f>März!AH8</f>
        <v>1756520.38</v>
      </c>
      <c r="F8" s="177">
        <f>April!AH8</f>
        <v>2715108</v>
      </c>
      <c r="G8" s="177">
        <f>Mai!AH8</f>
        <v>3884517</v>
      </c>
      <c r="H8" s="188">
        <f>Juni!AH8</f>
        <v>0</v>
      </c>
      <c r="J8" s="177">
        <f>B8-'Exec.Summary_Liquiplanung ORG'!B8</f>
        <v>0</v>
      </c>
      <c r="K8" s="177">
        <f>C8-'Exec.Summary_Liquiplanung ORG'!C8</f>
        <v>-648647.27009599982</v>
      </c>
      <c r="L8" s="177">
        <f>D8-'Exec.Summary_Liquiplanung ORG'!D8</f>
        <v>-227726.59999999998</v>
      </c>
      <c r="M8" s="177">
        <f>E8-'Exec.Summary_Liquiplanung ORG'!E8</f>
        <v>-399444.7053739992</v>
      </c>
      <c r="N8" s="177">
        <f t="shared" ref="N8:N33" si="1">SUM(J8:M8)</f>
        <v>-1275818.5754699991</v>
      </c>
      <c r="P8" s="177">
        <f t="shared" ref="P8:P30" si="2">B8-Y8</f>
        <v>0</v>
      </c>
      <c r="Q8" s="177">
        <f t="shared" ref="Q8:Q30" si="3">C8-Z8</f>
        <v>0</v>
      </c>
      <c r="R8" s="177">
        <f t="shared" ref="R8:R30" si="4">D8-AA8</f>
        <v>0</v>
      </c>
      <c r="S8" s="177">
        <f t="shared" ref="S8:S30" si="5">E8-AB8</f>
        <v>-213648.75506799994</v>
      </c>
      <c r="T8" s="177">
        <f t="shared" ref="T8:T30" si="6">F8-AC8</f>
        <v>990159.31321600033</v>
      </c>
      <c r="U8" s="177">
        <f t="shared" ref="U8:U30" si="7">G8-AD8</f>
        <v>2056568.181898</v>
      </c>
      <c r="V8" s="177">
        <f t="shared" ref="V8:V30" si="8">H8-AE8</f>
        <v>-1739493.4862979997</v>
      </c>
      <c r="W8" s="177">
        <f>SUM(P8:V8)</f>
        <v>1093585.2537480004</v>
      </c>
      <c r="Y8" s="177">
        <v>0</v>
      </c>
      <c r="Z8" s="177">
        <v>1336978.3400000001</v>
      </c>
      <c r="AA8" s="177">
        <v>-227726.59999999998</v>
      </c>
      <c r="AB8" s="177">
        <v>1970169.1350679998</v>
      </c>
      <c r="AC8" s="177">
        <v>1724948.6867839997</v>
      </c>
      <c r="AD8" s="177">
        <v>1827948.818102</v>
      </c>
      <c r="AE8" s="177">
        <v>1739493.4862979997</v>
      </c>
      <c r="AF8" s="177">
        <f>SUM(Y8:AE8)</f>
        <v>8371811.8662519995</v>
      </c>
    </row>
    <row r="9" spans="1:32" hidden="1" x14ac:dyDescent="0.15">
      <c r="A9" s="196" t="s">
        <v>258</v>
      </c>
      <c r="B9" s="177">
        <f>Dezember24!AH9</f>
        <v>0</v>
      </c>
      <c r="C9" s="177">
        <f>Januar!AH9</f>
        <v>0</v>
      </c>
      <c r="D9" s="177">
        <f>Februar!AH9</f>
        <v>0</v>
      </c>
      <c r="E9" s="177">
        <f>März!AH9</f>
        <v>0</v>
      </c>
      <c r="F9" s="177">
        <f>April!AH9</f>
        <v>0</v>
      </c>
      <c r="G9" s="177">
        <f>Mai!AH9</f>
        <v>0</v>
      </c>
      <c r="H9" s="188">
        <f>Juni!AH9</f>
        <v>0</v>
      </c>
      <c r="J9" s="177">
        <f>B9-'Exec.Summary_Liquiplanung ORG'!B9</f>
        <v>0</v>
      </c>
      <c r="K9" s="177">
        <f>C9-'Exec.Summary_Liquiplanung ORG'!C9</f>
        <v>0</v>
      </c>
      <c r="L9" s="177">
        <f>D9-'Exec.Summary_Liquiplanung ORG'!D9</f>
        <v>0</v>
      </c>
      <c r="M9" s="177">
        <f>E9-'Exec.Summary_Liquiplanung ORG'!E9</f>
        <v>0</v>
      </c>
      <c r="N9" s="177">
        <f t="shared" si="1"/>
        <v>0</v>
      </c>
      <c r="P9" s="177">
        <f t="shared" si="2"/>
        <v>0</v>
      </c>
      <c r="Q9" s="177">
        <f t="shared" si="3"/>
        <v>0</v>
      </c>
      <c r="R9" s="177">
        <f t="shared" si="4"/>
        <v>0</v>
      </c>
      <c r="S9" s="177">
        <f t="shared" si="5"/>
        <v>0</v>
      </c>
      <c r="T9" s="177">
        <f t="shared" si="6"/>
        <v>0</v>
      </c>
      <c r="U9" s="177">
        <f t="shared" si="7"/>
        <v>0</v>
      </c>
      <c r="V9" s="177">
        <f t="shared" si="8"/>
        <v>0</v>
      </c>
      <c r="W9" s="177">
        <f t="shared" ref="W9:W30" si="9">SUM(P9:V9)</f>
        <v>0</v>
      </c>
      <c r="Y9" s="177">
        <v>0</v>
      </c>
      <c r="Z9" s="177">
        <v>0</v>
      </c>
      <c r="AA9" s="177">
        <v>0</v>
      </c>
      <c r="AB9" s="177">
        <v>0</v>
      </c>
      <c r="AC9" s="177">
        <v>0</v>
      </c>
      <c r="AD9" s="177">
        <v>0</v>
      </c>
      <c r="AE9" s="177">
        <v>0</v>
      </c>
      <c r="AF9" s="177">
        <f t="shared" ref="AF9:AF30" si="10">SUM(Y9:AE9)</f>
        <v>0</v>
      </c>
    </row>
    <row r="10" spans="1:32" x14ac:dyDescent="0.15">
      <c r="A10" s="195" t="s">
        <v>257</v>
      </c>
      <c r="B10" s="177">
        <f>Dezember24!AH10</f>
        <v>65390</v>
      </c>
      <c r="C10" s="177">
        <f>Januar!AH10</f>
        <v>2712411.0500000003</v>
      </c>
      <c r="D10" s="177">
        <f>Februar!AH10</f>
        <v>5020228.13</v>
      </c>
      <c r="E10" s="177">
        <f>März!AH10</f>
        <v>3209571.6125159995</v>
      </c>
      <c r="F10" s="177">
        <f>April!AH10</f>
        <v>1978234.1950539998</v>
      </c>
      <c r="G10" s="177">
        <f>Mai!AH10</f>
        <v>4806304.9566627517</v>
      </c>
      <c r="H10" s="188">
        <f>Juni!AH10</f>
        <v>5122538.2009776663</v>
      </c>
      <c r="J10" s="177">
        <f>B10-'Exec.Summary_Liquiplanung ORG'!B10</f>
        <v>-1184610</v>
      </c>
      <c r="K10" s="177">
        <f>C10-'Exec.Summary_Liquiplanung ORG'!C10</f>
        <v>-1337588.9499999997</v>
      </c>
      <c r="L10" s="177">
        <f>D10-'Exec.Summary_Liquiplanung ORG'!D10</f>
        <v>-122676.79843600187</v>
      </c>
      <c r="M10" s="177">
        <f>E10-'Exec.Summary_Liquiplanung ORG'!E10</f>
        <v>-2887456.6451642388</v>
      </c>
      <c r="N10" s="177">
        <f t="shared" si="1"/>
        <v>-5532332.3936002403</v>
      </c>
      <c r="P10" s="177">
        <f t="shared" si="2"/>
        <v>0</v>
      </c>
      <c r="Q10" s="177">
        <f t="shared" si="3"/>
        <v>0</v>
      </c>
      <c r="R10" s="177">
        <f t="shared" si="4"/>
        <v>0</v>
      </c>
      <c r="S10" s="177">
        <f t="shared" si="5"/>
        <v>-2484045.7126163873</v>
      </c>
      <c r="T10" s="177">
        <f t="shared" si="6"/>
        <v>-2963998.4891247801</v>
      </c>
      <c r="U10" s="177">
        <f t="shared" si="7"/>
        <v>-833748.11721646041</v>
      </c>
      <c r="V10" s="177">
        <f t="shared" si="8"/>
        <v>-924487.00170330424</v>
      </c>
      <c r="W10" s="177">
        <f t="shared" si="9"/>
        <v>-7206279.320660932</v>
      </c>
      <c r="Y10" s="177">
        <v>65390</v>
      </c>
      <c r="Z10" s="177">
        <v>2712411.0500000003</v>
      </c>
      <c r="AA10" s="177">
        <v>5020228.13</v>
      </c>
      <c r="AB10" s="177">
        <v>5693617.3251323868</v>
      </c>
      <c r="AC10" s="177">
        <v>4942232.6841787798</v>
      </c>
      <c r="AD10" s="177">
        <v>5640053.0738792121</v>
      </c>
      <c r="AE10" s="177">
        <v>6047025.2026809705</v>
      </c>
      <c r="AF10" s="177">
        <f t="shared" si="10"/>
        <v>30120957.465871349</v>
      </c>
    </row>
    <row r="11" spans="1:32" hidden="1" outlineLevel="1" x14ac:dyDescent="0.15">
      <c r="A11" s="195" t="s">
        <v>256</v>
      </c>
      <c r="B11" s="177">
        <f>Dezember24!AH11</f>
        <v>0</v>
      </c>
      <c r="C11" s="177">
        <f>Januar!AH11</f>
        <v>80069</v>
      </c>
      <c r="D11" s="177">
        <f>Februar!AH11</f>
        <v>0</v>
      </c>
      <c r="E11" s="177">
        <f>März!AH11</f>
        <v>0</v>
      </c>
      <c r="F11" s="177">
        <f>April!AH11</f>
        <v>0</v>
      </c>
      <c r="G11" s="177">
        <f>Mai!AH11</f>
        <v>0</v>
      </c>
      <c r="H11" s="188">
        <f>Juni!AH11</f>
        <v>0</v>
      </c>
      <c r="J11" s="177">
        <f>B11-'Exec.Summary_Liquiplanung ORG'!B11</f>
        <v>0</v>
      </c>
      <c r="K11" s="177">
        <f>C11-'Exec.Summary_Liquiplanung ORG'!C11</f>
        <v>80069</v>
      </c>
      <c r="L11" s="177">
        <f>D11-'Exec.Summary_Liquiplanung ORG'!D11</f>
        <v>0</v>
      </c>
      <c r="M11" s="177">
        <f>E11-'Exec.Summary_Liquiplanung ORG'!E11</f>
        <v>0</v>
      </c>
      <c r="N11" s="177">
        <f t="shared" si="1"/>
        <v>80069</v>
      </c>
      <c r="P11" s="177">
        <f t="shared" si="2"/>
        <v>0</v>
      </c>
      <c r="Q11" s="177">
        <f t="shared" si="3"/>
        <v>0</v>
      </c>
      <c r="R11" s="177">
        <f t="shared" si="4"/>
        <v>0</v>
      </c>
      <c r="S11" s="177">
        <f t="shared" si="5"/>
        <v>0</v>
      </c>
      <c r="T11" s="177">
        <f t="shared" si="6"/>
        <v>0</v>
      </c>
      <c r="U11" s="177">
        <f t="shared" si="7"/>
        <v>0</v>
      </c>
      <c r="V11" s="177">
        <f t="shared" si="8"/>
        <v>0</v>
      </c>
      <c r="W11" s="177">
        <f t="shared" si="9"/>
        <v>0</v>
      </c>
      <c r="Y11" s="177">
        <v>0</v>
      </c>
      <c r="Z11" s="177">
        <v>80069</v>
      </c>
      <c r="AA11" s="177">
        <v>0</v>
      </c>
      <c r="AB11" s="177">
        <v>0</v>
      </c>
      <c r="AC11" s="177">
        <v>0</v>
      </c>
      <c r="AD11" s="177">
        <v>0</v>
      </c>
      <c r="AE11" s="177">
        <v>0</v>
      </c>
      <c r="AF11" s="177">
        <f t="shared" si="10"/>
        <v>80069</v>
      </c>
    </row>
    <row r="12" spans="1:32" hidden="1" outlineLevel="1" x14ac:dyDescent="0.15">
      <c r="A12" s="195" t="s">
        <v>255</v>
      </c>
      <c r="B12" s="177">
        <f>Dezember24!AH12</f>
        <v>0</v>
      </c>
      <c r="C12" s="177">
        <f>Januar!AH12</f>
        <v>541051.79</v>
      </c>
      <c r="D12" s="177">
        <f>Februar!AH12</f>
        <v>0</v>
      </c>
      <c r="E12" s="177">
        <f>März!AH12</f>
        <v>0</v>
      </c>
      <c r="F12" s="177">
        <f>April!AH12</f>
        <v>0</v>
      </c>
      <c r="G12" s="177">
        <f>Mai!AH12</f>
        <v>0</v>
      </c>
      <c r="H12" s="188">
        <f>Juni!AH12</f>
        <v>0</v>
      </c>
      <c r="J12" s="177">
        <f>B12-'Exec.Summary_Liquiplanung ORG'!B12</f>
        <v>0</v>
      </c>
      <c r="K12" s="177">
        <f>C12-'Exec.Summary_Liquiplanung ORG'!C12</f>
        <v>541051.79</v>
      </c>
      <c r="L12" s="177">
        <f>D12-'Exec.Summary_Liquiplanung ORG'!D12</f>
        <v>0</v>
      </c>
      <c r="M12" s="177">
        <f>E12-'Exec.Summary_Liquiplanung ORG'!E12</f>
        <v>0</v>
      </c>
      <c r="N12" s="177">
        <f t="shared" si="1"/>
        <v>541051.79</v>
      </c>
      <c r="P12" s="177">
        <f t="shared" si="2"/>
        <v>0</v>
      </c>
      <c r="Q12" s="177">
        <f t="shared" si="3"/>
        <v>0</v>
      </c>
      <c r="R12" s="177">
        <f t="shared" si="4"/>
        <v>0</v>
      </c>
      <c r="S12" s="177">
        <f t="shared" si="5"/>
        <v>0</v>
      </c>
      <c r="T12" s="177">
        <f t="shared" si="6"/>
        <v>0</v>
      </c>
      <c r="U12" s="177">
        <f t="shared" si="7"/>
        <v>0</v>
      </c>
      <c r="V12" s="177">
        <f t="shared" si="8"/>
        <v>0</v>
      </c>
      <c r="W12" s="177">
        <f t="shared" si="9"/>
        <v>0</v>
      </c>
      <c r="Y12" s="177">
        <v>0</v>
      </c>
      <c r="Z12" s="177">
        <v>541051.79</v>
      </c>
      <c r="AA12" s="177">
        <v>0</v>
      </c>
      <c r="AB12" s="177">
        <v>0</v>
      </c>
      <c r="AC12" s="177">
        <v>0</v>
      </c>
      <c r="AD12" s="177">
        <v>0</v>
      </c>
      <c r="AE12" s="177">
        <v>0</v>
      </c>
      <c r="AF12" s="177">
        <f t="shared" si="10"/>
        <v>541051.79</v>
      </c>
    </row>
    <row r="13" spans="1:32" hidden="1" outlineLevel="1" x14ac:dyDescent="0.15">
      <c r="A13" s="195" t="s">
        <v>254</v>
      </c>
      <c r="B13" s="177">
        <f>Dezember24!AH13</f>
        <v>0</v>
      </c>
      <c r="C13" s="177">
        <f>Januar!AH13</f>
        <v>148000</v>
      </c>
      <c r="D13" s="177">
        <f>Februar!AH13</f>
        <v>0</v>
      </c>
      <c r="E13" s="177">
        <f>März!AH13</f>
        <v>0</v>
      </c>
      <c r="F13" s="177">
        <f>April!AH13</f>
        <v>0</v>
      </c>
      <c r="G13" s="177">
        <f>Mai!AH13</f>
        <v>0</v>
      </c>
      <c r="H13" s="188">
        <f>Juni!AH13</f>
        <v>0</v>
      </c>
      <c r="J13" s="177">
        <f>B13-'Exec.Summary_Liquiplanung ORG'!B13</f>
        <v>0</v>
      </c>
      <c r="K13" s="177">
        <f>C13-'Exec.Summary_Liquiplanung ORG'!C13</f>
        <v>148000</v>
      </c>
      <c r="L13" s="177">
        <f>D13-'Exec.Summary_Liquiplanung ORG'!D13</f>
        <v>0</v>
      </c>
      <c r="M13" s="177">
        <f>E13-'Exec.Summary_Liquiplanung ORG'!E13</f>
        <v>0</v>
      </c>
      <c r="N13" s="177">
        <f t="shared" si="1"/>
        <v>148000</v>
      </c>
      <c r="P13" s="177">
        <f t="shared" si="2"/>
        <v>0</v>
      </c>
      <c r="Q13" s="177">
        <f t="shared" si="3"/>
        <v>0</v>
      </c>
      <c r="R13" s="177">
        <f t="shared" si="4"/>
        <v>0</v>
      </c>
      <c r="S13" s="177">
        <f t="shared" si="5"/>
        <v>0</v>
      </c>
      <c r="T13" s="177">
        <f t="shared" si="6"/>
        <v>0</v>
      </c>
      <c r="U13" s="177">
        <f t="shared" si="7"/>
        <v>0</v>
      </c>
      <c r="V13" s="177">
        <f t="shared" si="8"/>
        <v>0</v>
      </c>
      <c r="W13" s="177">
        <f t="shared" si="9"/>
        <v>0</v>
      </c>
      <c r="Y13" s="177">
        <v>0</v>
      </c>
      <c r="Z13" s="177">
        <v>148000</v>
      </c>
      <c r="AA13" s="177">
        <v>0</v>
      </c>
      <c r="AB13" s="177">
        <v>0</v>
      </c>
      <c r="AC13" s="177">
        <v>0</v>
      </c>
      <c r="AD13" s="177">
        <v>0</v>
      </c>
      <c r="AE13" s="177">
        <v>0</v>
      </c>
      <c r="AF13" s="177">
        <f t="shared" si="10"/>
        <v>148000</v>
      </c>
    </row>
    <row r="14" spans="1:32" hidden="1" outlineLevel="1" x14ac:dyDescent="0.15">
      <c r="A14" s="195" t="s">
        <v>253</v>
      </c>
      <c r="B14" s="177">
        <f>Dezember24!AH14</f>
        <v>0</v>
      </c>
      <c r="C14" s="177">
        <f>Januar!AH14</f>
        <v>393051.79</v>
      </c>
      <c r="D14" s="177">
        <f>Februar!AH14</f>
        <v>0</v>
      </c>
      <c r="E14" s="177">
        <f>März!AH14</f>
        <v>0</v>
      </c>
      <c r="F14" s="177">
        <f>April!AH14</f>
        <v>0</v>
      </c>
      <c r="G14" s="177">
        <f>Mai!AH14</f>
        <v>0</v>
      </c>
      <c r="H14" s="188">
        <f>Juni!AH14</f>
        <v>0</v>
      </c>
      <c r="J14" s="177">
        <f>B14-'Exec.Summary_Liquiplanung ORG'!B14</f>
        <v>0</v>
      </c>
      <c r="K14" s="177">
        <f>C14-'Exec.Summary_Liquiplanung ORG'!C14</f>
        <v>393051.79</v>
      </c>
      <c r="L14" s="177">
        <f>D14-'Exec.Summary_Liquiplanung ORG'!D14</f>
        <v>0</v>
      </c>
      <c r="M14" s="177">
        <f>E14-'Exec.Summary_Liquiplanung ORG'!E14</f>
        <v>0</v>
      </c>
      <c r="N14" s="177">
        <f t="shared" si="1"/>
        <v>393051.79</v>
      </c>
      <c r="P14" s="177">
        <f t="shared" si="2"/>
        <v>0</v>
      </c>
      <c r="Q14" s="177">
        <f t="shared" si="3"/>
        <v>0</v>
      </c>
      <c r="R14" s="177">
        <f t="shared" si="4"/>
        <v>0</v>
      </c>
      <c r="S14" s="177">
        <f t="shared" si="5"/>
        <v>0</v>
      </c>
      <c r="T14" s="177">
        <f t="shared" si="6"/>
        <v>0</v>
      </c>
      <c r="U14" s="177">
        <f t="shared" si="7"/>
        <v>0</v>
      </c>
      <c r="V14" s="177">
        <f t="shared" si="8"/>
        <v>0</v>
      </c>
      <c r="W14" s="177">
        <f t="shared" si="9"/>
        <v>0</v>
      </c>
      <c r="Y14" s="177">
        <v>0</v>
      </c>
      <c r="Z14" s="177">
        <v>393051.79</v>
      </c>
      <c r="AA14" s="177">
        <v>0</v>
      </c>
      <c r="AB14" s="177">
        <v>0</v>
      </c>
      <c r="AC14" s="177">
        <v>0</v>
      </c>
      <c r="AD14" s="177">
        <v>0</v>
      </c>
      <c r="AE14" s="177">
        <v>0</v>
      </c>
      <c r="AF14" s="177">
        <f t="shared" si="10"/>
        <v>393051.79</v>
      </c>
    </row>
    <row r="15" spans="1:32" hidden="1" outlineLevel="1" x14ac:dyDescent="0.15">
      <c r="A15" s="195" t="s">
        <v>252</v>
      </c>
      <c r="B15" s="177">
        <f>Dezember24!AH15</f>
        <v>0</v>
      </c>
      <c r="C15" s="177">
        <f>Januar!AH15</f>
        <v>0</v>
      </c>
      <c r="D15" s="177">
        <f>Februar!AH15</f>
        <v>0</v>
      </c>
      <c r="E15" s="177">
        <f>März!AH15</f>
        <v>0</v>
      </c>
      <c r="F15" s="177">
        <f>April!AH15</f>
        <v>0</v>
      </c>
      <c r="G15" s="177">
        <f>Mai!AH15</f>
        <v>0</v>
      </c>
      <c r="H15" s="188">
        <f>Juni!AH15</f>
        <v>0</v>
      </c>
      <c r="J15" s="177">
        <f>B15-'Exec.Summary_Liquiplanung ORG'!B15</f>
        <v>0</v>
      </c>
      <c r="K15" s="177">
        <f>C15-'Exec.Summary_Liquiplanung ORG'!C15</f>
        <v>0</v>
      </c>
      <c r="L15" s="177">
        <f>D15-'Exec.Summary_Liquiplanung ORG'!D15</f>
        <v>0</v>
      </c>
      <c r="M15" s="177">
        <f>E15-'Exec.Summary_Liquiplanung ORG'!E15</f>
        <v>0</v>
      </c>
      <c r="N15" s="177">
        <f t="shared" si="1"/>
        <v>0</v>
      </c>
      <c r="P15" s="177">
        <f t="shared" si="2"/>
        <v>0</v>
      </c>
      <c r="Q15" s="177">
        <f t="shared" si="3"/>
        <v>0</v>
      </c>
      <c r="R15" s="177">
        <f t="shared" si="4"/>
        <v>0</v>
      </c>
      <c r="S15" s="177">
        <f t="shared" si="5"/>
        <v>0</v>
      </c>
      <c r="T15" s="177">
        <f t="shared" si="6"/>
        <v>0</v>
      </c>
      <c r="U15" s="177">
        <f t="shared" si="7"/>
        <v>0</v>
      </c>
      <c r="V15" s="177">
        <f t="shared" si="8"/>
        <v>0</v>
      </c>
      <c r="W15" s="177">
        <f t="shared" si="9"/>
        <v>0</v>
      </c>
      <c r="Y15" s="177">
        <v>0</v>
      </c>
      <c r="Z15" s="177">
        <v>0</v>
      </c>
      <c r="AA15" s="177">
        <v>0</v>
      </c>
      <c r="AB15" s="177">
        <v>0</v>
      </c>
      <c r="AC15" s="177">
        <v>0</v>
      </c>
      <c r="AD15" s="177">
        <v>0</v>
      </c>
      <c r="AE15" s="177">
        <v>0</v>
      </c>
      <c r="AF15" s="177">
        <f t="shared" si="10"/>
        <v>0</v>
      </c>
    </row>
    <row r="16" spans="1:32" hidden="1" outlineLevel="1" x14ac:dyDescent="0.15">
      <c r="A16" s="195" t="s">
        <v>251</v>
      </c>
      <c r="B16" s="177">
        <f>Dezember24!AH16</f>
        <v>0</v>
      </c>
      <c r="C16" s="177">
        <f>Januar!AH16</f>
        <v>0</v>
      </c>
      <c r="D16" s="177">
        <f>Februar!AH16</f>
        <v>0</v>
      </c>
      <c r="E16" s="177">
        <f>März!AH16</f>
        <v>0</v>
      </c>
      <c r="F16" s="177">
        <f>April!AH16</f>
        <v>0</v>
      </c>
      <c r="G16" s="177">
        <f>Mai!AH16</f>
        <v>0</v>
      </c>
      <c r="H16" s="188">
        <f>Juni!AH16</f>
        <v>0</v>
      </c>
      <c r="J16" s="177">
        <f>B16-'Exec.Summary_Liquiplanung ORG'!B16</f>
        <v>0</v>
      </c>
      <c r="K16" s="177">
        <f>C16-'Exec.Summary_Liquiplanung ORG'!C16</f>
        <v>0</v>
      </c>
      <c r="L16" s="177">
        <f>D16-'Exec.Summary_Liquiplanung ORG'!D16</f>
        <v>0</v>
      </c>
      <c r="M16" s="177">
        <f>E16-'Exec.Summary_Liquiplanung ORG'!E16</f>
        <v>0</v>
      </c>
      <c r="N16" s="177">
        <f t="shared" si="1"/>
        <v>0</v>
      </c>
      <c r="P16" s="177">
        <f t="shared" si="2"/>
        <v>0</v>
      </c>
      <c r="Q16" s="177">
        <f t="shared" si="3"/>
        <v>0</v>
      </c>
      <c r="R16" s="177">
        <f t="shared" si="4"/>
        <v>0</v>
      </c>
      <c r="S16" s="177">
        <f t="shared" si="5"/>
        <v>0</v>
      </c>
      <c r="T16" s="177">
        <f t="shared" si="6"/>
        <v>0</v>
      </c>
      <c r="U16" s="177">
        <f t="shared" si="7"/>
        <v>0</v>
      </c>
      <c r="V16" s="177">
        <f t="shared" si="8"/>
        <v>0</v>
      </c>
      <c r="W16" s="177">
        <f t="shared" si="9"/>
        <v>0</v>
      </c>
      <c r="Y16" s="177">
        <v>0</v>
      </c>
      <c r="Z16" s="177">
        <v>0</v>
      </c>
      <c r="AA16" s="177">
        <v>0</v>
      </c>
      <c r="AB16" s="177">
        <v>0</v>
      </c>
      <c r="AC16" s="177">
        <v>0</v>
      </c>
      <c r="AD16" s="177">
        <v>0</v>
      </c>
      <c r="AE16" s="177">
        <v>0</v>
      </c>
      <c r="AF16" s="177">
        <f t="shared" si="10"/>
        <v>0</v>
      </c>
    </row>
    <row r="17" spans="1:32" hidden="1" outlineLevel="1" x14ac:dyDescent="0.15">
      <c r="A17" s="195" t="s">
        <v>250</v>
      </c>
      <c r="B17" s="177">
        <f>Dezember24!AH17</f>
        <v>0</v>
      </c>
      <c r="C17" s="177">
        <f>Januar!AH17</f>
        <v>0</v>
      </c>
      <c r="D17" s="177">
        <f>Februar!AH17</f>
        <v>0</v>
      </c>
      <c r="E17" s="177">
        <f>März!AH17</f>
        <v>0</v>
      </c>
      <c r="F17" s="177">
        <f>April!AH17</f>
        <v>0</v>
      </c>
      <c r="G17" s="177">
        <f>Mai!AH17</f>
        <v>0</v>
      </c>
      <c r="H17" s="188">
        <f>Juni!AH17</f>
        <v>0</v>
      </c>
      <c r="J17" s="177">
        <f>B17-'Exec.Summary_Liquiplanung ORG'!B17</f>
        <v>0</v>
      </c>
      <c r="K17" s="177">
        <f>C17-'Exec.Summary_Liquiplanung ORG'!C17</f>
        <v>0</v>
      </c>
      <c r="L17" s="177">
        <f>D17-'Exec.Summary_Liquiplanung ORG'!D17</f>
        <v>0</v>
      </c>
      <c r="M17" s="177">
        <f>E17-'Exec.Summary_Liquiplanung ORG'!E17</f>
        <v>0</v>
      </c>
      <c r="N17" s="177">
        <f t="shared" si="1"/>
        <v>0</v>
      </c>
      <c r="P17" s="177">
        <f t="shared" si="2"/>
        <v>0</v>
      </c>
      <c r="Q17" s="177">
        <f t="shared" si="3"/>
        <v>0</v>
      </c>
      <c r="R17" s="177">
        <f t="shared" si="4"/>
        <v>0</v>
      </c>
      <c r="S17" s="177">
        <f t="shared" si="5"/>
        <v>0</v>
      </c>
      <c r="T17" s="177">
        <f t="shared" si="6"/>
        <v>0</v>
      </c>
      <c r="U17" s="177">
        <f t="shared" si="7"/>
        <v>0</v>
      </c>
      <c r="V17" s="177">
        <f t="shared" si="8"/>
        <v>0</v>
      </c>
      <c r="W17" s="177">
        <f t="shared" si="9"/>
        <v>0</v>
      </c>
      <c r="Y17" s="177">
        <v>0</v>
      </c>
      <c r="Z17" s="177">
        <v>0</v>
      </c>
      <c r="AA17" s="177">
        <v>0</v>
      </c>
      <c r="AB17" s="177">
        <v>0</v>
      </c>
      <c r="AC17" s="177">
        <v>0</v>
      </c>
      <c r="AD17" s="177">
        <v>0</v>
      </c>
      <c r="AE17" s="177">
        <v>0</v>
      </c>
      <c r="AF17" s="177">
        <f t="shared" si="10"/>
        <v>0</v>
      </c>
    </row>
    <row r="18" spans="1:32" hidden="1" outlineLevel="1" x14ac:dyDescent="0.15">
      <c r="A18" s="195" t="s">
        <v>249</v>
      </c>
      <c r="B18" s="177">
        <f>Dezember24!AH18</f>
        <v>0</v>
      </c>
      <c r="C18" s="177">
        <f>Januar!AH18</f>
        <v>0</v>
      </c>
      <c r="D18" s="177">
        <f>Februar!AH18</f>
        <v>0</v>
      </c>
      <c r="E18" s="177">
        <f>März!AH18</f>
        <v>0</v>
      </c>
      <c r="F18" s="177">
        <f>April!AH18</f>
        <v>0</v>
      </c>
      <c r="G18" s="177">
        <f>Mai!AH18</f>
        <v>0</v>
      </c>
      <c r="H18" s="188">
        <f>Juni!AH18</f>
        <v>0</v>
      </c>
      <c r="J18" s="177">
        <f>B18-'Exec.Summary_Liquiplanung ORG'!B18</f>
        <v>0</v>
      </c>
      <c r="K18" s="177">
        <f>C18-'Exec.Summary_Liquiplanung ORG'!C18</f>
        <v>0</v>
      </c>
      <c r="L18" s="177">
        <f>D18-'Exec.Summary_Liquiplanung ORG'!D18</f>
        <v>0</v>
      </c>
      <c r="M18" s="177">
        <f>E18-'Exec.Summary_Liquiplanung ORG'!E18</f>
        <v>0</v>
      </c>
      <c r="N18" s="177">
        <f t="shared" si="1"/>
        <v>0</v>
      </c>
      <c r="P18" s="177">
        <f t="shared" si="2"/>
        <v>0</v>
      </c>
      <c r="Q18" s="177">
        <f t="shared" si="3"/>
        <v>0</v>
      </c>
      <c r="R18" s="177">
        <f t="shared" si="4"/>
        <v>0</v>
      </c>
      <c r="S18" s="177">
        <f t="shared" si="5"/>
        <v>0</v>
      </c>
      <c r="T18" s="177">
        <f t="shared" si="6"/>
        <v>0</v>
      </c>
      <c r="U18" s="177">
        <f t="shared" si="7"/>
        <v>0</v>
      </c>
      <c r="V18" s="177">
        <f t="shared" si="8"/>
        <v>0</v>
      </c>
      <c r="W18" s="177">
        <f t="shared" si="9"/>
        <v>0</v>
      </c>
      <c r="Y18" s="177">
        <v>0</v>
      </c>
      <c r="Z18" s="177">
        <v>0</v>
      </c>
      <c r="AA18" s="177">
        <v>0</v>
      </c>
      <c r="AB18" s="177">
        <v>0</v>
      </c>
      <c r="AC18" s="177">
        <v>0</v>
      </c>
      <c r="AD18" s="177">
        <v>0</v>
      </c>
      <c r="AE18" s="177">
        <v>0</v>
      </c>
      <c r="AF18" s="177">
        <f t="shared" si="10"/>
        <v>0</v>
      </c>
    </row>
    <row r="19" spans="1:32" hidden="1" outlineLevel="1" x14ac:dyDescent="0.15">
      <c r="A19" s="195" t="s">
        <v>248</v>
      </c>
      <c r="B19" s="177">
        <f>Dezember24!AH19</f>
        <v>0</v>
      </c>
      <c r="C19" s="177">
        <f>Januar!AH19</f>
        <v>0</v>
      </c>
      <c r="D19" s="177">
        <f>Februar!AH19</f>
        <v>0</v>
      </c>
      <c r="E19" s="177">
        <f>März!AH19</f>
        <v>0</v>
      </c>
      <c r="F19" s="177">
        <f>April!AH19</f>
        <v>0</v>
      </c>
      <c r="G19" s="177">
        <f>Mai!AH19</f>
        <v>0</v>
      </c>
      <c r="H19" s="188">
        <f>Juni!AH19</f>
        <v>0</v>
      </c>
      <c r="J19" s="177">
        <f>B19-'Exec.Summary_Liquiplanung ORG'!B19</f>
        <v>0</v>
      </c>
      <c r="K19" s="177">
        <f>C19-'Exec.Summary_Liquiplanung ORG'!C19</f>
        <v>0</v>
      </c>
      <c r="L19" s="177">
        <f>D19-'Exec.Summary_Liquiplanung ORG'!D19</f>
        <v>0</v>
      </c>
      <c r="M19" s="177">
        <f>E19-'Exec.Summary_Liquiplanung ORG'!E19</f>
        <v>0</v>
      </c>
      <c r="N19" s="177">
        <f t="shared" si="1"/>
        <v>0</v>
      </c>
      <c r="P19" s="177">
        <f t="shared" si="2"/>
        <v>0</v>
      </c>
      <c r="Q19" s="177">
        <f t="shared" si="3"/>
        <v>0</v>
      </c>
      <c r="R19" s="177">
        <f t="shared" si="4"/>
        <v>0</v>
      </c>
      <c r="S19" s="177">
        <f t="shared" si="5"/>
        <v>0</v>
      </c>
      <c r="T19" s="177">
        <f t="shared" si="6"/>
        <v>0</v>
      </c>
      <c r="U19" s="177">
        <f t="shared" si="7"/>
        <v>0</v>
      </c>
      <c r="V19" s="177">
        <f t="shared" si="8"/>
        <v>0</v>
      </c>
      <c r="W19" s="177">
        <f t="shared" si="9"/>
        <v>0</v>
      </c>
      <c r="Y19" s="177">
        <v>0</v>
      </c>
      <c r="Z19" s="177">
        <v>0</v>
      </c>
      <c r="AA19" s="177">
        <v>0</v>
      </c>
      <c r="AB19" s="177">
        <v>0</v>
      </c>
      <c r="AC19" s="177">
        <v>0</v>
      </c>
      <c r="AD19" s="177">
        <v>0</v>
      </c>
      <c r="AE19" s="177">
        <v>0</v>
      </c>
      <c r="AF19" s="177">
        <f t="shared" si="10"/>
        <v>0</v>
      </c>
    </row>
    <row r="20" spans="1:32" hidden="1" outlineLevel="1" x14ac:dyDescent="0.15">
      <c r="A20" s="195" t="s">
        <v>247</v>
      </c>
      <c r="B20" s="177">
        <f>Dezember24!AH20</f>
        <v>0</v>
      </c>
      <c r="C20" s="177">
        <f>Januar!AH20</f>
        <v>0</v>
      </c>
      <c r="D20" s="177">
        <f>Februar!AH20</f>
        <v>0</v>
      </c>
      <c r="E20" s="177">
        <f>März!AH20</f>
        <v>0</v>
      </c>
      <c r="F20" s="177">
        <f>April!AH20</f>
        <v>0</v>
      </c>
      <c r="G20" s="177">
        <f>Mai!AH20</f>
        <v>0</v>
      </c>
      <c r="H20" s="188">
        <f>Juni!AH20</f>
        <v>0</v>
      </c>
      <c r="J20" s="177">
        <f>B20-'Exec.Summary_Liquiplanung ORG'!B20</f>
        <v>0</v>
      </c>
      <c r="K20" s="177">
        <f>C20-'Exec.Summary_Liquiplanung ORG'!C20</f>
        <v>0</v>
      </c>
      <c r="L20" s="177">
        <f>D20-'Exec.Summary_Liquiplanung ORG'!D20</f>
        <v>0</v>
      </c>
      <c r="M20" s="177">
        <f>E20-'Exec.Summary_Liquiplanung ORG'!E20</f>
        <v>0</v>
      </c>
      <c r="N20" s="177">
        <f t="shared" si="1"/>
        <v>0</v>
      </c>
      <c r="P20" s="177">
        <f t="shared" si="2"/>
        <v>0</v>
      </c>
      <c r="Q20" s="177">
        <f t="shared" si="3"/>
        <v>0</v>
      </c>
      <c r="R20" s="177">
        <f t="shared" si="4"/>
        <v>0</v>
      </c>
      <c r="S20" s="177">
        <f t="shared" si="5"/>
        <v>0</v>
      </c>
      <c r="T20" s="177">
        <f t="shared" si="6"/>
        <v>0</v>
      </c>
      <c r="U20" s="177">
        <f t="shared" si="7"/>
        <v>0</v>
      </c>
      <c r="V20" s="177">
        <f t="shared" si="8"/>
        <v>0</v>
      </c>
      <c r="W20" s="177">
        <f t="shared" si="9"/>
        <v>0</v>
      </c>
      <c r="Y20" s="177">
        <v>0</v>
      </c>
      <c r="Z20" s="177">
        <v>0</v>
      </c>
      <c r="AA20" s="177">
        <v>0</v>
      </c>
      <c r="AB20" s="177">
        <v>0</v>
      </c>
      <c r="AC20" s="177">
        <v>0</v>
      </c>
      <c r="AD20" s="177">
        <v>0</v>
      </c>
      <c r="AE20" s="177">
        <v>0</v>
      </c>
      <c r="AF20" s="177">
        <f t="shared" si="10"/>
        <v>0</v>
      </c>
    </row>
    <row r="21" spans="1:32" hidden="1" outlineLevel="1" x14ac:dyDescent="0.15">
      <c r="A21" s="195" t="s">
        <v>246</v>
      </c>
      <c r="B21" s="177">
        <f>Dezember24!AH21</f>
        <v>0</v>
      </c>
      <c r="C21" s="177">
        <f>Januar!AH21</f>
        <v>0</v>
      </c>
      <c r="D21" s="177">
        <f>Februar!AH21</f>
        <v>0</v>
      </c>
      <c r="E21" s="177">
        <f>März!AH21</f>
        <v>0</v>
      </c>
      <c r="F21" s="177">
        <f>April!AH21</f>
        <v>0</v>
      </c>
      <c r="G21" s="177">
        <f>Mai!AH21</f>
        <v>0</v>
      </c>
      <c r="H21" s="188">
        <f>Juni!AH21</f>
        <v>0</v>
      </c>
      <c r="J21" s="177">
        <f>B21-'Exec.Summary_Liquiplanung ORG'!B21</f>
        <v>0</v>
      </c>
      <c r="K21" s="177">
        <f>C21-'Exec.Summary_Liquiplanung ORG'!C21</f>
        <v>0</v>
      </c>
      <c r="L21" s="177">
        <f>D21-'Exec.Summary_Liquiplanung ORG'!D21</f>
        <v>0</v>
      </c>
      <c r="M21" s="177">
        <f>E21-'Exec.Summary_Liquiplanung ORG'!E21</f>
        <v>0</v>
      </c>
      <c r="N21" s="177">
        <f t="shared" si="1"/>
        <v>0</v>
      </c>
      <c r="P21" s="177">
        <f t="shared" si="2"/>
        <v>0</v>
      </c>
      <c r="Q21" s="177">
        <f t="shared" si="3"/>
        <v>0</v>
      </c>
      <c r="R21" s="177">
        <f t="shared" si="4"/>
        <v>0</v>
      </c>
      <c r="S21" s="177">
        <f t="shared" si="5"/>
        <v>0</v>
      </c>
      <c r="T21" s="177">
        <f t="shared" si="6"/>
        <v>0</v>
      </c>
      <c r="U21" s="177">
        <f t="shared" si="7"/>
        <v>0</v>
      </c>
      <c r="V21" s="177">
        <f t="shared" si="8"/>
        <v>0</v>
      </c>
      <c r="W21" s="177">
        <f t="shared" si="9"/>
        <v>0</v>
      </c>
      <c r="Y21" s="177">
        <v>0</v>
      </c>
      <c r="Z21" s="177">
        <v>0</v>
      </c>
      <c r="AA21" s="177">
        <v>0</v>
      </c>
      <c r="AB21" s="177">
        <v>0</v>
      </c>
      <c r="AC21" s="177">
        <v>0</v>
      </c>
      <c r="AD21" s="177">
        <v>0</v>
      </c>
      <c r="AE21" s="177">
        <v>0</v>
      </c>
      <c r="AF21" s="177">
        <f t="shared" si="10"/>
        <v>0</v>
      </c>
    </row>
    <row r="22" spans="1:32" hidden="1" outlineLevel="1" x14ac:dyDescent="0.15">
      <c r="A22" s="195" t="s">
        <v>245</v>
      </c>
      <c r="B22" s="177">
        <f>Dezember24!AH22</f>
        <v>0</v>
      </c>
      <c r="C22" s="177">
        <f>Januar!AH22</f>
        <v>0</v>
      </c>
      <c r="D22" s="177">
        <f>Februar!AH22</f>
        <v>0</v>
      </c>
      <c r="E22" s="177">
        <f>März!AH22</f>
        <v>0</v>
      </c>
      <c r="F22" s="177">
        <f>April!AH22</f>
        <v>0</v>
      </c>
      <c r="G22" s="177">
        <f>Mai!AH22</f>
        <v>0</v>
      </c>
      <c r="H22" s="188">
        <f>Juni!AH22</f>
        <v>0</v>
      </c>
      <c r="J22" s="177">
        <f>B22-'Exec.Summary_Liquiplanung ORG'!B22</f>
        <v>0</v>
      </c>
      <c r="K22" s="177">
        <f>C22-'Exec.Summary_Liquiplanung ORG'!C22</f>
        <v>0</v>
      </c>
      <c r="L22" s="177">
        <f>D22-'Exec.Summary_Liquiplanung ORG'!D22</f>
        <v>0</v>
      </c>
      <c r="M22" s="177">
        <f>E22-'Exec.Summary_Liquiplanung ORG'!E22</f>
        <v>0</v>
      </c>
      <c r="N22" s="177">
        <f t="shared" si="1"/>
        <v>0</v>
      </c>
      <c r="P22" s="177">
        <f t="shared" si="2"/>
        <v>0</v>
      </c>
      <c r="Q22" s="177">
        <f t="shared" si="3"/>
        <v>0</v>
      </c>
      <c r="R22" s="177">
        <f t="shared" si="4"/>
        <v>0</v>
      </c>
      <c r="S22" s="177">
        <f t="shared" si="5"/>
        <v>0</v>
      </c>
      <c r="T22" s="177">
        <f t="shared" si="6"/>
        <v>0</v>
      </c>
      <c r="U22" s="177">
        <f t="shared" si="7"/>
        <v>0</v>
      </c>
      <c r="V22" s="177">
        <f t="shared" si="8"/>
        <v>0</v>
      </c>
      <c r="W22" s="177">
        <f t="shared" si="9"/>
        <v>0</v>
      </c>
      <c r="Y22" s="177">
        <v>0</v>
      </c>
      <c r="Z22" s="177">
        <v>0</v>
      </c>
      <c r="AA22" s="177">
        <v>0</v>
      </c>
      <c r="AB22" s="177">
        <v>0</v>
      </c>
      <c r="AC22" s="177">
        <v>0</v>
      </c>
      <c r="AD22" s="177">
        <v>0</v>
      </c>
      <c r="AE22" s="177">
        <v>0</v>
      </c>
      <c r="AF22" s="177">
        <f t="shared" si="10"/>
        <v>0</v>
      </c>
    </row>
    <row r="23" spans="1:32" collapsed="1" x14ac:dyDescent="0.15">
      <c r="A23" s="195" t="s">
        <v>244</v>
      </c>
      <c r="B23" s="177">
        <f>Dezember24!AH23</f>
        <v>0</v>
      </c>
      <c r="C23" s="177">
        <f>Januar!AH23</f>
        <v>0</v>
      </c>
      <c r="D23" s="177">
        <f>Februar!AH23</f>
        <v>0</v>
      </c>
      <c r="E23" s="177">
        <f>März!AH23</f>
        <v>60000</v>
      </c>
      <c r="F23" s="177">
        <f>April!AH23</f>
        <v>0</v>
      </c>
      <c r="G23" s="177">
        <f>Mai!AH23</f>
        <v>60000</v>
      </c>
      <c r="H23" s="188">
        <f>Juni!AH23</f>
        <v>0</v>
      </c>
      <c r="J23" s="177">
        <f>B23-'Exec.Summary_Liquiplanung ORG'!B23</f>
        <v>0</v>
      </c>
      <c r="K23" s="177">
        <f>C23-'Exec.Summary_Liquiplanung ORG'!C23</f>
        <v>-60000</v>
      </c>
      <c r="L23" s="177">
        <f>D23-'Exec.Summary_Liquiplanung ORG'!D23</f>
        <v>0</v>
      </c>
      <c r="M23" s="177">
        <f>E23-'Exec.Summary_Liquiplanung ORG'!E23</f>
        <v>0</v>
      </c>
      <c r="N23" s="177">
        <f t="shared" si="1"/>
        <v>-60000</v>
      </c>
      <c r="P23" s="177">
        <f t="shared" si="2"/>
        <v>0</v>
      </c>
      <c r="Q23" s="177">
        <f t="shared" si="3"/>
        <v>0</v>
      </c>
      <c r="R23" s="177">
        <f t="shared" si="4"/>
        <v>0</v>
      </c>
      <c r="S23" s="177">
        <f t="shared" si="5"/>
        <v>0</v>
      </c>
      <c r="T23" s="177">
        <f t="shared" si="6"/>
        <v>0</v>
      </c>
      <c r="U23" s="177">
        <f t="shared" si="7"/>
        <v>0</v>
      </c>
      <c r="V23" s="177">
        <f t="shared" si="8"/>
        <v>0</v>
      </c>
      <c r="W23" s="177">
        <f t="shared" si="9"/>
        <v>0</v>
      </c>
      <c r="Y23" s="177">
        <v>0</v>
      </c>
      <c r="Z23" s="177">
        <v>0</v>
      </c>
      <c r="AA23" s="177">
        <v>0</v>
      </c>
      <c r="AB23" s="177">
        <v>60000</v>
      </c>
      <c r="AC23" s="177">
        <v>0</v>
      </c>
      <c r="AD23" s="177">
        <v>60000</v>
      </c>
      <c r="AE23" s="177">
        <v>0</v>
      </c>
      <c r="AF23" s="177">
        <f t="shared" si="10"/>
        <v>120000</v>
      </c>
    </row>
    <row r="24" spans="1:32" x14ac:dyDescent="0.15">
      <c r="A24" s="195" t="s">
        <v>232</v>
      </c>
      <c r="B24" s="177">
        <f>Dezember24!AH24</f>
        <v>0</v>
      </c>
      <c r="C24" s="177">
        <f>Januar!AH24</f>
        <v>0</v>
      </c>
      <c r="D24" s="177">
        <f>Februar!AH24</f>
        <v>0</v>
      </c>
      <c r="E24" s="177">
        <f>März!AH24</f>
        <v>0</v>
      </c>
      <c r="F24" s="177">
        <f>April!AH24</f>
        <v>50000</v>
      </c>
      <c r="G24" s="177">
        <f>Mai!AH24</f>
        <v>50000</v>
      </c>
      <c r="H24" s="188">
        <f>Juni!AH24</f>
        <v>50000</v>
      </c>
      <c r="J24" s="177">
        <f>B24-'Exec.Summary_Liquiplanung ORG'!B24</f>
        <v>0</v>
      </c>
      <c r="K24" s="177">
        <f>C24-'Exec.Summary_Liquiplanung ORG'!C24</f>
        <v>-100000</v>
      </c>
      <c r="L24" s="177">
        <f>D24-'Exec.Summary_Liquiplanung ORG'!D24</f>
        <v>-100000</v>
      </c>
      <c r="M24" s="177">
        <f>E24-'Exec.Summary_Liquiplanung ORG'!E24</f>
        <v>-100000</v>
      </c>
      <c r="N24" s="177">
        <f t="shared" si="1"/>
        <v>-300000</v>
      </c>
      <c r="P24" s="177">
        <f t="shared" si="2"/>
        <v>0</v>
      </c>
      <c r="Q24" s="177">
        <f t="shared" si="3"/>
        <v>0</v>
      </c>
      <c r="R24" s="177">
        <f t="shared" si="4"/>
        <v>0</v>
      </c>
      <c r="S24" s="177">
        <f t="shared" si="5"/>
        <v>-150000</v>
      </c>
      <c r="T24" s="177">
        <f t="shared" si="6"/>
        <v>0</v>
      </c>
      <c r="U24" s="177">
        <f t="shared" si="7"/>
        <v>0</v>
      </c>
      <c r="V24" s="177">
        <f t="shared" si="8"/>
        <v>0</v>
      </c>
      <c r="W24" s="177">
        <f t="shared" si="9"/>
        <v>-150000</v>
      </c>
      <c r="Y24" s="177">
        <v>0</v>
      </c>
      <c r="Z24" s="177">
        <v>0</v>
      </c>
      <c r="AA24" s="177">
        <v>0</v>
      </c>
      <c r="AB24" s="177">
        <v>150000</v>
      </c>
      <c r="AC24" s="177">
        <v>50000</v>
      </c>
      <c r="AD24" s="177">
        <v>50000</v>
      </c>
      <c r="AE24" s="177">
        <v>50000</v>
      </c>
      <c r="AF24" s="177">
        <f t="shared" si="10"/>
        <v>300000</v>
      </c>
    </row>
    <row r="25" spans="1:32" x14ac:dyDescent="0.15">
      <c r="A25" s="195" t="s">
        <v>243</v>
      </c>
      <c r="B25" s="177">
        <f>Dezember24!AH25</f>
        <v>0</v>
      </c>
      <c r="C25" s="177">
        <f>Januar!AH25</f>
        <v>0</v>
      </c>
      <c r="D25" s="177">
        <f>Februar!AH25</f>
        <v>0</v>
      </c>
      <c r="E25" s="177">
        <f>März!AH25</f>
        <v>0</v>
      </c>
      <c r="F25" s="177">
        <f>April!AH25</f>
        <v>250000</v>
      </c>
      <c r="G25" s="177">
        <f>Mai!AH25</f>
        <v>265000</v>
      </c>
      <c r="H25" s="188">
        <f>Juni!AH25</f>
        <v>0</v>
      </c>
      <c r="J25" s="177">
        <f>B25-'Exec.Summary_Liquiplanung ORG'!B25</f>
        <v>0</v>
      </c>
      <c r="K25" s="177">
        <f>C25-'Exec.Summary_Liquiplanung ORG'!C25</f>
        <v>-180000</v>
      </c>
      <c r="L25" s="177">
        <f>D25-'Exec.Summary_Liquiplanung ORG'!D25</f>
        <v>-10000</v>
      </c>
      <c r="M25" s="177">
        <f>E25-'Exec.Summary_Liquiplanung ORG'!E25</f>
        <v>-10000</v>
      </c>
      <c r="N25" s="177">
        <f t="shared" si="1"/>
        <v>-200000</v>
      </c>
      <c r="P25" s="177">
        <f t="shared" si="2"/>
        <v>0</v>
      </c>
      <c r="Q25" s="177">
        <f t="shared" si="3"/>
        <v>0</v>
      </c>
      <c r="R25" s="177">
        <f t="shared" si="4"/>
        <v>0</v>
      </c>
      <c r="S25" s="177">
        <f t="shared" si="5"/>
        <v>0</v>
      </c>
      <c r="T25" s="177">
        <f t="shared" si="6"/>
        <v>0</v>
      </c>
      <c r="U25" s="177">
        <f t="shared" si="7"/>
        <v>245000</v>
      </c>
      <c r="V25" s="177">
        <f t="shared" si="8"/>
        <v>0</v>
      </c>
      <c r="W25" s="177">
        <f t="shared" si="9"/>
        <v>245000</v>
      </c>
      <c r="Y25" s="177">
        <v>0</v>
      </c>
      <c r="Z25" s="177">
        <v>0</v>
      </c>
      <c r="AA25" s="177">
        <v>0</v>
      </c>
      <c r="AB25" s="177">
        <v>0</v>
      </c>
      <c r="AC25" s="177">
        <v>250000</v>
      </c>
      <c r="AD25" s="177">
        <v>20000</v>
      </c>
      <c r="AE25" s="177">
        <v>0</v>
      </c>
      <c r="AF25" s="177">
        <f t="shared" si="10"/>
        <v>270000</v>
      </c>
    </row>
    <row r="26" spans="1:32" x14ac:dyDescent="0.15">
      <c r="A26" s="195" t="s">
        <v>242</v>
      </c>
      <c r="B26" s="177">
        <f>Dezember24!AH26</f>
        <v>0</v>
      </c>
      <c r="C26" s="177">
        <f>Januar!AH26</f>
        <v>42140</v>
      </c>
      <c r="D26" s="177">
        <f>Februar!AH26</f>
        <v>170000</v>
      </c>
      <c r="E26" s="177">
        <f>März!AH26</f>
        <v>1429283.49</v>
      </c>
      <c r="F26" s="177">
        <f>April!AH26</f>
        <v>1500000</v>
      </c>
      <c r="G26" s="177">
        <f>Mai!AH26</f>
        <v>1500000</v>
      </c>
      <c r="H26" s="188">
        <f>Juni!AH26</f>
        <v>1500000</v>
      </c>
      <c r="J26" s="177">
        <f>B26-'Exec.Summary_Liquiplanung ORG'!B26</f>
        <v>-170000</v>
      </c>
      <c r="K26" s="177">
        <f>C26-'Exec.Summary_Liquiplanung ORG'!C26</f>
        <v>-127860</v>
      </c>
      <c r="L26" s="177">
        <f>D26-'Exec.Summary_Liquiplanung ORG'!D26</f>
        <v>0</v>
      </c>
      <c r="M26" s="177">
        <f>E26-'Exec.Summary_Liquiplanung ORG'!E26</f>
        <v>-120716.51000000001</v>
      </c>
      <c r="N26" s="177">
        <f t="shared" si="1"/>
        <v>-418576.51</v>
      </c>
      <c r="P26" s="177">
        <f t="shared" si="2"/>
        <v>0</v>
      </c>
      <c r="Q26" s="177">
        <f t="shared" si="3"/>
        <v>0</v>
      </c>
      <c r="R26" s="177">
        <f t="shared" si="4"/>
        <v>0</v>
      </c>
      <c r="S26" s="177">
        <f t="shared" si="5"/>
        <v>-70716.510000000009</v>
      </c>
      <c r="T26" s="177">
        <f t="shared" si="6"/>
        <v>0</v>
      </c>
      <c r="U26" s="177">
        <f t="shared" si="7"/>
        <v>0</v>
      </c>
      <c r="V26" s="177">
        <f t="shared" si="8"/>
        <v>0</v>
      </c>
      <c r="W26" s="177">
        <f t="shared" si="9"/>
        <v>-70716.510000000009</v>
      </c>
      <c r="Y26" s="177">
        <v>0</v>
      </c>
      <c r="Z26" s="177">
        <v>42140</v>
      </c>
      <c r="AA26" s="177">
        <v>170000</v>
      </c>
      <c r="AB26" s="177">
        <v>1500000</v>
      </c>
      <c r="AC26" s="177">
        <v>1500000</v>
      </c>
      <c r="AD26" s="177">
        <v>1500000</v>
      </c>
      <c r="AE26" s="177">
        <v>1500000</v>
      </c>
      <c r="AF26" s="177">
        <f t="shared" si="10"/>
        <v>6212140</v>
      </c>
    </row>
    <row r="27" spans="1:32" x14ac:dyDescent="0.15">
      <c r="A27" s="195" t="s">
        <v>241</v>
      </c>
      <c r="B27" s="177">
        <f>Dezember24!AH27</f>
        <v>0</v>
      </c>
      <c r="C27" s="177">
        <f>Januar!AH27</f>
        <v>0</v>
      </c>
      <c r="D27" s="177">
        <f>Februar!AH27</f>
        <v>0</v>
      </c>
      <c r="E27" s="177">
        <f>März!AH27</f>
        <v>805613.08</v>
      </c>
      <c r="F27" s="177">
        <f>April!AH27</f>
        <v>850000</v>
      </c>
      <c r="G27" s="177">
        <f>Mai!AH27</f>
        <v>850000</v>
      </c>
      <c r="H27" s="188">
        <f>Juni!AH27</f>
        <v>850000</v>
      </c>
      <c r="J27" s="177">
        <f>B27-'Exec.Summary_Liquiplanung ORG'!B27</f>
        <v>0</v>
      </c>
      <c r="K27" s="177">
        <f>C27-'Exec.Summary_Liquiplanung ORG'!C27</f>
        <v>0</v>
      </c>
      <c r="L27" s="177">
        <f>D27-'Exec.Summary_Liquiplanung ORG'!D27</f>
        <v>0</v>
      </c>
      <c r="M27" s="177">
        <f>E27-'Exec.Summary_Liquiplanung ORG'!E27</f>
        <v>-44386.920000000042</v>
      </c>
      <c r="N27" s="177">
        <f t="shared" si="1"/>
        <v>-44386.920000000042</v>
      </c>
      <c r="P27" s="177">
        <f t="shared" si="2"/>
        <v>0</v>
      </c>
      <c r="Q27" s="177">
        <f t="shared" si="3"/>
        <v>0</v>
      </c>
      <c r="R27" s="177">
        <f t="shared" si="4"/>
        <v>0</v>
      </c>
      <c r="S27" s="177">
        <f t="shared" si="5"/>
        <v>-44386.920000000042</v>
      </c>
      <c r="T27" s="177">
        <f t="shared" si="6"/>
        <v>0</v>
      </c>
      <c r="U27" s="177">
        <f t="shared" si="7"/>
        <v>0</v>
      </c>
      <c r="V27" s="177">
        <f t="shared" si="8"/>
        <v>0</v>
      </c>
      <c r="W27" s="177">
        <f t="shared" si="9"/>
        <v>-44386.920000000042</v>
      </c>
      <c r="Y27" s="177">
        <v>0</v>
      </c>
      <c r="Z27" s="177">
        <v>0</v>
      </c>
      <c r="AA27" s="177">
        <v>0</v>
      </c>
      <c r="AB27" s="177">
        <v>850000</v>
      </c>
      <c r="AC27" s="177">
        <v>850000</v>
      </c>
      <c r="AD27" s="177">
        <v>850000</v>
      </c>
      <c r="AE27" s="177">
        <v>850000</v>
      </c>
      <c r="AF27" s="177">
        <f t="shared" si="10"/>
        <v>3400000</v>
      </c>
    </row>
    <row r="28" spans="1:32" x14ac:dyDescent="0.15">
      <c r="A28" s="195" t="s">
        <v>240</v>
      </c>
      <c r="B28" s="177">
        <f>Dezember24!AH28</f>
        <v>0</v>
      </c>
      <c r="C28" s="177">
        <f>Januar!AH28</f>
        <v>0</v>
      </c>
      <c r="D28" s="177">
        <f>Februar!AH28</f>
        <v>0</v>
      </c>
      <c r="E28" s="177">
        <f>März!AH28</f>
        <v>551000</v>
      </c>
      <c r="F28" s="177">
        <f>April!AH28</f>
        <v>350000</v>
      </c>
      <c r="G28" s="177">
        <f>Mai!AH28</f>
        <v>350000</v>
      </c>
      <c r="H28" s="188">
        <f>Juni!AH28</f>
        <v>350000</v>
      </c>
      <c r="J28" s="177">
        <f>B28-'Exec.Summary_Liquiplanung ORG'!B28</f>
        <v>0</v>
      </c>
      <c r="K28" s="177">
        <f>C28-'Exec.Summary_Liquiplanung ORG'!C28</f>
        <v>0</v>
      </c>
      <c r="L28" s="177">
        <f>D28-'Exec.Summary_Liquiplanung ORG'!D28</f>
        <v>0</v>
      </c>
      <c r="M28" s="177">
        <f>E28-'Exec.Summary_Liquiplanung ORG'!E28</f>
        <v>201000</v>
      </c>
      <c r="N28" s="177">
        <f t="shared" si="1"/>
        <v>201000</v>
      </c>
      <c r="P28" s="177">
        <f t="shared" si="2"/>
        <v>0</v>
      </c>
      <c r="Q28" s="177">
        <f t="shared" si="3"/>
        <v>0</v>
      </c>
      <c r="R28" s="177">
        <f t="shared" si="4"/>
        <v>0</v>
      </c>
      <c r="S28" s="177">
        <f t="shared" si="5"/>
        <v>0</v>
      </c>
      <c r="T28" s="177">
        <f t="shared" si="6"/>
        <v>0</v>
      </c>
      <c r="U28" s="177">
        <f t="shared" si="7"/>
        <v>0</v>
      </c>
      <c r="V28" s="177">
        <f t="shared" si="8"/>
        <v>0</v>
      </c>
      <c r="W28" s="177">
        <f t="shared" si="9"/>
        <v>0</v>
      </c>
      <c r="Y28" s="177">
        <v>0</v>
      </c>
      <c r="Z28" s="177">
        <v>0</v>
      </c>
      <c r="AA28" s="177">
        <v>0</v>
      </c>
      <c r="AB28" s="177">
        <v>551000</v>
      </c>
      <c r="AC28" s="177">
        <v>350000</v>
      </c>
      <c r="AD28" s="177">
        <v>350000</v>
      </c>
      <c r="AE28" s="177">
        <v>350000</v>
      </c>
      <c r="AF28" s="177">
        <f t="shared" si="10"/>
        <v>1601000</v>
      </c>
    </row>
    <row r="29" spans="1:32" x14ac:dyDescent="0.15">
      <c r="A29" s="195" t="s">
        <v>239</v>
      </c>
      <c r="B29" s="177">
        <f>Dezember24!AH29</f>
        <v>0</v>
      </c>
      <c r="C29" s="177">
        <f>Januar!AH29</f>
        <v>0</v>
      </c>
      <c r="D29" s="177">
        <f>Februar!AH29</f>
        <v>0</v>
      </c>
      <c r="E29" s="177">
        <f>März!AH29</f>
        <v>0</v>
      </c>
      <c r="F29" s="177">
        <f>April!AH29</f>
        <v>166115.03</v>
      </c>
      <c r="G29" s="177">
        <f>Mai!AH29</f>
        <v>150000</v>
      </c>
      <c r="H29" s="188">
        <f>Juni!AH29</f>
        <v>150000</v>
      </c>
      <c r="J29" s="177">
        <f>B29-'Exec.Summary_Liquiplanung ORG'!B29</f>
        <v>0</v>
      </c>
      <c r="K29" s="177">
        <f>C29-'Exec.Summary_Liquiplanung ORG'!C29</f>
        <v>350314.98791062587</v>
      </c>
      <c r="L29" s="177">
        <f>D29-'Exec.Summary_Liquiplanung ORG'!D29</f>
        <v>73565.065378302475</v>
      </c>
      <c r="M29" s="177">
        <f>E29-'Exec.Summary_Liquiplanung ORG'!E29</f>
        <v>327098.9827555333</v>
      </c>
      <c r="N29" s="177">
        <f t="shared" si="1"/>
        <v>750979.03604446165</v>
      </c>
      <c r="P29" s="177">
        <f t="shared" si="2"/>
        <v>0</v>
      </c>
      <c r="Q29" s="177">
        <f t="shared" si="3"/>
        <v>0</v>
      </c>
      <c r="R29" s="177">
        <f t="shared" si="4"/>
        <v>0</v>
      </c>
      <c r="S29" s="177">
        <f t="shared" si="5"/>
        <v>0</v>
      </c>
      <c r="T29" s="177">
        <f t="shared" si="6"/>
        <v>484946.03</v>
      </c>
      <c r="U29" s="177">
        <f t="shared" si="7"/>
        <v>401345</v>
      </c>
      <c r="V29" s="177">
        <f t="shared" si="8"/>
        <v>446063</v>
      </c>
      <c r="W29" s="177">
        <f t="shared" si="9"/>
        <v>1332354.03</v>
      </c>
      <c r="Y29" s="177">
        <v>0</v>
      </c>
      <c r="Z29" s="177">
        <v>0</v>
      </c>
      <c r="AA29" s="177">
        <v>0</v>
      </c>
      <c r="AB29" s="177">
        <v>0</v>
      </c>
      <c r="AC29" s="177">
        <v>-318831</v>
      </c>
      <c r="AD29" s="177">
        <v>-251345</v>
      </c>
      <c r="AE29" s="177">
        <v>-296063</v>
      </c>
      <c r="AF29" s="177">
        <f t="shared" si="10"/>
        <v>-866239</v>
      </c>
    </row>
    <row r="30" spans="1:32" x14ac:dyDescent="0.15">
      <c r="A30" s="195" t="s">
        <v>365</v>
      </c>
      <c r="B30" s="177">
        <f>Dezember24!AH30</f>
        <v>0</v>
      </c>
      <c r="C30" s="177">
        <f>Januar!AH30</f>
        <v>0</v>
      </c>
      <c r="D30" s="177">
        <f>Februar!AH30</f>
        <v>1500000</v>
      </c>
      <c r="E30" s="177">
        <f>März!AH30</f>
        <v>0</v>
      </c>
      <c r="F30" s="177">
        <f>April!AH30</f>
        <v>0</v>
      </c>
      <c r="G30" s="177">
        <f>Mai!AH30</f>
        <v>0</v>
      </c>
      <c r="H30" s="188">
        <f>Juni!AH30</f>
        <v>0</v>
      </c>
      <c r="J30" s="177">
        <f>B30-'Exec.Summary_Liquiplanung ORG'!B30</f>
        <v>0</v>
      </c>
      <c r="K30" s="177">
        <f>C30-'Exec.Summary_Liquiplanung ORG'!C30</f>
        <v>0</v>
      </c>
      <c r="L30" s="177">
        <f>D30-'Exec.Summary_Liquiplanung ORG'!D30</f>
        <v>0</v>
      </c>
      <c r="M30" s="177">
        <f>E30-'Exec.Summary_Liquiplanung ORG'!E30</f>
        <v>0</v>
      </c>
      <c r="N30" s="177">
        <f t="shared" si="1"/>
        <v>0</v>
      </c>
      <c r="P30" s="177">
        <f t="shared" si="2"/>
        <v>0</v>
      </c>
      <c r="Q30" s="177">
        <f t="shared" si="3"/>
        <v>0</v>
      </c>
      <c r="R30" s="177">
        <f t="shared" si="4"/>
        <v>0</v>
      </c>
      <c r="S30" s="177">
        <f t="shared" si="5"/>
        <v>0</v>
      </c>
      <c r="T30" s="177">
        <f t="shared" si="6"/>
        <v>0</v>
      </c>
      <c r="U30" s="177">
        <f t="shared" si="7"/>
        <v>0</v>
      </c>
      <c r="V30" s="177">
        <f t="shared" si="8"/>
        <v>-2400000</v>
      </c>
      <c r="W30" s="177">
        <f t="shared" si="9"/>
        <v>-2400000</v>
      </c>
      <c r="Y30" s="177">
        <v>0</v>
      </c>
      <c r="Z30" s="177">
        <v>0</v>
      </c>
      <c r="AA30" s="177">
        <v>1500000</v>
      </c>
      <c r="AB30" s="177">
        <v>0</v>
      </c>
      <c r="AC30" s="177">
        <v>0</v>
      </c>
      <c r="AD30" s="177">
        <v>0</v>
      </c>
      <c r="AE30" s="177">
        <v>2400000</v>
      </c>
      <c r="AF30" s="177">
        <f t="shared" si="10"/>
        <v>3900000</v>
      </c>
    </row>
    <row r="31" spans="1:32" hidden="1" outlineLevel="1" x14ac:dyDescent="0.15">
      <c r="A31" s="197" t="s">
        <v>238</v>
      </c>
      <c r="B31" s="177">
        <f>Dezember24!AH31</f>
        <v>0</v>
      </c>
      <c r="C31" s="177">
        <f>Januar!AH31</f>
        <v>0</v>
      </c>
      <c r="D31" s="177">
        <f>Februar!AH31</f>
        <v>98500</v>
      </c>
      <c r="E31" s="177">
        <f>März!AH31</f>
        <v>0</v>
      </c>
      <c r="F31" s="177">
        <f>April!AH31</f>
        <v>0</v>
      </c>
      <c r="G31" s="177">
        <f>Mai!AH31</f>
        <v>0</v>
      </c>
      <c r="H31" s="188">
        <f>Juni!AH31</f>
        <v>0</v>
      </c>
      <c r="J31" s="177">
        <f>B31-'Exec.Summary_Liquiplanung ORG'!B31</f>
        <v>0</v>
      </c>
      <c r="K31" s="177">
        <f>C31-'Exec.Summary_Liquiplanung ORG'!C31</f>
        <v>0</v>
      </c>
      <c r="L31" s="177">
        <f>D31-'Exec.Summary_Liquiplanung ORG'!D31</f>
        <v>98500</v>
      </c>
      <c r="M31" s="177">
        <f>E31-'Exec.Summary_Liquiplanung ORG'!E31</f>
        <v>0</v>
      </c>
      <c r="N31" s="177">
        <f t="shared" si="1"/>
        <v>98500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  <c r="U31" s="177">
        <v>0</v>
      </c>
      <c r="V31" s="177">
        <v>0</v>
      </c>
      <c r="W31" s="177">
        <v>0</v>
      </c>
      <c r="Y31" s="177">
        <v>0</v>
      </c>
      <c r="Z31" s="177">
        <v>0</v>
      </c>
      <c r="AA31" s="177">
        <v>98500</v>
      </c>
      <c r="AB31" s="177">
        <v>0</v>
      </c>
      <c r="AC31" s="177">
        <v>136810</v>
      </c>
      <c r="AD31" s="177">
        <v>0</v>
      </c>
      <c r="AE31" s="177">
        <v>374112</v>
      </c>
      <c r="AF31" s="177">
        <v>0</v>
      </c>
    </row>
    <row r="32" spans="1:32" collapsed="1" x14ac:dyDescent="0.15">
      <c r="A32" s="198" t="s">
        <v>237</v>
      </c>
      <c r="B32" s="181">
        <f>Dezember24!AH32</f>
        <v>65390</v>
      </c>
      <c r="C32" s="181">
        <f>Januar!AH32</f>
        <v>4712650.1800000006</v>
      </c>
      <c r="D32" s="181">
        <f>Februar!AH32</f>
        <v>6561001.5300000003</v>
      </c>
      <c r="E32" s="181">
        <f>März!AH32</f>
        <v>7811988.5625159992</v>
      </c>
      <c r="F32" s="181">
        <f>April!AH32</f>
        <v>7859457.2250540005</v>
      </c>
      <c r="G32" s="181">
        <f>Mai!AH32</f>
        <v>11915821.956662752</v>
      </c>
      <c r="H32" s="199">
        <f>Juni!AH32</f>
        <v>8022538.2009776663</v>
      </c>
      <c r="J32" s="202">
        <f>B32-'Exec.Summary_Liquiplanung ORG'!B32</f>
        <v>-1354610</v>
      </c>
      <c r="K32" s="202">
        <f>C32-'Exec.Summary_Liquiplanung ORG'!C32</f>
        <v>-1482660.442185374</v>
      </c>
      <c r="L32" s="202">
        <f>D32-'Exec.Summary_Liquiplanung ORG'!D32</f>
        <v>-288338.33305769879</v>
      </c>
      <c r="M32" s="202">
        <f>E32-'Exec.Summary_Liquiplanung ORG'!E32</f>
        <v>-3033905.7977827052</v>
      </c>
      <c r="N32" s="202">
        <f t="shared" si="1"/>
        <v>-6159514.5730257779</v>
      </c>
      <c r="P32" s="202">
        <f>SUM(P8:P30)</f>
        <v>0</v>
      </c>
      <c r="Q32" s="202">
        <f t="shared" ref="Q32:V32" si="11">SUM(Q8:Q30)</f>
        <v>0</v>
      </c>
      <c r="R32" s="202">
        <f t="shared" si="11"/>
        <v>0</v>
      </c>
      <c r="S32" s="202">
        <f t="shared" si="11"/>
        <v>-2962797.8976843869</v>
      </c>
      <c r="T32" s="202">
        <f t="shared" si="11"/>
        <v>-1488893.1459087797</v>
      </c>
      <c r="U32" s="202">
        <f t="shared" si="11"/>
        <v>1869165.0646815395</v>
      </c>
      <c r="V32" s="202">
        <f t="shared" si="11"/>
        <v>-4617917.4880013037</v>
      </c>
      <c r="W32" s="202">
        <f>SUM(P32:V32)</f>
        <v>-7200443.4669129308</v>
      </c>
      <c r="Y32" s="202">
        <v>65390</v>
      </c>
      <c r="Z32" s="202">
        <v>4712650.1800000006</v>
      </c>
      <c r="AA32" s="202">
        <v>6561001.5300000003</v>
      </c>
      <c r="AB32" s="202">
        <v>10774786.460200386</v>
      </c>
      <c r="AC32" s="202">
        <v>9485160.37096278</v>
      </c>
      <c r="AD32" s="202">
        <v>10046656.891981212</v>
      </c>
      <c r="AE32" s="202">
        <v>13014567.68897897</v>
      </c>
      <c r="AF32" s="202">
        <f>SUM(Y32:AE32)</f>
        <v>54660213.122123346</v>
      </c>
    </row>
    <row r="33" spans="1:32" x14ac:dyDescent="0.15">
      <c r="A33" s="200"/>
      <c r="B33" s="177"/>
      <c r="C33" s="177"/>
      <c r="D33" s="177"/>
      <c r="E33" s="177"/>
      <c r="F33" s="177"/>
      <c r="G33" s="177"/>
      <c r="H33" s="188"/>
      <c r="J33" s="177">
        <f>B33-'Exec.Summary_Liquiplanung ORG'!B33</f>
        <v>0</v>
      </c>
      <c r="K33" s="177">
        <f>C33-'Exec.Summary_Liquiplanung ORG'!C33</f>
        <v>0</v>
      </c>
      <c r="L33" s="177">
        <f>D33-'Exec.Summary_Liquiplanung ORG'!D33</f>
        <v>0</v>
      </c>
      <c r="M33" s="177">
        <f>E33-'Exec.Summary_Liquiplanung ORG'!E33</f>
        <v>0</v>
      </c>
      <c r="N33" s="177">
        <f t="shared" si="1"/>
        <v>0</v>
      </c>
      <c r="P33" s="177"/>
      <c r="Q33" s="177"/>
      <c r="R33" s="177"/>
      <c r="S33" s="177"/>
      <c r="T33" s="177"/>
      <c r="U33" s="177"/>
      <c r="V33" s="177"/>
      <c r="W33" s="177"/>
      <c r="Y33" s="177"/>
      <c r="Z33" s="177"/>
      <c r="AA33" s="177"/>
      <c r="AB33" s="177"/>
      <c r="AC33" s="177"/>
      <c r="AD33" s="177"/>
      <c r="AE33" s="177"/>
      <c r="AF33" s="177"/>
    </row>
    <row r="34" spans="1:32" x14ac:dyDescent="0.15">
      <c r="A34" s="201" t="s">
        <v>236</v>
      </c>
      <c r="B34" s="202"/>
      <c r="C34" s="202"/>
      <c r="D34" s="202"/>
      <c r="E34" s="202"/>
      <c r="F34" s="202"/>
      <c r="G34" s="202"/>
      <c r="H34" s="203"/>
      <c r="J34" s="193"/>
      <c r="K34" s="193"/>
      <c r="L34" s="193"/>
      <c r="M34" s="193"/>
      <c r="N34" s="193"/>
      <c r="P34" s="193"/>
      <c r="Q34" s="193"/>
      <c r="R34" s="193"/>
      <c r="S34" s="193"/>
      <c r="T34" s="193"/>
      <c r="U34" s="193"/>
      <c r="V34" s="193"/>
      <c r="W34" s="193"/>
      <c r="Y34" s="193"/>
      <c r="Z34" s="193"/>
      <c r="AA34" s="193"/>
      <c r="AB34" s="193"/>
      <c r="AC34" s="193"/>
      <c r="AD34" s="193"/>
      <c r="AE34" s="193"/>
      <c r="AF34" s="193"/>
    </row>
    <row r="35" spans="1:32" hidden="1" outlineLevel="1" x14ac:dyDescent="0.15">
      <c r="A35" s="200" t="s">
        <v>235</v>
      </c>
      <c r="B35" s="177">
        <f>Dezember24!AH35</f>
        <v>0</v>
      </c>
      <c r="C35" s="177">
        <f>Januar!AH35</f>
        <v>0</v>
      </c>
      <c r="D35" s="177">
        <f>Februar!AH35</f>
        <v>0</v>
      </c>
      <c r="E35" s="177">
        <f>März!AH35</f>
        <v>0</v>
      </c>
      <c r="F35" s="177">
        <f>April!AH35</f>
        <v>0</v>
      </c>
      <c r="G35" s="177">
        <f>Mai!AH35</f>
        <v>0</v>
      </c>
      <c r="H35" s="188">
        <f>Juni!AH35</f>
        <v>0</v>
      </c>
      <c r="J35" s="177">
        <f>B35-'Exec.Summary_Liquiplanung ORG'!B35</f>
        <v>0</v>
      </c>
      <c r="K35" s="177">
        <f>C35-'Exec.Summary_Liquiplanung ORG'!C35</f>
        <v>0</v>
      </c>
      <c r="L35" s="177">
        <f>D35-'Exec.Summary_Liquiplanung ORG'!D35</f>
        <v>0</v>
      </c>
      <c r="M35" s="177">
        <f>E35-'Exec.Summary_Liquiplanung ORG'!E35</f>
        <v>0</v>
      </c>
      <c r="N35" s="177">
        <f t="shared" ref="N35:N49" si="12">SUM(J35:M35)</f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  <c r="U35" s="177">
        <v>0</v>
      </c>
      <c r="V35" s="177">
        <v>0</v>
      </c>
      <c r="W35" s="177">
        <v>0</v>
      </c>
      <c r="Y35" s="177">
        <v>0</v>
      </c>
      <c r="Z35" s="177">
        <v>0</v>
      </c>
      <c r="AA35" s="177">
        <v>0</v>
      </c>
      <c r="AB35" s="177">
        <v>0</v>
      </c>
      <c r="AC35" s="177">
        <v>0</v>
      </c>
      <c r="AD35" s="177">
        <v>0</v>
      </c>
      <c r="AE35" s="177">
        <v>0</v>
      </c>
      <c r="AF35" s="177">
        <v>0</v>
      </c>
    </row>
    <row r="36" spans="1:32" hidden="1" outlineLevel="1" x14ac:dyDescent="0.15">
      <c r="A36" s="200" t="s">
        <v>234</v>
      </c>
      <c r="B36" s="177">
        <f>Dezember24!AH36</f>
        <v>0</v>
      </c>
      <c r="C36" s="177">
        <f>Januar!AH36</f>
        <v>0</v>
      </c>
      <c r="D36" s="177">
        <f>Februar!AH36</f>
        <v>0</v>
      </c>
      <c r="E36" s="177">
        <f>März!AH36</f>
        <v>0</v>
      </c>
      <c r="F36" s="177">
        <f>April!AH36</f>
        <v>0</v>
      </c>
      <c r="G36" s="177">
        <f>Mai!AH36</f>
        <v>0</v>
      </c>
      <c r="H36" s="188">
        <f>Juni!AH36</f>
        <v>0</v>
      </c>
      <c r="J36" s="177">
        <f>B36-'Exec.Summary_Liquiplanung ORG'!B36</f>
        <v>0</v>
      </c>
      <c r="K36" s="177">
        <f>C36-'Exec.Summary_Liquiplanung ORG'!C36</f>
        <v>0</v>
      </c>
      <c r="L36" s="177">
        <f>D36-'Exec.Summary_Liquiplanung ORG'!D36</f>
        <v>0</v>
      </c>
      <c r="M36" s="177">
        <f>E36-'Exec.Summary_Liquiplanung ORG'!E36</f>
        <v>0</v>
      </c>
      <c r="N36" s="177">
        <f t="shared" si="12"/>
        <v>0</v>
      </c>
      <c r="P36" s="177">
        <v>0</v>
      </c>
      <c r="Q36" s="177">
        <v>0</v>
      </c>
      <c r="R36" s="177">
        <v>0</v>
      </c>
      <c r="S36" s="177">
        <v>0</v>
      </c>
      <c r="T36" s="177">
        <v>0</v>
      </c>
      <c r="U36" s="177">
        <v>0</v>
      </c>
      <c r="V36" s="177">
        <v>0</v>
      </c>
      <c r="W36" s="177">
        <v>0</v>
      </c>
      <c r="Y36" s="177">
        <v>0</v>
      </c>
      <c r="Z36" s="177">
        <v>0</v>
      </c>
      <c r="AA36" s="177">
        <v>0</v>
      </c>
      <c r="AB36" s="177">
        <v>0</v>
      </c>
      <c r="AC36" s="177">
        <v>0</v>
      </c>
      <c r="AD36" s="177">
        <v>0</v>
      </c>
      <c r="AE36" s="177">
        <v>0</v>
      </c>
      <c r="AF36" s="177">
        <v>0</v>
      </c>
    </row>
    <row r="37" spans="1:32" hidden="1" outlineLevel="1" x14ac:dyDescent="0.15">
      <c r="A37" s="200" t="s">
        <v>233</v>
      </c>
      <c r="B37" s="177">
        <f>Dezember24!AH37</f>
        <v>0</v>
      </c>
      <c r="C37" s="177">
        <f>Januar!AH37</f>
        <v>0</v>
      </c>
      <c r="D37" s="177">
        <f>Februar!AH37</f>
        <v>0</v>
      </c>
      <c r="E37" s="177">
        <f>März!AH37</f>
        <v>0</v>
      </c>
      <c r="F37" s="177">
        <f>April!AH37</f>
        <v>0</v>
      </c>
      <c r="G37" s="177">
        <f>Mai!AH37</f>
        <v>0</v>
      </c>
      <c r="H37" s="188">
        <f>Juni!AH37</f>
        <v>0</v>
      </c>
      <c r="J37" s="177">
        <f>B37-'Exec.Summary_Liquiplanung ORG'!B37</f>
        <v>0</v>
      </c>
      <c r="K37" s="177">
        <f>C37-'Exec.Summary_Liquiplanung ORG'!C37</f>
        <v>0</v>
      </c>
      <c r="L37" s="177">
        <f>D37-'Exec.Summary_Liquiplanung ORG'!D37</f>
        <v>0</v>
      </c>
      <c r="M37" s="177">
        <f>E37-'Exec.Summary_Liquiplanung ORG'!E37</f>
        <v>0</v>
      </c>
      <c r="N37" s="177">
        <f t="shared" si="12"/>
        <v>0</v>
      </c>
      <c r="P37" s="177">
        <v>0</v>
      </c>
      <c r="Q37" s="177">
        <v>0</v>
      </c>
      <c r="R37" s="177">
        <v>0</v>
      </c>
      <c r="S37" s="177">
        <v>0</v>
      </c>
      <c r="T37" s="177">
        <v>0</v>
      </c>
      <c r="U37" s="177">
        <v>0</v>
      </c>
      <c r="V37" s="177">
        <v>0</v>
      </c>
      <c r="W37" s="177">
        <v>0</v>
      </c>
      <c r="Y37" s="177">
        <v>0</v>
      </c>
      <c r="Z37" s="177">
        <v>0</v>
      </c>
      <c r="AA37" s="177">
        <v>0</v>
      </c>
      <c r="AB37" s="177">
        <v>0</v>
      </c>
      <c r="AC37" s="177">
        <v>0</v>
      </c>
      <c r="AD37" s="177">
        <v>0</v>
      </c>
      <c r="AE37" s="177">
        <v>0</v>
      </c>
      <c r="AF37" s="177">
        <v>0</v>
      </c>
    </row>
    <row r="38" spans="1:32" hidden="1" outlineLevel="1" x14ac:dyDescent="0.15">
      <c r="A38" s="200" t="s">
        <v>232</v>
      </c>
      <c r="B38" s="177">
        <f>Dezember24!AH38</f>
        <v>0</v>
      </c>
      <c r="C38" s="177">
        <f>Januar!AH38</f>
        <v>0</v>
      </c>
      <c r="D38" s="177">
        <f>Februar!AH38</f>
        <v>0</v>
      </c>
      <c r="E38" s="177">
        <f>März!AH38</f>
        <v>0</v>
      </c>
      <c r="F38" s="177">
        <f>April!AH38</f>
        <v>0</v>
      </c>
      <c r="G38" s="177">
        <f>Mai!AH38</f>
        <v>0</v>
      </c>
      <c r="H38" s="188">
        <f>Juni!AH38</f>
        <v>0</v>
      </c>
      <c r="J38" s="177">
        <f>B38-'Exec.Summary_Liquiplanung ORG'!B38</f>
        <v>0</v>
      </c>
      <c r="K38" s="177">
        <f>C38-'Exec.Summary_Liquiplanung ORG'!C38</f>
        <v>0</v>
      </c>
      <c r="L38" s="177">
        <f>D38-'Exec.Summary_Liquiplanung ORG'!D38</f>
        <v>0</v>
      </c>
      <c r="M38" s="177">
        <f>E38-'Exec.Summary_Liquiplanung ORG'!E38</f>
        <v>0</v>
      </c>
      <c r="N38" s="177">
        <f t="shared" si="12"/>
        <v>0</v>
      </c>
      <c r="P38" s="177">
        <v>0</v>
      </c>
      <c r="Q38" s="177">
        <v>0</v>
      </c>
      <c r="R38" s="177">
        <v>0</v>
      </c>
      <c r="S38" s="177">
        <v>0</v>
      </c>
      <c r="T38" s="177">
        <v>0</v>
      </c>
      <c r="U38" s="177">
        <v>0</v>
      </c>
      <c r="V38" s="177">
        <v>0</v>
      </c>
      <c r="W38" s="177">
        <v>0</v>
      </c>
      <c r="Y38" s="177">
        <v>0</v>
      </c>
      <c r="Z38" s="177">
        <v>0</v>
      </c>
      <c r="AA38" s="177">
        <v>0</v>
      </c>
      <c r="AB38" s="177">
        <v>0</v>
      </c>
      <c r="AC38" s="177">
        <v>0</v>
      </c>
      <c r="AD38" s="177">
        <v>0</v>
      </c>
      <c r="AE38" s="177">
        <v>0</v>
      </c>
      <c r="AF38" s="177">
        <v>0</v>
      </c>
    </row>
    <row r="39" spans="1:32" collapsed="1" x14ac:dyDescent="0.15">
      <c r="A39" s="204" t="s">
        <v>231</v>
      </c>
      <c r="B39" s="177">
        <f>Dezember24!AH39</f>
        <v>0</v>
      </c>
      <c r="C39" s="177">
        <f>Januar!AH39</f>
        <v>0</v>
      </c>
      <c r="D39" s="177">
        <f>Februar!AH39</f>
        <v>20889.36</v>
      </c>
      <c r="E39" s="177">
        <f>März!AH39</f>
        <v>2229727.34</v>
      </c>
      <c r="F39" s="177">
        <f>April!AH39</f>
        <v>0</v>
      </c>
      <c r="G39" s="177">
        <f>Mai!AH39</f>
        <v>0</v>
      </c>
      <c r="H39" s="188">
        <f>Juni!AH39</f>
        <v>0</v>
      </c>
      <c r="J39" s="177">
        <f>B39-'Exec.Summary_Liquiplanung ORG'!B39</f>
        <v>0</v>
      </c>
      <c r="K39" s="177">
        <f>C39-'Exec.Summary_Liquiplanung ORG'!C39</f>
        <v>0</v>
      </c>
      <c r="L39" s="177">
        <f>D39-'Exec.Summary_Liquiplanung ORG'!D39</f>
        <v>20889.36</v>
      </c>
      <c r="M39" s="177">
        <f>E39-'Exec.Summary_Liquiplanung ORG'!E39</f>
        <v>2229727.34</v>
      </c>
      <c r="N39" s="177">
        <f t="shared" si="12"/>
        <v>2250616.6999999997</v>
      </c>
      <c r="P39" s="177">
        <v>0</v>
      </c>
      <c r="Q39" s="177">
        <v>0</v>
      </c>
      <c r="R39" s="177">
        <v>0</v>
      </c>
      <c r="S39" s="177">
        <v>0</v>
      </c>
      <c r="T39" s="177">
        <v>0</v>
      </c>
      <c r="U39" s="177">
        <v>0</v>
      </c>
      <c r="V39" s="177">
        <v>0</v>
      </c>
      <c r="W39" s="177">
        <v>0</v>
      </c>
      <c r="Y39" s="177">
        <v>0</v>
      </c>
      <c r="Z39" s="177">
        <v>0</v>
      </c>
      <c r="AA39" s="177">
        <v>20889.36</v>
      </c>
      <c r="AB39" s="177">
        <v>0</v>
      </c>
      <c r="AC39" s="177">
        <v>0</v>
      </c>
      <c r="AD39" s="177">
        <v>0</v>
      </c>
      <c r="AE39" s="177">
        <v>0</v>
      </c>
      <c r="AF39" s="177">
        <v>0</v>
      </c>
    </row>
    <row r="40" spans="1:32" x14ac:dyDescent="0.15">
      <c r="A40" s="204" t="s">
        <v>230</v>
      </c>
      <c r="B40" s="177">
        <f>Dezember24!AH40</f>
        <v>475599.89</v>
      </c>
      <c r="C40" s="177">
        <f>Januar!AH40</f>
        <v>3810010.5900000003</v>
      </c>
      <c r="D40" s="177">
        <f>Februar!AH40</f>
        <v>4298434.4028699994</v>
      </c>
      <c r="E40" s="177">
        <f>März!AH40</f>
        <v>4815059.794674837</v>
      </c>
      <c r="F40" s="177">
        <f>April!AH40</f>
        <v>6380242.6540693343</v>
      </c>
      <c r="G40" s="177">
        <f>Mai!AH40</f>
        <v>4908414.5320567749</v>
      </c>
      <c r="H40" s="188">
        <f>Juni!AH40</f>
        <v>5222355.1802243255</v>
      </c>
      <c r="J40" s="177">
        <f>B40-'Exec.Summary_Liquiplanung ORG'!B40</f>
        <v>-492150.11</v>
      </c>
      <c r="K40" s="177">
        <f>C40-'Exec.Summary_Liquiplanung ORG'!C40</f>
        <v>-560942.47168780072</v>
      </c>
      <c r="L40" s="177">
        <f>D40-'Exec.Summary_Liquiplanung ORG'!D40</f>
        <v>390040.88568852609</v>
      </c>
      <c r="M40" s="177">
        <f>E40-'Exec.Summary_Liquiplanung ORG'!E40</f>
        <v>-411219.60101863649</v>
      </c>
      <c r="N40" s="177">
        <f t="shared" si="12"/>
        <v>-1074271.297017911</v>
      </c>
      <c r="P40" s="177">
        <f t="shared" ref="P40:V41" si="13">B40-Y40</f>
        <v>0</v>
      </c>
      <c r="Q40" s="177">
        <f t="shared" si="13"/>
        <v>0</v>
      </c>
      <c r="R40" s="177">
        <f t="shared" si="13"/>
        <v>-18003.614485671744</v>
      </c>
      <c r="S40" s="177">
        <f t="shared" si="13"/>
        <v>-111422.18469842523</v>
      </c>
      <c r="T40" s="177">
        <f t="shared" si="13"/>
        <v>1892337.1458577896</v>
      </c>
      <c r="U40" s="177">
        <f t="shared" si="13"/>
        <v>-528800.14354247693</v>
      </c>
      <c r="V40" s="177">
        <f t="shared" si="13"/>
        <v>-157048.1187796779</v>
      </c>
      <c r="W40" s="177">
        <f>SUM(P40:V40)</f>
        <v>1077063.0843515377</v>
      </c>
      <c r="Y40" s="177">
        <v>475599.89</v>
      </c>
      <c r="Z40" s="177">
        <v>3810010.5900000003</v>
      </c>
      <c r="AA40" s="177">
        <v>4316438.0173556712</v>
      </c>
      <c r="AB40" s="177">
        <v>4926481.9793732623</v>
      </c>
      <c r="AC40" s="177">
        <v>4487905.5082115447</v>
      </c>
      <c r="AD40" s="177">
        <v>5437214.6755992519</v>
      </c>
      <c r="AE40" s="177">
        <v>5379403.2990040034</v>
      </c>
      <c r="AF40" s="177">
        <f>SUM(Y40:AE40)</f>
        <v>28833053.959543735</v>
      </c>
    </row>
    <row r="41" spans="1:32" ht="15" thickBot="1" x14ac:dyDescent="0.2">
      <c r="A41" s="205" t="s">
        <v>229</v>
      </c>
      <c r="B41" s="178">
        <f>Dezember24!AH41</f>
        <v>32289.84</v>
      </c>
      <c r="C41" s="178">
        <f>Januar!AH41</f>
        <v>1555527.69</v>
      </c>
      <c r="D41" s="178">
        <f>Februar!AH41</f>
        <v>2856728.1467900006</v>
      </c>
      <c r="E41" s="178">
        <f>März!AH41</f>
        <v>4138219.5242539509</v>
      </c>
      <c r="F41" s="178">
        <f>April!AH41</f>
        <v>4392927.4987149974</v>
      </c>
      <c r="G41" s="178">
        <f>Mai!AH41</f>
        <v>5117116.4412350012</v>
      </c>
      <c r="H41" s="190">
        <f>Juni!AH41</f>
        <v>4920793.1105034798</v>
      </c>
      <c r="J41" s="177">
        <f>B41-'Exec.Summary_Liquiplanung ORG'!B41</f>
        <v>-2181428.91</v>
      </c>
      <c r="K41" s="177">
        <f>C41-'Exec.Summary_Liquiplanung ORG'!C41</f>
        <v>-1621886.3408438982</v>
      </c>
      <c r="L41" s="177">
        <f>D41-'Exec.Summary_Liquiplanung ORG'!D41</f>
        <v>-674081.87722268654</v>
      </c>
      <c r="M41" s="177">
        <f>E41-'Exec.Summary_Liquiplanung ORG'!E41</f>
        <v>-302819.31831010571</v>
      </c>
      <c r="N41" s="177">
        <f t="shared" si="12"/>
        <v>-4780216.4463766906</v>
      </c>
      <c r="P41" s="177">
        <f t="shared" si="13"/>
        <v>0</v>
      </c>
      <c r="Q41" s="177">
        <f t="shared" si="13"/>
        <v>0</v>
      </c>
      <c r="R41" s="177">
        <f t="shared" si="13"/>
        <v>-9001.8072428349406</v>
      </c>
      <c r="S41" s="177">
        <f t="shared" si="13"/>
        <v>-1478928.8809283352</v>
      </c>
      <c r="T41" s="177">
        <f t="shared" si="13"/>
        <v>30265.527421532199</v>
      </c>
      <c r="U41" s="177">
        <f t="shared" si="13"/>
        <v>172457.88706722111</v>
      </c>
      <c r="V41" s="177">
        <f t="shared" si="13"/>
        <v>24811.415048778057</v>
      </c>
      <c r="W41" s="177">
        <f>SUM(P41:V41)</f>
        <v>-1260395.8586336388</v>
      </c>
      <c r="Y41" s="177">
        <v>32289.84</v>
      </c>
      <c r="Z41" s="177">
        <v>1555527.69</v>
      </c>
      <c r="AA41" s="177">
        <v>2865729.9540328356</v>
      </c>
      <c r="AB41" s="177">
        <v>5617148.4051822862</v>
      </c>
      <c r="AC41" s="177">
        <v>4362661.9712934652</v>
      </c>
      <c r="AD41" s="177">
        <v>4944658.5541677801</v>
      </c>
      <c r="AE41" s="177">
        <v>4895981.6954547018</v>
      </c>
      <c r="AF41" s="177">
        <f>SUM(Y41:AE41)</f>
        <v>24273998.11013107</v>
      </c>
    </row>
    <row r="42" spans="1:32" x14ac:dyDescent="0.15">
      <c r="A42" s="201" t="s">
        <v>227</v>
      </c>
      <c r="B42" s="202">
        <f>Dezember24!AH42</f>
        <v>507889.73000000004</v>
      </c>
      <c r="C42" s="202">
        <f>Januar!AH42</f>
        <v>5365538.2799999993</v>
      </c>
      <c r="D42" s="202">
        <f>Februar!AH42</f>
        <v>7176051.9096600013</v>
      </c>
      <c r="E42" s="202">
        <f>März!AH42</f>
        <v>11183006.658928789</v>
      </c>
      <c r="F42" s="202">
        <f>April!AH42</f>
        <v>10773170.152784331</v>
      </c>
      <c r="G42" s="202">
        <f>Mai!AH42</f>
        <v>10025530.973291773</v>
      </c>
      <c r="H42" s="203">
        <f>Juni!AH42</f>
        <v>10143148.290727803</v>
      </c>
      <c r="J42" s="202">
        <f>B42-'Exec.Summary_Liquiplanung ORG'!B42</f>
        <v>-2673579.02</v>
      </c>
      <c r="K42" s="202">
        <f>C42-'Exec.Summary_Liquiplanung ORG'!C42</f>
        <v>-2182828.8125317004</v>
      </c>
      <c r="L42" s="202">
        <f>D42-'Exec.Summary_Liquiplanung ORG'!D42</f>
        <v>-263151.63153415918</v>
      </c>
      <c r="M42" s="202">
        <f>E42-'Exec.Summary_Liquiplanung ORG'!E42</f>
        <v>1515688.42067126</v>
      </c>
      <c r="N42" s="202">
        <f t="shared" si="12"/>
        <v>-3603871.0433945991</v>
      </c>
      <c r="P42" s="202">
        <f t="shared" ref="P42:W42" si="14">SUM(P40:P41)</f>
        <v>0</v>
      </c>
      <c r="Q42" s="202">
        <f t="shared" si="14"/>
        <v>0</v>
      </c>
      <c r="R42" s="202">
        <f t="shared" si="14"/>
        <v>-27005.421728506684</v>
      </c>
      <c r="S42" s="202">
        <f t="shared" si="14"/>
        <v>-1590351.0656267605</v>
      </c>
      <c r="T42" s="202">
        <f t="shared" si="14"/>
        <v>1922602.6732793218</v>
      </c>
      <c r="U42" s="202">
        <f t="shared" si="14"/>
        <v>-356342.25647525582</v>
      </c>
      <c r="V42" s="202">
        <f t="shared" si="14"/>
        <v>-132236.70373089984</v>
      </c>
      <c r="W42" s="202">
        <f t="shared" si="14"/>
        <v>-183332.77428210108</v>
      </c>
      <c r="Y42" s="202">
        <v>507889.73000000004</v>
      </c>
      <c r="Z42" s="202">
        <v>5365538.2799999993</v>
      </c>
      <c r="AA42" s="202">
        <v>7203057.331388508</v>
      </c>
      <c r="AB42" s="202">
        <v>10543630.384555543</v>
      </c>
      <c r="AC42" s="202">
        <v>8850567.4795050099</v>
      </c>
      <c r="AD42" s="202">
        <v>10381873.229767028</v>
      </c>
      <c r="AE42" s="202">
        <v>10275384.994458703</v>
      </c>
      <c r="AF42" s="202">
        <f t="shared" ref="AF42" si="15">SUM(AF40:AF41)</f>
        <v>53107052.069674805</v>
      </c>
    </row>
    <row r="43" spans="1:32" ht="6" customHeight="1" x14ac:dyDescent="0.15">
      <c r="A43" s="200" t="s">
        <v>219</v>
      </c>
      <c r="B43" s="177"/>
      <c r="C43" s="177" t="str">
        <f>Januar!AH43</f>
        <v xml:space="preserve"> </v>
      </c>
      <c r="D43" s="177" t="str">
        <f>Februar!AH43</f>
        <v xml:space="preserve"> </v>
      </c>
      <c r="E43" s="177"/>
      <c r="F43" s="177" t="str">
        <f>April!AH43</f>
        <v xml:space="preserve"> </v>
      </c>
      <c r="G43" s="177" t="str">
        <f>Mai!AH43</f>
        <v xml:space="preserve"> </v>
      </c>
      <c r="H43" s="188" t="str">
        <f>Juni!AH43</f>
        <v xml:space="preserve"> </v>
      </c>
      <c r="J43" s="177"/>
      <c r="K43" s="177"/>
      <c r="L43" s="177"/>
      <c r="M43" s="177"/>
      <c r="N43" s="177">
        <f t="shared" si="12"/>
        <v>0</v>
      </c>
      <c r="P43" s="177"/>
      <c r="Q43" s="177"/>
      <c r="R43" s="177"/>
      <c r="S43" s="177"/>
      <c r="T43" s="177"/>
      <c r="U43" s="177"/>
      <c r="V43" s="177"/>
      <c r="W43" s="177">
        <v>0</v>
      </c>
      <c r="Y43" s="177"/>
      <c r="Z43" s="177" t="s">
        <v>219</v>
      </c>
      <c r="AA43" s="177" t="s">
        <v>219</v>
      </c>
      <c r="AB43" s="177"/>
      <c r="AC43" s="177" t="s">
        <v>219</v>
      </c>
      <c r="AD43" s="177" t="s">
        <v>219</v>
      </c>
      <c r="AE43" s="177" t="s">
        <v>219</v>
      </c>
      <c r="AF43" s="177">
        <v>0</v>
      </c>
    </row>
    <row r="44" spans="1:32" x14ac:dyDescent="0.15">
      <c r="A44" s="200" t="s">
        <v>224</v>
      </c>
      <c r="B44" s="177">
        <f>Dezember24!AH44</f>
        <v>442499.73000000004</v>
      </c>
      <c r="C44" s="177">
        <f>Januar!AH44</f>
        <v>652888.0999999987</v>
      </c>
      <c r="D44" s="177">
        <f>Februar!AH44</f>
        <v>615050.37966000102</v>
      </c>
      <c r="E44" s="177">
        <f>März!AH44</f>
        <v>3371018.0964127886</v>
      </c>
      <c r="F44" s="177">
        <f>April!AH44</f>
        <v>2913712.9277303303</v>
      </c>
      <c r="G44" s="177">
        <f>Mai!AH44</f>
        <v>-1890290.9833709784</v>
      </c>
      <c r="H44" s="188">
        <f>Juni!AH44</f>
        <v>2120610.0897501372</v>
      </c>
      <c r="J44" s="177">
        <f>B44-'Exec.Summary_Liquiplanung ORG'!B44</f>
        <v>-1318969.02</v>
      </c>
      <c r="K44" s="177">
        <f>C44-'Exec.Summary_Liquiplanung ORG'!C44</f>
        <v>-700168.37034632638</v>
      </c>
      <c r="L44" s="177">
        <f>D44-'Exec.Summary_Liquiplanung ORG'!D44</f>
        <v>25186.70152353961</v>
      </c>
      <c r="M44" s="177">
        <f>E44-'Exec.Summary_Liquiplanung ORG'!E44</f>
        <v>4549594.2184539624</v>
      </c>
      <c r="N44" s="177">
        <f t="shared" si="12"/>
        <v>2555643.5296311756</v>
      </c>
      <c r="P44" s="177">
        <f t="shared" ref="P44:V44" si="16">B44-Y44</f>
        <v>0</v>
      </c>
      <c r="Q44" s="177">
        <f t="shared" si="16"/>
        <v>0</v>
      </c>
      <c r="R44" s="177">
        <f t="shared" si="16"/>
        <v>-27005.421728506684</v>
      </c>
      <c r="S44" s="177">
        <f t="shared" si="16"/>
        <v>3602174.1720576291</v>
      </c>
      <c r="T44" s="177">
        <f t="shared" si="16"/>
        <v>3548305.8191881003</v>
      </c>
      <c r="U44" s="177">
        <f t="shared" si="16"/>
        <v>-2225507.3211567942</v>
      </c>
      <c r="V44" s="177">
        <f t="shared" si="16"/>
        <v>4859792.7842704039</v>
      </c>
      <c r="W44" s="177">
        <f>SUM(P44:V44)</f>
        <v>9757760.0326308329</v>
      </c>
      <c r="Y44" s="177">
        <v>442499.73000000004</v>
      </c>
      <c r="Z44" s="177">
        <v>652888.0999999987</v>
      </c>
      <c r="AA44" s="177">
        <v>642055.80138850771</v>
      </c>
      <c r="AB44" s="177">
        <v>-231156.07564484049</v>
      </c>
      <c r="AC44" s="177">
        <v>-634592.89145777002</v>
      </c>
      <c r="AD44" s="177">
        <v>335216.33778581582</v>
      </c>
      <c r="AE44" s="177">
        <v>-2739182.6945202667</v>
      </c>
      <c r="AF44" s="177">
        <f>SUM(Y44:AE44)</f>
        <v>-1532271.692448555</v>
      </c>
    </row>
    <row r="45" spans="1:32" hidden="1" outlineLevel="1" x14ac:dyDescent="0.15">
      <c r="A45" s="200"/>
      <c r="B45" s="177"/>
      <c r="C45" s="177"/>
      <c r="D45" s="177"/>
      <c r="E45" s="177"/>
      <c r="F45" s="177"/>
      <c r="G45" s="177"/>
      <c r="H45" s="188"/>
      <c r="J45" s="177">
        <f>B45-'Exec.Summary_Liquiplanung ORG'!B45</f>
        <v>0</v>
      </c>
      <c r="K45" s="177">
        <f>C45-'Exec.Summary_Liquiplanung ORG'!C45</f>
        <v>0</v>
      </c>
      <c r="L45" s="177">
        <f>D45-'Exec.Summary_Liquiplanung ORG'!D45</f>
        <v>0</v>
      </c>
      <c r="M45" s="177">
        <f>E45-'Exec.Summary_Liquiplanung ORG'!E45</f>
        <v>0</v>
      </c>
      <c r="N45" s="177">
        <f t="shared" si="12"/>
        <v>0</v>
      </c>
      <c r="P45" s="177">
        <v>0</v>
      </c>
      <c r="Q45" s="177">
        <v>0</v>
      </c>
      <c r="R45" s="177">
        <v>0</v>
      </c>
      <c r="S45" s="177">
        <v>0</v>
      </c>
      <c r="T45" s="177">
        <v>0</v>
      </c>
      <c r="U45" s="177">
        <v>0</v>
      </c>
      <c r="V45" s="177">
        <v>0</v>
      </c>
      <c r="W45" s="177">
        <v>0</v>
      </c>
      <c r="Y45" s="177"/>
      <c r="Z45" s="177"/>
      <c r="AA45" s="177"/>
      <c r="AB45" s="177"/>
      <c r="AC45" s="177"/>
      <c r="AD45" s="177"/>
      <c r="AE45" s="177"/>
      <c r="AF45" s="177">
        <v>0</v>
      </c>
    </row>
    <row r="46" spans="1:32" hidden="1" outlineLevel="1" x14ac:dyDescent="0.15">
      <c r="A46" s="200" t="s">
        <v>223</v>
      </c>
      <c r="B46" s="177"/>
      <c r="C46" s="177"/>
      <c r="D46" s="177"/>
      <c r="E46" s="177"/>
      <c r="F46" s="177"/>
      <c r="G46" s="177"/>
      <c r="H46" s="188"/>
      <c r="J46" s="177">
        <f>B46-'Exec.Summary_Liquiplanung ORG'!B46</f>
        <v>0</v>
      </c>
      <c r="K46" s="177">
        <f>C46-'Exec.Summary_Liquiplanung ORG'!C46</f>
        <v>0</v>
      </c>
      <c r="L46" s="177">
        <f>D46-'Exec.Summary_Liquiplanung ORG'!D46</f>
        <v>0</v>
      </c>
      <c r="M46" s="177">
        <f>E46-'Exec.Summary_Liquiplanung ORG'!E46</f>
        <v>0</v>
      </c>
      <c r="N46" s="177">
        <f t="shared" si="12"/>
        <v>0</v>
      </c>
      <c r="P46" s="177">
        <v>0</v>
      </c>
      <c r="Q46" s="177">
        <v>0</v>
      </c>
      <c r="R46" s="177">
        <v>0</v>
      </c>
      <c r="S46" s="177">
        <v>0</v>
      </c>
      <c r="T46" s="177">
        <v>0</v>
      </c>
      <c r="U46" s="177">
        <v>0</v>
      </c>
      <c r="V46" s="177">
        <v>0</v>
      </c>
      <c r="W46" s="177">
        <v>0</v>
      </c>
      <c r="Y46" s="177"/>
      <c r="Z46" s="177"/>
      <c r="AA46" s="177"/>
      <c r="AB46" s="177"/>
      <c r="AC46" s="177"/>
      <c r="AD46" s="177"/>
      <c r="AE46" s="177"/>
      <c r="AF46" s="177">
        <v>0</v>
      </c>
    </row>
    <row r="47" spans="1:32" hidden="1" outlineLevel="1" x14ac:dyDescent="0.15">
      <c r="A47" s="200" t="s">
        <v>219</v>
      </c>
      <c r="B47" s="177"/>
      <c r="C47" s="177"/>
      <c r="D47" s="177"/>
      <c r="E47" s="177"/>
      <c r="F47" s="177"/>
      <c r="G47" s="177"/>
      <c r="H47" s="188"/>
      <c r="J47" s="177">
        <f>B47-'Exec.Summary_Liquiplanung ORG'!B47</f>
        <v>0</v>
      </c>
      <c r="K47" s="177">
        <f>C47-'Exec.Summary_Liquiplanung ORG'!C47</f>
        <v>0</v>
      </c>
      <c r="L47" s="177">
        <f>D47-'Exec.Summary_Liquiplanung ORG'!D47</f>
        <v>0</v>
      </c>
      <c r="M47" s="177">
        <f>E47-'Exec.Summary_Liquiplanung ORG'!E47</f>
        <v>0</v>
      </c>
      <c r="N47" s="177">
        <f t="shared" si="12"/>
        <v>0</v>
      </c>
      <c r="P47" s="177">
        <v>0</v>
      </c>
      <c r="Q47" s="177">
        <v>0</v>
      </c>
      <c r="R47" s="177">
        <v>0</v>
      </c>
      <c r="S47" s="177">
        <v>0</v>
      </c>
      <c r="T47" s="177">
        <v>0</v>
      </c>
      <c r="U47" s="177">
        <v>0</v>
      </c>
      <c r="V47" s="177">
        <v>0</v>
      </c>
      <c r="W47" s="177">
        <v>0</v>
      </c>
      <c r="Y47" s="177"/>
      <c r="Z47" s="177"/>
      <c r="AA47" s="177"/>
      <c r="AB47" s="177"/>
      <c r="AC47" s="177"/>
      <c r="AD47" s="177"/>
      <c r="AE47" s="177"/>
      <c r="AF47" s="177">
        <v>0</v>
      </c>
    </row>
    <row r="48" spans="1:32" hidden="1" outlineLevel="1" x14ac:dyDescent="0.15">
      <c r="A48" s="200" t="s">
        <v>219</v>
      </c>
      <c r="B48" s="177"/>
      <c r="C48" s="177"/>
      <c r="D48" s="177"/>
      <c r="E48" s="177"/>
      <c r="F48" s="177"/>
      <c r="G48" s="177"/>
      <c r="H48" s="188"/>
      <c r="J48" s="177">
        <f>B48-'Exec.Summary_Liquiplanung ORG'!B48</f>
        <v>0</v>
      </c>
      <c r="K48" s="177">
        <f>C48-'Exec.Summary_Liquiplanung ORG'!C48</f>
        <v>0</v>
      </c>
      <c r="L48" s="177">
        <f>D48-'Exec.Summary_Liquiplanung ORG'!D48</f>
        <v>0</v>
      </c>
      <c r="M48" s="177">
        <f>E48-'Exec.Summary_Liquiplanung ORG'!E48</f>
        <v>0</v>
      </c>
      <c r="N48" s="177">
        <f t="shared" si="12"/>
        <v>0</v>
      </c>
      <c r="P48" s="177">
        <v>0</v>
      </c>
      <c r="Q48" s="177">
        <v>0</v>
      </c>
      <c r="R48" s="177">
        <v>0</v>
      </c>
      <c r="S48" s="177">
        <v>0</v>
      </c>
      <c r="T48" s="177">
        <v>0</v>
      </c>
      <c r="U48" s="177">
        <v>0</v>
      </c>
      <c r="V48" s="177">
        <v>0</v>
      </c>
      <c r="W48" s="177">
        <v>0</v>
      </c>
      <c r="Y48" s="177"/>
      <c r="Z48" s="177"/>
      <c r="AA48" s="177"/>
      <c r="AB48" s="177"/>
      <c r="AC48" s="177"/>
      <c r="AD48" s="177"/>
      <c r="AE48" s="177"/>
      <c r="AF48" s="177">
        <v>0</v>
      </c>
    </row>
    <row r="49" spans="1:32" ht="2.5" customHeight="1" collapsed="1" x14ac:dyDescent="0.15">
      <c r="A49" s="206"/>
      <c r="B49" s="177"/>
      <c r="C49" s="177"/>
      <c r="D49" s="177"/>
      <c r="E49" s="177"/>
      <c r="F49" s="177"/>
      <c r="G49" s="177"/>
      <c r="H49" s="188"/>
      <c r="J49" s="177">
        <f>B49-'Exec.Summary_Liquiplanung ORG'!B49</f>
        <v>0</v>
      </c>
      <c r="K49" s="177">
        <f>C49-'Exec.Summary_Liquiplanung ORG'!C49</f>
        <v>0</v>
      </c>
      <c r="L49" s="177">
        <f>D49-'Exec.Summary_Liquiplanung ORG'!D49</f>
        <v>0</v>
      </c>
      <c r="M49" s="177">
        <f>E49-'Exec.Summary_Liquiplanung ORG'!E49</f>
        <v>0</v>
      </c>
      <c r="N49" s="177">
        <f t="shared" si="12"/>
        <v>0</v>
      </c>
      <c r="P49" s="177">
        <v>0</v>
      </c>
      <c r="Q49" s="177">
        <v>0</v>
      </c>
      <c r="R49" s="177">
        <v>0</v>
      </c>
      <c r="S49" s="177">
        <v>0</v>
      </c>
      <c r="T49" s="177">
        <v>0</v>
      </c>
      <c r="U49" s="177">
        <v>0</v>
      </c>
      <c r="V49" s="177">
        <v>0</v>
      </c>
      <c r="W49" s="177">
        <v>0</v>
      </c>
      <c r="Y49" s="177"/>
      <c r="Z49" s="177"/>
      <c r="AA49" s="177"/>
      <c r="AB49" s="177"/>
      <c r="AC49" s="177"/>
      <c r="AD49" s="177"/>
      <c r="AE49" s="177"/>
      <c r="AF49" s="177">
        <v>0</v>
      </c>
    </row>
    <row r="50" spans="1:32" s="20" customFormat="1" ht="21" customHeight="1" thickBot="1" x14ac:dyDescent="0.2">
      <c r="A50" s="294" t="s">
        <v>328</v>
      </c>
      <c r="B50" s="295">
        <f>Dezember24!AG50</f>
        <v>3442499.73</v>
      </c>
      <c r="C50" s="295">
        <f>Januar!AH50</f>
        <v>4095387.8299999987</v>
      </c>
      <c r="D50" s="295">
        <f>Februar!AH50</f>
        <v>4710438.2096600002</v>
      </c>
      <c r="E50" s="295">
        <f>März!AG50</f>
        <v>8081456.306072792</v>
      </c>
      <c r="F50" s="295">
        <f>April!AH50</f>
        <v>10995169.233803123</v>
      </c>
      <c r="G50" s="295">
        <f>Mai!AH50</f>
        <v>9104878.2504321449</v>
      </c>
      <c r="H50" s="296">
        <f>Juni!AH50</f>
        <v>11225488.340182275</v>
      </c>
      <c r="J50" s="297">
        <f>B50-'Exec.Summary_Liquiplanung ORG'!B50</f>
        <v>-1318969.02</v>
      </c>
      <c r="K50" s="297">
        <f>C50-'Exec.Summary_Liquiplanung ORG'!C50</f>
        <v>-2019137.3903463264</v>
      </c>
      <c r="L50" s="297">
        <f>D50-'Exec.Summary_Liquiplanung ORG'!D50</f>
        <v>-1993950.6888227873</v>
      </c>
      <c r="M50" s="297">
        <f>E50-'Exec.Summary_Liquiplanung ORG'!E50</f>
        <v>2555643.5296311807</v>
      </c>
      <c r="N50" s="298">
        <f>+M50</f>
        <v>2555643.5296311807</v>
      </c>
      <c r="P50" s="297">
        <f t="shared" ref="P50:V50" si="17">B50-Y50</f>
        <v>0</v>
      </c>
      <c r="Q50" s="297">
        <f t="shared" si="17"/>
        <v>0</v>
      </c>
      <c r="R50" s="297">
        <f t="shared" si="17"/>
        <v>-27005.421728506684</v>
      </c>
      <c r="S50" s="297">
        <f t="shared" si="17"/>
        <v>3575168.7503291275</v>
      </c>
      <c r="T50" s="297">
        <f t="shared" si="17"/>
        <v>7123474.5695172288</v>
      </c>
      <c r="U50" s="297">
        <f t="shared" si="17"/>
        <v>4897967.2483604345</v>
      </c>
      <c r="V50" s="297">
        <f t="shared" si="17"/>
        <v>9757760.0326308273</v>
      </c>
      <c r="W50" s="298">
        <f>V50</f>
        <v>9757760.0326308273</v>
      </c>
      <c r="Y50" s="297">
        <v>3442499.73</v>
      </c>
      <c r="Z50" s="297">
        <v>4095387.8299999987</v>
      </c>
      <c r="AA50" s="297">
        <v>4737443.6313885069</v>
      </c>
      <c r="AB50" s="297">
        <v>4506287.5557436645</v>
      </c>
      <c r="AC50" s="297">
        <v>3871694.6642858945</v>
      </c>
      <c r="AD50" s="297">
        <v>4206911.0020717103</v>
      </c>
      <c r="AE50" s="297">
        <v>1467728.3075514473</v>
      </c>
      <c r="AF50" s="298">
        <f>AE50</f>
        <v>1467728.3075514473</v>
      </c>
    </row>
    <row r="51" spans="1:32" ht="15" hidden="1" outlineLevel="1" thickBot="1" x14ac:dyDescent="0.2">
      <c r="A51" s="207" t="s">
        <v>328</v>
      </c>
      <c r="B51" s="182">
        <v>4761468.75</v>
      </c>
      <c r="C51" s="182">
        <v>6114525.2203463251</v>
      </c>
      <c r="D51" s="182">
        <v>6704388.8984827874</v>
      </c>
      <c r="E51" s="182">
        <v>5525812.7764416113</v>
      </c>
      <c r="F51" s="182">
        <v>4526136.1668738332</v>
      </c>
      <c r="G51" s="182">
        <v>4258286.8750682548</v>
      </c>
      <c r="H51" s="208">
        <v>1326394.7960789334</v>
      </c>
      <c r="K51" s="177"/>
      <c r="L51" s="177"/>
      <c r="M51" s="177"/>
    </row>
    <row r="52" spans="1:32" ht="13" hidden="1" outlineLevel="1" x14ac:dyDescent="0.15">
      <c r="A52"/>
      <c r="B52" s="177">
        <f t="shared" ref="B52:H52" si="18">B50-B51</f>
        <v>-1318969.02</v>
      </c>
      <c r="C52" s="177">
        <f t="shared" si="18"/>
        <v>-2019137.3903463264</v>
      </c>
      <c r="D52" s="177">
        <f t="shared" si="18"/>
        <v>-1993950.6888227873</v>
      </c>
      <c r="E52" s="177">
        <f t="shared" si="18"/>
        <v>2555643.5296311807</v>
      </c>
      <c r="F52" s="177">
        <f t="shared" si="18"/>
        <v>6469033.0669292901</v>
      </c>
      <c r="G52" s="177">
        <f t="shared" si="18"/>
        <v>4846591.3753638901</v>
      </c>
      <c r="H52" s="177">
        <f t="shared" si="18"/>
        <v>9899093.5441033412</v>
      </c>
    </row>
    <row r="53" spans="1:32" ht="13" collapsed="1" x14ac:dyDescent="0.15">
      <c r="A53"/>
      <c r="B53" s="177"/>
      <c r="C53" s="177"/>
      <c r="D53" s="177"/>
      <c r="E53" s="177"/>
      <c r="F53" s="177"/>
      <c r="G53" s="177"/>
      <c r="H53" s="177"/>
    </row>
    <row r="54" spans="1:32" x14ac:dyDescent="0.15">
      <c r="A54" s="219" t="s">
        <v>407</v>
      </c>
      <c r="C54" s="74"/>
      <c r="D54" s="74"/>
      <c r="E54" s="74"/>
      <c r="F54" s="74"/>
      <c r="G54" s="74"/>
      <c r="H54" s="176"/>
      <c r="I54" s="74"/>
      <c r="J54" s="74"/>
      <c r="K54" s="74"/>
      <c r="L54" s="74"/>
      <c r="M54" s="74"/>
      <c r="N54" s="74"/>
      <c r="O54" s="74"/>
    </row>
    <row r="55" spans="1:32" ht="14" customHeight="1" x14ac:dyDescent="0.15">
      <c r="A55" s="258" t="s">
        <v>518</v>
      </c>
      <c r="B55" s="258" t="s">
        <v>393</v>
      </c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</row>
    <row r="56" spans="1:32" ht="13" x14ac:dyDescent="0.15">
      <c r="A56" s="261"/>
      <c r="B56" s="48"/>
      <c r="C56" s="349"/>
      <c r="D56" s="349"/>
      <c r="E56" s="349"/>
      <c r="F56" s="349"/>
      <c r="G56" s="349"/>
      <c r="H56" s="349"/>
      <c r="I56" s="255"/>
      <c r="J56" s="255"/>
      <c r="K56" s="255"/>
      <c r="L56" s="255"/>
      <c r="M56" s="255"/>
      <c r="N56" s="255"/>
      <c r="O56" s="255"/>
    </row>
    <row r="57" spans="1:32" ht="13" x14ac:dyDescent="0.15">
      <c r="A57" s="261"/>
      <c r="B57" s="48"/>
      <c r="C57" s="262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</row>
    <row r="58" spans="1:32" ht="13" x14ac:dyDescent="0.15">
      <c r="A58" s="261"/>
      <c r="B58" s="48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</row>
    <row r="59" spans="1:32" ht="25.25" customHeight="1" x14ac:dyDescent="0.15">
      <c r="A59" s="258" t="s">
        <v>394</v>
      </c>
      <c r="B59" s="258" t="s">
        <v>393</v>
      </c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</row>
    <row r="60" spans="1:32" ht="13" x14ac:dyDescent="0.15">
      <c r="A60" s="261"/>
      <c r="B60" s="256"/>
      <c r="C60" s="262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</row>
    <row r="61" spans="1:32" ht="13" x14ac:dyDescent="0.15">
      <c r="A61" s="261"/>
      <c r="B61" s="256"/>
      <c r="C61" s="350"/>
      <c r="D61" s="350"/>
      <c r="E61" s="350"/>
      <c r="F61" s="350"/>
      <c r="G61" s="350"/>
      <c r="H61" s="350"/>
      <c r="I61" s="255"/>
      <c r="J61" s="255"/>
      <c r="K61" s="255"/>
      <c r="L61" s="255"/>
      <c r="M61" s="255"/>
      <c r="N61" s="255"/>
      <c r="O61" s="255"/>
    </row>
    <row r="62" spans="1:32" ht="13" x14ac:dyDescent="0.15">
      <c r="A62" s="254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</row>
    <row r="63" spans="1:32" ht="20" customHeight="1" x14ac:dyDescent="0.15">
      <c r="A63" s="258" t="s">
        <v>391</v>
      </c>
      <c r="B63" s="259">
        <f>SUM(B56:B62)</f>
        <v>0</v>
      </c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</row>
    <row r="64" spans="1:32" ht="13" x14ac:dyDescent="0.15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</row>
    <row r="65" spans="1:15" ht="27.75" customHeight="1" x14ac:dyDescent="0.1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</row>
    <row r="66" spans="1:15" ht="13" x14ac:dyDescent="0.15">
      <c r="A66" s="261"/>
      <c r="B66" s="262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</row>
    <row r="67" spans="1:15" ht="13" x14ac:dyDescent="0.15">
      <c r="A67" s="261"/>
      <c r="B67" s="177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</row>
    <row r="68" spans="1:15" ht="13" x14ac:dyDescent="0.15">
      <c r="A68"/>
      <c r="B68" s="177"/>
    </row>
    <row r="69" spans="1:15" ht="13" x14ac:dyDescent="0.15">
      <c r="A69"/>
      <c r="B69" s="177"/>
    </row>
    <row r="70" spans="1:15" ht="13" x14ac:dyDescent="0.15">
      <c r="A70"/>
    </row>
    <row r="71" spans="1:15" ht="13" x14ac:dyDescent="0.15">
      <c r="A71"/>
    </row>
    <row r="72" spans="1:15" ht="13" x14ac:dyDescent="0.15">
      <c r="A72"/>
    </row>
    <row r="73" spans="1:15" ht="13" x14ac:dyDescent="0.15">
      <c r="A73"/>
    </row>
    <row r="74" spans="1:15" ht="13" x14ac:dyDescent="0.15">
      <c r="A74"/>
    </row>
    <row r="75" spans="1:15" ht="13" x14ac:dyDescent="0.15">
      <c r="A75"/>
    </row>
    <row r="76" spans="1:15" ht="13" x14ac:dyDescent="0.15">
      <c r="A76"/>
    </row>
    <row r="77" spans="1:15" ht="13" x14ac:dyDescent="0.15">
      <c r="A77"/>
    </row>
    <row r="79" spans="1:15" x14ac:dyDescent="0.15">
      <c r="A79" s="104"/>
    </row>
  </sheetData>
  <mergeCells count="5">
    <mergeCell ref="J1:N1"/>
    <mergeCell ref="P1:W1"/>
    <mergeCell ref="Y1:AF1"/>
    <mergeCell ref="C56:H56"/>
    <mergeCell ref="C61:H61"/>
  </mergeCells>
  <pageMargins left="0.70866141732283472" right="0.70866141732283472" top="0.74803149606299213" bottom="0.74803149606299213" header="0.31496062992125984" footer="0.31496062992125984"/>
  <pageSetup paperSize="9" scale="56" orientation="landscape" r:id="rId1"/>
  <headerFooter>
    <oddFooter>&amp;L&amp;F/&amp;A&amp;R&amp;D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52</vt:i4>
      </vt:variant>
      <vt:variant>
        <vt:lpstr>Benannte Bereiche</vt:lpstr>
      </vt:variant>
      <vt:variant>
        <vt:i4>121</vt:i4>
      </vt:variant>
    </vt:vector>
  </HeadingPairs>
  <TitlesOfParts>
    <vt:vector size="173" baseType="lpstr">
      <vt:lpstr>Phased P&amp;L Budget (2)</vt:lpstr>
      <vt:lpstr>Reporting</vt:lpstr>
      <vt:lpstr>Exec.Summary_Liquiplanung</vt:lpstr>
      <vt:lpstr>Exec Summary_Sanierung</vt:lpstr>
      <vt:lpstr>Exec Summary_Base Case</vt:lpstr>
      <vt:lpstr>Dezember24</vt:lpstr>
      <vt:lpstr>Januar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Budget 25 LH AG</vt:lpstr>
      <vt:lpstr>Overview</vt:lpstr>
      <vt:lpstr>HQ only</vt:lpstr>
      <vt:lpstr>Hotels Only</vt:lpstr>
      <vt:lpstr>Kudamm</vt:lpstr>
      <vt:lpstr>data entry Kudamm</vt:lpstr>
      <vt:lpstr>Airport</vt:lpstr>
      <vt:lpstr>data entry Airport</vt:lpstr>
      <vt:lpstr>Höchst</vt:lpstr>
      <vt:lpstr>Seestern</vt:lpstr>
      <vt:lpstr>Data entry Seestern</vt:lpstr>
      <vt:lpstr>Main Plaza</vt:lpstr>
      <vt:lpstr>Data Entry Höchst</vt:lpstr>
      <vt:lpstr>Data Entry Main Plaza</vt:lpstr>
      <vt:lpstr>Michel</vt:lpstr>
      <vt:lpstr>Data entry Michel</vt:lpstr>
      <vt:lpstr>Köln Dom</vt:lpstr>
      <vt:lpstr>Data entry Dom</vt:lpstr>
      <vt:lpstr>City Plza</vt:lpstr>
      <vt:lpstr>Data Entry Köln City Plaza</vt:lpstr>
      <vt:lpstr>Leverkusen</vt:lpstr>
      <vt:lpstr>Data Entry Leverkusen</vt:lpstr>
      <vt:lpstr>data entry LH AG</vt:lpstr>
      <vt:lpstr>Exec.Summary_Liquiplanung ORG</vt:lpstr>
      <vt:lpstr>Oberstaufen</vt:lpstr>
      <vt:lpstr>Data entry Oberstaufen</vt:lpstr>
      <vt:lpstr>Sylt</vt:lpstr>
      <vt:lpstr>Data entry Wiesensee</vt:lpstr>
      <vt:lpstr>Data entry sylt</vt:lpstr>
      <vt:lpstr>Wiesensee</vt:lpstr>
      <vt:lpstr>MAA Mainz</vt:lpstr>
      <vt:lpstr>Data entry MAA Mainz</vt:lpstr>
      <vt:lpstr>Data entry hotel only</vt:lpstr>
      <vt:lpstr>Data entry HQ only</vt:lpstr>
      <vt:lpstr>HQ only ORG</vt:lpstr>
      <vt:lpstr>Hotels ORG</vt:lpstr>
      <vt:lpstr>Exec.Summary_Liquiplanung (2)</vt:lpstr>
      <vt:lpstr>_1.</vt:lpstr>
      <vt:lpstr>_1.S</vt:lpstr>
      <vt:lpstr>_10.</vt:lpstr>
      <vt:lpstr>_10.s</vt:lpstr>
      <vt:lpstr>_11.</vt:lpstr>
      <vt:lpstr>_11.s</vt:lpstr>
      <vt:lpstr>_12.</vt:lpstr>
      <vt:lpstr>_12.s</vt:lpstr>
      <vt:lpstr>_13.</vt:lpstr>
      <vt:lpstr>_13.s</vt:lpstr>
      <vt:lpstr>_14.</vt:lpstr>
      <vt:lpstr>_14.s</vt:lpstr>
      <vt:lpstr>_15.</vt:lpstr>
      <vt:lpstr>_15.s</vt:lpstr>
      <vt:lpstr>_16.</vt:lpstr>
      <vt:lpstr>_16.s</vt:lpstr>
      <vt:lpstr>_17.</vt:lpstr>
      <vt:lpstr>_17.s</vt:lpstr>
      <vt:lpstr>_18.</vt:lpstr>
      <vt:lpstr>_18.s</vt:lpstr>
      <vt:lpstr>_19.</vt:lpstr>
      <vt:lpstr>_19.s</vt:lpstr>
      <vt:lpstr>_2.</vt:lpstr>
      <vt:lpstr>_2.s</vt:lpstr>
      <vt:lpstr>_20.</vt:lpstr>
      <vt:lpstr>_20.s</vt:lpstr>
      <vt:lpstr>_21.</vt:lpstr>
      <vt:lpstr>_21.s</vt:lpstr>
      <vt:lpstr>_22.</vt:lpstr>
      <vt:lpstr>_22.s</vt:lpstr>
      <vt:lpstr>_23.</vt:lpstr>
      <vt:lpstr>_23.s</vt:lpstr>
      <vt:lpstr>_24.</vt:lpstr>
      <vt:lpstr>_24.s</vt:lpstr>
      <vt:lpstr>_25.a</vt:lpstr>
      <vt:lpstr>_25.b</vt:lpstr>
      <vt:lpstr>_25.s</vt:lpstr>
      <vt:lpstr>_26.a</vt:lpstr>
      <vt:lpstr>_26.b</vt:lpstr>
      <vt:lpstr>_26.s</vt:lpstr>
      <vt:lpstr>_27.a</vt:lpstr>
      <vt:lpstr>_27.b</vt:lpstr>
      <vt:lpstr>_27.s</vt:lpstr>
      <vt:lpstr>_28.a</vt:lpstr>
      <vt:lpstr>_28.b</vt:lpstr>
      <vt:lpstr>_28.s</vt:lpstr>
      <vt:lpstr>_29.a</vt:lpstr>
      <vt:lpstr>_29.b</vt:lpstr>
      <vt:lpstr>_29.s</vt:lpstr>
      <vt:lpstr>_3.</vt:lpstr>
      <vt:lpstr>_3.s</vt:lpstr>
      <vt:lpstr>_30.a</vt:lpstr>
      <vt:lpstr>_30.b</vt:lpstr>
      <vt:lpstr>_4.</vt:lpstr>
      <vt:lpstr>_4.s</vt:lpstr>
      <vt:lpstr>_5.</vt:lpstr>
      <vt:lpstr>_5.s</vt:lpstr>
      <vt:lpstr>_6.</vt:lpstr>
      <vt:lpstr>_6.s</vt:lpstr>
      <vt:lpstr>_7.</vt:lpstr>
      <vt:lpstr>_7.s</vt:lpstr>
      <vt:lpstr>_8.</vt:lpstr>
      <vt:lpstr>_8.s</vt:lpstr>
      <vt:lpstr>_9.</vt:lpstr>
      <vt:lpstr>_9.s</vt:lpstr>
      <vt:lpstr>April!Druckbereich</vt:lpstr>
      <vt:lpstr>August!Druckbereich</vt:lpstr>
      <vt:lpstr>'Exec Summary_Sanierung'!Druckbereich</vt:lpstr>
      <vt:lpstr>Exec.Summary_Liquiplanung!Druckbereich</vt:lpstr>
      <vt:lpstr>'Exec.Summary_Liquiplanung (2)'!Druckbereich</vt:lpstr>
      <vt:lpstr>'Exec.Summary_Liquiplanung ORG'!Druckbereich</vt:lpstr>
      <vt:lpstr>Februar!Druckbereich</vt:lpstr>
      <vt:lpstr>Januar!Druckbereich</vt:lpstr>
      <vt:lpstr>Juli!Druckbereich</vt:lpstr>
      <vt:lpstr>Juni!Druckbereich</vt:lpstr>
      <vt:lpstr>Mai!Druckbereich</vt:lpstr>
      <vt:lpstr>März!Druckbereich</vt:lpstr>
      <vt:lpstr>Reporting!Druckbereich</vt:lpstr>
      <vt:lpstr>September!Druckbereich</vt:lpstr>
      <vt:lpstr>Airport!Drucktitel</vt:lpstr>
      <vt:lpstr>April!Drucktitel</vt:lpstr>
      <vt:lpstr>'Budget 25 LH AG'!Drucktitel</vt:lpstr>
      <vt:lpstr>'City Plza'!Drucktitel</vt:lpstr>
      <vt:lpstr>'data entry Airport'!Drucktitel</vt:lpstr>
      <vt:lpstr>'Data entry Dom'!Drucktitel</vt:lpstr>
      <vt:lpstr>'Data Entry Höchst'!Drucktitel</vt:lpstr>
      <vt:lpstr>'Data entry hotel only'!Drucktitel</vt:lpstr>
      <vt:lpstr>'Data entry HQ only'!Drucktitel</vt:lpstr>
      <vt:lpstr>'Data Entry Köln City Plaza'!Drucktitel</vt:lpstr>
      <vt:lpstr>'data entry Kudamm'!Drucktitel</vt:lpstr>
      <vt:lpstr>'Data Entry Leverkusen'!Drucktitel</vt:lpstr>
      <vt:lpstr>'data entry LH AG'!Drucktitel</vt:lpstr>
      <vt:lpstr>'Data entry MAA Mainz'!Drucktitel</vt:lpstr>
      <vt:lpstr>'Data Entry Main Plaza'!Drucktitel</vt:lpstr>
      <vt:lpstr>'Data entry Michel'!Drucktitel</vt:lpstr>
      <vt:lpstr>'Data entry Oberstaufen'!Drucktitel</vt:lpstr>
      <vt:lpstr>'Data entry Seestern'!Drucktitel</vt:lpstr>
      <vt:lpstr>'Data entry sylt'!Drucktitel</vt:lpstr>
      <vt:lpstr>'Data entry Wiesensee'!Drucktitel</vt:lpstr>
      <vt:lpstr>Februar!Drucktitel</vt:lpstr>
      <vt:lpstr>Höchst!Drucktitel</vt:lpstr>
      <vt:lpstr>'Hotels Only'!Drucktitel</vt:lpstr>
      <vt:lpstr>'Hotels ORG'!Drucktitel</vt:lpstr>
      <vt:lpstr>'HQ only'!Drucktitel</vt:lpstr>
      <vt:lpstr>'HQ only ORG'!Drucktitel</vt:lpstr>
      <vt:lpstr>Januar!Drucktitel</vt:lpstr>
      <vt:lpstr>'Köln Dom'!Drucktitel</vt:lpstr>
      <vt:lpstr>Kudamm!Drucktitel</vt:lpstr>
      <vt:lpstr>Leverkusen!Drucktitel</vt:lpstr>
      <vt:lpstr>'MAA Mainz'!Drucktitel</vt:lpstr>
      <vt:lpstr>Mai!Drucktitel</vt:lpstr>
      <vt:lpstr>'Main Plaza'!Drucktitel</vt:lpstr>
      <vt:lpstr>März!Drucktitel</vt:lpstr>
      <vt:lpstr>Michel!Drucktitel</vt:lpstr>
      <vt:lpstr>Oberstaufen!Drucktitel</vt:lpstr>
      <vt:lpstr>'Phased P&amp;L Budget (2)'!Drucktitel</vt:lpstr>
      <vt:lpstr>Seestern!Drucktitel</vt:lpstr>
      <vt:lpstr>Sylt!Drucktitel</vt:lpstr>
      <vt:lpstr>Wiesensee!Drucktitel</vt:lpstr>
      <vt:lpstr>KH_beteil</vt:lpstr>
      <vt:lpstr>val_hot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Niels K</cp:lastModifiedBy>
  <cp:lastPrinted>2024-12-16T14:49:34Z</cp:lastPrinted>
  <dcterms:created xsi:type="dcterms:W3CDTF">2024-12-14T13:35:02Z</dcterms:created>
  <dcterms:modified xsi:type="dcterms:W3CDTF">2025-07-25T16:17:08Z</dcterms:modified>
  <cp:category/>
</cp:coreProperties>
</file>