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/>
  <mc:AlternateContent xmlns:mc="http://schemas.openxmlformats.org/markup-compatibility/2006">
    <mc:Choice Requires="x15">
      <x15ac:absPath xmlns:x15ac="http://schemas.microsoft.com/office/spreadsheetml/2010/11/ac" url="/Users/anikashankar/Desktop/"/>
    </mc:Choice>
  </mc:AlternateContent>
  <xr:revisionPtr revIDLastSave="0" documentId="13_ncr:1_{FD5355C6-8367-CA41-BCB6-CCCF6EF120BF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F_B" sheetId="1" r:id="rId1"/>
    <sheet name="WFJ" sheetId="2" r:id="rId2"/>
    <sheet name="FASHION" sheetId="3" r:id="rId3"/>
    <sheet name="PAID SEARCH" sheetId="4" r:id="rId4"/>
  </sheets>
  <definedNames>
    <definedName name="Query_from_UnBilled_1" localSheetId="0">F_B!$A$1:$AU$115</definedName>
    <definedName name="Query_from_UnBilled_1" localSheetId="2">FASHION!$A$1:$AU$63</definedName>
    <definedName name="Query_from_UnBilled_1" localSheetId="3">'PAID SEARCH'!$A$1:$AU$25</definedName>
    <definedName name="Query_from_UnBilled_1" localSheetId="1">WFJ!$A$1:$AU$36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4" l="1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I22" i="3"/>
  <c r="AI31" i="3"/>
  <c r="AI63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I30" i="3" s="1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I54" i="3" s="1"/>
  <c r="AH55" i="3"/>
  <c r="AH56" i="3"/>
  <c r="AH57" i="3"/>
  <c r="AH58" i="3"/>
  <c r="AH59" i="3"/>
  <c r="AH60" i="3"/>
  <c r="AH61" i="3"/>
  <c r="AH62" i="3"/>
  <c r="AI62" i="3" s="1"/>
  <c r="AH63" i="3"/>
  <c r="AD2" i="3"/>
  <c r="AI2" i="3" s="1"/>
  <c r="AD3" i="3"/>
  <c r="AI3" i="3" s="1"/>
  <c r="AD4" i="3"/>
  <c r="AI4" i="3" s="1"/>
  <c r="AD5" i="3"/>
  <c r="AD6" i="3"/>
  <c r="AI6" i="3" s="1"/>
  <c r="AD7" i="3"/>
  <c r="AI7" i="3" s="1"/>
  <c r="AD8" i="3"/>
  <c r="AI8" i="3" s="1"/>
  <c r="AD9" i="3"/>
  <c r="AD10" i="3"/>
  <c r="AI10" i="3" s="1"/>
  <c r="AD11" i="3"/>
  <c r="AI11" i="3" s="1"/>
  <c r="AD12" i="3"/>
  <c r="AI12" i="3" s="1"/>
  <c r="AD13" i="3"/>
  <c r="AD14" i="3"/>
  <c r="AI14" i="3" s="1"/>
  <c r="AD15" i="3"/>
  <c r="AI15" i="3" s="1"/>
  <c r="AD16" i="3"/>
  <c r="AI16" i="3" s="1"/>
  <c r="AD17" i="3"/>
  <c r="AD18" i="3"/>
  <c r="AI18" i="3" s="1"/>
  <c r="AD19" i="3"/>
  <c r="AI19" i="3" s="1"/>
  <c r="AD20" i="3"/>
  <c r="AI20" i="3" s="1"/>
  <c r="AD21" i="3"/>
  <c r="AD22" i="3"/>
  <c r="AD23" i="3"/>
  <c r="AI23" i="3" s="1"/>
  <c r="AD24" i="3"/>
  <c r="AI24" i="3" s="1"/>
  <c r="AD25" i="3"/>
  <c r="AD26" i="3"/>
  <c r="AI26" i="3" s="1"/>
  <c r="AD27" i="3"/>
  <c r="AI27" i="3" s="1"/>
  <c r="AD28" i="3"/>
  <c r="AI28" i="3" s="1"/>
  <c r="AD29" i="3"/>
  <c r="AD30" i="3"/>
  <c r="AD31" i="3"/>
  <c r="AD32" i="3"/>
  <c r="AD33" i="3"/>
  <c r="AD34" i="3"/>
  <c r="AI34" i="3" s="1"/>
  <c r="AD35" i="3"/>
  <c r="AI35" i="3" s="1"/>
  <c r="AD36" i="3"/>
  <c r="AI36" i="3" s="1"/>
  <c r="AD37" i="3"/>
  <c r="AD38" i="3"/>
  <c r="AI38" i="3" s="1"/>
  <c r="AD39" i="3"/>
  <c r="AI39" i="3" s="1"/>
  <c r="AD40" i="3"/>
  <c r="AD41" i="3"/>
  <c r="AD42" i="3"/>
  <c r="AI42" i="3" s="1"/>
  <c r="AD43" i="3"/>
  <c r="AI43" i="3" s="1"/>
  <c r="AD44" i="3"/>
  <c r="AI44" i="3" s="1"/>
  <c r="AD45" i="3"/>
  <c r="AD46" i="3"/>
  <c r="AI46" i="3" s="1"/>
  <c r="AD47" i="3"/>
  <c r="AI47" i="3" s="1"/>
  <c r="AD48" i="3"/>
  <c r="AD49" i="3"/>
  <c r="AD50" i="3"/>
  <c r="AI50" i="3" s="1"/>
  <c r="AD51" i="3"/>
  <c r="AI51" i="3" s="1"/>
  <c r="AD52" i="3"/>
  <c r="AI52" i="3" s="1"/>
  <c r="AD53" i="3"/>
  <c r="AD54" i="3"/>
  <c r="AD55" i="3"/>
  <c r="AI55" i="3" s="1"/>
  <c r="AD56" i="3"/>
  <c r="AD57" i="3"/>
  <c r="AD58" i="3"/>
  <c r="AI58" i="3" s="1"/>
  <c r="AD59" i="3"/>
  <c r="AI59" i="3" s="1"/>
  <c r="AD60" i="3"/>
  <c r="AI60" i="3" s="1"/>
  <c r="AD61" i="3"/>
  <c r="AD62" i="3"/>
  <c r="AD63" i="3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2" i="1"/>
  <c r="AI11" i="1"/>
  <c r="AI19" i="1"/>
  <c r="AI27" i="1"/>
  <c r="AI35" i="1"/>
  <c r="AI3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I69" i="1" s="1"/>
  <c r="AH70" i="1"/>
  <c r="AI70" i="1" s="1"/>
  <c r="AH71" i="1"/>
  <c r="AH72" i="1"/>
  <c r="AH73" i="1"/>
  <c r="AH7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I25" i="1" s="1"/>
  <c r="AH26" i="1"/>
  <c r="AH27" i="1"/>
  <c r="AH28" i="1"/>
  <c r="AH29" i="1"/>
  <c r="AH30" i="1"/>
  <c r="AH31" i="1"/>
  <c r="AH32" i="1"/>
  <c r="AH33" i="1"/>
  <c r="AH34" i="1"/>
  <c r="AH35" i="1"/>
  <c r="AD98" i="1"/>
  <c r="AD99" i="1"/>
  <c r="AI99" i="1" s="1"/>
  <c r="AD100" i="1"/>
  <c r="AI100" i="1" s="1"/>
  <c r="AD101" i="1"/>
  <c r="AI101" i="1" s="1"/>
  <c r="AD102" i="1"/>
  <c r="AI102" i="1" s="1"/>
  <c r="AD103" i="1"/>
  <c r="AI103" i="1" s="1"/>
  <c r="AD104" i="1"/>
  <c r="AI104" i="1" s="1"/>
  <c r="AD105" i="1"/>
  <c r="AI105" i="1" s="1"/>
  <c r="AD106" i="1"/>
  <c r="AI106" i="1" s="1"/>
  <c r="AD107" i="1"/>
  <c r="AI107" i="1" s="1"/>
  <c r="AD108" i="1"/>
  <c r="AI108" i="1" s="1"/>
  <c r="AD109" i="1"/>
  <c r="AI109" i="1" s="1"/>
  <c r="AD110" i="1"/>
  <c r="AI110" i="1" s="1"/>
  <c r="AD111" i="1"/>
  <c r="AI111" i="1" s="1"/>
  <c r="AD112" i="1"/>
  <c r="AI112" i="1" s="1"/>
  <c r="AD113" i="1"/>
  <c r="AI113" i="1" s="1"/>
  <c r="AD114" i="1"/>
  <c r="AI114" i="1" s="1"/>
  <c r="AD115" i="1"/>
  <c r="AI115" i="1" s="1"/>
  <c r="AD46" i="1"/>
  <c r="AI46" i="1" s="1"/>
  <c r="AD47" i="1"/>
  <c r="AI47" i="1" s="1"/>
  <c r="AD48" i="1"/>
  <c r="AI48" i="1" s="1"/>
  <c r="AD49" i="1"/>
  <c r="AI49" i="1" s="1"/>
  <c r="AD50" i="1"/>
  <c r="AI50" i="1" s="1"/>
  <c r="AD51" i="1"/>
  <c r="AI51" i="1" s="1"/>
  <c r="AD52" i="1"/>
  <c r="AI52" i="1" s="1"/>
  <c r="AD53" i="1"/>
  <c r="AI53" i="1" s="1"/>
  <c r="AD54" i="1"/>
  <c r="AI54" i="1" s="1"/>
  <c r="AD55" i="1"/>
  <c r="AI55" i="1" s="1"/>
  <c r="AD56" i="1"/>
  <c r="AI56" i="1" s="1"/>
  <c r="AD57" i="1"/>
  <c r="AI57" i="1" s="1"/>
  <c r="AD58" i="1"/>
  <c r="AI58" i="1" s="1"/>
  <c r="AD59" i="1"/>
  <c r="AI59" i="1" s="1"/>
  <c r="AD60" i="1"/>
  <c r="AI60" i="1" s="1"/>
  <c r="AD61" i="1"/>
  <c r="AI61" i="1" s="1"/>
  <c r="AD62" i="1"/>
  <c r="AI62" i="1" s="1"/>
  <c r="AD63" i="1"/>
  <c r="AI63" i="1" s="1"/>
  <c r="AD64" i="1"/>
  <c r="AI64" i="1" s="1"/>
  <c r="AD65" i="1"/>
  <c r="AI65" i="1" s="1"/>
  <c r="AD66" i="1"/>
  <c r="AI66" i="1" s="1"/>
  <c r="AD67" i="1"/>
  <c r="AI67" i="1" s="1"/>
  <c r="AD68" i="1"/>
  <c r="AI68" i="1" s="1"/>
  <c r="AD32" i="1"/>
  <c r="AI32" i="1" s="1"/>
  <c r="AD33" i="1"/>
  <c r="AI33" i="1" s="1"/>
  <c r="AD34" i="1"/>
  <c r="AI34" i="1" s="1"/>
  <c r="AD35" i="1"/>
  <c r="AD36" i="1"/>
  <c r="AI36" i="1" s="1"/>
  <c r="AD37" i="1"/>
  <c r="AI37" i="1" s="1"/>
  <c r="AD38" i="1"/>
  <c r="AD39" i="1"/>
  <c r="AI39" i="1" s="1"/>
  <c r="AD40" i="1"/>
  <c r="AI40" i="1" s="1"/>
  <c r="AD41" i="1"/>
  <c r="AI41" i="1" s="1"/>
  <c r="AD42" i="1"/>
  <c r="AI42" i="1" s="1"/>
  <c r="AD43" i="1"/>
  <c r="AI43" i="1" s="1"/>
  <c r="AD44" i="1"/>
  <c r="AI44" i="1" s="1"/>
  <c r="AD45" i="1"/>
  <c r="AI45" i="1" s="1"/>
  <c r="AD20" i="1"/>
  <c r="AI20" i="1" s="1"/>
  <c r="AD21" i="1"/>
  <c r="AI21" i="1" s="1"/>
  <c r="AD22" i="1"/>
  <c r="AI22" i="1" s="1"/>
  <c r="AD23" i="1"/>
  <c r="AI23" i="1" s="1"/>
  <c r="AD24" i="1"/>
  <c r="AI24" i="1" s="1"/>
  <c r="AD25" i="1"/>
  <c r="AD26" i="1"/>
  <c r="AI26" i="1" s="1"/>
  <c r="AD27" i="1"/>
  <c r="AD28" i="1"/>
  <c r="AI28" i="1" s="1"/>
  <c r="AD29" i="1"/>
  <c r="AI29" i="1" s="1"/>
  <c r="AD30" i="1"/>
  <c r="AI30" i="1" s="1"/>
  <c r="AD31" i="1"/>
  <c r="AI31" i="1" s="1"/>
  <c r="AD10" i="1"/>
  <c r="AI10" i="1" s="1"/>
  <c r="AD11" i="1"/>
  <c r="AD12" i="1"/>
  <c r="AI12" i="1" s="1"/>
  <c r="AD13" i="1"/>
  <c r="AI13" i="1" s="1"/>
  <c r="AD14" i="1"/>
  <c r="AI14" i="1" s="1"/>
  <c r="AD15" i="1"/>
  <c r="AI15" i="1" s="1"/>
  <c r="AD16" i="1"/>
  <c r="AI16" i="1" s="1"/>
  <c r="AD17" i="1"/>
  <c r="AI17" i="1" s="1"/>
  <c r="AD18" i="1"/>
  <c r="AI18" i="1" s="1"/>
  <c r="AD19" i="1"/>
  <c r="Y64" i="3"/>
  <c r="AA64" i="3"/>
  <c r="AB64" i="3"/>
  <c r="AC64" i="3"/>
  <c r="AE64" i="3"/>
  <c r="AF64" i="3"/>
  <c r="AG64" i="3"/>
  <c r="AJ64" i="3"/>
  <c r="AR64" i="3"/>
  <c r="AT64" i="3"/>
  <c r="AU64" i="3"/>
  <c r="AI56" i="3" l="1"/>
  <c r="AI48" i="3"/>
  <c r="AI40" i="3"/>
  <c r="AI32" i="3"/>
  <c r="AI57" i="3"/>
  <c r="AI49" i="3"/>
  <c r="AI41" i="3"/>
  <c r="AI33" i="3"/>
  <c r="AI25" i="3"/>
  <c r="AI17" i="3"/>
  <c r="AI9" i="3"/>
  <c r="AI61" i="3"/>
  <c r="AI53" i="3"/>
  <c r="AI45" i="3"/>
  <c r="AI37" i="3"/>
  <c r="AI29" i="3"/>
  <c r="AI64" i="3" s="1"/>
  <c r="AI21" i="3"/>
  <c r="AI13" i="3"/>
  <c r="AI5" i="3"/>
  <c r="AH64" i="3"/>
  <c r="AD64" i="3"/>
  <c r="AU26" i="4"/>
  <c r="AT26" i="4"/>
  <c r="AR26" i="4"/>
  <c r="AJ26" i="4"/>
  <c r="AI26" i="4"/>
  <c r="AH26" i="4"/>
  <c r="AG26" i="4"/>
  <c r="AF26" i="4"/>
  <c r="AE26" i="4"/>
  <c r="AD26" i="4"/>
  <c r="AC26" i="4"/>
  <c r="AB26" i="4"/>
  <c r="AA26" i="4"/>
  <c r="Y26" i="4"/>
  <c r="AU37" i="2"/>
  <c r="AT37" i="2"/>
  <c r="AR37" i="2"/>
  <c r="AJ37" i="2"/>
  <c r="AI37" i="2"/>
  <c r="AH37" i="2"/>
  <c r="AG37" i="2"/>
  <c r="AF37" i="2"/>
  <c r="AE37" i="2"/>
  <c r="AD37" i="2"/>
  <c r="AC37" i="2"/>
  <c r="AB37" i="2"/>
  <c r="AA37" i="2"/>
  <c r="Y37" i="2"/>
  <c r="AG116" i="1"/>
  <c r="AF116" i="1"/>
  <c r="AE116" i="1"/>
  <c r="AA116" i="1"/>
  <c r="Y116" i="1"/>
  <c r="AH98" i="1"/>
  <c r="AH97" i="1"/>
  <c r="AD97" i="1"/>
  <c r="AH96" i="1"/>
  <c r="AD96" i="1"/>
  <c r="AH95" i="1"/>
  <c r="AD95" i="1"/>
  <c r="AH94" i="1"/>
  <c r="AD94" i="1"/>
  <c r="AH93" i="1"/>
  <c r="AD93" i="1"/>
  <c r="AH92" i="1"/>
  <c r="AD92" i="1"/>
  <c r="AH91" i="1"/>
  <c r="AD91" i="1"/>
  <c r="AH90" i="1"/>
  <c r="AD90" i="1"/>
  <c r="AH89" i="1"/>
  <c r="AD89" i="1"/>
  <c r="AH88" i="1"/>
  <c r="AD88" i="1"/>
  <c r="AH87" i="1"/>
  <c r="AD87" i="1"/>
  <c r="AH86" i="1"/>
  <c r="AD86" i="1"/>
  <c r="AH85" i="1"/>
  <c r="AD85" i="1"/>
  <c r="AH84" i="1"/>
  <c r="AD84" i="1"/>
  <c r="AH83" i="1"/>
  <c r="AD83" i="1"/>
  <c r="AH82" i="1"/>
  <c r="AD82" i="1"/>
  <c r="AH81" i="1"/>
  <c r="AD81" i="1"/>
  <c r="AH80" i="1"/>
  <c r="AD80" i="1"/>
  <c r="AH79" i="1"/>
  <c r="AD79" i="1"/>
  <c r="AH78" i="1"/>
  <c r="AD78" i="1"/>
  <c r="AH77" i="1"/>
  <c r="AD77" i="1"/>
  <c r="AH76" i="1"/>
  <c r="AD76" i="1"/>
  <c r="AH75" i="1"/>
  <c r="AD75" i="1"/>
  <c r="AD74" i="1"/>
  <c r="AD73" i="1"/>
  <c r="AD72" i="1"/>
  <c r="AD71" i="1"/>
  <c r="AH9" i="1"/>
  <c r="AD9" i="1"/>
  <c r="AH8" i="1"/>
  <c r="AD8" i="1"/>
  <c r="AH7" i="1"/>
  <c r="AD7" i="1"/>
  <c r="AH6" i="1"/>
  <c r="AD6" i="1"/>
  <c r="AH5" i="1"/>
  <c r="AD5" i="1"/>
  <c r="AH4" i="1"/>
  <c r="AD4" i="1"/>
  <c r="AH3" i="1"/>
  <c r="AD3" i="1"/>
  <c r="AH2" i="1"/>
  <c r="AI6" i="1" l="1"/>
  <c r="AI71" i="1"/>
  <c r="AI75" i="1"/>
  <c r="AI79" i="1"/>
  <c r="AI83" i="1"/>
  <c r="AI87" i="1"/>
  <c r="AI91" i="1"/>
  <c r="AI8" i="1"/>
  <c r="AI73" i="1"/>
  <c r="AI77" i="1"/>
  <c r="AI81" i="1"/>
  <c r="AI85" i="1"/>
  <c r="AI89" i="1"/>
  <c r="AI93" i="1"/>
  <c r="AI4" i="1"/>
  <c r="AI3" i="1"/>
  <c r="AI7" i="1"/>
  <c r="AI72" i="1"/>
  <c r="AI76" i="1"/>
  <c r="AI80" i="1"/>
  <c r="AI84" i="1"/>
  <c r="AI88" i="1"/>
  <c r="AI92" i="1"/>
  <c r="AI96" i="1"/>
  <c r="AI97" i="1"/>
  <c r="AI95" i="1"/>
  <c r="AH116" i="1"/>
  <c r="AI5" i="1"/>
  <c r="AI9" i="1"/>
  <c r="AI74" i="1"/>
  <c r="AI78" i="1"/>
  <c r="AI82" i="1"/>
  <c r="AI86" i="1"/>
  <c r="AI90" i="1"/>
  <c r="AI94" i="1"/>
  <c r="AI98" i="1"/>
  <c r="AD116" i="1"/>
  <c r="AI2" i="1"/>
  <c r="AI116" i="1" l="1"/>
</calcChain>
</file>

<file path=xl/sharedStrings.xml><?xml version="1.0" encoding="utf-8"?>
<sst xmlns="http://schemas.openxmlformats.org/spreadsheetml/2006/main" count="3602" uniqueCount="437">
  <si>
    <t>Agency</t>
  </si>
  <si>
    <t>OfficeCode</t>
  </si>
  <si>
    <t>ClientName</t>
  </si>
  <si>
    <t>DebtorsAccountCode</t>
  </si>
  <si>
    <t>MediaName</t>
  </si>
  <si>
    <t>ClientCode</t>
  </si>
  <si>
    <t>ProductCode</t>
  </si>
  <si>
    <t>ProductName</t>
  </si>
  <si>
    <t>CampaignCode</t>
  </si>
  <si>
    <t>CampaignName</t>
  </si>
  <si>
    <t>BuyMonth</t>
  </si>
  <si>
    <t>BuySerial</t>
  </si>
  <si>
    <t>BookingCategoryShortname</t>
  </si>
  <si>
    <t>SupplierName</t>
  </si>
  <si>
    <t>BuyerName</t>
  </si>
  <si>
    <t>BuyerPID</t>
  </si>
  <si>
    <t>BuyDate</t>
  </si>
  <si>
    <t>BookedDate</t>
  </si>
  <si>
    <t>LastAmendedInvoice</t>
  </si>
  <si>
    <t>CampaignReference</t>
  </si>
  <si>
    <t>ClientReference</t>
  </si>
  <si>
    <t>BillComments</t>
  </si>
  <si>
    <t>PO</t>
  </si>
  <si>
    <t>PO_Reference</t>
  </si>
  <si>
    <t>Gross</t>
  </si>
  <si>
    <t>MediaDiscountPercentage</t>
  </si>
  <si>
    <t>Payable</t>
  </si>
  <si>
    <t>Paid</t>
  </si>
  <si>
    <t>UnPaid</t>
  </si>
  <si>
    <t>AgencyCommission</t>
  </si>
  <si>
    <t>Billable</t>
  </si>
  <si>
    <t>Billed</t>
  </si>
  <si>
    <t>UnBilled</t>
  </si>
  <si>
    <t>LevyBillable</t>
  </si>
  <si>
    <t>Unbilled Client Cost</t>
  </si>
  <si>
    <t>VATBillable</t>
  </si>
  <si>
    <t>Vouchered</t>
  </si>
  <si>
    <t>AgencyCommentBy</t>
  </si>
  <si>
    <t>Action</t>
  </si>
  <si>
    <t>AgencyCommentDate</t>
  </si>
  <si>
    <t>Bill</t>
  </si>
  <si>
    <t>LocalCurrencyCode</t>
  </si>
  <si>
    <t>AccountExchangerate</t>
  </si>
  <si>
    <t>BillableCurrency</t>
  </si>
  <si>
    <t>ASBOF / BASBOF</t>
  </si>
  <si>
    <t>BilledCurrency</t>
  </si>
  <si>
    <t>UnbilledCurrency</t>
  </si>
  <si>
    <t>PHD</t>
  </si>
  <si>
    <t>CHANEL LIMITED</t>
  </si>
  <si>
    <t>SEARCH&amp;SOC</t>
  </si>
  <si>
    <t>BLEU</t>
  </si>
  <si>
    <t>CHANEL_BLEU H1 24_SOCIAL</t>
  </si>
  <si>
    <t>TechFees</t>
  </si>
  <si>
    <t>INTEGRAL AD SCIENCE UK LIMITED</t>
  </si>
  <si>
    <t>PO00060490</t>
  </si>
  <si>
    <t>OK</t>
  </si>
  <si>
    <t>Y</t>
  </si>
  <si>
    <t>GBP</t>
  </si>
  <si>
    <t>BiddSocial</t>
  </si>
  <si>
    <t>FACEBOOK</t>
  </si>
  <si>
    <t>SNAPCHAT</t>
  </si>
  <si>
    <t>TIKTOK INFORMATION TECHNOLOGIE</t>
  </si>
  <si>
    <t>BEAUTY - MAKE UP</t>
  </si>
  <si>
    <t>C50/07_CHANEL_SOCIAL_BEA</t>
  </si>
  <si>
    <t>PO00062544:SOCIAL</t>
  </si>
  <si>
    <t>PO00062544</t>
  </si>
  <si>
    <t>BEAUTY LES BEIGES</t>
  </si>
  <si>
    <t>CHANEL_LES BEIGE HERO_SO</t>
  </si>
  <si>
    <t>PO00062541</t>
  </si>
  <si>
    <t>POSTER</t>
  </si>
  <si>
    <t>CHANEL NO.5 LEAU</t>
  </si>
  <si>
    <t>Poster</t>
  </si>
  <si>
    <t>TALON OUTDOOR LTD</t>
  </si>
  <si>
    <t>PO00068664</t>
  </si>
  <si>
    <t>Prod Poster</t>
  </si>
  <si>
    <t>PINTEREST</t>
  </si>
  <si>
    <t>NO 5</t>
  </si>
  <si>
    <t>CHANEL_NO5LEAUDROP_SOCIA</t>
  </si>
  <si>
    <t>DISPLAY</t>
  </si>
  <si>
    <t>FB_MU_LESBEIGESHEROSUPPO</t>
  </si>
  <si>
    <t>Adserving</t>
  </si>
  <si>
    <t>INTEGRAL ADSCIENCE</t>
  </si>
  <si>
    <t>Display</t>
  </si>
  <si>
    <t>MARIE CLAIRE (15%)</t>
  </si>
  <si>
    <t>VOGUE</t>
  </si>
  <si>
    <t>HEARST DIGITAL</t>
  </si>
  <si>
    <t>HARPERS BAZAAR</t>
  </si>
  <si>
    <t>ELLE UK</t>
  </si>
  <si>
    <t>WHO WHAT WEAR</t>
  </si>
  <si>
    <t>SIZMEK STRIKEAD GBP</t>
  </si>
  <si>
    <t>SHEERLUXE</t>
  </si>
  <si>
    <t>INT'L</t>
  </si>
  <si>
    <t>FEES</t>
  </si>
  <si>
    <t>REGIONAL OPS_APR-DEC24</t>
  </si>
  <si>
    <t>Product -Int</t>
  </si>
  <si>
    <t>PHD INTERNATIONAL (GBP)</t>
  </si>
  <si>
    <t>PO00060496</t>
  </si>
  <si>
    <t>CHANEL_VIDEO_LES BEIGES-</t>
  </si>
  <si>
    <t>GOOGLE INSTANT RESERVE</t>
  </si>
  <si>
    <t>VOD</t>
  </si>
  <si>
    <t>FB_FR_BLEUDECHANEL_2024_</t>
  </si>
  <si>
    <t>CONDE NAST</t>
  </si>
  <si>
    <t>TELEGRAPH</t>
  </si>
  <si>
    <t>WETRANSFER BV (GBP)</t>
  </si>
  <si>
    <t>CHANEL_VIDEO_BLEU-UK_23</t>
  </si>
  <si>
    <t>SKY</t>
  </si>
  <si>
    <t>ITV.COM</t>
  </si>
  <si>
    <t>CHANNEL 4</t>
  </si>
  <si>
    <t>VEVO</t>
  </si>
  <si>
    <t>SPOTIFY LTD (ONLINE)</t>
  </si>
  <si>
    <t>F&amp;B_APR-DEC24_FEE</t>
  </si>
  <si>
    <t>Plan / Buy</t>
  </si>
  <si>
    <t>BEAUTY - SKINCARE</t>
  </si>
  <si>
    <t>CHANEL_N1H2_SOCIAL_UK_20</t>
  </si>
  <si>
    <t>PO00074720</t>
  </si>
  <si>
    <t>FASHION_APR-DEC24_FEE</t>
  </si>
  <si>
    <t>WATCHES_APR-DEC24_FEE</t>
  </si>
  <si>
    <t>JEWELLERY_APR-DEC24_FEE</t>
  </si>
  <si>
    <t>EYEWEAR_APR-DEC24_FEE</t>
  </si>
  <si>
    <t>REGIONAL I&amp;A FEE_APR-DEC</t>
  </si>
  <si>
    <t>Total</t>
  </si>
  <si>
    <t>G</t>
  </si>
  <si>
    <t>JEWELLERY - COCO CRUSH</t>
  </si>
  <si>
    <t>CHANEL_COCO CRUSH H1_SOC</t>
  </si>
  <si>
    <t>WATCHES J12</t>
  </si>
  <si>
    <t>CHANEL_J12 H1_SOCIAL_UK_</t>
  </si>
  <si>
    <t>LINKEDIN IRELAND LIMITED (GBP)</t>
  </si>
  <si>
    <t>WFJ_WA_J12_2024_DISPLAY_</t>
  </si>
  <si>
    <t>Prod Display</t>
  </si>
  <si>
    <t>NEWS UK</t>
  </si>
  <si>
    <t>TEADS (15%)</t>
  </si>
  <si>
    <t>FINANCIAL TIMES</t>
  </si>
  <si>
    <t>Unvouchered</t>
  </si>
  <si>
    <t>N</t>
  </si>
  <si>
    <t>PRESS</t>
  </si>
  <si>
    <t>JEWELLERY HJ</t>
  </si>
  <si>
    <t>CHANEL - HIGH JEWELLERY</t>
  </si>
  <si>
    <t>Press</t>
  </si>
  <si>
    <t>VANITY FAIR ON JEWELLERY</t>
  </si>
  <si>
    <t>EYEWEAR</t>
  </si>
  <si>
    <t>CHANEL_EYEWEAR SS_SOCIAL</t>
  </si>
  <si>
    <t>PO00062453</t>
  </si>
  <si>
    <t>MDA</t>
  </si>
  <si>
    <t>CHANEL_MDA H1_SOCIAL_UK_</t>
  </si>
  <si>
    <t>PO00062739</t>
  </si>
  <si>
    <t>FSH_AB_EYEWEAR_2024_SS_D</t>
  </si>
  <si>
    <t>FASHION ONLINE UK 2024</t>
  </si>
  <si>
    <t>CHANEL_VIDEO_EYEWEAR-UK_</t>
  </si>
  <si>
    <t>CHANEL_VIDEO_MDA-UK_01 J</t>
  </si>
  <si>
    <t>FSH_AB_24A_2024_METIERS_</t>
  </si>
  <si>
    <t>UK MDA 2024 DISPLAY</t>
  </si>
  <si>
    <t>WALLPAPER (15%)</t>
  </si>
  <si>
    <t>FASHION BRAND</t>
  </si>
  <si>
    <t>T3LIGHTBOX LTH 2024-2025</t>
  </si>
  <si>
    <t>TALON OUTDOOR LTD - AIRPORT</t>
  </si>
  <si>
    <t>PO00063444</t>
  </si>
  <si>
    <t>MDA 2024 - NEW PO</t>
  </si>
  <si>
    <t>WALLPAPER (15% AGY COMM)</t>
  </si>
  <si>
    <t>CHANEL M TIERS D'ART 202</t>
  </si>
  <si>
    <t>PO00062739:UK MDA 2024 PRINT</t>
  </si>
  <si>
    <t>VANITY FAIR</t>
  </si>
  <si>
    <t>UK</t>
  </si>
  <si>
    <t>CHANEL UK PPC 2024</t>
  </si>
  <si>
    <t>O00471038</t>
  </si>
  <si>
    <t>Search</t>
  </si>
  <si>
    <t>GOOGLE ADS - SEARCH</t>
  </si>
  <si>
    <t>O00471072</t>
  </si>
  <si>
    <t>O00471074</t>
  </si>
  <si>
    <t>O00471075</t>
  </si>
  <si>
    <t>O00471080</t>
  </si>
  <si>
    <t>O00471081</t>
  </si>
  <si>
    <t>O00471111</t>
  </si>
  <si>
    <t>O00471113</t>
  </si>
  <si>
    <t>O00471116</t>
  </si>
  <si>
    <t>BING - MICROSOFT ONLINE INC GB</t>
  </si>
  <si>
    <t>O00471120</t>
  </si>
  <si>
    <t>O00471126</t>
  </si>
  <si>
    <t>O00471129</t>
  </si>
  <si>
    <t>Prod Search</t>
  </si>
  <si>
    <t>GOOGLE DST</t>
  </si>
  <si>
    <t>O00471136</t>
  </si>
  <si>
    <t>O00471138</t>
  </si>
  <si>
    <t>O00471139</t>
  </si>
  <si>
    <t>O00471143</t>
  </si>
  <si>
    <t>O00471149</t>
  </si>
  <si>
    <t>O00471153</t>
  </si>
  <si>
    <t>O00471154</t>
  </si>
  <si>
    <t>O00471157</t>
  </si>
  <si>
    <t>O00471159</t>
  </si>
  <si>
    <t>O00471160</t>
  </si>
  <si>
    <t>O00471161</t>
  </si>
  <si>
    <t>O00471164</t>
  </si>
  <si>
    <t>InvoiceNo</t>
  </si>
  <si>
    <t>F73877</t>
  </si>
  <si>
    <t>F73878</t>
  </si>
  <si>
    <t>F73879</t>
  </si>
  <si>
    <t>F73880</t>
  </si>
  <si>
    <t>F73977</t>
  </si>
  <si>
    <t>F73881</t>
  </si>
  <si>
    <t>F73882</t>
  </si>
  <si>
    <t>F73883</t>
  </si>
  <si>
    <t>F73884</t>
  </si>
  <si>
    <t>F73885</t>
  </si>
  <si>
    <t>F73886</t>
  </si>
  <si>
    <t>F73887</t>
  </si>
  <si>
    <t>F73888</t>
  </si>
  <si>
    <t>F73889</t>
  </si>
  <si>
    <t>F73890</t>
  </si>
  <si>
    <t>F73891</t>
  </si>
  <si>
    <t>F73892</t>
  </si>
  <si>
    <t>F73893</t>
  </si>
  <si>
    <t>F73894</t>
  </si>
  <si>
    <t>F73895</t>
  </si>
  <si>
    <t>F73896</t>
  </si>
  <si>
    <t>F73897</t>
  </si>
  <si>
    <t>F73898</t>
  </si>
  <si>
    <t>F73899</t>
  </si>
  <si>
    <t>F73900</t>
  </si>
  <si>
    <t>F73901</t>
  </si>
  <si>
    <t>F73902</t>
  </si>
  <si>
    <t>F73903</t>
  </si>
  <si>
    <t>F73904</t>
  </si>
  <si>
    <t>F73905</t>
  </si>
  <si>
    <t>F73906</t>
  </si>
  <si>
    <t>F73907</t>
  </si>
  <si>
    <t>F73908</t>
  </si>
  <si>
    <t>F73909</t>
  </si>
  <si>
    <t>F73910</t>
  </si>
  <si>
    <t>F73911</t>
  </si>
  <si>
    <t>F73912</t>
  </si>
  <si>
    <t>F73913</t>
  </si>
  <si>
    <t>F73914</t>
  </si>
  <si>
    <t>F73915</t>
  </si>
  <si>
    <t>F73916</t>
  </si>
  <si>
    <t>F73917</t>
  </si>
  <si>
    <t>F73918</t>
  </si>
  <si>
    <t>F73919</t>
  </si>
  <si>
    <t>F73920</t>
  </si>
  <si>
    <t>F73921</t>
  </si>
  <si>
    <t>F73922</t>
  </si>
  <si>
    <t>F73923</t>
  </si>
  <si>
    <t>F73924</t>
  </si>
  <si>
    <t>F73925</t>
  </si>
  <si>
    <t>F73926</t>
  </si>
  <si>
    <t>F73927</t>
  </si>
  <si>
    <t>F73928</t>
  </si>
  <si>
    <t>F73929</t>
  </si>
  <si>
    <t>F73930</t>
  </si>
  <si>
    <t>F73931</t>
  </si>
  <si>
    <t>F73932</t>
  </si>
  <si>
    <t>F73933</t>
  </si>
  <si>
    <t>F73934</t>
  </si>
  <si>
    <t>F73935</t>
  </si>
  <si>
    <t>F73936</t>
  </si>
  <si>
    <t>F73937</t>
  </si>
  <si>
    <t>F73938</t>
  </si>
  <si>
    <t>F73939</t>
  </si>
  <si>
    <t>F73940</t>
  </si>
  <si>
    <t>F73941</t>
  </si>
  <si>
    <t>F73942</t>
  </si>
  <si>
    <t>F73943</t>
  </si>
  <si>
    <t>F73944</t>
  </si>
  <si>
    <t>F73945</t>
  </si>
  <si>
    <t>F73946</t>
  </si>
  <si>
    <t>F73947</t>
  </si>
  <si>
    <t>F73948</t>
  </si>
  <si>
    <t>F73949</t>
  </si>
  <si>
    <t>F73950</t>
  </si>
  <si>
    <t>F73951</t>
  </si>
  <si>
    <t>F73952</t>
  </si>
  <si>
    <t>F73953</t>
  </si>
  <si>
    <t>F73954</t>
  </si>
  <si>
    <t>F73955</t>
  </si>
  <si>
    <t>F73956</t>
  </si>
  <si>
    <t>F73957</t>
  </si>
  <si>
    <t>F73958</t>
  </si>
  <si>
    <t>F73959</t>
  </si>
  <si>
    <t>F73960</t>
  </si>
  <si>
    <t>F73961</t>
  </si>
  <si>
    <t>F73962</t>
  </si>
  <si>
    <t>F73963</t>
  </si>
  <si>
    <t>F73964</t>
  </si>
  <si>
    <t>F73965</t>
  </si>
  <si>
    <t>F73966</t>
  </si>
  <si>
    <t>F73967</t>
  </si>
  <si>
    <t>F73968</t>
  </si>
  <si>
    <t>F73969</t>
  </si>
  <si>
    <t>F73970</t>
  </si>
  <si>
    <t>F73971</t>
  </si>
  <si>
    <t>F73972</t>
  </si>
  <si>
    <t>F73973</t>
  </si>
  <si>
    <t>F73974</t>
  </si>
  <si>
    <t>F73975</t>
  </si>
  <si>
    <t>F73976</t>
  </si>
  <si>
    <t>F73978</t>
  </si>
  <si>
    <t>F73979</t>
  </si>
  <si>
    <t>F73980</t>
  </si>
  <si>
    <t>F73981</t>
  </si>
  <si>
    <t>F73982</t>
  </si>
  <si>
    <t>F73983</t>
  </si>
  <si>
    <t>F73984</t>
  </si>
  <si>
    <t>F73985</t>
  </si>
  <si>
    <t>F73986</t>
  </si>
  <si>
    <t>F73987</t>
  </si>
  <si>
    <t>F73988</t>
  </si>
  <si>
    <t>F73989</t>
  </si>
  <si>
    <t>F73990</t>
  </si>
  <si>
    <t>F73991</t>
  </si>
  <si>
    <t>F73992</t>
  </si>
  <si>
    <t>F73993</t>
  </si>
  <si>
    <t>F73994</t>
  </si>
  <si>
    <t>F73995</t>
  </si>
  <si>
    <t>F73996</t>
  </si>
  <si>
    <t>F73997</t>
  </si>
  <si>
    <t>F73998</t>
  </si>
  <si>
    <t>F73999</t>
  </si>
  <si>
    <t>F74000</t>
  </si>
  <si>
    <t>F74001</t>
  </si>
  <si>
    <t>F74002</t>
  </si>
  <si>
    <t>F74003</t>
  </si>
  <si>
    <t>F74004</t>
  </si>
  <si>
    <t>F74005</t>
  </si>
  <si>
    <t>F74006</t>
  </si>
  <si>
    <t>F74007</t>
  </si>
  <si>
    <t>F74008</t>
  </si>
  <si>
    <t>F74009</t>
  </si>
  <si>
    <t>F74010</t>
  </si>
  <si>
    <t>F74011</t>
  </si>
  <si>
    <t>F74012</t>
  </si>
  <si>
    <t>F74013</t>
  </si>
  <si>
    <t>F74014</t>
  </si>
  <si>
    <t>F74015</t>
  </si>
  <si>
    <t>F74016</t>
  </si>
  <si>
    <t>F74017</t>
  </si>
  <si>
    <t>F74018</t>
  </si>
  <si>
    <t>F74019</t>
  </si>
  <si>
    <t>F74020</t>
  </si>
  <si>
    <t>F74021</t>
  </si>
  <si>
    <t>F74022</t>
  </si>
  <si>
    <t>F74023</t>
  </si>
  <si>
    <t>F74024</t>
  </si>
  <si>
    <t>F74025</t>
  </si>
  <si>
    <t>F74026</t>
  </si>
  <si>
    <t>F74027</t>
  </si>
  <si>
    <t>F74028</t>
  </si>
  <si>
    <t>F74029</t>
  </si>
  <si>
    <t>F74030</t>
  </si>
  <si>
    <t>F74031</t>
  </si>
  <si>
    <t>F74032</t>
  </si>
  <si>
    <t>F74033</t>
  </si>
  <si>
    <t>F74034</t>
  </si>
  <si>
    <t>F74035</t>
  </si>
  <si>
    <t>F74036</t>
  </si>
  <si>
    <t>F74037</t>
  </si>
  <si>
    <t>F74038</t>
  </si>
  <si>
    <t>F74039</t>
  </si>
  <si>
    <t>F74040</t>
  </si>
  <si>
    <t>F74041</t>
  </si>
  <si>
    <t>F74042</t>
  </si>
  <si>
    <t>F74043</t>
  </si>
  <si>
    <t>F74044</t>
  </si>
  <si>
    <t>F74045</t>
  </si>
  <si>
    <t>F74046</t>
  </si>
  <si>
    <t>F74047</t>
  </si>
  <si>
    <t>F74048</t>
  </si>
  <si>
    <t>F74049</t>
  </si>
  <si>
    <t>F74050</t>
  </si>
  <si>
    <t>F74051</t>
  </si>
  <si>
    <t>F74052</t>
  </si>
  <si>
    <t>F74053</t>
  </si>
  <si>
    <t>F74054</t>
  </si>
  <si>
    <t>F74055</t>
  </si>
  <si>
    <t>F74056</t>
  </si>
  <si>
    <t>F74057</t>
  </si>
  <si>
    <t>F74058</t>
  </si>
  <si>
    <t>F74059</t>
  </si>
  <si>
    <t>F74060</t>
  </si>
  <si>
    <t>F74061</t>
  </si>
  <si>
    <t>F74062</t>
  </si>
  <si>
    <t>F74063</t>
  </si>
  <si>
    <t>F74064</t>
  </si>
  <si>
    <t>F74065</t>
  </si>
  <si>
    <t>F74066</t>
  </si>
  <si>
    <t>F74067</t>
  </si>
  <si>
    <t>F74068</t>
  </si>
  <si>
    <t>F74069</t>
  </si>
  <si>
    <t>F74070</t>
  </si>
  <si>
    <t>F74071</t>
  </si>
  <si>
    <t>F74072</t>
  </si>
  <si>
    <t>F74073</t>
  </si>
  <si>
    <t>F74074</t>
  </si>
  <si>
    <t>F74075</t>
  </si>
  <si>
    <t>F74076</t>
  </si>
  <si>
    <t>F74077</t>
  </si>
  <si>
    <t>F74078</t>
  </si>
  <si>
    <t>F74079</t>
  </si>
  <si>
    <t>F74080</t>
  </si>
  <si>
    <t>F74081</t>
  </si>
  <si>
    <t>F74082</t>
  </si>
  <si>
    <t>F74083</t>
  </si>
  <si>
    <t>F74084</t>
  </si>
  <si>
    <t>F74085</t>
  </si>
  <si>
    <t>F74086</t>
  </si>
  <si>
    <t>F74087</t>
  </si>
  <si>
    <t>F74088</t>
  </si>
  <si>
    <t>F74089</t>
  </si>
  <si>
    <t>F74090</t>
  </si>
  <si>
    <t>F74091</t>
  </si>
  <si>
    <t>F74092</t>
  </si>
  <si>
    <t>F74093</t>
  </si>
  <si>
    <t>F74094</t>
  </si>
  <si>
    <t>F74095</t>
  </si>
  <si>
    <t>F74096</t>
  </si>
  <si>
    <t>F74097</t>
  </si>
  <si>
    <t>F74098</t>
  </si>
  <si>
    <t>F74099</t>
  </si>
  <si>
    <t>F74100</t>
  </si>
  <si>
    <t>F74101</t>
  </si>
  <si>
    <t>F74102</t>
  </si>
  <si>
    <t>F74103</t>
  </si>
  <si>
    <t>F74104</t>
  </si>
  <si>
    <t>F74105</t>
  </si>
  <si>
    <t>F74106</t>
  </si>
  <si>
    <t>F74107</t>
  </si>
  <si>
    <t>F74108</t>
  </si>
  <si>
    <t>F74109</t>
  </si>
  <si>
    <t>F74110</t>
  </si>
  <si>
    <t>F74111</t>
  </si>
  <si>
    <t>PO00060452</t>
  </si>
  <si>
    <t>PO00060431</t>
  </si>
  <si>
    <t>PO00060323</t>
  </si>
  <si>
    <t>PO00062721</t>
  </si>
  <si>
    <t>C50</t>
  </si>
  <si>
    <t>C51</t>
  </si>
  <si>
    <t>C52</t>
  </si>
  <si>
    <t>C58</t>
  </si>
  <si>
    <t>C60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</si>
</sst>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5" formatCode="#,##0.000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Aptos Narrow"/>
      <family val="2"/>
    </font>
    <font>
      <b/>
      <sz val="9"/>
      <color rgb="FF000000"/>
      <name val="Aptos Narrow"/>
      <family val="2"/>
    </font>
    <font>
      <sz val="9"/>
      <color theme="1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F2D0"/>
      </patternFill>
    </fill>
    <fill>
      <patternFill patternType="solid">
        <fgColor theme="0"/>
        <bgColor indexed="64"/>
      </patternFill>
    </fill>
    <fill>
      <patternFill patternType="solid">
        <fgColor rgb="FFD9F2D0"/>
        <bgColor indexed="64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7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22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right"/>
    </xf>
    <xf numFmtId="3" fontId="0" fillId="0" borderId="0" xfId="0" applyNumberFormat="1"/>
    <xf numFmtId="17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17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left" wrapText="1"/>
    </xf>
    <xf numFmtId="4" fontId="3" fillId="2" borderId="3" xfId="0" applyNumberFormat="1" applyFont="1" applyFill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4" fontId="1" fillId="0" borderId="2" xfId="0" applyNumberFormat="1" applyFont="1" applyBorder="1" applyAlignment="1">
      <alignment horizontal="left" wrapText="1"/>
    </xf>
    <xf numFmtId="0" fontId="1" fillId="2" borderId="3" xfId="0" applyFont="1" applyFill="1" applyBorder="1" applyAlignment="1">
      <alignment horizontal="left"/>
    </xf>
    <xf numFmtId="4" fontId="1" fillId="2" borderId="3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center"/>
    </xf>
    <xf numFmtId="4" fontId="1" fillId="2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fill>
        <patternFill patternType="solid">
          <fgColor indexed="64"/>
          <bgColor rgb="FFD9F2D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fill>
        <patternFill patternType="solid">
          <fgColor indexed="64"/>
          <bgColor rgb="FFD9F2D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fill>
        <patternFill patternType="solid">
          <fgColor indexed="64"/>
          <bgColor rgb="FFD9F2D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fill>
        <patternFill patternType="solid">
          <fgColor indexed="64"/>
          <bgColor rgb="FFD9F2D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64" formatCode="#,##0%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27" formatCode="d/m/yy\ h:mm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27" formatCode="d/m/yy\ h:mm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64" formatCode="#,##0%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27" formatCode="d/m/yy\ h:mm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27" formatCode="d/m/yy\ h:mm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64" formatCode="#,##0%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27" formatCode="d/m/yy\ h:mm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27" formatCode="d/m/yy\ h:mm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64" formatCode="#,##0%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19" formatCode="d/m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27" formatCode="d/m/yy\ h:mm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27" formatCode="d/m/yy\ h:mm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_Query_from_UnBilled_1345" displayName="Table_Query_from_UnBilled_1345" ref="A1:AV116" totalsRowCount="1">
  <autoFilter ref="A1:AV115" xr:uid="{00000000-000C-0000-FFFF-FFFF00000000}">
    <filterColumn colId="23">
      <filters>
        <filter val="PO00068664"/>
      </filters>
    </filterColumn>
  </autoFilter>
  <tableColumns count="48">
    <tableColumn id="1" xr3:uid="{00000000-0010-0000-0000-000001000000}" name="Agency" totalsRowLabel="Total" totalsRowDxfId="35"/>
    <tableColumn id="2" xr3:uid="{00000000-0010-0000-0000-000002000000}" name="OfficeCode"/>
    <tableColumn id="3" xr3:uid="{00000000-0010-0000-0000-000003000000}" name="ClientName"/>
    <tableColumn id="4" xr3:uid="{00000000-0010-0000-0000-000004000000}" name="DebtorsAccountCode"/>
    <tableColumn id="5" xr3:uid="{00000000-0010-0000-0000-000005000000}" name="MediaName" totalsRowDxfId="34"/>
    <tableColumn id="6" xr3:uid="{00000000-0010-0000-0000-000006000000}" name="ClientCode"/>
    <tableColumn id="7" xr3:uid="{00000000-0010-0000-0000-000007000000}" name="ProductCode" totalsRowDxfId="33"/>
    <tableColumn id="8" xr3:uid="{00000000-0010-0000-0000-000008000000}" name="ProductName"/>
    <tableColumn id="9" xr3:uid="{00000000-0010-0000-0000-000009000000}" name="CampaignCode" totalsRowDxfId="32"/>
    <tableColumn id="10" xr3:uid="{00000000-0010-0000-0000-00000A000000}" name="CampaignName"/>
    <tableColumn id="11" xr3:uid="{00000000-0010-0000-0000-00000B000000}" name="BuyMonth" totalsRowDxfId="31"/>
    <tableColumn id="12" xr3:uid="{00000000-0010-0000-0000-00000C000000}" name="BuySerial" totalsRowDxfId="30"/>
    <tableColumn id="13" xr3:uid="{00000000-0010-0000-0000-00000D000000}" name="BookingCategoryShortname" totalsRowDxfId="29"/>
    <tableColumn id="14" xr3:uid="{00000000-0010-0000-0000-00000E000000}" name="SupplierName" totalsRowDxfId="28"/>
    <tableColumn id="15" xr3:uid="{00000000-0010-0000-0000-00000F000000}" name="BuyerName"/>
    <tableColumn id="16" xr3:uid="{00000000-0010-0000-0000-000010000000}" name="BuyerPID"/>
    <tableColumn id="17" xr3:uid="{00000000-0010-0000-0000-000011000000}" name="BuyDate" totalsRowDxfId="27"/>
    <tableColumn id="18" xr3:uid="{00000000-0010-0000-0000-000012000000}" name="BookedDate" totalsRowDxfId="26"/>
    <tableColumn id="19" xr3:uid="{00000000-0010-0000-0000-000013000000}" name="LastAmendedInvoice" totalsRowDxfId="25"/>
    <tableColumn id="20" xr3:uid="{00000000-0010-0000-0000-000014000000}" name="CampaignReference"/>
    <tableColumn id="21" xr3:uid="{00000000-0010-0000-0000-000015000000}" name="ClientReference"/>
    <tableColumn id="22" xr3:uid="{00000000-0010-0000-0000-000016000000}" name="BillComments" totalsRowDxfId="24"/>
    <tableColumn id="23" xr3:uid="{00000000-0010-0000-0000-000017000000}" name="PO" totalsRowDxfId="23"/>
    <tableColumn id="24" xr3:uid="{00000000-0010-0000-0000-000018000000}" name="PO_Reference" totalsRowDxfId="22"/>
    <tableColumn id="25" xr3:uid="{00000000-0010-0000-0000-000019000000}" name="Gross" totalsRowFunction="custom" totalsRowDxfId="21">
      <totalsRowFormula>SUBTOTAL(109,Table_Query_from_UnBilled_1345[Payable])</totalsRowFormula>
    </tableColumn>
    <tableColumn id="26" xr3:uid="{00000000-0010-0000-0000-00001A000000}" name="MediaDiscountPercentage" totalsRowDxfId="20"/>
    <tableColumn id="27" xr3:uid="{00000000-0010-0000-0000-00001B000000}" name="Payable" totalsRowFunction="sum" totalsRowDxfId="19"/>
    <tableColumn id="28" xr3:uid="{00000000-0010-0000-0000-00001C000000}" name="Paid"/>
    <tableColumn id="29" xr3:uid="{00000000-0010-0000-0000-00001D000000}" name="UnPaid"/>
    <tableColumn id="30" xr3:uid="{00000000-0010-0000-0000-00001E000000}" name="AgencyCommission" totalsRowFunction="sum" totalsRowDxfId="18"/>
    <tableColumn id="31" xr3:uid="{00000000-0010-0000-0000-00001F000000}" name="Billable" totalsRowFunction="sum" totalsRowDxfId="17"/>
    <tableColumn id="32" xr3:uid="{00000000-0010-0000-0000-000020000000}" name="Billed" totalsRowFunction="sum" totalsRowDxfId="16"/>
    <tableColumn id="33" xr3:uid="{00000000-0010-0000-0000-000021000000}" name="UnBilled" totalsRowFunction="sum" totalsRowDxfId="15"/>
    <tableColumn id="34" xr3:uid="{00000000-0010-0000-0000-000022000000}" name="LevyBillable" totalsRowFunction="sum" totalsRowDxfId="14"/>
    <tableColumn id="35" xr3:uid="{00000000-0010-0000-0000-000023000000}" name="Unbilled Client Cost" totalsRowFunction="sum" totalsRowDxfId="13"/>
    <tableColumn id="36" xr3:uid="{00000000-0010-0000-0000-000024000000}" name="VATBillable" totalsRowDxfId="12"/>
    <tableColumn id="37" xr3:uid="{00000000-0010-0000-0000-000025000000}" name="Vouchered" totalsRowDxfId="11"/>
    <tableColumn id="38" xr3:uid="{00000000-0010-0000-0000-000026000000}" name="AgencyCommentBy" totalsRowDxfId="10"/>
    <tableColumn id="39" xr3:uid="{00000000-0010-0000-0000-000027000000}" name="Action" totalsRowDxfId="9"/>
    <tableColumn id="40" xr3:uid="{00000000-0010-0000-0000-000028000000}" name="AgencyCommentDate" totalsRowDxfId="8"/>
    <tableColumn id="41" xr3:uid="{00000000-0010-0000-0000-000029000000}" name="Bill" totalsRowDxfId="7"/>
    <tableColumn id="42" xr3:uid="{00000000-0010-0000-0000-00002A000000}" name="LocalCurrencyCode" totalsRowDxfId="6"/>
    <tableColumn id="43" xr3:uid="{00000000-0010-0000-0000-00002B000000}" name="AccountExchangerate" totalsRowDxfId="5"/>
    <tableColumn id="44" xr3:uid="{00000000-0010-0000-0000-00002C000000}" name="BillableCurrency" totalsRowDxfId="4"/>
    <tableColumn id="45" xr3:uid="{00000000-0010-0000-0000-00002D000000}" name="ASBOF / BASBOF" totalsRowDxfId="3"/>
    <tableColumn id="46" xr3:uid="{00000000-0010-0000-0000-00002E000000}" name="BilledCurrency" totalsRowDxfId="2"/>
    <tableColumn id="54" xr3:uid="{1E3C3F25-54E8-D14B-BE3F-FC092AEDC80B}" name="UnbilledCurrency" dataDxfId="158" totalsRowDxfId="1"/>
    <tableColumn id="55" xr3:uid="{A79E189E-CFA5-294B-8BF1-1EB72A94573F}" name="InvoiceNo" dataDxfId="157" totalsRow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Query_from_UnBilled_134" displayName="Table_Query_from_UnBilled_134" ref="A1:AV37" totalsRowCount="1">
  <autoFilter ref="A1:AV36" xr:uid="{00000000-0009-0000-0100-000003000000}"/>
  <tableColumns count="48">
    <tableColumn id="1" xr3:uid="{00000000-0010-0000-0100-000001000000}" name="Agency" totalsRowLabel="Total" totalsRowDxfId="156"/>
    <tableColumn id="2" xr3:uid="{00000000-0010-0000-0100-000002000000}" name="OfficeCode"/>
    <tableColumn id="3" xr3:uid="{00000000-0010-0000-0100-000003000000}" name="ClientName"/>
    <tableColumn id="4" xr3:uid="{00000000-0010-0000-0100-000004000000}" name="DebtorsAccountCode"/>
    <tableColumn id="5" xr3:uid="{00000000-0010-0000-0100-000005000000}" name="MediaName" totalsRowDxfId="155"/>
    <tableColumn id="6" xr3:uid="{00000000-0010-0000-0100-000006000000}" name="ClientCode"/>
    <tableColumn id="7" xr3:uid="{00000000-0010-0000-0100-000007000000}" name="ProductCode" totalsRowDxfId="154"/>
    <tableColumn id="8" xr3:uid="{00000000-0010-0000-0100-000008000000}" name="ProductName"/>
    <tableColumn id="9" xr3:uid="{00000000-0010-0000-0100-000009000000}" name="CampaignCode" totalsRowDxfId="153"/>
    <tableColumn id="10" xr3:uid="{00000000-0010-0000-0100-00000A000000}" name="CampaignName"/>
    <tableColumn id="11" xr3:uid="{00000000-0010-0000-0100-00000B000000}" name="BuyMonth" totalsRowDxfId="152"/>
    <tableColumn id="12" xr3:uid="{00000000-0010-0000-0100-00000C000000}" name="BuySerial" totalsRowDxfId="151"/>
    <tableColumn id="13" xr3:uid="{00000000-0010-0000-0100-00000D000000}" name="BookingCategoryShortname" totalsRowDxfId="150"/>
    <tableColumn id="14" xr3:uid="{00000000-0010-0000-0100-00000E000000}" name="SupplierName" totalsRowDxfId="149"/>
    <tableColumn id="15" xr3:uid="{00000000-0010-0000-0100-00000F000000}" name="BuyerName"/>
    <tableColumn id="16" xr3:uid="{00000000-0010-0000-0100-000010000000}" name="BuyerPID"/>
    <tableColumn id="17" xr3:uid="{00000000-0010-0000-0100-000011000000}" name="BuyDate" totalsRowDxfId="148"/>
    <tableColumn id="18" xr3:uid="{00000000-0010-0000-0100-000012000000}" name="BookedDate" totalsRowDxfId="147"/>
    <tableColumn id="19" xr3:uid="{00000000-0010-0000-0100-000013000000}" name="LastAmendedInvoice" totalsRowDxfId="146"/>
    <tableColumn id="20" xr3:uid="{00000000-0010-0000-0100-000014000000}" name="CampaignReference"/>
    <tableColumn id="21" xr3:uid="{00000000-0010-0000-0100-000015000000}" name="ClientReference"/>
    <tableColumn id="22" xr3:uid="{00000000-0010-0000-0100-000016000000}" name="BillComments" totalsRowDxfId="145"/>
    <tableColumn id="23" xr3:uid="{00000000-0010-0000-0100-000017000000}" name="PO" totalsRowDxfId="144"/>
    <tableColumn id="24" xr3:uid="{00000000-0010-0000-0100-000018000000}" name="PO_Reference" totalsRowDxfId="143"/>
    <tableColumn id="25" xr3:uid="{00000000-0010-0000-0100-000019000000}" name="Gross" totalsRowFunction="custom" totalsRowDxfId="142">
      <totalsRowFormula>SUBTOTAL(109,Table_Query_from_UnBilled_134[Payable])</totalsRowFormula>
    </tableColumn>
    <tableColumn id="26" xr3:uid="{00000000-0010-0000-0100-00001A000000}" name="MediaDiscountPercentage" totalsRowDxfId="141"/>
    <tableColumn id="27" xr3:uid="{00000000-0010-0000-0100-00001B000000}" name="Payable" totalsRowFunction="sum" totalsRowDxfId="140"/>
    <tableColumn id="28" xr3:uid="{00000000-0010-0000-0100-00001C000000}" name="Paid" totalsRowFunction="sum" totalsRowDxfId="139"/>
    <tableColumn id="29" xr3:uid="{00000000-0010-0000-0100-00001D000000}" name="UnPaid" totalsRowFunction="custom" totalsRowDxfId="138">
      <totalsRowFormula>SUBTOTAL(109,Table_Query_from_UnBilled_134[Billed])</totalsRowFormula>
    </tableColumn>
    <tableColumn id="30" xr3:uid="{00000000-0010-0000-0100-00001E000000}" name="AgencyCommission" totalsRowFunction="sum" dataDxfId="137" totalsRowDxfId="136">
      <calculatedColumnFormula>Table_Query_from_UnBilled_134[[#This Row],[Payable]]*0.035</calculatedColumnFormula>
    </tableColumn>
    <tableColumn id="31" xr3:uid="{00000000-0010-0000-0100-00001F000000}" name="Billable" totalsRowFunction="sum" totalsRowDxfId="135"/>
    <tableColumn id="32" xr3:uid="{00000000-0010-0000-0100-000020000000}" name="Billed" totalsRowFunction="sum" totalsRowDxfId="134"/>
    <tableColumn id="33" xr3:uid="{00000000-0010-0000-0100-000021000000}" name="UnBilled" totalsRowFunction="sum" totalsRowDxfId="133"/>
    <tableColumn id="34" xr3:uid="{00000000-0010-0000-0100-000022000000}" name="LevyBillable" totalsRowFunction="sum" dataDxfId="132" totalsRowDxfId="131">
      <calculatedColumnFormula>Table_Query_from_UnBilled_134[[#This Row],[Payable]]*0.01</calculatedColumnFormula>
    </tableColumn>
    <tableColumn id="35" xr3:uid="{00000000-0010-0000-0100-000023000000}" name="Unbilled Client Cost" totalsRowFunction="sum" dataDxfId="130" totalsRowDxfId="129">
      <calculatedColumnFormula>Table_Query_from_UnBilled_134[[#This Row],[Payable]]+Table_Query_from_UnBilled_134[[#This Row],[AgencyCommission]]+Table_Query_from_UnBilled_134[[#This Row],[LevyBillable]]</calculatedColumnFormula>
    </tableColumn>
    <tableColumn id="36" xr3:uid="{00000000-0010-0000-0100-000024000000}" name="VATBillable" totalsRowFunction="sum" totalsRowDxfId="128"/>
    <tableColumn id="37" xr3:uid="{00000000-0010-0000-0100-000025000000}" name="Vouchered" totalsRowDxfId="127"/>
    <tableColumn id="38" xr3:uid="{00000000-0010-0000-0100-000026000000}" name="AgencyCommentBy" totalsRowDxfId="126"/>
    <tableColumn id="39" xr3:uid="{00000000-0010-0000-0100-000027000000}" name="Action" totalsRowDxfId="125"/>
    <tableColumn id="40" xr3:uid="{00000000-0010-0000-0100-000028000000}" name="AgencyCommentDate" totalsRowDxfId="124"/>
    <tableColumn id="41" xr3:uid="{00000000-0010-0000-0100-000029000000}" name="Bill" totalsRowDxfId="123"/>
    <tableColumn id="42" xr3:uid="{00000000-0010-0000-0100-00002A000000}" name="LocalCurrencyCode" totalsRowDxfId="122"/>
    <tableColumn id="43" xr3:uid="{00000000-0010-0000-0100-00002B000000}" name="AccountExchangerate" totalsRowDxfId="121"/>
    <tableColumn id="44" xr3:uid="{00000000-0010-0000-0100-00002C000000}" name="BillableCurrency" totalsRowFunction="sum" totalsRowDxfId="120"/>
    <tableColumn id="45" xr3:uid="{00000000-0010-0000-0100-00002D000000}" name="ASBOF / BASBOF" totalsRowDxfId="119"/>
    <tableColumn id="46" xr3:uid="{00000000-0010-0000-0100-00002E000000}" name="BilledCurrency" totalsRowFunction="sum" totalsRowDxfId="118"/>
    <tableColumn id="47" xr3:uid="{00000000-0010-0000-0100-00002F000000}" name="UnbilledCurrency" totalsRowFunction="sum" totalsRowDxfId="117"/>
    <tableColumn id="48" xr3:uid="{7CD704E0-58E5-8D4A-891D-458B0B69D08D}" name="InvoiceNo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Query_from_UnBilled_13" displayName="Table_Query_from_UnBilled_13" ref="A1:AV64" totalsRowCount="1">
  <tableColumns count="48">
    <tableColumn id="1" xr3:uid="{00000000-0010-0000-0200-000001000000}" name="Agency" totalsRowLabel="Total" totalsRowDxfId="116"/>
    <tableColumn id="2" xr3:uid="{00000000-0010-0000-0200-000002000000}" name="OfficeCode"/>
    <tableColumn id="3" xr3:uid="{00000000-0010-0000-0200-000003000000}" name="ClientName"/>
    <tableColumn id="4" xr3:uid="{00000000-0010-0000-0200-000004000000}" name="DebtorsAccountCode"/>
    <tableColumn id="5" xr3:uid="{00000000-0010-0000-0200-000005000000}" name="MediaName" totalsRowDxfId="115"/>
    <tableColumn id="6" xr3:uid="{00000000-0010-0000-0200-000006000000}" name="ClientCode"/>
    <tableColumn id="7" xr3:uid="{00000000-0010-0000-0200-000007000000}" name="ProductCode" totalsRowDxfId="114"/>
    <tableColumn id="8" xr3:uid="{00000000-0010-0000-0200-000008000000}" name="ProductName"/>
    <tableColumn id="9" xr3:uid="{00000000-0010-0000-0200-000009000000}" name="CampaignCode" totalsRowDxfId="113"/>
    <tableColumn id="10" xr3:uid="{00000000-0010-0000-0200-00000A000000}" name="CampaignName"/>
    <tableColumn id="11" xr3:uid="{00000000-0010-0000-0200-00000B000000}" name="BuyMonth" totalsRowDxfId="112"/>
    <tableColumn id="12" xr3:uid="{00000000-0010-0000-0200-00000C000000}" name="BuySerial" totalsRowDxfId="111"/>
    <tableColumn id="13" xr3:uid="{00000000-0010-0000-0200-00000D000000}" name="BookingCategoryShortname" totalsRowDxfId="110"/>
    <tableColumn id="14" xr3:uid="{00000000-0010-0000-0200-00000E000000}" name="SupplierName" totalsRowDxfId="109"/>
    <tableColumn id="15" xr3:uid="{00000000-0010-0000-0200-00000F000000}" name="BuyerName"/>
    <tableColumn id="16" xr3:uid="{00000000-0010-0000-0200-000010000000}" name="BuyerPID"/>
    <tableColumn id="17" xr3:uid="{00000000-0010-0000-0200-000011000000}" name="BuyDate" totalsRowDxfId="108"/>
    <tableColumn id="18" xr3:uid="{00000000-0010-0000-0200-000012000000}" name="BookedDate" totalsRowDxfId="107"/>
    <tableColumn id="19" xr3:uid="{00000000-0010-0000-0200-000013000000}" name="LastAmendedInvoice" totalsRowDxfId="106"/>
    <tableColumn id="20" xr3:uid="{00000000-0010-0000-0200-000014000000}" name="CampaignReference"/>
    <tableColumn id="21" xr3:uid="{00000000-0010-0000-0200-000015000000}" name="ClientReference"/>
    <tableColumn id="22" xr3:uid="{00000000-0010-0000-0200-000016000000}" name="BillComments" totalsRowDxfId="105"/>
    <tableColumn id="23" xr3:uid="{00000000-0010-0000-0200-000017000000}" name="PO" totalsRowDxfId="104"/>
    <tableColumn id="24" xr3:uid="{00000000-0010-0000-0200-000018000000}" name="PO_Reference" totalsRowDxfId="103"/>
    <tableColumn id="25" xr3:uid="{00000000-0010-0000-0200-000019000000}" name="Gross" totalsRowFunction="custom" totalsRowDxfId="102">
      <totalsRowFormula>SUBTOTAL(109,Table_Query_from_UnBilled_13[Payable])</totalsRowFormula>
    </tableColumn>
    <tableColumn id="26" xr3:uid="{00000000-0010-0000-0200-00001A000000}" name="MediaDiscountPercentage" totalsRowDxfId="101"/>
    <tableColumn id="27" xr3:uid="{00000000-0010-0000-0200-00001B000000}" name="Payable" totalsRowFunction="sum" totalsRowDxfId="100"/>
    <tableColumn id="28" xr3:uid="{00000000-0010-0000-0200-00001C000000}" name="Paid" totalsRowFunction="sum" totalsRowDxfId="99"/>
    <tableColumn id="29" xr3:uid="{00000000-0010-0000-0200-00001D000000}" name="UnPaid" totalsRowFunction="custom" totalsRowDxfId="98">
      <totalsRowFormula>SUBTOTAL(109,Table_Query_from_UnBilled_13[Billed])</totalsRowFormula>
    </tableColumn>
    <tableColumn id="30" xr3:uid="{00000000-0010-0000-0200-00001E000000}" name="AgencyCommission" totalsRowFunction="sum" dataDxfId="97" totalsRowDxfId="96">
      <calculatedColumnFormula>Table_Query_from_UnBilled_13[[#This Row],[Payable]]*0.035</calculatedColumnFormula>
    </tableColumn>
    <tableColumn id="31" xr3:uid="{00000000-0010-0000-0200-00001F000000}" name="Billable" totalsRowFunction="sum" totalsRowDxfId="95"/>
    <tableColumn id="32" xr3:uid="{00000000-0010-0000-0200-000020000000}" name="Billed" totalsRowFunction="sum" totalsRowDxfId="94"/>
    <tableColumn id="33" xr3:uid="{00000000-0010-0000-0200-000021000000}" name="UnBilled" totalsRowFunction="sum" totalsRowDxfId="93"/>
    <tableColumn id="34" xr3:uid="{00000000-0010-0000-0200-000022000000}" name="LevyBillable" totalsRowFunction="sum" dataDxfId="92" totalsRowDxfId="91">
      <calculatedColumnFormula>Table_Query_from_UnBilled_13[[#This Row],[Payable]]*0.01</calculatedColumnFormula>
    </tableColumn>
    <tableColumn id="35" xr3:uid="{00000000-0010-0000-0200-000023000000}" name="Unbilled Client Cost" totalsRowFunction="sum" dataDxfId="90" totalsRowDxfId="89">
      <calculatedColumnFormula>Table_Query_from_UnBilled_13[[#This Row],[Payable]]+Table_Query_from_UnBilled_13[[#This Row],[AgencyCommission]]+Table_Query_from_UnBilled_13[[#This Row],[LevyBillable]]</calculatedColumnFormula>
    </tableColumn>
    <tableColumn id="36" xr3:uid="{00000000-0010-0000-0200-000024000000}" name="VATBillable" totalsRowFunction="sum" totalsRowDxfId="88"/>
    <tableColumn id="37" xr3:uid="{00000000-0010-0000-0200-000025000000}" name="Vouchered" totalsRowDxfId="87"/>
    <tableColumn id="38" xr3:uid="{00000000-0010-0000-0200-000026000000}" name="AgencyCommentBy" totalsRowDxfId="86"/>
    <tableColumn id="39" xr3:uid="{00000000-0010-0000-0200-000027000000}" name="Action" totalsRowDxfId="85"/>
    <tableColumn id="40" xr3:uid="{00000000-0010-0000-0200-000028000000}" name="AgencyCommentDate" totalsRowDxfId="84"/>
    <tableColumn id="41" xr3:uid="{00000000-0010-0000-0200-000029000000}" name="Bill" totalsRowDxfId="83"/>
    <tableColumn id="42" xr3:uid="{00000000-0010-0000-0200-00002A000000}" name="LocalCurrencyCode" totalsRowDxfId="82"/>
    <tableColumn id="43" xr3:uid="{00000000-0010-0000-0200-00002B000000}" name="AccountExchangerate" totalsRowDxfId="81"/>
    <tableColumn id="44" xr3:uid="{00000000-0010-0000-0200-00002C000000}" name="BillableCurrency" totalsRowFunction="sum" totalsRowDxfId="80"/>
    <tableColumn id="45" xr3:uid="{00000000-0010-0000-0200-00002D000000}" name="ASBOF / BASBOF" totalsRowDxfId="79"/>
    <tableColumn id="46" xr3:uid="{00000000-0010-0000-0200-00002E000000}" name="BilledCurrency" totalsRowFunction="sum" totalsRowDxfId="78"/>
    <tableColumn id="47" xr3:uid="{00000000-0010-0000-0200-00002F000000}" name="UnbilledCurrency" totalsRowFunction="sum" totalsRowDxfId="77"/>
    <tableColumn id="48" xr3:uid="{DCA92DCC-9703-E144-A705-C4CFF432DCB9}" name="InvoiceNo" totalsRowDxfId="7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_Query_from_UnBilled_1" displayName="Table_Query_from_UnBilled_1" ref="A1:AV26" totalsRowCount="1">
  <autoFilter ref="A1:AV25" xr:uid="{00000000-0009-0000-0100-000001000000}"/>
  <tableColumns count="48">
    <tableColumn id="1" xr3:uid="{00000000-0010-0000-0300-000001000000}" name="Agency" totalsRowLabel="Total" totalsRowDxfId="75"/>
    <tableColumn id="2" xr3:uid="{00000000-0010-0000-0300-000002000000}" name="OfficeCode"/>
    <tableColumn id="3" xr3:uid="{00000000-0010-0000-0300-000003000000}" name="ClientName"/>
    <tableColumn id="4" xr3:uid="{00000000-0010-0000-0300-000004000000}" name="DebtorsAccountCode"/>
    <tableColumn id="5" xr3:uid="{00000000-0010-0000-0300-000005000000}" name="MediaName" totalsRowDxfId="74"/>
    <tableColumn id="6" xr3:uid="{00000000-0010-0000-0300-000006000000}" name="ClientCode"/>
    <tableColumn id="7" xr3:uid="{00000000-0010-0000-0300-000007000000}" name="ProductCode" totalsRowDxfId="73"/>
    <tableColumn id="8" xr3:uid="{00000000-0010-0000-0300-000008000000}" name="ProductName"/>
    <tableColumn id="9" xr3:uid="{00000000-0010-0000-0300-000009000000}" name="CampaignCode" totalsRowDxfId="72"/>
    <tableColumn id="10" xr3:uid="{00000000-0010-0000-0300-00000A000000}" name="CampaignName"/>
    <tableColumn id="11" xr3:uid="{00000000-0010-0000-0300-00000B000000}" name="BuyMonth" totalsRowDxfId="71"/>
    <tableColumn id="12" xr3:uid="{00000000-0010-0000-0300-00000C000000}" name="BuySerial" totalsRowDxfId="70"/>
    <tableColumn id="13" xr3:uid="{00000000-0010-0000-0300-00000D000000}" name="BookingCategoryShortname" totalsRowDxfId="69"/>
    <tableColumn id="14" xr3:uid="{00000000-0010-0000-0300-00000E000000}" name="SupplierName" totalsRowDxfId="68"/>
    <tableColumn id="15" xr3:uid="{00000000-0010-0000-0300-00000F000000}" name="BuyerName"/>
    <tableColumn id="16" xr3:uid="{00000000-0010-0000-0300-000010000000}" name="BuyerPID"/>
    <tableColumn id="17" xr3:uid="{00000000-0010-0000-0300-000011000000}" name="BuyDate" totalsRowDxfId="67"/>
    <tableColumn id="18" xr3:uid="{00000000-0010-0000-0300-000012000000}" name="BookedDate" totalsRowDxfId="66"/>
    <tableColumn id="19" xr3:uid="{00000000-0010-0000-0300-000013000000}" name="LastAmendedInvoice" totalsRowDxfId="65"/>
    <tableColumn id="20" xr3:uid="{00000000-0010-0000-0300-000014000000}" name="CampaignReference"/>
    <tableColumn id="21" xr3:uid="{00000000-0010-0000-0300-000015000000}" name="ClientReference"/>
    <tableColumn id="22" xr3:uid="{00000000-0010-0000-0300-000016000000}" name="BillComments" totalsRowDxfId="64"/>
    <tableColumn id="23" xr3:uid="{00000000-0010-0000-0300-000017000000}" name="PO" totalsRowDxfId="63"/>
    <tableColumn id="24" xr3:uid="{00000000-0010-0000-0300-000018000000}" name="PO_Reference" totalsRowDxfId="62"/>
    <tableColumn id="25" xr3:uid="{00000000-0010-0000-0300-000019000000}" name="Gross" totalsRowFunction="custom" totalsRowDxfId="61">
      <totalsRowFormula>SUBTOTAL(109,Table_Query_from_UnBilled_1[Payable])</totalsRowFormula>
    </tableColumn>
    <tableColumn id="26" xr3:uid="{00000000-0010-0000-0300-00001A000000}" name="MediaDiscountPercentage" totalsRowDxfId="60"/>
    <tableColumn id="27" xr3:uid="{00000000-0010-0000-0300-00001B000000}" name="Payable" totalsRowFunction="sum" totalsRowDxfId="59"/>
    <tableColumn id="28" xr3:uid="{00000000-0010-0000-0300-00001C000000}" name="Paid" totalsRowFunction="sum" totalsRowDxfId="58"/>
    <tableColumn id="29" xr3:uid="{00000000-0010-0000-0300-00001D000000}" name="UnPaid" totalsRowFunction="custom" totalsRowDxfId="57">
      <totalsRowFormula>SUBTOTAL(109,Table_Query_from_UnBilled_1[Billed])</totalsRowFormula>
    </tableColumn>
    <tableColumn id="30" xr3:uid="{00000000-0010-0000-0300-00001E000000}" name="AgencyCommission" totalsRowFunction="sum" dataDxfId="56" totalsRowDxfId="55">
      <calculatedColumnFormula>Table_Query_from_UnBilled_1[[#This Row],[Payable]]*0.035</calculatedColumnFormula>
    </tableColumn>
    <tableColumn id="31" xr3:uid="{00000000-0010-0000-0300-00001F000000}" name="Billable" totalsRowFunction="sum" totalsRowDxfId="54"/>
    <tableColumn id="32" xr3:uid="{00000000-0010-0000-0300-000020000000}" name="Billed" totalsRowFunction="sum" totalsRowDxfId="53"/>
    <tableColumn id="33" xr3:uid="{00000000-0010-0000-0300-000021000000}" name="UnBilled" totalsRowFunction="sum" totalsRowDxfId="52"/>
    <tableColumn id="34" xr3:uid="{00000000-0010-0000-0300-000022000000}" name="LevyBillable" totalsRowFunction="sum" dataDxfId="51" totalsRowDxfId="50">
      <calculatedColumnFormula>Table_Query_from_UnBilled_1[[#This Row],[Payable]]*0.01</calculatedColumnFormula>
    </tableColumn>
    <tableColumn id="35" xr3:uid="{00000000-0010-0000-0300-000023000000}" name="Unbilled Client Cost" totalsRowFunction="sum" dataDxfId="49" totalsRowDxfId="48">
      <calculatedColumnFormula>Table_Query_from_UnBilled_1[[#This Row],[Payable]]+Table_Query_from_UnBilled_1[[#This Row],[AgencyCommission]]+Table_Query_from_UnBilled_1[[#This Row],[LevyBillable]]</calculatedColumnFormula>
    </tableColumn>
    <tableColumn id="36" xr3:uid="{00000000-0010-0000-0300-000024000000}" name="VATBillable" totalsRowFunction="sum" totalsRowDxfId="47"/>
    <tableColumn id="37" xr3:uid="{00000000-0010-0000-0300-000025000000}" name="Vouchered" totalsRowDxfId="46"/>
    <tableColumn id="38" xr3:uid="{00000000-0010-0000-0300-000026000000}" name="AgencyCommentBy" totalsRowDxfId="45"/>
    <tableColumn id="39" xr3:uid="{00000000-0010-0000-0300-000027000000}" name="Action" totalsRowDxfId="44"/>
    <tableColumn id="40" xr3:uid="{00000000-0010-0000-0300-000028000000}" name="AgencyCommentDate" totalsRowDxfId="43"/>
    <tableColumn id="41" xr3:uid="{00000000-0010-0000-0300-000029000000}" name="Bill" totalsRowDxfId="42"/>
    <tableColumn id="42" xr3:uid="{00000000-0010-0000-0300-00002A000000}" name="LocalCurrencyCode" totalsRowDxfId="41"/>
    <tableColumn id="43" xr3:uid="{00000000-0010-0000-0300-00002B000000}" name="AccountExchangerate" totalsRowDxfId="40"/>
    <tableColumn id="44" xr3:uid="{00000000-0010-0000-0300-00002C000000}" name="BillableCurrency" totalsRowFunction="sum" totalsRowDxfId="39"/>
    <tableColumn id="45" xr3:uid="{00000000-0010-0000-0300-00002D000000}" name="ASBOF / BASBOF" totalsRowDxfId="38"/>
    <tableColumn id="46" xr3:uid="{00000000-0010-0000-0300-00002E000000}" name="BilledCurrency" totalsRowFunction="sum" totalsRowDxfId="37"/>
    <tableColumn id="47" xr3:uid="{00000000-0010-0000-0300-00002F000000}" name="UnbilledCurrency" totalsRowFunction="sum" totalsRowDxfId="36"/>
    <tableColumn id="48" xr3:uid="{48733DC8-0643-A443-8513-24BAE0E6A058}" name="InvoiceN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W119"/>
  <sheetViews>
    <sheetView tabSelected="1" zoomScale="91" zoomScaleNormal="63" workbookViewId="0">
      <selection activeCell="H117" sqref="H117"/>
    </sheetView>
  </sheetViews>
  <sheetFormatPr baseColWidth="10" defaultColWidth="0" defaultRowHeight="15" x14ac:dyDescent="0.2"/>
  <cols>
    <col min="1" max="1" width="8.5" bestFit="1" customWidth="1"/>
    <col min="2" max="2" width="8.33203125" bestFit="1" customWidth="1"/>
    <col min="3" max="3" width="12.6640625" bestFit="1" customWidth="1"/>
    <col min="4" max="4" width="16.6640625" customWidth="1"/>
    <col min="5" max="5" width="13.6640625" customWidth="1"/>
    <col min="6" max="6" width="11.5" customWidth="1"/>
    <col min="7" max="7" width="12.5" customWidth="1"/>
    <col min="8" max="8" width="13.83203125" bestFit="1" customWidth="1"/>
    <col min="9" max="9" width="13" style="15" bestFit="1" customWidth="1"/>
    <col min="10" max="10" width="24.1640625" bestFit="1" customWidth="1"/>
    <col min="11" max="11" width="11.5" style="16" customWidth="1"/>
    <col min="12" max="12" width="9.83203125" bestFit="1" customWidth="1"/>
    <col min="13" max="13" width="23.5" bestFit="1" customWidth="1"/>
    <col min="14" max="14" width="29" bestFit="1" customWidth="1"/>
    <col min="15" max="15" width="18.5" bestFit="1" customWidth="1"/>
    <col min="16" max="16" width="9.83203125" bestFit="1" customWidth="1"/>
    <col min="17" max="17" width="9.33203125" bestFit="1" customWidth="1"/>
    <col min="18" max="18" width="14.33203125" customWidth="1"/>
    <col min="19" max="19" width="19" customWidth="1"/>
    <col min="20" max="20" width="18.6640625" customWidth="1"/>
    <col min="21" max="21" width="14" customWidth="1"/>
    <col min="22" max="22" width="15.1640625" customWidth="1"/>
    <col min="23" max="23" width="14.83203125" customWidth="1"/>
    <col min="24" max="24" width="16" customWidth="1"/>
    <col min="25" max="25" width="11.1640625" style="21" bestFit="1" customWidth="1"/>
    <col min="26" max="26" width="10.83203125" bestFit="1" customWidth="1"/>
    <col min="27" max="27" width="10" style="34" bestFit="1" customWidth="1"/>
    <col min="28" max="29" width="8.6640625" bestFit="1" customWidth="1"/>
    <col min="30" max="30" width="17.6640625" style="34" bestFit="1" customWidth="1"/>
    <col min="31" max="31" width="10" style="21" bestFit="1" customWidth="1"/>
    <col min="32" max="32" width="7.33203125" style="21" bestFit="1" customWidth="1"/>
    <col min="33" max="33" width="10" style="21" bestFit="1" customWidth="1"/>
    <col min="34" max="34" width="11.6640625" style="34" bestFit="1" customWidth="1"/>
    <col min="35" max="35" width="17.5" style="21" bestFit="1" customWidth="1"/>
    <col min="36" max="36" width="11.33203125" style="21" bestFit="1" customWidth="1"/>
    <col min="37" max="37" width="11.33203125" bestFit="1" customWidth="1"/>
    <col min="38" max="38" width="17.5" bestFit="1" customWidth="1"/>
    <col min="39" max="39" width="11.33203125" bestFit="1" customWidth="1"/>
    <col min="40" max="40" width="19.1640625" bestFit="1" customWidth="1"/>
    <col min="41" max="41" width="5.5" bestFit="1" customWidth="1"/>
    <col min="42" max="42" width="17.5" bestFit="1" customWidth="1"/>
    <col min="43" max="43" width="18.83203125" style="21" bestFit="1" customWidth="1"/>
    <col min="44" max="44" width="15" style="21" bestFit="1" customWidth="1"/>
    <col min="45" max="45" width="15.1640625" style="21" bestFit="1" customWidth="1"/>
    <col min="46" max="48" width="13.6640625" style="21" customWidth="1"/>
    <col min="49" max="49" width="15.5" style="21" bestFit="1" customWidth="1"/>
  </cols>
  <sheetData>
    <row r="1" spans="1:49" s="22" customFormat="1" ht="17.25" customHeight="1" thickBo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4" t="s">
        <v>7</v>
      </c>
      <c r="I1" s="25" t="s">
        <v>8</v>
      </c>
      <c r="J1" s="24" t="s">
        <v>9</v>
      </c>
      <c r="K1" s="26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7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8" t="s">
        <v>24</v>
      </c>
      <c r="Z1" s="7" t="s">
        <v>25</v>
      </c>
      <c r="AA1" s="29" t="s">
        <v>26</v>
      </c>
      <c r="AB1" s="23" t="s">
        <v>27</v>
      </c>
      <c r="AC1" s="23" t="s">
        <v>28</v>
      </c>
      <c r="AD1" s="29" t="s">
        <v>29</v>
      </c>
      <c r="AE1" s="28" t="s">
        <v>30</v>
      </c>
      <c r="AF1" s="28" t="s">
        <v>31</v>
      </c>
      <c r="AG1" s="28" t="s">
        <v>32</v>
      </c>
      <c r="AH1" s="29" t="s">
        <v>33</v>
      </c>
      <c r="AI1" s="29" t="s">
        <v>34</v>
      </c>
      <c r="AJ1" s="28" t="s">
        <v>35</v>
      </c>
      <c r="AK1" s="24" t="s">
        <v>36</v>
      </c>
      <c r="AL1" s="23" t="s">
        <v>37</v>
      </c>
      <c r="AM1" s="23" t="s">
        <v>38</v>
      </c>
      <c r="AN1" s="23" t="s">
        <v>39</v>
      </c>
      <c r="AO1" s="23" t="s">
        <v>40</v>
      </c>
      <c r="AP1" s="30" t="s">
        <v>41</v>
      </c>
      <c r="AQ1" s="31" t="s">
        <v>42</v>
      </c>
      <c r="AR1" s="31" t="s">
        <v>43</v>
      </c>
      <c r="AS1" s="31" t="s">
        <v>44</v>
      </c>
      <c r="AT1" s="31" t="s">
        <v>45</v>
      </c>
      <c r="AU1" s="31" t="s">
        <v>46</v>
      </c>
      <c r="AV1" s="31" t="s">
        <v>192</v>
      </c>
    </row>
    <row r="2" spans="1:49" ht="17.25" hidden="1" customHeight="1" x14ac:dyDescent="0.2">
      <c r="A2" s="1" t="s">
        <v>47</v>
      </c>
      <c r="C2" s="1" t="s">
        <v>48</v>
      </c>
      <c r="E2" s="1" t="s">
        <v>49</v>
      </c>
      <c r="F2" s="1" t="s">
        <v>432</v>
      </c>
      <c r="G2" s="10"/>
      <c r="H2" s="32" t="s">
        <v>50</v>
      </c>
      <c r="I2" s="11">
        <v>3</v>
      </c>
      <c r="J2" s="32" t="s">
        <v>51</v>
      </c>
      <c r="K2" s="3">
        <v>45413</v>
      </c>
      <c r="L2" s="1"/>
      <c r="M2" s="1" t="s">
        <v>52</v>
      </c>
      <c r="N2" s="1" t="s">
        <v>53</v>
      </c>
      <c r="O2" s="1"/>
      <c r="Q2" s="4"/>
      <c r="R2" s="5"/>
      <c r="S2" s="4"/>
      <c r="U2" s="1" t="s">
        <v>54</v>
      </c>
      <c r="V2" s="1" t="s">
        <v>54</v>
      </c>
      <c r="W2" s="1" t="s">
        <v>54</v>
      </c>
      <c r="X2" s="1" t="s">
        <v>54</v>
      </c>
      <c r="Y2" s="12"/>
      <c r="Z2" s="13"/>
      <c r="AA2" s="33">
        <v>500</v>
      </c>
      <c r="AB2" s="12"/>
      <c r="AC2" s="12"/>
      <c r="AD2" s="33">
        <f>Table_Query_from_UnBilled_1345[[#This Row],[Payable]]*0.035</f>
        <v>17.5</v>
      </c>
      <c r="AE2" s="12">
        <v>0</v>
      </c>
      <c r="AF2" s="12">
        <v>0</v>
      </c>
      <c r="AG2" s="12">
        <v>0</v>
      </c>
      <c r="AH2" s="33">
        <f>Table_Query_from_UnBilled_1345[[#This Row], [Payable]]*0.01</f>
        <v>5</v>
      </c>
      <c r="AI2" s="33">
        <f>Table_Query_from_UnBilled_1345[[#This Row], [Payable]]+Table_Query_from_UnBilled_1345[[#This Row], [AgencyCommission]]+Table_Query_from_UnBilled_1345[[#This Row], [LevyBillable]]</f>
        <v>522.5</v>
      </c>
      <c r="AJ2" s="12">
        <v>0</v>
      </c>
      <c r="AK2" s="32" t="s">
        <v>36</v>
      </c>
      <c r="AL2" s="14"/>
      <c r="AM2" s="1" t="s">
        <v>55</v>
      </c>
      <c r="AN2" s="4"/>
      <c r="AO2" s="1" t="s">
        <v>56</v>
      </c>
      <c r="AP2" s="1" t="s">
        <v>57</v>
      </c>
      <c r="AQ2" s="12"/>
      <c r="AR2" s="12">
        <v>0</v>
      </c>
      <c r="AS2" s="12">
        <v>0</v>
      </c>
      <c r="AT2" s="12">
        <v>0</v>
      </c>
      <c r="AU2" s="12">
        <v>0</v>
      </c>
      <c r="AV2" s="12" t="s">
        <v>193</v>
      </c>
      <c r="AW2"/>
    </row>
    <row r="3" spans="1:49" ht="17.25" hidden="1" customHeight="1" x14ac:dyDescent="0.2">
      <c r="A3" s="1" t="s">
        <v>47</v>
      </c>
      <c r="C3" s="1" t="s">
        <v>48</v>
      </c>
      <c r="E3" s="1" t="s">
        <v>49</v>
      </c>
      <c r="F3" s="1" t="s">
        <v>432</v>
      </c>
      <c r="G3" s="10"/>
      <c r="H3" s="32" t="s">
        <v>50</v>
      </c>
      <c r="I3" s="11">
        <v>3</v>
      </c>
      <c r="J3" s="32" t="s">
        <v>51</v>
      </c>
      <c r="K3" s="3">
        <v>45444</v>
      </c>
      <c r="L3" s="1"/>
      <c r="M3" s="1" t="s">
        <v>58</v>
      </c>
      <c r="N3" s="1" t="s">
        <v>59</v>
      </c>
      <c r="O3" s="1"/>
      <c r="Q3" s="4"/>
      <c r="R3" s="5"/>
      <c r="S3" s="4"/>
      <c r="U3" s="1" t="s">
        <v>54</v>
      </c>
      <c r="V3" s="1"/>
      <c r="W3" s="1" t="s">
        <v>54</v>
      </c>
      <c r="X3" s="1" t="s">
        <v>54</v>
      </c>
      <c r="Y3" s="12"/>
      <c r="Z3" s="13"/>
      <c r="AA3" s="33">
        <v>25000</v>
      </c>
      <c r="AB3" s="12"/>
      <c r="AC3" s="12"/>
      <c r="AD3" s="33">
        <f>Table_Query_from_UnBilled_1345[[#This Row], [Payable]]*0.035</f>
        <v>875.00000000000011</v>
      </c>
      <c r="AE3" s="12">
        <v>0</v>
      </c>
      <c r="AF3" s="12">
        <v>0</v>
      </c>
      <c r="AG3" s="12">
        <v>0</v>
      </c>
      <c r="AH3" s="33">
        <f>Table_Query_from_UnBilled_1345[[#This Row], [Payable]]*0.01</f>
        <v>250</v>
      </c>
      <c r="AI3" s="33">
        <f>Table_Query_from_UnBilled_1345[[#This Row], [Payable]]+Table_Query_from_UnBilled_1345[[#This Row], [AgencyCommission]]+Table_Query_from_UnBilled_1345[[#This Row], [LevyBillable]]</f>
        <v>26125</v>
      </c>
      <c r="AJ3" s="12">
        <v>0</v>
      </c>
      <c r="AK3" s="32" t="s">
        <v>36</v>
      </c>
      <c r="AL3" s="14"/>
      <c r="AM3" s="1" t="s">
        <v>55</v>
      </c>
      <c r="AN3" s="4"/>
      <c r="AO3" s="1" t="s">
        <v>56</v>
      </c>
      <c r="AP3" s="1" t="s">
        <v>57</v>
      </c>
      <c r="AQ3" s="12"/>
      <c r="AR3" s="12">
        <v>0</v>
      </c>
      <c r="AS3" s="12">
        <v>0</v>
      </c>
      <c r="AT3" s="12">
        <v>0</v>
      </c>
      <c r="AU3" s="12">
        <v>0</v>
      </c>
      <c r="AV3" s="12" t="s">
        <v>194</v>
      </c>
      <c r="AW3"/>
    </row>
    <row r="4" spans="1:49" ht="17.25" hidden="1" customHeight="1" x14ac:dyDescent="0.2">
      <c r="A4" s="1" t="s">
        <v>47</v>
      </c>
      <c r="C4" s="1" t="s">
        <v>48</v>
      </c>
      <c r="E4" s="1" t="s">
        <v>49</v>
      </c>
      <c r="F4" s="1" t="s">
        <v>432</v>
      </c>
      <c r="G4" s="10"/>
      <c r="H4" s="32" t="s">
        <v>50</v>
      </c>
      <c r="I4" s="11">
        <v>3</v>
      </c>
      <c r="J4" s="32" t="s">
        <v>51</v>
      </c>
      <c r="K4" s="3">
        <v>45444</v>
      </c>
      <c r="L4" s="1"/>
      <c r="M4" s="1" t="s">
        <v>52</v>
      </c>
      <c r="N4" s="1" t="s">
        <v>53</v>
      </c>
      <c r="O4" s="1"/>
      <c r="Q4" s="4"/>
      <c r="R4" s="5"/>
      <c r="S4" s="4"/>
      <c r="U4" s="1" t="s">
        <v>54</v>
      </c>
      <c r="V4" s="1" t="s">
        <v>54</v>
      </c>
      <c r="W4" s="1" t="s">
        <v>54</v>
      </c>
      <c r="X4" s="1" t="s">
        <v>54</v>
      </c>
      <c r="Y4" s="12"/>
      <c r="Z4" s="13"/>
      <c r="AA4" s="33">
        <v>2500</v>
      </c>
      <c r="AB4" s="12"/>
      <c r="AC4" s="12"/>
      <c r="AD4" s="33">
        <f>Table_Query_from_UnBilled_1345[[#This Row], [Payable]]*0.035</f>
        <v>87.500000000000014</v>
      </c>
      <c r="AE4" s="12">
        <v>0</v>
      </c>
      <c r="AF4" s="12">
        <v>0</v>
      </c>
      <c r="AG4" s="12">
        <v>0</v>
      </c>
      <c r="AH4" s="33">
        <f>Table_Query_from_UnBilled_1345[[#This Row], [Payable]]*0.01</f>
        <v>25</v>
      </c>
      <c r="AI4" s="33">
        <f>Table_Query_from_UnBilled_1345[[#This Row], [Payable]]+Table_Query_from_UnBilled_1345[[#This Row], [AgencyCommission]]+Table_Query_from_UnBilled_1345[[#This Row], [LevyBillable]]</f>
        <v>2612.5</v>
      </c>
      <c r="AJ4" s="12">
        <v>0</v>
      </c>
      <c r="AK4" s="32" t="s">
        <v>36</v>
      </c>
      <c r="AL4" s="14"/>
      <c r="AM4" s="1" t="s">
        <v>55</v>
      </c>
      <c r="AN4" s="4"/>
      <c r="AO4" s="1" t="s">
        <v>56</v>
      </c>
      <c r="AP4" s="1" t="s">
        <v>57</v>
      </c>
      <c r="AQ4" s="12"/>
      <c r="AR4" s="12">
        <v>0</v>
      </c>
      <c r="AS4" s="12">
        <v>0</v>
      </c>
      <c r="AT4" s="12">
        <v>0</v>
      </c>
      <c r="AU4" s="12">
        <v>0</v>
      </c>
      <c r="AV4" s="12" t="s">
        <v>195</v>
      </c>
      <c r="AW4"/>
    </row>
    <row r="5" spans="1:49" ht="17.25" hidden="1" customHeight="1" x14ac:dyDescent="0.2">
      <c r="A5" s="1" t="s">
        <v>47</v>
      </c>
      <c r="C5" s="1" t="s">
        <v>48</v>
      </c>
      <c r="E5" s="1" t="s">
        <v>49</v>
      </c>
      <c r="F5" s="1" t="s">
        <v>432</v>
      </c>
      <c r="G5" s="10"/>
      <c r="H5" s="32" t="s">
        <v>50</v>
      </c>
      <c r="I5" s="11">
        <v>3</v>
      </c>
      <c r="J5" s="32" t="s">
        <v>51</v>
      </c>
      <c r="K5" s="3">
        <v>45444</v>
      </c>
      <c r="L5" s="1"/>
      <c r="M5" s="1" t="s">
        <v>58</v>
      </c>
      <c r="N5" s="1" t="s">
        <v>59</v>
      </c>
      <c r="O5" s="1"/>
      <c r="Q5" s="4"/>
      <c r="R5" s="5"/>
      <c r="S5" s="4"/>
      <c r="U5" s="1" t="s">
        <v>54</v>
      </c>
      <c r="V5" s="1"/>
      <c r="W5" s="1" t="s">
        <v>54</v>
      </c>
      <c r="X5" s="1" t="s">
        <v>54</v>
      </c>
      <c r="Y5" s="12"/>
      <c r="Z5" s="13"/>
      <c r="AA5" s="33">
        <v>12000</v>
      </c>
      <c r="AB5" s="12"/>
      <c r="AC5" s="12"/>
      <c r="AD5" s="33">
        <f>Table_Query_from_UnBilled_1345[[#This Row], [Payable]]*0.035</f>
        <v>420.00000000000006</v>
      </c>
      <c r="AE5" s="12">
        <v>0</v>
      </c>
      <c r="AF5" s="12">
        <v>0</v>
      </c>
      <c r="AG5" s="12">
        <v>0</v>
      </c>
      <c r="AH5" s="33">
        <f>Table_Query_from_UnBilled_1345[[#This Row], [Payable]]*0.01</f>
        <v>120</v>
      </c>
      <c r="AI5" s="33">
        <f>Table_Query_from_UnBilled_1345[[#This Row], [Payable]]+Table_Query_from_UnBilled_1345[[#This Row], [AgencyCommission]]+Table_Query_from_UnBilled_1345[[#This Row], [LevyBillable]]</f>
        <v>12540</v>
      </c>
      <c r="AJ5" s="12">
        <v>0</v>
      </c>
      <c r="AK5" s="32" t="s">
        <v>36</v>
      </c>
      <c r="AL5" s="14"/>
      <c r="AM5" s="1" t="s">
        <v>55</v>
      </c>
      <c r="AN5" s="4"/>
      <c r="AO5" s="1" t="s">
        <v>56</v>
      </c>
      <c r="AP5" s="1" t="s">
        <v>57</v>
      </c>
      <c r="AQ5" s="12"/>
      <c r="AR5" s="12">
        <v>0</v>
      </c>
      <c r="AS5" s="12">
        <v>0</v>
      </c>
      <c r="AT5" s="12">
        <v>0</v>
      </c>
      <c r="AU5" s="12">
        <v>0</v>
      </c>
      <c r="AV5" s="12" t="s">
        <v>196</v>
      </c>
      <c r="AW5"/>
    </row>
    <row r="6" spans="1:49" ht="17.25" hidden="1" customHeight="1" x14ac:dyDescent="0.2">
      <c r="A6" s="1" t="s">
        <v>47</v>
      </c>
      <c r="C6" s="1" t="s">
        <v>48</v>
      </c>
      <c r="E6" s="1" t="s">
        <v>49</v>
      </c>
      <c r="F6" s="1" t="s">
        <v>432</v>
      </c>
      <c r="G6" s="10"/>
      <c r="H6" s="32" t="s">
        <v>50</v>
      </c>
      <c r="I6" s="11">
        <v>3</v>
      </c>
      <c r="J6" s="32" t="s">
        <v>51</v>
      </c>
      <c r="K6" s="3">
        <v>45444</v>
      </c>
      <c r="L6" s="1"/>
      <c r="M6" s="1" t="s">
        <v>58</v>
      </c>
      <c r="N6" s="1" t="s">
        <v>60</v>
      </c>
      <c r="O6" s="1"/>
      <c r="Q6" s="4"/>
      <c r="R6" s="5"/>
      <c r="S6" s="4"/>
      <c r="U6" s="1" t="s">
        <v>54</v>
      </c>
      <c r="V6" s="1" t="s">
        <v>54</v>
      </c>
      <c r="W6" s="1" t="s">
        <v>54</v>
      </c>
      <c r="X6" s="1" t="s">
        <v>54</v>
      </c>
      <c r="Y6" s="12"/>
      <c r="Z6" s="13"/>
      <c r="AA6" s="33">
        <v>18000</v>
      </c>
      <c r="AB6" s="12"/>
      <c r="AC6" s="12"/>
      <c r="AD6" s="33">
        <f>Table_Query_from_UnBilled_1345[[#This Row], [Payable]]*0.035</f>
        <v>630.00000000000011</v>
      </c>
      <c r="AE6" s="12">
        <v>0</v>
      </c>
      <c r="AF6" s="12">
        <v>0</v>
      </c>
      <c r="AG6" s="12">
        <v>0</v>
      </c>
      <c r="AH6" s="33">
        <f>Table_Query_from_UnBilled_1345[[#This Row], [Payable]]*0.01</f>
        <v>180</v>
      </c>
      <c r="AI6" s="33">
        <f>Table_Query_from_UnBilled_1345[[#This Row], [Payable]]+Table_Query_from_UnBilled_1345[[#This Row], [AgencyCommission]]+Table_Query_from_UnBilled_1345[[#This Row], [LevyBillable]]</f>
        <v>18810</v>
      </c>
      <c r="AJ6" s="12">
        <v>0</v>
      </c>
      <c r="AK6" s="32" t="s">
        <v>36</v>
      </c>
      <c r="AL6" s="14"/>
      <c r="AM6" s="1" t="s">
        <v>55</v>
      </c>
      <c r="AN6" s="4"/>
      <c r="AO6" s="1" t="s">
        <v>56</v>
      </c>
      <c r="AP6" s="1" t="s">
        <v>57</v>
      </c>
      <c r="AQ6" s="12"/>
      <c r="AR6" s="12">
        <v>0</v>
      </c>
      <c r="AS6" s="12">
        <v>0</v>
      </c>
      <c r="AT6" s="12">
        <v>0</v>
      </c>
      <c r="AU6" s="12">
        <v>0</v>
      </c>
      <c r="AV6" s="12" t="s">
        <v>198</v>
      </c>
      <c r="AW6"/>
    </row>
    <row r="7" spans="1:49" ht="17.25" hidden="1" customHeight="1" x14ac:dyDescent="0.2">
      <c r="A7" s="1" t="s">
        <v>47</v>
      </c>
      <c r="C7" s="1" t="s">
        <v>48</v>
      </c>
      <c r="E7" s="1" t="s">
        <v>49</v>
      </c>
      <c r="F7" s="1" t="s">
        <v>432</v>
      </c>
      <c r="G7" s="10"/>
      <c r="H7" s="32" t="s">
        <v>50</v>
      </c>
      <c r="I7" s="11">
        <v>3</v>
      </c>
      <c r="J7" s="32" t="s">
        <v>51</v>
      </c>
      <c r="K7" s="3">
        <v>45444</v>
      </c>
      <c r="L7" s="1"/>
      <c r="M7" s="1" t="s">
        <v>58</v>
      </c>
      <c r="N7" s="1" t="s">
        <v>59</v>
      </c>
      <c r="O7" s="1"/>
      <c r="Q7" s="4"/>
      <c r="R7" s="5"/>
      <c r="S7" s="4"/>
      <c r="U7" s="1" t="s">
        <v>54</v>
      </c>
      <c r="V7" s="1"/>
      <c r="W7" s="1" t="s">
        <v>54</v>
      </c>
      <c r="X7" s="1" t="s">
        <v>54</v>
      </c>
      <c r="Y7" s="12"/>
      <c r="Z7" s="13"/>
      <c r="AA7" s="33">
        <v>24000</v>
      </c>
      <c r="AB7" s="12"/>
      <c r="AC7" s="12"/>
      <c r="AD7" s="33">
        <f>Table_Query_from_UnBilled_1345[[#This Row], [Payable]]*0.035</f>
        <v>840.00000000000011</v>
      </c>
      <c r="AE7" s="12">
        <v>0</v>
      </c>
      <c r="AF7" s="12">
        <v>0</v>
      </c>
      <c r="AG7" s="12">
        <v>0</v>
      </c>
      <c r="AH7" s="33">
        <f>Table_Query_from_UnBilled_1345[[#This Row], [Payable]]*0.01</f>
        <v>240</v>
      </c>
      <c r="AI7" s="33">
        <f>Table_Query_from_UnBilled_1345[[#This Row], [Payable]]+Table_Query_from_UnBilled_1345[[#This Row], [AgencyCommission]]+Table_Query_from_UnBilled_1345[[#This Row], [LevyBillable]]</f>
        <v>25080</v>
      </c>
      <c r="AJ7" s="12">
        <v>0</v>
      </c>
      <c r="AK7" s="32" t="s">
        <v>36</v>
      </c>
      <c r="AL7" s="14"/>
      <c r="AM7" s="1" t="s">
        <v>55</v>
      </c>
      <c r="AN7" s="4"/>
      <c r="AO7" s="1" t="s">
        <v>56</v>
      </c>
      <c r="AP7" s="1" t="s">
        <v>57</v>
      </c>
      <c r="AQ7" s="12"/>
      <c r="AR7" s="12">
        <v>0</v>
      </c>
      <c r="AS7" s="12">
        <v>0</v>
      </c>
      <c r="AT7" s="12">
        <v>0</v>
      </c>
      <c r="AU7" s="12">
        <v>0</v>
      </c>
      <c r="AV7" s="12" t="s">
        <v>199</v>
      </c>
      <c r="AW7"/>
    </row>
    <row r="8" spans="1:49" ht="17.25" hidden="1" customHeight="1" x14ac:dyDescent="0.2">
      <c r="A8" s="1" t="s">
        <v>47</v>
      </c>
      <c r="C8" s="1" t="s">
        <v>48</v>
      </c>
      <c r="E8" s="1" t="s">
        <v>49</v>
      </c>
      <c r="F8" s="1" t="s">
        <v>432</v>
      </c>
      <c r="G8" s="10"/>
      <c r="H8" s="32" t="s">
        <v>50</v>
      </c>
      <c r="I8" s="11">
        <v>3</v>
      </c>
      <c r="J8" s="32" t="s">
        <v>51</v>
      </c>
      <c r="K8" s="3">
        <v>45444</v>
      </c>
      <c r="L8" s="1"/>
      <c r="M8" s="1" t="s">
        <v>58</v>
      </c>
      <c r="N8" s="1" t="s">
        <v>61</v>
      </c>
      <c r="O8" s="1"/>
      <c r="Q8" s="4"/>
      <c r="R8" s="5"/>
      <c r="S8" s="4"/>
      <c r="U8" s="1" t="s">
        <v>54</v>
      </c>
      <c r="V8" s="1" t="s">
        <v>54</v>
      </c>
      <c r="W8" s="1" t="s">
        <v>54</v>
      </c>
      <c r="X8" s="1" t="s">
        <v>54</v>
      </c>
      <c r="Y8" s="12"/>
      <c r="Z8" s="13"/>
      <c r="AA8" s="33">
        <v>20000</v>
      </c>
      <c r="AB8" s="12"/>
      <c r="AC8" s="12"/>
      <c r="AD8" s="33">
        <f>Table_Query_from_UnBilled_1345[[#This Row], [Payable]]*0.035</f>
        <v>700.00000000000011</v>
      </c>
      <c r="AE8" s="12">
        <v>0</v>
      </c>
      <c r="AF8" s="12">
        <v>0</v>
      </c>
      <c r="AG8" s="12">
        <v>0</v>
      </c>
      <c r="AH8" s="33">
        <f>Table_Query_from_UnBilled_1345[[#This Row], [Payable]]*0.01</f>
        <v>200</v>
      </c>
      <c r="AI8" s="33">
        <f>Table_Query_from_UnBilled_1345[[#This Row], [Payable]]+Table_Query_from_UnBilled_1345[[#This Row], [AgencyCommission]]+Table_Query_from_UnBilled_1345[[#This Row], [LevyBillable]]</f>
        <v>20900</v>
      </c>
      <c r="AJ8" s="12">
        <v>0</v>
      </c>
      <c r="AK8" s="32" t="s">
        <v>36</v>
      </c>
      <c r="AL8" s="14"/>
      <c r="AM8" s="1" t="s">
        <v>55</v>
      </c>
      <c r="AN8" s="4"/>
      <c r="AO8" s="1" t="s">
        <v>56</v>
      </c>
      <c r="AP8" s="1" t="s">
        <v>57</v>
      </c>
      <c r="AQ8" s="12"/>
      <c r="AR8" s="12">
        <v>0</v>
      </c>
      <c r="AS8" s="12">
        <v>0</v>
      </c>
      <c r="AT8" s="12">
        <v>0</v>
      </c>
      <c r="AU8" s="12">
        <v>0</v>
      </c>
      <c r="AV8" s="12" t="s">
        <v>200</v>
      </c>
      <c r="AW8"/>
    </row>
    <row r="9" spans="1:49" ht="17.25" hidden="1" customHeight="1" x14ac:dyDescent="0.2">
      <c r="A9" s="1" t="s">
        <v>47</v>
      </c>
      <c r="C9" s="1" t="s">
        <v>48</v>
      </c>
      <c r="E9" s="1" t="s">
        <v>49</v>
      </c>
      <c r="F9" s="1" t="s">
        <v>432</v>
      </c>
      <c r="G9" s="10"/>
      <c r="H9" s="32" t="s">
        <v>50</v>
      </c>
      <c r="I9" s="11">
        <v>3</v>
      </c>
      <c r="J9" s="32" t="s">
        <v>51</v>
      </c>
      <c r="K9" s="3">
        <v>45444</v>
      </c>
      <c r="L9" s="1"/>
      <c r="M9" s="1" t="s">
        <v>58</v>
      </c>
      <c r="N9" s="1" t="s">
        <v>61</v>
      </c>
      <c r="O9" s="1"/>
      <c r="Q9" s="4"/>
      <c r="R9" s="5"/>
      <c r="S9" s="4"/>
      <c r="U9" s="1" t="s">
        <v>54</v>
      </c>
      <c r="V9" s="1" t="s">
        <v>54</v>
      </c>
      <c r="W9" s="1" t="s">
        <v>54</v>
      </c>
      <c r="X9" s="1" t="s">
        <v>54</v>
      </c>
      <c r="Y9" s="12"/>
      <c r="Z9" s="13"/>
      <c r="AA9" s="33">
        <v>8000</v>
      </c>
      <c r="AB9" s="12"/>
      <c r="AC9" s="12"/>
      <c r="AD9" s="33">
        <f>Table_Query_from_UnBilled_1345[[#This Row], [Payable]]*0.035</f>
        <v>280</v>
      </c>
      <c r="AE9" s="12">
        <v>0</v>
      </c>
      <c r="AF9" s="12">
        <v>0</v>
      </c>
      <c r="AG9" s="12">
        <v>0</v>
      </c>
      <c r="AH9" s="33">
        <f>Table_Query_from_UnBilled_1345[[#This Row], [Payable]]*0.01</f>
        <v>80</v>
      </c>
      <c r="AI9" s="33">
        <f>Table_Query_from_UnBilled_1345[[#This Row], [Payable]]+Table_Query_from_UnBilled_1345[[#This Row], [AgencyCommission]]+Table_Query_from_UnBilled_1345[[#This Row], [LevyBillable]]</f>
        <v>8360</v>
      </c>
      <c r="AJ9" s="12">
        <v>0</v>
      </c>
      <c r="AK9" s="32" t="s">
        <v>36</v>
      </c>
      <c r="AL9" s="14"/>
      <c r="AM9" s="1" t="s">
        <v>55</v>
      </c>
      <c r="AN9" s="4"/>
      <c r="AO9" s="1" t="s">
        <v>56</v>
      </c>
      <c r="AP9" s="1" t="s">
        <v>57</v>
      </c>
      <c r="AQ9" s="12"/>
      <c r="AR9" s="12">
        <v>0</v>
      </c>
      <c r="AS9" s="12">
        <v>0</v>
      </c>
      <c r="AT9" s="12">
        <v>0</v>
      </c>
      <c r="AU9" s="12">
        <v>0</v>
      </c>
      <c r="AV9" s="12" t="s">
        <v>201</v>
      </c>
      <c r="AW9"/>
    </row>
    <row r="10" spans="1:49" ht="17.25" hidden="1" customHeight="1" x14ac:dyDescent="0.2">
      <c r="A10" s="1" t="s">
        <v>47</v>
      </c>
      <c r="C10" s="1" t="s">
        <v>48</v>
      </c>
      <c r="E10" s="1" t="s">
        <v>49</v>
      </c>
      <c r="F10" s="1" t="s">
        <v>435</v>
      </c>
      <c r="G10" s="10"/>
      <c r="H10" s="1" t="s">
        <v>62</v>
      </c>
      <c r="I10" s="11">
        <v>4</v>
      </c>
      <c r="J10" s="1" t="s">
        <v>63</v>
      </c>
      <c r="K10" s="3">
        <v>45413</v>
      </c>
      <c r="L10" s="1"/>
      <c r="M10" s="1" t="s">
        <v>52</v>
      </c>
      <c r="N10" s="1" t="s">
        <v>53</v>
      </c>
      <c r="O10" s="1"/>
      <c r="Q10" s="4"/>
      <c r="R10" s="5"/>
      <c r="S10" s="4"/>
      <c r="U10" s="1" t="s">
        <v>64</v>
      </c>
      <c r="V10" s="1"/>
      <c r="W10" s="1" t="s">
        <v>65</v>
      </c>
      <c r="X10" s="1" t="s">
        <v>65</v>
      </c>
      <c r="Y10" s="12"/>
      <c r="Z10" s="13"/>
      <c r="AA10" s="33">
        <v>7000</v>
      </c>
      <c r="AB10" s="12"/>
      <c r="AC10" s="12"/>
      <c r="AD10" s="33">
        <f>Table_Query_from_UnBilled_1345[[#This Row], [Payable]]*0.035</f>
        <v>245.00000000000003</v>
      </c>
      <c r="AE10" s="12">
        <v>0</v>
      </c>
      <c r="AF10" s="12">
        <v>0</v>
      </c>
      <c r="AG10" s="12">
        <v>0</v>
      </c>
      <c r="AH10" s="33">
        <f>Table_Query_from_UnBilled_1345[[#This Row], [Payable]]*0.01</f>
        <v>70</v>
      </c>
      <c r="AI10" s="33">
        <f>Table_Query_from_UnBilled_1345[[#This Row], [Payable]]+Table_Query_from_UnBilled_1345[[#This Row], [AgencyCommission]]+Table_Query_from_UnBilled_1345[[#This Row], [LevyBillable]]</f>
        <v>7315</v>
      </c>
      <c r="AJ10" s="12">
        <v>0</v>
      </c>
      <c r="AK10" s="11"/>
      <c r="AL10" s="14"/>
      <c r="AM10" s="14"/>
      <c r="AN10" s="4"/>
      <c r="AO10" s="14"/>
      <c r="AP10" s="12"/>
      <c r="AQ10" s="12"/>
      <c r="AR10" s="12">
        <v>0</v>
      </c>
      <c r="AS10" s="12">
        <v>0</v>
      </c>
      <c r="AT10" s="12">
        <v>0</v>
      </c>
      <c r="AU10" s="12">
        <v>0</v>
      </c>
      <c r="AV10" s="12" t="s">
        <v>202</v>
      </c>
      <c r="AW10"/>
    </row>
    <row r="11" spans="1:49" ht="17.25" hidden="1" customHeight="1" x14ac:dyDescent="0.2">
      <c r="A11" s="1" t="s">
        <v>47</v>
      </c>
      <c r="C11" s="1" t="s">
        <v>48</v>
      </c>
      <c r="E11" s="1" t="s">
        <v>49</v>
      </c>
      <c r="F11" s="1" t="s">
        <v>432</v>
      </c>
      <c r="G11" s="10"/>
      <c r="H11" s="1" t="s">
        <v>66</v>
      </c>
      <c r="I11" s="11">
        <v>4</v>
      </c>
      <c r="J11" s="1" t="s">
        <v>67</v>
      </c>
      <c r="K11" s="3">
        <v>45413</v>
      </c>
      <c r="L11" s="1"/>
      <c r="M11" s="1" t="s">
        <v>52</v>
      </c>
      <c r="N11" s="1" t="s">
        <v>53</v>
      </c>
      <c r="O11" s="1"/>
      <c r="Q11" s="4"/>
      <c r="R11" s="5"/>
      <c r="S11" s="4"/>
      <c r="U11" s="1" t="s">
        <v>68</v>
      </c>
      <c r="V11" s="1" t="s">
        <v>68</v>
      </c>
      <c r="W11" s="1" t="s">
        <v>68</v>
      </c>
      <c r="X11" s="1" t="s">
        <v>68</v>
      </c>
      <c r="Y11" s="12"/>
      <c r="Z11" s="13"/>
      <c r="AA11" s="33">
        <v>2000</v>
      </c>
      <c r="AB11" s="12"/>
      <c r="AC11" s="12"/>
      <c r="AD11" s="33">
        <f>Table_Query_from_UnBilled_1345[[#This Row], [Payable]]*0.035</f>
        <v>70</v>
      </c>
      <c r="AE11" s="12">
        <v>0</v>
      </c>
      <c r="AF11" s="12">
        <v>0</v>
      </c>
      <c r="AG11" s="12">
        <v>0</v>
      </c>
      <c r="AH11" s="33">
        <f>Table_Query_from_UnBilled_1345[[#This Row], [Payable]]*0.01</f>
        <v>20</v>
      </c>
      <c r="AI11" s="33">
        <f>Table_Query_from_UnBilled_1345[[#This Row], [Payable]]+Table_Query_from_UnBilled_1345[[#This Row], [AgencyCommission]]+Table_Query_from_UnBilled_1345[[#This Row], [LevyBillable]]</f>
        <v>2090</v>
      </c>
      <c r="AJ11" s="12">
        <v>0</v>
      </c>
      <c r="AK11" s="11"/>
      <c r="AL11" s="14"/>
      <c r="AM11" s="14"/>
      <c r="AN11" s="4"/>
      <c r="AO11" s="14"/>
      <c r="AP11" s="12"/>
      <c r="AQ11" s="12"/>
      <c r="AR11" s="12">
        <v>0</v>
      </c>
      <c r="AS11" s="12">
        <v>0</v>
      </c>
      <c r="AT11" s="12">
        <v>0</v>
      </c>
      <c r="AU11" s="12">
        <v>0</v>
      </c>
      <c r="AV11" s="12" t="s">
        <v>203</v>
      </c>
      <c r="AW11"/>
    </row>
    <row r="12" spans="1:49" ht="17.25" customHeight="1" x14ac:dyDescent="0.2">
      <c r="A12" s="1" t="s">
        <v>47</v>
      </c>
      <c r="C12" s="1" t="s">
        <v>48</v>
      </c>
      <c r="E12" s="1" t="s">
        <v>69</v>
      </c>
      <c r="F12" s="1" t="s">
        <v>435</v>
      </c>
      <c r="G12" s="10"/>
      <c r="H12" s="1" t="s">
        <v>76</v>
      </c>
      <c r="I12" s="11">
        <v>4</v>
      </c>
      <c r="J12" s="1" t="s">
        <v>70</v>
      </c>
      <c r="K12" s="3">
        <v>45444</v>
      </c>
      <c r="L12" s="1"/>
      <c r="M12" s="1" t="s">
        <v>71</v>
      </c>
      <c r="N12" s="1" t="s">
        <v>72</v>
      </c>
      <c r="O12" s="1"/>
      <c r="Q12" s="4"/>
      <c r="R12" s="5"/>
      <c r="S12" s="4"/>
      <c r="U12" s="1" t="s">
        <v>73</v>
      </c>
      <c r="V12" s="1" t="s">
        <v>73</v>
      </c>
      <c r="W12" s="1" t="s">
        <v>73</v>
      </c>
      <c r="X12" s="1" t="s">
        <v>73</v>
      </c>
      <c r="Y12" s="12"/>
      <c r="Z12" s="13"/>
      <c r="AA12" s="33">
        <v>3400</v>
      </c>
      <c r="AB12" s="12"/>
      <c r="AC12" s="12"/>
      <c r="AD12" s="33">
        <f>Table_Query_from_UnBilled_1345[[#This Row], [Payable]]*0.035</f>
        <v>119.00000000000001</v>
      </c>
      <c r="AE12" s="12">
        <v>0</v>
      </c>
      <c r="AF12" s="12">
        <v>0</v>
      </c>
      <c r="AG12" s="12">
        <v>0</v>
      </c>
      <c r="AH12" s="33">
        <f>Table_Query_from_UnBilled_1345[[#This Row], [Payable]]*0.01</f>
        <v>34</v>
      </c>
      <c r="AI12" s="33">
        <f>Table_Query_from_UnBilled_1345[[#This Row], [Payable]]+Table_Query_from_UnBilled_1345[[#This Row], [AgencyCommission]]+Table_Query_from_UnBilled_1345[[#This Row], [LevyBillable]]</f>
        <v>3553</v>
      </c>
      <c r="AJ12" s="12">
        <v>0</v>
      </c>
      <c r="AK12" s="11"/>
      <c r="AL12" s="14"/>
      <c r="AM12" s="14"/>
      <c r="AN12" s="4"/>
      <c r="AO12" s="14"/>
      <c r="AP12" s="12"/>
      <c r="AQ12" s="12"/>
      <c r="AR12" s="12">
        <v>0</v>
      </c>
      <c r="AS12" s="12">
        <v>0</v>
      </c>
      <c r="AT12" s="12">
        <v>0</v>
      </c>
      <c r="AU12" s="12">
        <v>0</v>
      </c>
      <c r="AV12" s="12" t="s">
        <v>204</v>
      </c>
      <c r="AW12"/>
    </row>
    <row r="13" spans="1:49" ht="17.25" customHeight="1" x14ac:dyDescent="0.2">
      <c r="A13" s="1" t="s">
        <v>47</v>
      </c>
      <c r="C13" s="1" t="s">
        <v>48</v>
      </c>
      <c r="E13" s="1" t="s">
        <v>69</v>
      </c>
      <c r="F13" s="1" t="s">
        <v>435</v>
      </c>
      <c r="G13" s="10"/>
      <c r="H13" s="1" t="s">
        <v>76</v>
      </c>
      <c r="I13" s="11">
        <v>4</v>
      </c>
      <c r="J13" s="1" t="s">
        <v>70</v>
      </c>
      <c r="K13" s="3">
        <v>45444</v>
      </c>
      <c r="L13" s="1"/>
      <c r="M13" s="1" t="s">
        <v>71</v>
      </c>
      <c r="N13" s="1" t="s">
        <v>72</v>
      </c>
      <c r="O13" s="1"/>
      <c r="Q13" s="4"/>
      <c r="R13" s="5"/>
      <c r="S13" s="4"/>
      <c r="U13" s="1" t="s">
        <v>73</v>
      </c>
      <c r="V13" s="1" t="s">
        <v>73</v>
      </c>
      <c r="W13" s="1" t="s">
        <v>73</v>
      </c>
      <c r="X13" s="1" t="s">
        <v>73</v>
      </c>
      <c r="Y13" s="12"/>
      <c r="Z13" s="13"/>
      <c r="AA13" s="33">
        <v>130</v>
      </c>
      <c r="AB13" s="12"/>
      <c r="AC13" s="12"/>
      <c r="AD13" s="33">
        <f>Table_Query_from_UnBilled_1345[[#This Row], [Payable]]*0.035</f>
        <v>4.5500000000000007</v>
      </c>
      <c r="AE13" s="12">
        <v>0</v>
      </c>
      <c r="AF13" s="12">
        <v>0</v>
      </c>
      <c r="AG13" s="12">
        <v>0</v>
      </c>
      <c r="AH13" s="33">
        <f>Table_Query_from_UnBilled_1345[[#This Row], [Payable]]*0.01</f>
        <v>1.3</v>
      </c>
      <c r="AI13" s="33">
        <f>Table_Query_from_UnBilled_1345[[#This Row], [Payable]]+Table_Query_from_UnBilled_1345[[#This Row], [AgencyCommission]]+Table_Query_from_UnBilled_1345[[#This Row], [LevyBillable]]</f>
        <v>135.85000000000002</v>
      </c>
      <c r="AJ13" s="12">
        <v>0</v>
      </c>
      <c r="AK13" s="11"/>
      <c r="AL13" s="14"/>
      <c r="AM13" s="14"/>
      <c r="AN13" s="4"/>
      <c r="AO13" s="14"/>
      <c r="AP13" s="12"/>
      <c r="AQ13" s="12"/>
      <c r="AR13" s="12">
        <v>0</v>
      </c>
      <c r="AS13" s="12">
        <v>0</v>
      </c>
      <c r="AT13" s="12">
        <v>0</v>
      </c>
      <c r="AU13" s="12">
        <v>0</v>
      </c>
      <c r="AV13" s="12" t="s">
        <v>205</v>
      </c>
      <c r="AW13"/>
    </row>
    <row r="14" spans="1:49" ht="17.25" customHeight="1" x14ac:dyDescent="0.2">
      <c r="A14" s="1" t="s">
        <v>47</v>
      </c>
      <c r="C14" s="1" t="s">
        <v>48</v>
      </c>
      <c r="E14" s="1" t="s">
        <v>69</v>
      </c>
      <c r="F14" s="1" t="s">
        <v>435</v>
      </c>
      <c r="G14" s="10"/>
      <c r="H14" s="1" t="s">
        <v>76</v>
      </c>
      <c r="I14" s="11">
        <v>4</v>
      </c>
      <c r="J14" s="1" t="s">
        <v>70</v>
      </c>
      <c r="K14" s="3">
        <v>45444</v>
      </c>
      <c r="L14" s="1"/>
      <c r="M14" s="1" t="s">
        <v>71</v>
      </c>
      <c r="N14" s="1" t="s">
        <v>72</v>
      </c>
      <c r="O14" s="1"/>
      <c r="Q14" s="4"/>
      <c r="R14" s="5"/>
      <c r="S14" s="4"/>
      <c r="U14" s="1" t="s">
        <v>73</v>
      </c>
      <c r="V14" s="1" t="s">
        <v>73</v>
      </c>
      <c r="W14" s="1" t="s">
        <v>73</v>
      </c>
      <c r="X14" s="1" t="s">
        <v>73</v>
      </c>
      <c r="Y14" s="12"/>
      <c r="Z14" s="13"/>
      <c r="AA14" s="33">
        <v>2340</v>
      </c>
      <c r="AB14" s="12"/>
      <c r="AC14" s="12"/>
      <c r="AD14" s="33">
        <f>Table_Query_from_UnBilled_1345[[#This Row], [Payable]]*0.035</f>
        <v>81.900000000000006</v>
      </c>
      <c r="AE14" s="12">
        <v>0</v>
      </c>
      <c r="AF14" s="12">
        <v>0</v>
      </c>
      <c r="AG14" s="12">
        <v>0</v>
      </c>
      <c r="AH14" s="33">
        <f>Table_Query_from_UnBilled_1345[[#This Row], [Payable]]*0.01</f>
        <v>23.400000000000002</v>
      </c>
      <c r="AI14" s="33">
        <f>Table_Query_from_UnBilled_1345[[#This Row], [Payable]]+Table_Query_from_UnBilled_1345[[#This Row], [AgencyCommission]]+Table_Query_from_UnBilled_1345[[#This Row], [LevyBillable]]</f>
        <v>2445.3000000000002</v>
      </c>
      <c r="AJ14" s="12">
        <v>0</v>
      </c>
      <c r="AK14" s="11"/>
      <c r="AL14" s="14"/>
      <c r="AM14" s="14"/>
      <c r="AN14" s="4"/>
      <c r="AO14" s="14"/>
      <c r="AP14" s="12"/>
      <c r="AQ14" s="12"/>
      <c r="AR14" s="12">
        <v>0</v>
      </c>
      <c r="AS14" s="12">
        <v>0</v>
      </c>
      <c r="AT14" s="12">
        <v>0</v>
      </c>
      <c r="AU14" s="12">
        <v>0</v>
      </c>
      <c r="AV14" s="12" t="s">
        <v>206</v>
      </c>
      <c r="AW14"/>
    </row>
    <row r="15" spans="1:49" ht="17.25" customHeight="1" x14ac:dyDescent="0.2">
      <c r="A15" s="1" t="s">
        <v>47</v>
      </c>
      <c r="C15" s="1" t="s">
        <v>48</v>
      </c>
      <c r="E15" s="1" t="s">
        <v>69</v>
      </c>
      <c r="F15" s="1" t="s">
        <v>435</v>
      </c>
      <c r="G15" s="10"/>
      <c r="H15" s="1" t="s">
        <v>76</v>
      </c>
      <c r="I15" s="11">
        <v>4</v>
      </c>
      <c r="J15" s="1" t="s">
        <v>70</v>
      </c>
      <c r="K15" s="3">
        <v>45444</v>
      </c>
      <c r="L15" s="1"/>
      <c r="M15" s="1" t="s">
        <v>71</v>
      </c>
      <c r="N15" s="1" t="s">
        <v>72</v>
      </c>
      <c r="O15" s="1"/>
      <c r="Q15" s="4"/>
      <c r="R15" s="5"/>
      <c r="S15" s="4"/>
      <c r="U15" s="1" t="s">
        <v>73</v>
      </c>
      <c r="V15" s="1" t="s">
        <v>73</v>
      </c>
      <c r="W15" s="1" t="s">
        <v>73</v>
      </c>
      <c r="X15" s="1" t="s">
        <v>73</v>
      </c>
      <c r="Y15" s="12"/>
      <c r="Z15" s="13"/>
      <c r="AA15" s="33">
        <v>2225</v>
      </c>
      <c r="AB15" s="12"/>
      <c r="AC15" s="12"/>
      <c r="AD15" s="33">
        <f>Table_Query_from_UnBilled_1345[[#This Row], [Payable]]*0.035</f>
        <v>77.875000000000014</v>
      </c>
      <c r="AE15" s="12">
        <v>0</v>
      </c>
      <c r="AF15" s="12">
        <v>0</v>
      </c>
      <c r="AG15" s="12">
        <v>0</v>
      </c>
      <c r="AH15" s="33">
        <f>Table_Query_from_UnBilled_1345[[#This Row], [Payable]]*0.01</f>
        <v>22.25</v>
      </c>
      <c r="AI15" s="33">
        <f>Table_Query_from_UnBilled_1345[[#This Row], [Payable]]+Table_Query_from_UnBilled_1345[[#This Row], [AgencyCommission]]+Table_Query_from_UnBilled_1345[[#This Row], [LevyBillable]]</f>
        <v>2325.125</v>
      </c>
      <c r="AJ15" s="12">
        <v>0</v>
      </c>
      <c r="AK15" s="11"/>
      <c r="AL15" s="14"/>
      <c r="AM15" s="14"/>
      <c r="AN15" s="4"/>
      <c r="AO15" s="14"/>
      <c r="AP15" s="12"/>
      <c r="AQ15" s="12"/>
      <c r="AR15" s="12">
        <v>0</v>
      </c>
      <c r="AS15" s="12">
        <v>0</v>
      </c>
      <c r="AT15" s="12">
        <v>0</v>
      </c>
      <c r="AU15" s="12">
        <v>0</v>
      </c>
      <c r="AV15" s="12" t="s">
        <v>207</v>
      </c>
      <c r="AW15"/>
    </row>
    <row r="16" spans="1:49" ht="17.25" customHeight="1" x14ac:dyDescent="0.2">
      <c r="A16" s="1" t="s">
        <v>47</v>
      </c>
      <c r="C16" s="1" t="s">
        <v>48</v>
      </c>
      <c r="E16" s="1" t="s">
        <v>69</v>
      </c>
      <c r="F16" s="1" t="s">
        <v>435</v>
      </c>
      <c r="G16" s="10"/>
      <c r="H16" s="1" t="s">
        <v>76</v>
      </c>
      <c r="I16" s="11">
        <v>4</v>
      </c>
      <c r="J16" s="1" t="s">
        <v>70</v>
      </c>
      <c r="K16" s="3">
        <v>45444</v>
      </c>
      <c r="L16" s="1"/>
      <c r="M16" s="1" t="s">
        <v>74</v>
      </c>
      <c r="N16" s="1" t="s">
        <v>72</v>
      </c>
      <c r="O16" s="1"/>
      <c r="Q16" s="4"/>
      <c r="R16" s="5"/>
      <c r="S16" s="4"/>
      <c r="U16" s="1" t="s">
        <v>73</v>
      </c>
      <c r="V16" s="1" t="s">
        <v>73</v>
      </c>
      <c r="W16" s="1" t="s">
        <v>73</v>
      </c>
      <c r="X16" s="1" t="s">
        <v>73</v>
      </c>
      <c r="Y16" s="12"/>
      <c r="Z16" s="13"/>
      <c r="AA16" s="33">
        <v>120</v>
      </c>
      <c r="AB16" s="12"/>
      <c r="AC16" s="12"/>
      <c r="AD16" s="33">
        <f>Table_Query_from_UnBilled_1345[[#This Row], [Payable]]*0.035</f>
        <v>4.2</v>
      </c>
      <c r="AE16" s="12">
        <v>0</v>
      </c>
      <c r="AF16" s="12">
        <v>0</v>
      </c>
      <c r="AG16" s="12">
        <v>0</v>
      </c>
      <c r="AH16" s="33">
        <f>Table_Query_from_UnBilled_1345[[#This Row], [Payable]]*0.01</f>
        <v>1.2</v>
      </c>
      <c r="AI16" s="33">
        <f>Table_Query_from_UnBilled_1345[[#This Row], [Payable]]+Table_Query_from_UnBilled_1345[[#This Row], [AgencyCommission]]+Table_Query_from_UnBilled_1345[[#This Row], [LevyBillable]]</f>
        <v>125.4</v>
      </c>
      <c r="AJ16" s="12">
        <v>0</v>
      </c>
      <c r="AK16" s="11"/>
      <c r="AL16" s="14"/>
      <c r="AM16" s="14"/>
      <c r="AN16" s="4"/>
      <c r="AO16" s="14"/>
      <c r="AP16" s="12"/>
      <c r="AQ16" s="12"/>
      <c r="AR16" s="12">
        <v>0</v>
      </c>
      <c r="AS16" s="12">
        <v>0</v>
      </c>
      <c r="AT16" s="12">
        <v>0</v>
      </c>
      <c r="AU16" s="12">
        <v>0</v>
      </c>
      <c r="AV16" s="12" t="s">
        <v>208</v>
      </c>
      <c r="AW16"/>
    </row>
    <row r="17" spans="1:49" ht="17.25" hidden="1" customHeight="1" x14ac:dyDescent="0.2">
      <c r="A17" s="1" t="s">
        <v>47</v>
      </c>
      <c r="C17" s="1" t="s">
        <v>48</v>
      </c>
      <c r="E17" s="1" t="s">
        <v>49</v>
      </c>
      <c r="F17" s="1" t="s">
        <v>432</v>
      </c>
      <c r="G17" s="10"/>
      <c r="H17" s="1" t="s">
        <v>66</v>
      </c>
      <c r="I17" s="11">
        <v>4</v>
      </c>
      <c r="J17" s="1" t="s">
        <v>67</v>
      </c>
      <c r="K17" s="3">
        <v>45444</v>
      </c>
      <c r="L17" s="1"/>
      <c r="M17" s="1" t="s">
        <v>58</v>
      </c>
      <c r="N17" s="1" t="s">
        <v>59</v>
      </c>
      <c r="O17" s="1"/>
      <c r="Q17" s="4"/>
      <c r="R17" s="5"/>
      <c r="S17" s="4"/>
      <c r="U17" s="1" t="s">
        <v>68</v>
      </c>
      <c r="V17" s="1"/>
      <c r="W17" s="1" t="s">
        <v>68</v>
      </c>
      <c r="X17" s="1" t="s">
        <v>68</v>
      </c>
      <c r="Y17" s="12"/>
      <c r="Z17" s="13"/>
      <c r="AA17" s="33">
        <v>4890</v>
      </c>
      <c r="AB17" s="12"/>
      <c r="AC17" s="12"/>
      <c r="AD17" s="33">
        <f>Table_Query_from_UnBilled_1345[[#This Row], [Payable]]*0.035</f>
        <v>171.15</v>
      </c>
      <c r="AE17" s="12">
        <v>0</v>
      </c>
      <c r="AF17" s="12">
        <v>0</v>
      </c>
      <c r="AG17" s="12">
        <v>0</v>
      </c>
      <c r="AH17" s="33">
        <f>Table_Query_from_UnBilled_1345[[#This Row], [Payable]]*0.01</f>
        <v>48.9</v>
      </c>
      <c r="AI17" s="33">
        <f>Table_Query_from_UnBilled_1345[[#This Row], [Payable]]+Table_Query_from_UnBilled_1345[[#This Row], [AgencyCommission]]+Table_Query_from_UnBilled_1345[[#This Row], [LevyBillable]]</f>
        <v>5110.0499999999993</v>
      </c>
      <c r="AJ17" s="12">
        <v>0</v>
      </c>
      <c r="AK17" s="11"/>
      <c r="AL17" s="14"/>
      <c r="AM17" s="14"/>
      <c r="AN17" s="4"/>
      <c r="AO17" s="14"/>
      <c r="AP17" s="12"/>
      <c r="AQ17" s="12"/>
      <c r="AR17" s="12">
        <v>0</v>
      </c>
      <c r="AS17" s="12">
        <v>0</v>
      </c>
      <c r="AT17" s="12">
        <v>0</v>
      </c>
      <c r="AU17" s="12">
        <v>0</v>
      </c>
      <c r="AV17" s="12" t="s">
        <v>209</v>
      </c>
      <c r="AW17"/>
    </row>
    <row r="18" spans="1:49" ht="17.25" hidden="1" customHeight="1" x14ac:dyDescent="0.2">
      <c r="A18" s="1" t="s">
        <v>47</v>
      </c>
      <c r="C18" s="1" t="s">
        <v>48</v>
      </c>
      <c r="E18" s="1" t="s">
        <v>49</v>
      </c>
      <c r="F18" s="1" t="s">
        <v>432</v>
      </c>
      <c r="G18" s="10"/>
      <c r="H18" s="1" t="s">
        <v>66</v>
      </c>
      <c r="I18" s="11">
        <v>4</v>
      </c>
      <c r="J18" s="1" t="s">
        <v>67</v>
      </c>
      <c r="K18" s="3">
        <v>45444</v>
      </c>
      <c r="L18" s="1"/>
      <c r="M18" s="1" t="s">
        <v>58</v>
      </c>
      <c r="N18" s="1" t="s">
        <v>59</v>
      </c>
      <c r="O18" s="1"/>
      <c r="Q18" s="4"/>
      <c r="R18" s="5"/>
      <c r="S18" s="4"/>
      <c r="U18" s="1" t="s">
        <v>68</v>
      </c>
      <c r="V18" s="1"/>
      <c r="W18" s="1" t="s">
        <v>68</v>
      </c>
      <c r="X18" s="1" t="s">
        <v>68</v>
      </c>
      <c r="Y18" s="12"/>
      <c r="Z18" s="13"/>
      <c r="AA18" s="33">
        <v>4335</v>
      </c>
      <c r="AB18" s="12"/>
      <c r="AC18" s="12"/>
      <c r="AD18" s="33">
        <f>Table_Query_from_UnBilled_1345[[#This Row], [Payable]]*0.035</f>
        <v>151.72500000000002</v>
      </c>
      <c r="AE18" s="12">
        <v>0</v>
      </c>
      <c r="AF18" s="12">
        <v>0</v>
      </c>
      <c r="AG18" s="12">
        <v>0</v>
      </c>
      <c r="AH18" s="33">
        <f>Table_Query_from_UnBilled_1345[[#This Row], [Payable]]*0.01</f>
        <v>43.35</v>
      </c>
      <c r="AI18" s="33">
        <f>Table_Query_from_UnBilled_1345[[#This Row], [Payable]]+Table_Query_from_UnBilled_1345[[#This Row], [AgencyCommission]]+Table_Query_from_UnBilled_1345[[#This Row], [LevyBillable]]</f>
        <v>4530.0750000000007</v>
      </c>
      <c r="AJ18" s="12">
        <v>0</v>
      </c>
      <c r="AK18" s="11"/>
      <c r="AL18" s="14"/>
      <c r="AM18" s="14"/>
      <c r="AN18" s="4"/>
      <c r="AO18" s="14"/>
      <c r="AP18" s="12"/>
      <c r="AQ18" s="12"/>
      <c r="AR18" s="12">
        <v>0</v>
      </c>
      <c r="AS18" s="12">
        <v>0</v>
      </c>
      <c r="AT18" s="12">
        <v>0</v>
      </c>
      <c r="AU18" s="12">
        <v>0</v>
      </c>
      <c r="AV18" s="12" t="s">
        <v>210</v>
      </c>
      <c r="AW18"/>
    </row>
    <row r="19" spans="1:49" ht="17.25" hidden="1" customHeight="1" x14ac:dyDescent="0.2">
      <c r="A19" s="1" t="s">
        <v>47</v>
      </c>
      <c r="C19" s="1" t="s">
        <v>48</v>
      </c>
      <c r="E19" s="1" t="s">
        <v>49</v>
      </c>
      <c r="F19" s="1" t="s">
        <v>432</v>
      </c>
      <c r="G19" s="10"/>
      <c r="H19" s="1" t="s">
        <v>66</v>
      </c>
      <c r="I19" s="11">
        <v>4</v>
      </c>
      <c r="J19" s="1" t="s">
        <v>67</v>
      </c>
      <c r="K19" s="3">
        <v>45444</v>
      </c>
      <c r="L19" s="1"/>
      <c r="M19" s="1" t="s">
        <v>58</v>
      </c>
      <c r="N19" s="1" t="s">
        <v>59</v>
      </c>
      <c r="O19" s="1"/>
      <c r="Q19" s="4"/>
      <c r="R19" s="5"/>
      <c r="S19" s="4"/>
      <c r="U19" s="1" t="s">
        <v>68</v>
      </c>
      <c r="V19" s="1"/>
      <c r="W19" s="1" t="s">
        <v>68</v>
      </c>
      <c r="X19" s="1" t="s">
        <v>68</v>
      </c>
      <c r="Y19" s="12"/>
      <c r="Z19" s="13"/>
      <c r="AA19" s="33">
        <v>250</v>
      </c>
      <c r="AB19" s="12"/>
      <c r="AC19" s="12"/>
      <c r="AD19" s="33">
        <f>Table_Query_from_UnBilled_1345[[#This Row], [Payable]]*0.035</f>
        <v>8.75</v>
      </c>
      <c r="AE19" s="12">
        <v>0</v>
      </c>
      <c r="AF19" s="12">
        <v>0</v>
      </c>
      <c r="AG19" s="12">
        <v>0</v>
      </c>
      <c r="AH19" s="33">
        <f>Table_Query_from_UnBilled_1345[[#This Row], [Payable]]*0.01</f>
        <v>2.5</v>
      </c>
      <c r="AI19" s="33">
        <f>Table_Query_from_UnBilled_1345[[#This Row], [Payable]]+Table_Query_from_UnBilled_1345[[#This Row], [AgencyCommission]]+Table_Query_from_UnBilled_1345[[#This Row], [LevyBillable]]</f>
        <v>261.25</v>
      </c>
      <c r="AJ19" s="12">
        <v>0</v>
      </c>
      <c r="AK19" s="11"/>
      <c r="AL19" s="14"/>
      <c r="AM19" s="14"/>
      <c r="AN19" s="4"/>
      <c r="AO19" s="14"/>
      <c r="AP19" s="12"/>
      <c r="AQ19" s="12"/>
      <c r="AR19" s="12">
        <v>0</v>
      </c>
      <c r="AS19" s="12">
        <v>0</v>
      </c>
      <c r="AT19" s="12">
        <v>0</v>
      </c>
      <c r="AU19" s="12">
        <v>0</v>
      </c>
      <c r="AV19" s="12" t="s">
        <v>211</v>
      </c>
      <c r="AW19"/>
    </row>
    <row r="20" spans="1:49" ht="17.25" hidden="1" customHeight="1" x14ac:dyDescent="0.2">
      <c r="A20" s="1" t="s">
        <v>47</v>
      </c>
      <c r="C20" s="1" t="s">
        <v>48</v>
      </c>
      <c r="E20" s="1" t="s">
        <v>49</v>
      </c>
      <c r="F20" s="1" t="s">
        <v>432</v>
      </c>
      <c r="G20" s="10"/>
      <c r="H20" s="1" t="s">
        <v>66</v>
      </c>
      <c r="I20" s="11">
        <v>4</v>
      </c>
      <c r="J20" s="1" t="s">
        <v>67</v>
      </c>
      <c r="K20" s="3">
        <v>45444</v>
      </c>
      <c r="L20" s="1"/>
      <c r="M20" s="1" t="s">
        <v>52</v>
      </c>
      <c r="N20" s="1" t="s">
        <v>53</v>
      </c>
      <c r="O20" s="1"/>
      <c r="Q20" s="4"/>
      <c r="R20" s="5"/>
      <c r="S20" s="4"/>
      <c r="U20" s="1" t="s">
        <v>68</v>
      </c>
      <c r="V20" s="1" t="s">
        <v>68</v>
      </c>
      <c r="W20" s="1" t="s">
        <v>68</v>
      </c>
      <c r="X20" s="1" t="s">
        <v>68</v>
      </c>
      <c r="Y20" s="12"/>
      <c r="Z20" s="13"/>
      <c r="AA20" s="33">
        <v>450</v>
      </c>
      <c r="AB20" s="12"/>
      <c r="AC20" s="12"/>
      <c r="AD20" s="33">
        <f>Table_Query_from_UnBilled_1345[[#This Row], [Payable]]*0.035</f>
        <v>15.750000000000002</v>
      </c>
      <c r="AE20" s="12">
        <v>0</v>
      </c>
      <c r="AF20" s="12">
        <v>0</v>
      </c>
      <c r="AG20" s="12">
        <v>0</v>
      </c>
      <c r="AH20" s="33">
        <f>Table_Query_from_UnBilled_1345[[#This Row], [Payable]]*0.01</f>
        <v>4.5</v>
      </c>
      <c r="AI20" s="33">
        <f>Table_Query_from_UnBilled_1345[[#This Row], [Payable]]+Table_Query_from_UnBilled_1345[[#This Row], [AgencyCommission]]+Table_Query_from_UnBilled_1345[[#This Row], [LevyBillable]]</f>
        <v>470.25</v>
      </c>
      <c r="AJ20" s="12">
        <v>0</v>
      </c>
      <c r="AK20" s="11"/>
      <c r="AL20" s="14"/>
      <c r="AM20" s="14"/>
      <c r="AN20" s="4"/>
      <c r="AO20" s="14"/>
      <c r="AP20" s="12"/>
      <c r="AQ20" s="12"/>
      <c r="AR20" s="12">
        <v>0</v>
      </c>
      <c r="AS20" s="12">
        <v>0</v>
      </c>
      <c r="AT20" s="12">
        <v>0</v>
      </c>
      <c r="AU20" s="12">
        <v>0</v>
      </c>
      <c r="AV20" s="12" t="s">
        <v>212</v>
      </c>
      <c r="AW20"/>
    </row>
    <row r="21" spans="1:49" ht="17.25" hidden="1" customHeight="1" x14ac:dyDescent="0.2">
      <c r="A21" s="1" t="s">
        <v>47</v>
      </c>
      <c r="C21" s="1" t="s">
        <v>48</v>
      </c>
      <c r="E21" s="1" t="s">
        <v>49</v>
      </c>
      <c r="F21" s="1" t="s">
        <v>432</v>
      </c>
      <c r="G21" s="10"/>
      <c r="H21" s="1" t="s">
        <v>66</v>
      </c>
      <c r="I21" s="11">
        <v>4</v>
      </c>
      <c r="J21" s="1" t="s">
        <v>67</v>
      </c>
      <c r="K21" s="3">
        <v>45444</v>
      </c>
      <c r="L21" s="1"/>
      <c r="M21" s="1" t="s">
        <v>58</v>
      </c>
      <c r="N21" s="1" t="s">
        <v>61</v>
      </c>
      <c r="O21" s="1"/>
      <c r="Q21" s="4"/>
      <c r="R21" s="5"/>
      <c r="S21" s="4"/>
      <c r="U21" s="1" t="s">
        <v>68</v>
      </c>
      <c r="V21" s="1" t="s">
        <v>68</v>
      </c>
      <c r="W21" s="1" t="s">
        <v>68</v>
      </c>
      <c r="X21" s="1" t="s">
        <v>68</v>
      </c>
      <c r="Y21" s="12"/>
      <c r="Z21" s="13"/>
      <c r="AA21" s="33">
        <v>5540</v>
      </c>
      <c r="AB21" s="12"/>
      <c r="AC21" s="12"/>
      <c r="AD21" s="33">
        <f>Table_Query_from_UnBilled_1345[[#This Row], [Payable]]*0.035</f>
        <v>193.9</v>
      </c>
      <c r="AE21" s="12">
        <v>0</v>
      </c>
      <c r="AF21" s="12">
        <v>0</v>
      </c>
      <c r="AG21" s="12">
        <v>0</v>
      </c>
      <c r="AH21" s="33">
        <f>Table_Query_from_UnBilled_1345[[#This Row], [Payable]]*0.01</f>
        <v>55.4</v>
      </c>
      <c r="AI21" s="33">
        <f>Table_Query_from_UnBilled_1345[[#This Row], [Payable]]+Table_Query_from_UnBilled_1345[[#This Row], [AgencyCommission]]+Table_Query_from_UnBilled_1345[[#This Row], [LevyBillable]]</f>
        <v>5789.2999999999993</v>
      </c>
      <c r="AJ21" s="12">
        <v>0</v>
      </c>
      <c r="AK21" s="11"/>
      <c r="AL21" s="14"/>
      <c r="AM21" s="14"/>
      <c r="AN21" s="4"/>
      <c r="AO21" s="14"/>
      <c r="AP21" s="12"/>
      <c r="AQ21" s="12"/>
      <c r="AR21" s="12">
        <v>0</v>
      </c>
      <c r="AS21" s="12">
        <v>0</v>
      </c>
      <c r="AT21" s="12">
        <v>0</v>
      </c>
      <c r="AU21" s="12">
        <v>0</v>
      </c>
      <c r="AV21" s="12" t="s">
        <v>213</v>
      </c>
      <c r="AW21"/>
    </row>
    <row r="22" spans="1:49" ht="17.25" hidden="1" customHeight="1" x14ac:dyDescent="0.2">
      <c r="A22" s="1" t="s">
        <v>47</v>
      </c>
      <c r="C22" s="1" t="s">
        <v>48</v>
      </c>
      <c r="E22" s="1" t="s">
        <v>49</v>
      </c>
      <c r="F22" s="1" t="s">
        <v>432</v>
      </c>
      <c r="G22" s="10"/>
      <c r="H22" s="1" t="s">
        <v>66</v>
      </c>
      <c r="I22" s="11">
        <v>4</v>
      </c>
      <c r="J22" s="1" t="s">
        <v>67</v>
      </c>
      <c r="K22" s="3">
        <v>45444</v>
      </c>
      <c r="L22" s="1"/>
      <c r="M22" s="1" t="s">
        <v>58</v>
      </c>
      <c r="N22" s="1" t="s">
        <v>61</v>
      </c>
      <c r="O22" s="1"/>
      <c r="Q22" s="4"/>
      <c r="R22" s="5"/>
      <c r="S22" s="4"/>
      <c r="U22" s="1" t="s">
        <v>68</v>
      </c>
      <c r="V22" s="1" t="s">
        <v>68</v>
      </c>
      <c r="W22" s="1" t="s">
        <v>68</v>
      </c>
      <c r="X22" s="1" t="s">
        <v>68</v>
      </c>
      <c r="Y22" s="12"/>
      <c r="Z22" s="13"/>
      <c r="AA22" s="33">
        <v>1200</v>
      </c>
      <c r="AB22" s="12"/>
      <c r="AC22" s="12"/>
      <c r="AD22" s="33">
        <f>Table_Query_from_UnBilled_1345[[#This Row], [Payable]]*0.035</f>
        <v>42.000000000000007</v>
      </c>
      <c r="AE22" s="12">
        <v>0</v>
      </c>
      <c r="AF22" s="12">
        <v>0</v>
      </c>
      <c r="AG22" s="12">
        <v>0</v>
      </c>
      <c r="AH22" s="33">
        <f>Table_Query_from_UnBilled_1345[[#This Row], [Payable]]*0.01</f>
        <v>12</v>
      </c>
      <c r="AI22" s="33">
        <f>Table_Query_from_UnBilled_1345[[#This Row], [Payable]]+Table_Query_from_UnBilled_1345[[#This Row], [AgencyCommission]]+Table_Query_from_UnBilled_1345[[#This Row], [LevyBillable]]</f>
        <v>1254</v>
      </c>
      <c r="AJ22" s="12">
        <v>0</v>
      </c>
      <c r="AK22" s="11"/>
      <c r="AL22" s="14"/>
      <c r="AM22" s="14"/>
      <c r="AN22" s="4"/>
      <c r="AO22" s="14"/>
      <c r="AP22" s="12"/>
      <c r="AQ22" s="12"/>
      <c r="AR22" s="12">
        <v>0</v>
      </c>
      <c r="AS22" s="12">
        <v>0</v>
      </c>
      <c r="AT22" s="12">
        <v>0</v>
      </c>
      <c r="AU22" s="12">
        <v>0</v>
      </c>
      <c r="AV22" s="12" t="s">
        <v>214</v>
      </c>
      <c r="AW22"/>
    </row>
    <row r="23" spans="1:49" ht="17.25" hidden="1" customHeight="1" x14ac:dyDescent="0.2">
      <c r="A23" s="1" t="s">
        <v>47</v>
      </c>
      <c r="C23" s="1" t="s">
        <v>48</v>
      </c>
      <c r="E23" s="1" t="s">
        <v>49</v>
      </c>
      <c r="F23" s="1" t="s">
        <v>432</v>
      </c>
      <c r="G23" s="10"/>
      <c r="H23" s="1" t="s">
        <v>66</v>
      </c>
      <c r="I23" s="11">
        <v>4</v>
      </c>
      <c r="J23" s="1" t="s">
        <v>67</v>
      </c>
      <c r="K23" s="3">
        <v>45444</v>
      </c>
      <c r="L23" s="1"/>
      <c r="M23" s="1" t="s">
        <v>58</v>
      </c>
      <c r="N23" s="1" t="s">
        <v>75</v>
      </c>
      <c r="O23" s="1"/>
      <c r="Q23" s="4"/>
      <c r="R23" s="5"/>
      <c r="S23" s="4"/>
      <c r="U23" s="1" t="s">
        <v>68</v>
      </c>
      <c r="V23" s="1" t="s">
        <v>68</v>
      </c>
      <c r="W23" s="1" t="s">
        <v>68</v>
      </c>
      <c r="X23" s="1" t="s">
        <v>68</v>
      </c>
      <c r="Y23" s="12"/>
      <c r="Z23" s="13"/>
      <c r="AA23" s="33">
        <v>4330</v>
      </c>
      <c r="AB23" s="12"/>
      <c r="AC23" s="12"/>
      <c r="AD23" s="33">
        <f>Table_Query_from_UnBilled_1345[[#This Row], [Payable]]*0.035</f>
        <v>151.55000000000001</v>
      </c>
      <c r="AE23" s="12">
        <v>0</v>
      </c>
      <c r="AF23" s="12">
        <v>0</v>
      </c>
      <c r="AG23" s="12">
        <v>0</v>
      </c>
      <c r="AH23" s="33">
        <f>Table_Query_from_UnBilled_1345[[#This Row], [Payable]]*0.01</f>
        <v>43.300000000000004</v>
      </c>
      <c r="AI23" s="33">
        <f>Table_Query_from_UnBilled_1345[[#This Row], [Payable]]+Table_Query_from_UnBilled_1345[[#This Row], [AgencyCommission]]+Table_Query_from_UnBilled_1345[[#This Row], [LevyBillable]]</f>
        <v>4524.8500000000004</v>
      </c>
      <c r="AJ23" s="12">
        <v>0</v>
      </c>
      <c r="AK23" s="11"/>
      <c r="AL23" s="14"/>
      <c r="AM23" s="14"/>
      <c r="AN23" s="4"/>
      <c r="AO23" s="14"/>
      <c r="AP23" s="12"/>
      <c r="AQ23" s="12"/>
      <c r="AR23" s="12">
        <v>0</v>
      </c>
      <c r="AS23" s="12">
        <v>0</v>
      </c>
      <c r="AT23" s="12">
        <v>0</v>
      </c>
      <c r="AU23" s="12">
        <v>0</v>
      </c>
      <c r="AV23" s="12" t="s">
        <v>215</v>
      </c>
      <c r="AW23"/>
    </row>
    <row r="24" spans="1:49" ht="17.25" hidden="1" customHeight="1" x14ac:dyDescent="0.2">
      <c r="A24" s="1" t="s">
        <v>47</v>
      </c>
      <c r="C24" s="1" t="s">
        <v>48</v>
      </c>
      <c r="E24" s="1" t="s">
        <v>49</v>
      </c>
      <c r="F24" s="1" t="s">
        <v>432</v>
      </c>
      <c r="G24" s="10"/>
      <c r="H24" s="1" t="s">
        <v>62</v>
      </c>
      <c r="I24" s="11">
        <v>4</v>
      </c>
      <c r="J24" s="1" t="s">
        <v>63</v>
      </c>
      <c r="K24" s="3">
        <v>45444</v>
      </c>
      <c r="L24" s="1"/>
      <c r="M24" s="1" t="s">
        <v>58</v>
      </c>
      <c r="N24" s="1" t="s">
        <v>59</v>
      </c>
      <c r="O24" s="1"/>
      <c r="Q24" s="4"/>
      <c r="R24" s="5"/>
      <c r="S24" s="4"/>
      <c r="U24" s="1" t="s">
        <v>64</v>
      </c>
      <c r="V24" s="1"/>
      <c r="W24" s="1" t="s">
        <v>65</v>
      </c>
      <c r="X24" s="1" t="s">
        <v>65</v>
      </c>
      <c r="Y24" s="12"/>
      <c r="Z24" s="13"/>
      <c r="AA24" s="33">
        <v>10900</v>
      </c>
      <c r="AB24" s="12"/>
      <c r="AC24" s="12"/>
      <c r="AD24" s="33">
        <f>Table_Query_from_UnBilled_1345[[#This Row], [Payable]]*0.035</f>
        <v>381.50000000000006</v>
      </c>
      <c r="AE24" s="12">
        <v>0</v>
      </c>
      <c r="AF24" s="12">
        <v>0</v>
      </c>
      <c r="AG24" s="12">
        <v>0</v>
      </c>
      <c r="AH24" s="33">
        <f>Table_Query_from_UnBilled_1345[[#This Row], [Payable]]*0.01</f>
        <v>109</v>
      </c>
      <c r="AI24" s="33">
        <f>Table_Query_from_UnBilled_1345[[#This Row], [Payable]]+Table_Query_from_UnBilled_1345[[#This Row], [AgencyCommission]]+Table_Query_from_UnBilled_1345[[#This Row], [LevyBillable]]</f>
        <v>11390.5</v>
      </c>
      <c r="AJ24" s="12">
        <v>0</v>
      </c>
      <c r="AK24" s="11"/>
      <c r="AL24" s="14"/>
      <c r="AM24" s="14"/>
      <c r="AN24" s="4"/>
      <c r="AO24" s="14"/>
      <c r="AP24" s="12"/>
      <c r="AQ24" s="12"/>
      <c r="AR24" s="12">
        <v>0</v>
      </c>
      <c r="AS24" s="12">
        <v>0</v>
      </c>
      <c r="AT24" s="12">
        <v>0</v>
      </c>
      <c r="AU24" s="12">
        <v>0</v>
      </c>
      <c r="AV24" s="12" t="s">
        <v>216</v>
      </c>
      <c r="AW24"/>
    </row>
    <row r="25" spans="1:49" ht="17.25" hidden="1" customHeight="1" x14ac:dyDescent="0.2">
      <c r="A25" s="1" t="s">
        <v>47</v>
      </c>
      <c r="C25" s="1" t="s">
        <v>48</v>
      </c>
      <c r="E25" s="1" t="s">
        <v>49</v>
      </c>
      <c r="F25" s="1" t="s">
        <v>432</v>
      </c>
      <c r="G25" s="10"/>
      <c r="H25" s="1" t="s">
        <v>62</v>
      </c>
      <c r="I25" s="11">
        <v>4</v>
      </c>
      <c r="J25" s="1" t="s">
        <v>63</v>
      </c>
      <c r="K25" s="3">
        <v>45444</v>
      </c>
      <c r="L25" s="1"/>
      <c r="M25" s="1" t="s">
        <v>52</v>
      </c>
      <c r="N25" s="1" t="s">
        <v>53</v>
      </c>
      <c r="O25" s="1"/>
      <c r="Q25" s="4"/>
      <c r="R25" s="5"/>
      <c r="S25" s="4"/>
      <c r="U25" s="1" t="s">
        <v>64</v>
      </c>
      <c r="V25" s="1"/>
      <c r="W25" s="1" t="s">
        <v>65</v>
      </c>
      <c r="X25" s="1" t="s">
        <v>65</v>
      </c>
      <c r="Y25" s="12"/>
      <c r="Z25" s="13"/>
      <c r="AA25" s="33">
        <v>3360</v>
      </c>
      <c r="AB25" s="12"/>
      <c r="AC25" s="12"/>
      <c r="AD25" s="33">
        <f>Table_Query_from_UnBilled_1345[[#This Row], [Payable]]*0.035</f>
        <v>117.60000000000001</v>
      </c>
      <c r="AE25" s="12">
        <v>0</v>
      </c>
      <c r="AF25" s="12">
        <v>0</v>
      </c>
      <c r="AG25" s="12">
        <v>0</v>
      </c>
      <c r="AH25" s="33">
        <f>Table_Query_from_UnBilled_1345[[#This Row], [Payable]]*0.01</f>
        <v>33.6</v>
      </c>
      <c r="AI25" s="33">
        <f>Table_Query_from_UnBilled_1345[[#This Row], [Payable]]+Table_Query_from_UnBilled_1345[[#This Row], [AgencyCommission]]+Table_Query_from_UnBilled_1345[[#This Row], [LevyBillable]]</f>
        <v>3511.2</v>
      </c>
      <c r="AJ25" s="12">
        <v>0</v>
      </c>
      <c r="AK25" s="11"/>
      <c r="AL25" s="14"/>
      <c r="AM25" s="14"/>
      <c r="AN25" s="4"/>
      <c r="AO25" s="14"/>
      <c r="AP25" s="12"/>
      <c r="AQ25" s="12"/>
      <c r="AR25" s="12">
        <v>0</v>
      </c>
      <c r="AS25" s="12">
        <v>0</v>
      </c>
      <c r="AT25" s="12">
        <v>0</v>
      </c>
      <c r="AU25" s="12">
        <v>0</v>
      </c>
      <c r="AV25" s="12" t="s">
        <v>217</v>
      </c>
      <c r="AW25"/>
    </row>
    <row r="26" spans="1:49" ht="17.25" hidden="1" customHeight="1" x14ac:dyDescent="0.2">
      <c r="A26" s="1" t="s">
        <v>47</v>
      </c>
      <c r="C26" s="1" t="s">
        <v>48</v>
      </c>
      <c r="E26" s="1" t="s">
        <v>49</v>
      </c>
      <c r="F26" s="1" t="s">
        <v>432</v>
      </c>
      <c r="G26" s="10"/>
      <c r="H26" s="1" t="s">
        <v>62</v>
      </c>
      <c r="I26" s="11">
        <v>4</v>
      </c>
      <c r="J26" s="1" t="s">
        <v>63</v>
      </c>
      <c r="K26" s="3">
        <v>45474</v>
      </c>
      <c r="L26" s="1"/>
      <c r="M26" s="1" t="s">
        <v>58</v>
      </c>
      <c r="N26" s="1" t="s">
        <v>61</v>
      </c>
      <c r="O26" s="1"/>
      <c r="Q26" s="4"/>
      <c r="R26" s="5"/>
      <c r="S26" s="4"/>
      <c r="U26" s="1" t="s">
        <v>64</v>
      </c>
      <c r="V26" s="1"/>
      <c r="W26" s="1" t="s">
        <v>65</v>
      </c>
      <c r="X26" s="1" t="s">
        <v>65</v>
      </c>
      <c r="Y26" s="12"/>
      <c r="Z26" s="13"/>
      <c r="AA26" s="33">
        <v>430</v>
      </c>
      <c r="AB26" s="12"/>
      <c r="AC26" s="12"/>
      <c r="AD26" s="33">
        <f>Table_Query_from_UnBilled_1345[[#This Row], [Payable]]*0.035</f>
        <v>15.05</v>
      </c>
      <c r="AE26" s="12">
        <v>0</v>
      </c>
      <c r="AF26" s="12">
        <v>0</v>
      </c>
      <c r="AG26" s="12">
        <v>0</v>
      </c>
      <c r="AH26" s="33">
        <f>Table_Query_from_UnBilled_1345[[#This Row], [Payable]]*0.01</f>
        <v>4.3</v>
      </c>
      <c r="AI26" s="33">
        <f>Table_Query_from_UnBilled_1345[[#This Row], [Payable]]+Table_Query_from_UnBilled_1345[[#This Row], [AgencyCommission]]+Table_Query_from_UnBilled_1345[[#This Row], [LevyBillable]]</f>
        <v>449.35</v>
      </c>
      <c r="AJ26" s="12">
        <v>0</v>
      </c>
      <c r="AK26" s="11"/>
      <c r="AL26" s="14"/>
      <c r="AM26" s="14"/>
      <c r="AN26" s="4"/>
      <c r="AO26" s="14"/>
      <c r="AP26" s="12"/>
      <c r="AQ26" s="12"/>
      <c r="AR26" s="12">
        <v>0</v>
      </c>
      <c r="AS26" s="12">
        <v>0</v>
      </c>
      <c r="AT26" s="12">
        <v>0</v>
      </c>
      <c r="AU26" s="12">
        <v>0</v>
      </c>
      <c r="AV26" s="12" t="s">
        <v>218</v>
      </c>
      <c r="AW26"/>
    </row>
    <row r="27" spans="1:49" ht="17.25" customHeight="1" x14ac:dyDescent="0.2">
      <c r="A27" s="1" t="s">
        <v>47</v>
      </c>
      <c r="C27" s="1" t="s">
        <v>48</v>
      </c>
      <c r="E27" s="1" t="s">
        <v>49</v>
      </c>
      <c r="F27" s="1" t="s">
        <v>432</v>
      </c>
      <c r="G27" s="10"/>
      <c r="H27" s="1" t="s">
        <v>76</v>
      </c>
      <c r="I27" s="11">
        <v>5</v>
      </c>
      <c r="J27" s="1" t="s">
        <v>77</v>
      </c>
      <c r="K27" s="3">
        <v>45444</v>
      </c>
      <c r="L27" s="1"/>
      <c r="M27" s="1" t="s">
        <v>58</v>
      </c>
      <c r="N27" s="1" t="s">
        <v>75</v>
      </c>
      <c r="O27" s="1"/>
      <c r="Q27" s="4"/>
      <c r="R27" s="5"/>
      <c r="S27" s="4"/>
      <c r="V27" s="1"/>
      <c r="W27" s="1" t="s">
        <v>73</v>
      </c>
      <c r="X27" s="1" t="s">
        <v>73</v>
      </c>
      <c r="Y27" s="12"/>
      <c r="Z27" s="13"/>
      <c r="AA27" s="33">
        <v>540</v>
      </c>
      <c r="AB27" s="12"/>
      <c r="AC27" s="12"/>
      <c r="AD27" s="33">
        <f>Table_Query_from_UnBilled_1345[[#This Row], [Payable]]*0.035</f>
        <v>18.900000000000002</v>
      </c>
      <c r="AE27" s="12">
        <v>0</v>
      </c>
      <c r="AF27" s="12">
        <v>0</v>
      </c>
      <c r="AG27" s="12">
        <v>0</v>
      </c>
      <c r="AH27" s="33">
        <f>Table_Query_from_UnBilled_1345[[#This Row], [Payable]]*0.01</f>
        <v>5.4</v>
      </c>
      <c r="AI27" s="33">
        <f>Table_Query_from_UnBilled_1345[[#This Row], [Payable]]+Table_Query_from_UnBilled_1345[[#This Row], [AgencyCommission]]+Table_Query_from_UnBilled_1345[[#This Row], [LevyBillable]]</f>
        <v>564.29999999999995</v>
      </c>
      <c r="AJ27" s="12">
        <v>0</v>
      </c>
      <c r="AK27" s="11"/>
      <c r="AL27" s="14"/>
      <c r="AM27" s="14"/>
      <c r="AN27" s="4"/>
      <c r="AO27" s="14"/>
      <c r="AP27" s="12"/>
      <c r="AQ27" s="12"/>
      <c r="AR27" s="12">
        <v>0</v>
      </c>
      <c r="AS27" s="12">
        <v>0</v>
      </c>
      <c r="AT27" s="12">
        <v>0</v>
      </c>
      <c r="AU27" s="12">
        <v>0</v>
      </c>
      <c r="AV27" s="12" t="s">
        <v>219</v>
      </c>
      <c r="AW27"/>
    </row>
    <row r="28" spans="1:49" ht="17.25" customHeight="1" x14ac:dyDescent="0.2">
      <c r="A28" s="1" t="s">
        <v>47</v>
      </c>
      <c r="C28" s="1" t="s">
        <v>48</v>
      </c>
      <c r="E28" s="1" t="s">
        <v>49</v>
      </c>
      <c r="F28" s="1" t="s">
        <v>432</v>
      </c>
      <c r="G28" s="10"/>
      <c r="H28" s="1" t="s">
        <v>76</v>
      </c>
      <c r="I28" s="11">
        <v>5</v>
      </c>
      <c r="J28" s="1" t="s">
        <v>77</v>
      </c>
      <c r="K28" s="3">
        <v>45444</v>
      </c>
      <c r="L28" s="1"/>
      <c r="M28" s="1" t="s">
        <v>58</v>
      </c>
      <c r="N28" s="1" t="s">
        <v>61</v>
      </c>
      <c r="O28" s="1"/>
      <c r="Q28" s="4"/>
      <c r="R28" s="5"/>
      <c r="S28" s="4"/>
      <c r="V28" s="1"/>
      <c r="W28" s="1" t="s">
        <v>73</v>
      </c>
      <c r="X28" s="1" t="s">
        <v>73</v>
      </c>
      <c r="Y28" s="12"/>
      <c r="Z28" s="13"/>
      <c r="AA28" s="33">
        <v>450</v>
      </c>
      <c r="AB28" s="12"/>
      <c r="AC28" s="12"/>
      <c r="AD28" s="33">
        <f>Table_Query_from_UnBilled_1345[[#This Row], [Payable]]*0.035</f>
        <v>15.750000000000002</v>
      </c>
      <c r="AE28" s="12">
        <v>0</v>
      </c>
      <c r="AF28" s="12">
        <v>0</v>
      </c>
      <c r="AG28" s="12">
        <v>0</v>
      </c>
      <c r="AH28" s="33">
        <f>Table_Query_from_UnBilled_1345[[#This Row], [Payable]]*0.01</f>
        <v>4.5</v>
      </c>
      <c r="AI28" s="33">
        <f>Table_Query_from_UnBilled_1345[[#This Row], [Payable]]+Table_Query_from_UnBilled_1345[[#This Row], [AgencyCommission]]+Table_Query_from_UnBilled_1345[[#This Row], [LevyBillable]]</f>
        <v>470.25</v>
      </c>
      <c r="AJ28" s="12">
        <v>0</v>
      </c>
      <c r="AK28" s="11"/>
      <c r="AL28" s="14"/>
      <c r="AM28" s="14"/>
      <c r="AN28" s="4"/>
      <c r="AO28" s="14"/>
      <c r="AP28" s="12"/>
      <c r="AQ28" s="12"/>
      <c r="AR28" s="12">
        <v>0</v>
      </c>
      <c r="AS28" s="12">
        <v>0</v>
      </c>
      <c r="AT28" s="12">
        <v>0</v>
      </c>
      <c r="AU28" s="12">
        <v>0</v>
      </c>
      <c r="AV28" s="12" t="s">
        <v>220</v>
      </c>
      <c r="AW28"/>
    </row>
    <row r="29" spans="1:49" ht="17.25" customHeight="1" x14ac:dyDescent="0.2">
      <c r="A29" s="1" t="s">
        <v>47</v>
      </c>
      <c r="C29" s="1" t="s">
        <v>48</v>
      </c>
      <c r="E29" s="1" t="s">
        <v>49</v>
      </c>
      <c r="F29" s="1" t="s">
        <v>432</v>
      </c>
      <c r="G29" s="10"/>
      <c r="H29" s="1" t="s">
        <v>76</v>
      </c>
      <c r="I29" s="11">
        <v>5</v>
      </c>
      <c r="J29" s="1" t="s">
        <v>77</v>
      </c>
      <c r="K29" s="3">
        <v>45444</v>
      </c>
      <c r="L29" s="1"/>
      <c r="M29" s="1" t="s">
        <v>58</v>
      </c>
      <c r="N29" s="1" t="s">
        <v>61</v>
      </c>
      <c r="O29" s="1"/>
      <c r="Q29" s="4"/>
      <c r="R29" s="5"/>
      <c r="S29" s="4"/>
      <c r="V29" s="1"/>
      <c r="W29" s="1" t="s">
        <v>73</v>
      </c>
      <c r="X29" s="1" t="s">
        <v>73</v>
      </c>
      <c r="Y29" s="12"/>
      <c r="Z29" s="13"/>
      <c r="AA29" s="33">
        <v>1120</v>
      </c>
      <c r="AB29" s="12"/>
      <c r="AC29" s="12"/>
      <c r="AD29" s="33">
        <f>Table_Query_from_UnBilled_1345[[#This Row], [Payable]]*0.035</f>
        <v>39.200000000000003</v>
      </c>
      <c r="AE29" s="12">
        <v>0</v>
      </c>
      <c r="AF29" s="12">
        <v>0</v>
      </c>
      <c r="AG29" s="12">
        <v>0</v>
      </c>
      <c r="AH29" s="33">
        <f>Table_Query_from_UnBilled_1345[[#This Row], [Payable]]*0.01</f>
        <v>11.200000000000001</v>
      </c>
      <c r="AI29" s="33">
        <f>Table_Query_from_UnBilled_1345[[#This Row], [Payable]]+Table_Query_from_UnBilled_1345[[#This Row], [AgencyCommission]]+Table_Query_from_UnBilled_1345[[#This Row], [LevyBillable]]</f>
        <v>1170.4000000000001</v>
      </c>
      <c r="AJ29" s="12">
        <v>0</v>
      </c>
      <c r="AK29" s="11"/>
      <c r="AL29" s="14"/>
      <c r="AM29" s="14"/>
      <c r="AN29" s="4"/>
      <c r="AO29" s="14"/>
      <c r="AP29" s="12"/>
      <c r="AQ29" s="12"/>
      <c r="AR29" s="12">
        <v>0</v>
      </c>
      <c r="AS29" s="12">
        <v>0</v>
      </c>
      <c r="AT29" s="12">
        <v>0</v>
      </c>
      <c r="AU29" s="12">
        <v>0</v>
      </c>
      <c r="AV29" s="12" t="s">
        <v>221</v>
      </c>
      <c r="AW29"/>
    </row>
    <row r="30" spans="1:49" ht="17.25" customHeight="1" x14ac:dyDescent="0.2">
      <c r="A30" s="1" t="s">
        <v>47</v>
      </c>
      <c r="C30" s="1" t="s">
        <v>48</v>
      </c>
      <c r="E30" s="1" t="s">
        <v>49</v>
      </c>
      <c r="F30" s="1" t="s">
        <v>432</v>
      </c>
      <c r="G30" s="10"/>
      <c r="H30" s="1" t="s">
        <v>76</v>
      </c>
      <c r="I30" s="11">
        <v>5</v>
      </c>
      <c r="J30" s="1" t="s">
        <v>77</v>
      </c>
      <c r="K30" s="3">
        <v>45444</v>
      </c>
      <c r="L30" s="1"/>
      <c r="M30" s="1" t="s">
        <v>58</v>
      </c>
      <c r="N30" s="1" t="s">
        <v>75</v>
      </c>
      <c r="O30" s="1"/>
      <c r="Q30" s="4"/>
      <c r="R30" s="5"/>
      <c r="S30" s="4"/>
      <c r="V30" s="1"/>
      <c r="W30" s="1" t="s">
        <v>73</v>
      </c>
      <c r="X30" s="1" t="s">
        <v>73</v>
      </c>
      <c r="Y30" s="12"/>
      <c r="Z30" s="13"/>
      <c r="AA30" s="33">
        <v>420</v>
      </c>
      <c r="AB30" s="12"/>
      <c r="AC30" s="12"/>
      <c r="AD30" s="33">
        <f>Table_Query_from_UnBilled_1345[[#This Row], [Payable]]*0.035</f>
        <v>14.700000000000001</v>
      </c>
      <c r="AE30" s="12">
        <v>0</v>
      </c>
      <c r="AF30" s="12">
        <v>0</v>
      </c>
      <c r="AG30" s="12">
        <v>0</v>
      </c>
      <c r="AH30" s="33">
        <f>Table_Query_from_UnBilled_1345[[#This Row], [Payable]]*0.01</f>
        <v>4.2</v>
      </c>
      <c r="AI30" s="33">
        <f>Table_Query_from_UnBilled_1345[[#This Row], [Payable]]+Table_Query_from_UnBilled_1345[[#This Row], [AgencyCommission]]+Table_Query_from_UnBilled_1345[[#This Row], [LevyBillable]]</f>
        <v>438.9</v>
      </c>
      <c r="AJ30" s="12">
        <v>0</v>
      </c>
      <c r="AK30" s="11"/>
      <c r="AL30" s="14"/>
      <c r="AM30" s="14"/>
      <c r="AN30" s="4"/>
      <c r="AO30" s="14"/>
      <c r="AP30" s="12"/>
      <c r="AQ30" s="12"/>
      <c r="AR30" s="12">
        <v>0</v>
      </c>
      <c r="AS30" s="12">
        <v>0</v>
      </c>
      <c r="AT30" s="12">
        <v>0</v>
      </c>
      <c r="AU30" s="12">
        <v>0</v>
      </c>
      <c r="AV30" s="12" t="s">
        <v>222</v>
      </c>
      <c r="AW30"/>
    </row>
    <row r="31" spans="1:49" ht="17.25" customHeight="1" x14ac:dyDescent="0.2">
      <c r="A31" s="1" t="s">
        <v>47</v>
      </c>
      <c r="C31" s="1" t="s">
        <v>48</v>
      </c>
      <c r="E31" s="1" t="s">
        <v>49</v>
      </c>
      <c r="F31" s="1" t="s">
        <v>432</v>
      </c>
      <c r="G31" s="10"/>
      <c r="H31" s="1" t="s">
        <v>76</v>
      </c>
      <c r="I31" s="11">
        <v>5</v>
      </c>
      <c r="J31" s="1" t="s">
        <v>77</v>
      </c>
      <c r="K31" s="3">
        <v>45444</v>
      </c>
      <c r="L31" s="1"/>
      <c r="M31" s="1" t="s">
        <v>58</v>
      </c>
      <c r="N31" s="1" t="s">
        <v>59</v>
      </c>
      <c r="O31" s="1"/>
      <c r="Q31" s="4"/>
      <c r="R31" s="5"/>
      <c r="S31" s="4"/>
      <c r="V31" s="1"/>
      <c r="W31" s="1" t="s">
        <v>73</v>
      </c>
      <c r="X31" s="1" t="s">
        <v>73</v>
      </c>
      <c r="Y31" s="12"/>
      <c r="Z31" s="13"/>
      <c r="AA31" s="33">
        <v>340</v>
      </c>
      <c r="AB31" s="12"/>
      <c r="AC31" s="12"/>
      <c r="AD31" s="33">
        <f>Table_Query_from_UnBilled_1345[[#This Row], [Payable]]*0.035</f>
        <v>11.9</v>
      </c>
      <c r="AE31" s="12">
        <v>0</v>
      </c>
      <c r="AF31" s="12">
        <v>0</v>
      </c>
      <c r="AG31" s="12">
        <v>0</v>
      </c>
      <c r="AH31" s="33">
        <f>Table_Query_from_UnBilled_1345[[#This Row], [Payable]]*0.01</f>
        <v>3.4</v>
      </c>
      <c r="AI31" s="33">
        <f>Table_Query_from_UnBilled_1345[[#This Row], [Payable]]+Table_Query_from_UnBilled_1345[[#This Row], [AgencyCommission]]+Table_Query_from_UnBilled_1345[[#This Row], [LevyBillable]]</f>
        <v>355.29999999999995</v>
      </c>
      <c r="AJ31" s="12">
        <v>0</v>
      </c>
      <c r="AK31" s="11"/>
      <c r="AL31" s="14"/>
      <c r="AM31" s="14"/>
      <c r="AN31" s="4"/>
      <c r="AO31" s="14"/>
      <c r="AP31" s="12"/>
      <c r="AQ31" s="12"/>
      <c r="AR31" s="12">
        <v>0</v>
      </c>
      <c r="AS31" s="12">
        <v>0</v>
      </c>
      <c r="AT31" s="12">
        <v>0</v>
      </c>
      <c r="AU31" s="12">
        <v>0</v>
      </c>
      <c r="AV31" s="12" t="s">
        <v>223</v>
      </c>
      <c r="AW31"/>
    </row>
    <row r="32" spans="1:49" ht="17.25" customHeight="1" x14ac:dyDescent="0.2">
      <c r="A32" s="1" t="s">
        <v>47</v>
      </c>
      <c r="C32" s="1" t="s">
        <v>48</v>
      </c>
      <c r="E32" s="1" t="s">
        <v>49</v>
      </c>
      <c r="F32" s="1" t="s">
        <v>432</v>
      </c>
      <c r="G32" s="10"/>
      <c r="H32" s="1" t="s">
        <v>76</v>
      </c>
      <c r="I32" s="11">
        <v>5</v>
      </c>
      <c r="J32" s="1" t="s">
        <v>77</v>
      </c>
      <c r="K32" s="3">
        <v>45444</v>
      </c>
      <c r="L32" s="1"/>
      <c r="M32" s="1" t="s">
        <v>58</v>
      </c>
      <c r="N32" s="1" t="s">
        <v>59</v>
      </c>
      <c r="O32" s="1"/>
      <c r="Q32" s="4"/>
      <c r="R32" s="5"/>
      <c r="S32" s="4"/>
      <c r="V32" s="1"/>
      <c r="W32" s="1" t="s">
        <v>73</v>
      </c>
      <c r="X32" s="1" t="s">
        <v>73</v>
      </c>
      <c r="Y32" s="12"/>
      <c r="Z32" s="13"/>
      <c r="AA32" s="33">
        <v>790</v>
      </c>
      <c r="AB32" s="12"/>
      <c r="AC32" s="12"/>
      <c r="AD32" s="33">
        <f>Table_Query_from_UnBilled_1345[[#This Row], [Payable]]*0.035</f>
        <v>27.650000000000002</v>
      </c>
      <c r="AE32" s="12">
        <v>0</v>
      </c>
      <c r="AF32" s="12">
        <v>0</v>
      </c>
      <c r="AG32" s="12">
        <v>0</v>
      </c>
      <c r="AH32" s="33">
        <f>Table_Query_from_UnBilled_1345[[#This Row], [Payable]]*0.01</f>
        <v>7.9</v>
      </c>
      <c r="AI32" s="33">
        <f>Table_Query_from_UnBilled_1345[[#This Row], [Payable]]+Table_Query_from_UnBilled_1345[[#This Row], [AgencyCommission]]+Table_Query_from_UnBilled_1345[[#This Row], [LevyBillable]]</f>
        <v>825.55</v>
      </c>
      <c r="AJ32" s="12">
        <v>0</v>
      </c>
      <c r="AK32" s="11"/>
      <c r="AL32" s="14"/>
      <c r="AM32" s="14"/>
      <c r="AN32" s="4"/>
      <c r="AO32" s="14"/>
      <c r="AP32" s="12"/>
      <c r="AQ32" s="12"/>
      <c r="AR32" s="12">
        <v>0</v>
      </c>
      <c r="AS32" s="12">
        <v>0</v>
      </c>
      <c r="AT32" s="12">
        <v>0</v>
      </c>
      <c r="AU32" s="12">
        <v>0</v>
      </c>
      <c r="AV32" s="12" t="s">
        <v>224</v>
      </c>
      <c r="AW32"/>
    </row>
    <row r="33" spans="1:49" ht="17.25" customHeight="1" x14ac:dyDescent="0.2">
      <c r="A33" s="1" t="s">
        <v>47</v>
      </c>
      <c r="C33" s="1" t="s">
        <v>48</v>
      </c>
      <c r="E33" s="1" t="s">
        <v>49</v>
      </c>
      <c r="F33" s="1" t="s">
        <v>432</v>
      </c>
      <c r="G33" s="10"/>
      <c r="H33" s="1" t="s">
        <v>76</v>
      </c>
      <c r="I33" s="11">
        <v>5</v>
      </c>
      <c r="J33" s="1" t="s">
        <v>77</v>
      </c>
      <c r="K33" s="3">
        <v>45444</v>
      </c>
      <c r="L33" s="1"/>
      <c r="M33" s="1" t="s">
        <v>58</v>
      </c>
      <c r="N33" s="1" t="s">
        <v>59</v>
      </c>
      <c r="O33" s="1"/>
      <c r="Q33" s="4"/>
      <c r="R33" s="5"/>
      <c r="S33" s="4"/>
      <c r="V33" s="1"/>
      <c r="W33" s="1" t="s">
        <v>73</v>
      </c>
      <c r="X33" s="1" t="s">
        <v>73</v>
      </c>
      <c r="Y33" s="12"/>
      <c r="Z33" s="13"/>
      <c r="AA33" s="33">
        <v>3300</v>
      </c>
      <c r="AB33" s="12"/>
      <c r="AC33" s="12"/>
      <c r="AD33" s="33">
        <f>Table_Query_from_UnBilled_1345[[#This Row], [Payable]]*0.035</f>
        <v>115.50000000000001</v>
      </c>
      <c r="AE33" s="12">
        <v>0</v>
      </c>
      <c r="AF33" s="12">
        <v>0</v>
      </c>
      <c r="AG33" s="12">
        <v>0</v>
      </c>
      <c r="AH33" s="33">
        <f>Table_Query_from_UnBilled_1345[[#This Row], [Payable]]*0.01</f>
        <v>33</v>
      </c>
      <c r="AI33" s="33">
        <f>Table_Query_from_UnBilled_1345[[#This Row], [Payable]]+Table_Query_from_UnBilled_1345[[#This Row], [AgencyCommission]]+Table_Query_from_UnBilled_1345[[#This Row], [LevyBillable]]</f>
        <v>3448.5</v>
      </c>
      <c r="AJ33" s="12">
        <v>0</v>
      </c>
      <c r="AK33" s="11"/>
      <c r="AL33" s="14"/>
      <c r="AM33" s="14"/>
      <c r="AN33" s="4"/>
      <c r="AO33" s="14"/>
      <c r="AP33" s="12"/>
      <c r="AQ33" s="12"/>
      <c r="AR33" s="12">
        <v>0</v>
      </c>
      <c r="AS33" s="12">
        <v>0</v>
      </c>
      <c r="AT33" s="12">
        <v>0</v>
      </c>
      <c r="AU33" s="12">
        <v>0</v>
      </c>
      <c r="AV33" s="12" t="s">
        <v>225</v>
      </c>
      <c r="AW33"/>
    </row>
    <row r="34" spans="1:49" ht="17.25" customHeight="1" x14ac:dyDescent="0.2">
      <c r="A34" s="1" t="s">
        <v>47</v>
      </c>
      <c r="C34" s="1" t="s">
        <v>48</v>
      </c>
      <c r="E34" s="1" t="s">
        <v>49</v>
      </c>
      <c r="F34" s="1" t="s">
        <v>432</v>
      </c>
      <c r="G34" s="10"/>
      <c r="H34" s="1" t="s">
        <v>76</v>
      </c>
      <c r="I34" s="11">
        <v>5</v>
      </c>
      <c r="J34" s="1" t="s">
        <v>77</v>
      </c>
      <c r="K34" s="3">
        <v>45444</v>
      </c>
      <c r="L34" s="1"/>
      <c r="M34" s="1" t="s">
        <v>58</v>
      </c>
      <c r="N34" s="1" t="s">
        <v>60</v>
      </c>
      <c r="O34" s="1"/>
      <c r="Q34" s="4"/>
      <c r="R34" s="5"/>
      <c r="S34" s="4"/>
      <c r="V34" s="1"/>
      <c r="W34" s="1" t="s">
        <v>73</v>
      </c>
      <c r="X34" s="1" t="s">
        <v>73</v>
      </c>
      <c r="Y34" s="12"/>
      <c r="Z34" s="13"/>
      <c r="AA34" s="33">
        <v>2110</v>
      </c>
      <c r="AB34" s="12"/>
      <c r="AC34" s="12"/>
      <c r="AD34" s="33">
        <f>Table_Query_from_UnBilled_1345[[#This Row], [Payable]]*0.035</f>
        <v>73.850000000000009</v>
      </c>
      <c r="AE34" s="12">
        <v>0</v>
      </c>
      <c r="AF34" s="12">
        <v>0</v>
      </c>
      <c r="AG34" s="12">
        <v>0</v>
      </c>
      <c r="AH34" s="33">
        <f>Table_Query_from_UnBilled_1345[[#This Row], [Payable]]*0.01</f>
        <v>21.1</v>
      </c>
      <c r="AI34" s="33">
        <f>Table_Query_from_UnBilled_1345[[#This Row], [Payable]]+Table_Query_from_UnBilled_1345[[#This Row], [AgencyCommission]]+Table_Query_from_UnBilled_1345[[#This Row], [LevyBillable]]</f>
        <v>2204.9499999999998</v>
      </c>
      <c r="AJ34" s="12">
        <v>0</v>
      </c>
      <c r="AK34" s="11"/>
      <c r="AL34" s="14"/>
      <c r="AM34" s="14"/>
      <c r="AN34" s="4"/>
      <c r="AO34" s="14"/>
      <c r="AP34" s="12"/>
      <c r="AQ34" s="12"/>
      <c r="AR34" s="12">
        <v>0</v>
      </c>
      <c r="AS34" s="12">
        <v>0</v>
      </c>
      <c r="AT34" s="12">
        <v>0</v>
      </c>
      <c r="AU34" s="12">
        <v>0</v>
      </c>
      <c r="AV34" s="12" t="s">
        <v>226</v>
      </c>
      <c r="AW34"/>
    </row>
    <row r="35" spans="1:49" ht="17.25" customHeight="1" x14ac:dyDescent="0.2">
      <c r="A35" s="1" t="s">
        <v>47</v>
      </c>
      <c r="C35" s="1" t="s">
        <v>48</v>
      </c>
      <c r="E35" s="1" t="s">
        <v>49</v>
      </c>
      <c r="F35" s="1" t="s">
        <v>432</v>
      </c>
      <c r="G35" s="10"/>
      <c r="H35" s="1" t="s">
        <v>76</v>
      </c>
      <c r="I35" s="11">
        <v>5</v>
      </c>
      <c r="J35" s="1" t="s">
        <v>77</v>
      </c>
      <c r="K35" s="3">
        <v>45444</v>
      </c>
      <c r="L35" s="1"/>
      <c r="M35" s="1" t="s">
        <v>58</v>
      </c>
      <c r="N35" s="1" t="s">
        <v>59</v>
      </c>
      <c r="O35" s="1"/>
      <c r="Q35" s="4"/>
      <c r="R35" s="5"/>
      <c r="S35" s="4"/>
      <c r="V35" s="1"/>
      <c r="W35" s="1" t="s">
        <v>73</v>
      </c>
      <c r="X35" s="1" t="s">
        <v>73</v>
      </c>
      <c r="Y35" s="12"/>
      <c r="Z35" s="13"/>
      <c r="AA35" s="33">
        <v>540</v>
      </c>
      <c r="AB35" s="12"/>
      <c r="AC35" s="12"/>
      <c r="AD35" s="33">
        <f>Table_Query_from_UnBilled_1345[[#This Row], [Payable]]*0.035</f>
        <v>18.900000000000002</v>
      </c>
      <c r="AE35" s="12">
        <v>0</v>
      </c>
      <c r="AF35" s="12">
        <v>0</v>
      </c>
      <c r="AG35" s="12">
        <v>0</v>
      </c>
      <c r="AH35" s="33">
        <f>Table_Query_from_UnBilled_1345[[#This Row], [Payable]]*0.01</f>
        <v>5.4</v>
      </c>
      <c r="AI35" s="33">
        <f>Table_Query_from_UnBilled_1345[[#This Row], [Payable]]+Table_Query_from_UnBilled_1345[[#This Row], [AgencyCommission]]+Table_Query_from_UnBilled_1345[[#This Row], [LevyBillable]]</f>
        <v>564.29999999999995</v>
      </c>
      <c r="AJ35" s="12">
        <v>0</v>
      </c>
      <c r="AK35" s="11"/>
      <c r="AL35" s="14"/>
      <c r="AM35" s="14"/>
      <c r="AN35" s="4"/>
      <c r="AO35" s="14"/>
      <c r="AP35" s="12"/>
      <c r="AQ35" s="12"/>
      <c r="AR35" s="12">
        <v>0</v>
      </c>
      <c r="AS35" s="12">
        <v>0</v>
      </c>
      <c r="AT35" s="12">
        <v>0</v>
      </c>
      <c r="AU35" s="12">
        <v>0</v>
      </c>
      <c r="AV35" s="12" t="s">
        <v>227</v>
      </c>
      <c r="AW35"/>
    </row>
    <row r="36" spans="1:49" ht="17.25" customHeight="1" x14ac:dyDescent="0.2">
      <c r="A36" s="1" t="s">
        <v>47</v>
      </c>
      <c r="C36" s="1" t="s">
        <v>48</v>
      </c>
      <c r="E36" s="1" t="s">
        <v>49</v>
      </c>
      <c r="F36" s="1" t="s">
        <v>432</v>
      </c>
      <c r="G36" s="10"/>
      <c r="H36" s="1" t="s">
        <v>76</v>
      </c>
      <c r="I36" s="11">
        <v>5</v>
      </c>
      <c r="J36" s="1" t="s">
        <v>77</v>
      </c>
      <c r="K36" s="3">
        <v>45444</v>
      </c>
      <c r="L36" s="1"/>
      <c r="M36" s="1" t="s">
        <v>52</v>
      </c>
      <c r="N36" s="1" t="s">
        <v>53</v>
      </c>
      <c r="O36" s="1"/>
      <c r="Q36" s="4"/>
      <c r="R36" s="5"/>
      <c r="S36" s="4"/>
      <c r="V36" s="1"/>
      <c r="W36" s="1" t="s">
        <v>73</v>
      </c>
      <c r="X36" s="1" t="s">
        <v>73</v>
      </c>
      <c r="Y36" s="12"/>
      <c r="Z36" s="13"/>
      <c r="AA36" s="33">
        <v>45</v>
      </c>
      <c r="AB36" s="12"/>
      <c r="AC36" s="12"/>
      <c r="AD36" s="33">
        <f>Table_Query_from_UnBilled_1345[[#This Row], [Payable]]*0.035</f>
        <v>1.5750000000000002</v>
      </c>
      <c r="AE36" s="12">
        <v>0</v>
      </c>
      <c r="AF36" s="12">
        <v>0</v>
      </c>
      <c r="AG36" s="12">
        <v>0</v>
      </c>
      <c r="AH36" s="33">
        <f>Table_Query_from_UnBilled_1345[[#This Row], [Payable]]*0.01</f>
        <v>0.45</v>
      </c>
      <c r="AI36" s="33">
        <f>Table_Query_from_UnBilled_1345[[#This Row], [Payable]]+Table_Query_from_UnBilled_1345[[#This Row], [AgencyCommission]]+Table_Query_from_UnBilled_1345[[#This Row], [LevyBillable]]</f>
        <v>47.025000000000006</v>
      </c>
      <c r="AJ36" s="12">
        <v>0</v>
      </c>
      <c r="AK36" s="11"/>
      <c r="AL36" s="14"/>
      <c r="AM36" s="14"/>
      <c r="AN36" s="4"/>
      <c r="AO36" s="14"/>
      <c r="AP36" s="12"/>
      <c r="AQ36" s="12"/>
      <c r="AR36" s="12">
        <v>0</v>
      </c>
      <c r="AS36" s="12">
        <v>0</v>
      </c>
      <c r="AT36" s="12">
        <v>0</v>
      </c>
      <c r="AU36" s="12">
        <v>0</v>
      </c>
      <c r="AV36" s="12" t="s">
        <v>228</v>
      </c>
      <c r="AW36"/>
    </row>
    <row r="37" spans="1:49" ht="17.25" customHeight="1" x14ac:dyDescent="0.2">
      <c r="A37" s="1" t="s">
        <v>47</v>
      </c>
      <c r="C37" s="1" t="s">
        <v>48</v>
      </c>
      <c r="E37" s="1" t="s">
        <v>49</v>
      </c>
      <c r="F37" s="1" t="s">
        <v>432</v>
      </c>
      <c r="G37" s="10"/>
      <c r="H37" s="1" t="s">
        <v>76</v>
      </c>
      <c r="I37" s="11">
        <v>5</v>
      </c>
      <c r="J37" s="1" t="s">
        <v>77</v>
      </c>
      <c r="K37" s="3">
        <v>45444</v>
      </c>
      <c r="L37" s="1"/>
      <c r="M37" s="1" t="s">
        <v>58</v>
      </c>
      <c r="N37" s="1" t="s">
        <v>61</v>
      </c>
      <c r="O37" s="1"/>
      <c r="Q37" s="4"/>
      <c r="R37" s="5"/>
      <c r="S37" s="4"/>
      <c r="V37" s="1"/>
      <c r="W37" s="1" t="s">
        <v>73</v>
      </c>
      <c r="X37" s="1" t="s">
        <v>73</v>
      </c>
      <c r="Y37" s="12"/>
      <c r="Z37" s="13"/>
      <c r="AA37" s="33">
        <v>3220</v>
      </c>
      <c r="AB37" s="12"/>
      <c r="AC37" s="12"/>
      <c r="AD37" s="33">
        <f>Table_Query_from_UnBilled_1345[[#This Row], [Payable]]*0.035</f>
        <v>112.70000000000002</v>
      </c>
      <c r="AE37" s="12">
        <v>0</v>
      </c>
      <c r="AF37" s="12">
        <v>0</v>
      </c>
      <c r="AG37" s="12">
        <v>0</v>
      </c>
      <c r="AH37" s="33">
        <f>Table_Query_from_UnBilled_1345[[#This Row], [Payable]]*0.01</f>
        <v>32.200000000000003</v>
      </c>
      <c r="AI37" s="33">
        <f>Table_Query_from_UnBilled_1345[[#This Row], [Payable]]+Table_Query_from_UnBilled_1345[[#This Row], [AgencyCommission]]+Table_Query_from_UnBilled_1345[[#This Row], [LevyBillable]]</f>
        <v>3364.8999999999996</v>
      </c>
      <c r="AJ37" s="12">
        <v>0</v>
      </c>
      <c r="AK37" s="11"/>
      <c r="AL37" s="14"/>
      <c r="AM37" s="14"/>
      <c r="AN37" s="4"/>
      <c r="AO37" s="14"/>
      <c r="AP37" s="12"/>
      <c r="AQ37" s="12"/>
      <c r="AR37" s="12">
        <v>0</v>
      </c>
      <c r="AS37" s="12">
        <v>0</v>
      </c>
      <c r="AT37" s="12">
        <v>0</v>
      </c>
      <c r="AU37" s="12">
        <v>0</v>
      </c>
      <c r="AV37" s="12" t="s">
        <v>229</v>
      </c>
      <c r="AW37"/>
    </row>
    <row r="38" spans="1:49" ht="17.25" customHeight="1" x14ac:dyDescent="0.2">
      <c r="A38" s="1" t="s">
        <v>47</v>
      </c>
      <c r="C38" s="1" t="s">
        <v>48</v>
      </c>
      <c r="E38" s="1" t="s">
        <v>49</v>
      </c>
      <c r="F38" s="1" t="s">
        <v>432</v>
      </c>
      <c r="G38" s="10"/>
      <c r="H38" s="1" t="s">
        <v>76</v>
      </c>
      <c r="I38" s="11">
        <v>5</v>
      </c>
      <c r="J38" s="1" t="s">
        <v>77</v>
      </c>
      <c r="K38" s="3">
        <v>45474</v>
      </c>
      <c r="L38" s="1"/>
      <c r="M38" s="1" t="s">
        <v>58</v>
      </c>
      <c r="N38" s="1" t="s">
        <v>59</v>
      </c>
      <c r="O38" s="1"/>
      <c r="Q38" s="4"/>
      <c r="R38" s="5"/>
      <c r="S38" s="4"/>
      <c r="V38" s="1"/>
      <c r="W38" s="1" t="s">
        <v>73</v>
      </c>
      <c r="X38" s="1" t="s">
        <v>73</v>
      </c>
      <c r="Y38" s="12"/>
      <c r="Z38" s="13"/>
      <c r="AA38" s="33">
        <v>3400</v>
      </c>
      <c r="AB38" s="12"/>
      <c r="AC38" s="12"/>
      <c r="AD38" s="33">
        <f>Table_Query_from_UnBilled_1345[[#This Row], [Payable]]*0.035</f>
        <v>119.00000000000001</v>
      </c>
      <c r="AE38" s="12">
        <v>0</v>
      </c>
      <c r="AF38" s="12">
        <v>0</v>
      </c>
      <c r="AG38" s="12">
        <v>0</v>
      </c>
      <c r="AH38" s="33">
        <f>Table_Query_from_UnBilled_1345[[#This Row], [Payable]]*0.01</f>
        <v>34</v>
      </c>
      <c r="AI38" s="33">
        <f>Table_Query_from_UnBilled_1345[[#This Row], [Payable]]+Table_Query_from_UnBilled_1345[[#This Row], [AgencyCommission]]+Table_Query_from_UnBilled_1345[[#This Row], [LevyBillable]]</f>
        <v>3553</v>
      </c>
      <c r="AJ38" s="12">
        <v>0</v>
      </c>
      <c r="AK38" s="11"/>
      <c r="AL38" s="14"/>
      <c r="AM38" s="14"/>
      <c r="AN38" s="4"/>
      <c r="AO38" s="14"/>
      <c r="AP38" s="12"/>
      <c r="AQ38" s="12"/>
      <c r="AR38" s="12">
        <v>0</v>
      </c>
      <c r="AS38" s="12">
        <v>0</v>
      </c>
      <c r="AT38" s="12">
        <v>0</v>
      </c>
      <c r="AU38" s="12">
        <v>0</v>
      </c>
      <c r="AV38" s="12" t="s">
        <v>230</v>
      </c>
      <c r="AW38"/>
    </row>
    <row r="39" spans="1:49" ht="17.25" customHeight="1" x14ac:dyDescent="0.2">
      <c r="A39" s="1" t="s">
        <v>47</v>
      </c>
      <c r="C39" s="1" t="s">
        <v>48</v>
      </c>
      <c r="E39" s="1" t="s">
        <v>49</v>
      </c>
      <c r="F39" s="1" t="s">
        <v>432</v>
      </c>
      <c r="G39" s="10"/>
      <c r="H39" s="1" t="s">
        <v>76</v>
      </c>
      <c r="I39" s="11">
        <v>5</v>
      </c>
      <c r="J39" s="1" t="s">
        <v>77</v>
      </c>
      <c r="K39" s="3">
        <v>45474</v>
      </c>
      <c r="L39" s="1"/>
      <c r="M39" s="1" t="s">
        <v>52</v>
      </c>
      <c r="N39" s="1" t="s">
        <v>53</v>
      </c>
      <c r="O39" s="1"/>
      <c r="Q39" s="4"/>
      <c r="R39" s="5"/>
      <c r="S39" s="4"/>
      <c r="V39" s="1"/>
      <c r="W39" s="1" t="s">
        <v>73</v>
      </c>
      <c r="X39" s="1" t="s">
        <v>73</v>
      </c>
      <c r="Y39" s="12"/>
      <c r="Z39" s="13"/>
      <c r="AA39" s="33">
        <v>4300</v>
      </c>
      <c r="AB39" s="12"/>
      <c r="AC39" s="12"/>
      <c r="AD39" s="33">
        <f>Table_Query_from_UnBilled_1345[[#This Row], [Payable]]*0.035</f>
        <v>150.50000000000003</v>
      </c>
      <c r="AE39" s="12">
        <v>0</v>
      </c>
      <c r="AF39" s="12">
        <v>0</v>
      </c>
      <c r="AG39" s="12">
        <v>0</v>
      </c>
      <c r="AH39" s="33">
        <f>Table_Query_from_UnBilled_1345[[#This Row], [Payable]]*0.01</f>
        <v>43</v>
      </c>
      <c r="AI39" s="33">
        <f>Table_Query_from_UnBilled_1345[[#This Row], [Payable]]+Table_Query_from_UnBilled_1345[[#This Row], [AgencyCommission]]+Table_Query_from_UnBilled_1345[[#This Row], [LevyBillable]]</f>
        <v>4493.5</v>
      </c>
      <c r="AJ39" s="12">
        <v>0</v>
      </c>
      <c r="AK39" s="11"/>
      <c r="AL39" s="14"/>
      <c r="AM39" s="14"/>
      <c r="AN39" s="4"/>
      <c r="AO39" s="14"/>
      <c r="AP39" s="12"/>
      <c r="AQ39" s="12"/>
      <c r="AR39" s="12">
        <v>0</v>
      </c>
      <c r="AS39" s="12">
        <v>0</v>
      </c>
      <c r="AT39" s="12">
        <v>0</v>
      </c>
      <c r="AU39" s="12">
        <v>0</v>
      </c>
      <c r="AV39" s="12" t="s">
        <v>231</v>
      </c>
      <c r="AW39"/>
    </row>
    <row r="40" spans="1:49" ht="17.25" customHeight="1" x14ac:dyDescent="0.2">
      <c r="A40" s="1" t="s">
        <v>47</v>
      </c>
      <c r="C40" s="1" t="s">
        <v>48</v>
      </c>
      <c r="E40" s="1" t="s">
        <v>49</v>
      </c>
      <c r="F40" s="1" t="s">
        <v>432</v>
      </c>
      <c r="G40" s="10"/>
      <c r="H40" s="1" t="s">
        <v>76</v>
      </c>
      <c r="I40" s="11">
        <v>5</v>
      </c>
      <c r="J40" s="1" t="s">
        <v>77</v>
      </c>
      <c r="K40" s="3">
        <v>45474</v>
      </c>
      <c r="L40" s="1"/>
      <c r="M40" s="1" t="s">
        <v>58</v>
      </c>
      <c r="N40" s="1" t="s">
        <v>59</v>
      </c>
      <c r="O40" s="1"/>
      <c r="Q40" s="4"/>
      <c r="R40" s="5"/>
      <c r="S40" s="4"/>
      <c r="V40" s="1"/>
      <c r="W40" s="1" t="s">
        <v>73</v>
      </c>
      <c r="X40" s="1" t="s">
        <v>73</v>
      </c>
      <c r="Y40" s="12"/>
      <c r="Z40" s="13"/>
      <c r="AA40" s="33">
        <v>5000</v>
      </c>
      <c r="AB40" s="12"/>
      <c r="AC40" s="12"/>
      <c r="AD40" s="33">
        <f>Table_Query_from_UnBilled_1345[[#This Row], [Payable]]*0.035</f>
        <v>175.00000000000003</v>
      </c>
      <c r="AE40" s="12">
        <v>0</v>
      </c>
      <c r="AF40" s="12">
        <v>0</v>
      </c>
      <c r="AG40" s="12">
        <v>0</v>
      </c>
      <c r="AH40" s="33">
        <f>Table_Query_from_UnBilled_1345[[#This Row], [Payable]]*0.01</f>
        <v>50</v>
      </c>
      <c r="AI40" s="33">
        <f>Table_Query_from_UnBilled_1345[[#This Row], [Payable]]+Table_Query_from_UnBilled_1345[[#This Row], [AgencyCommission]]+Table_Query_from_UnBilled_1345[[#This Row], [LevyBillable]]</f>
        <v>5225</v>
      </c>
      <c r="AJ40" s="12">
        <v>0</v>
      </c>
      <c r="AK40" s="11"/>
      <c r="AL40" s="14"/>
      <c r="AM40" s="14"/>
      <c r="AN40" s="4"/>
      <c r="AO40" s="14"/>
      <c r="AP40" s="12"/>
      <c r="AQ40" s="12"/>
      <c r="AR40" s="12">
        <v>0</v>
      </c>
      <c r="AS40" s="12">
        <v>0</v>
      </c>
      <c r="AT40" s="12">
        <v>0</v>
      </c>
      <c r="AU40" s="12">
        <v>0</v>
      </c>
      <c r="AV40" s="12" t="s">
        <v>232</v>
      </c>
      <c r="AW40"/>
    </row>
    <row r="41" spans="1:49" ht="17.25" customHeight="1" x14ac:dyDescent="0.2">
      <c r="A41" s="1" t="s">
        <v>47</v>
      </c>
      <c r="C41" s="1" t="s">
        <v>48</v>
      </c>
      <c r="E41" s="1" t="s">
        <v>49</v>
      </c>
      <c r="F41" s="1" t="s">
        <v>432</v>
      </c>
      <c r="G41" s="10"/>
      <c r="H41" s="1" t="s">
        <v>76</v>
      </c>
      <c r="I41" s="11">
        <v>5</v>
      </c>
      <c r="J41" s="1" t="s">
        <v>77</v>
      </c>
      <c r="K41" s="3">
        <v>45474</v>
      </c>
      <c r="L41" s="1"/>
      <c r="M41" s="1" t="s">
        <v>58</v>
      </c>
      <c r="N41" s="1" t="s">
        <v>61</v>
      </c>
      <c r="O41" s="1"/>
      <c r="Q41" s="4"/>
      <c r="R41" s="5"/>
      <c r="S41" s="4"/>
      <c r="V41" s="1"/>
      <c r="W41" s="1" t="s">
        <v>73</v>
      </c>
      <c r="X41" s="1" t="s">
        <v>73</v>
      </c>
      <c r="Y41" s="12"/>
      <c r="Z41" s="13"/>
      <c r="AA41" s="33">
        <v>230</v>
      </c>
      <c r="AB41" s="12"/>
      <c r="AC41" s="12"/>
      <c r="AD41" s="33">
        <f>Table_Query_from_UnBilled_1345[[#This Row], [Payable]]*0.035</f>
        <v>8.0500000000000007</v>
      </c>
      <c r="AE41" s="12">
        <v>0</v>
      </c>
      <c r="AF41" s="12">
        <v>0</v>
      </c>
      <c r="AG41" s="12">
        <v>0</v>
      </c>
      <c r="AH41" s="33">
        <f>Table_Query_from_UnBilled_1345[[#This Row], [Payable]]*0.01</f>
        <v>2.3000000000000003</v>
      </c>
      <c r="AI41" s="33">
        <f>Table_Query_from_UnBilled_1345[[#This Row], [Payable]]+Table_Query_from_UnBilled_1345[[#This Row], [AgencyCommission]]+Table_Query_from_UnBilled_1345[[#This Row], [LevyBillable]]</f>
        <v>240.35000000000002</v>
      </c>
      <c r="AJ41" s="12">
        <v>0</v>
      </c>
      <c r="AK41" s="11"/>
      <c r="AL41" s="14"/>
      <c r="AM41" s="14"/>
      <c r="AN41" s="4"/>
      <c r="AO41" s="14"/>
      <c r="AP41" s="12"/>
      <c r="AQ41" s="12"/>
      <c r="AR41" s="12">
        <v>0</v>
      </c>
      <c r="AS41" s="12">
        <v>0</v>
      </c>
      <c r="AT41" s="12">
        <v>0</v>
      </c>
      <c r="AU41" s="12">
        <v>0</v>
      </c>
      <c r="AV41" s="12" t="s">
        <v>233</v>
      </c>
      <c r="AW41"/>
    </row>
    <row r="42" spans="1:49" ht="17.25" hidden="1" customHeight="1" x14ac:dyDescent="0.2">
      <c r="A42" s="1" t="s">
        <v>47</v>
      </c>
      <c r="C42" s="1" t="s">
        <v>48</v>
      </c>
      <c r="E42" s="1" t="s">
        <v>78</v>
      </c>
      <c r="F42" s="1" t="s">
        <v>432</v>
      </c>
      <c r="G42" s="10"/>
      <c r="H42" s="1" t="s">
        <v>66</v>
      </c>
      <c r="I42" s="11">
        <v>6</v>
      </c>
      <c r="J42" s="1" t="s">
        <v>79</v>
      </c>
      <c r="K42" s="3">
        <v>45444</v>
      </c>
      <c r="L42" s="1"/>
      <c r="M42" s="1" t="s">
        <v>80</v>
      </c>
      <c r="N42" s="1" t="s">
        <v>81</v>
      </c>
      <c r="O42" s="1"/>
      <c r="Q42" s="4"/>
      <c r="R42" s="5"/>
      <c r="S42" s="4"/>
      <c r="U42" s="1" t="s">
        <v>68</v>
      </c>
      <c r="V42" s="1" t="s">
        <v>68</v>
      </c>
      <c r="W42" s="1" t="s">
        <v>68</v>
      </c>
      <c r="X42" s="1" t="s">
        <v>68</v>
      </c>
      <c r="Y42" s="12"/>
      <c r="Z42" s="13"/>
      <c r="AA42" s="33">
        <v>2200</v>
      </c>
      <c r="AB42" s="12"/>
      <c r="AC42" s="12"/>
      <c r="AD42" s="33">
        <f>Table_Query_from_UnBilled_1345[[#This Row], [Payable]]*0.035</f>
        <v>77.000000000000014</v>
      </c>
      <c r="AE42" s="12">
        <v>0</v>
      </c>
      <c r="AF42" s="12">
        <v>0</v>
      </c>
      <c r="AG42" s="12">
        <v>0</v>
      </c>
      <c r="AH42" s="33">
        <f>Table_Query_from_UnBilled_1345[[#This Row], [Payable]]*0.01</f>
        <v>22</v>
      </c>
      <c r="AI42" s="33">
        <f>Table_Query_from_UnBilled_1345[[#This Row], [Payable]]+Table_Query_from_UnBilled_1345[[#This Row], [AgencyCommission]]+Table_Query_from_UnBilled_1345[[#This Row], [LevyBillable]]</f>
        <v>2299</v>
      </c>
      <c r="AJ42" s="12">
        <v>0</v>
      </c>
      <c r="AK42" s="11"/>
      <c r="AL42" s="14"/>
      <c r="AM42" s="14"/>
      <c r="AN42" s="4"/>
      <c r="AO42" s="14"/>
      <c r="AP42" s="12"/>
      <c r="AQ42" s="12"/>
      <c r="AR42" s="12">
        <v>0</v>
      </c>
      <c r="AS42" s="12">
        <v>0</v>
      </c>
      <c r="AT42" s="12">
        <v>0</v>
      </c>
      <c r="AU42" s="12">
        <v>0</v>
      </c>
      <c r="AV42" s="12" t="s">
        <v>234</v>
      </c>
      <c r="AW42"/>
    </row>
    <row r="43" spans="1:49" ht="17.25" hidden="1" customHeight="1" x14ac:dyDescent="0.2">
      <c r="A43" s="1" t="s">
        <v>47</v>
      </c>
      <c r="C43" s="1" t="s">
        <v>48</v>
      </c>
      <c r="E43" s="1" t="s">
        <v>78</v>
      </c>
      <c r="F43" s="1" t="s">
        <v>432</v>
      </c>
      <c r="G43" s="10"/>
      <c r="H43" s="1" t="s">
        <v>66</v>
      </c>
      <c r="I43" s="11">
        <v>6</v>
      </c>
      <c r="J43" s="1" t="s">
        <v>79</v>
      </c>
      <c r="K43" s="3">
        <v>45444</v>
      </c>
      <c r="L43" s="1"/>
      <c r="M43" s="1" t="s">
        <v>82</v>
      </c>
      <c r="N43" s="1" t="s">
        <v>83</v>
      </c>
      <c r="O43" s="1"/>
      <c r="Q43" s="4"/>
      <c r="R43" s="5"/>
      <c r="S43" s="4"/>
      <c r="U43" s="1" t="s">
        <v>68</v>
      </c>
      <c r="V43" s="1" t="s">
        <v>68</v>
      </c>
      <c r="W43" s="1" t="s">
        <v>68</v>
      </c>
      <c r="X43" s="1" t="s">
        <v>68</v>
      </c>
      <c r="Y43" s="12"/>
      <c r="Z43" s="13"/>
      <c r="AA43" s="33">
        <v>650</v>
      </c>
      <c r="AB43" s="12"/>
      <c r="AC43" s="12"/>
      <c r="AD43" s="33">
        <f>Table_Query_from_UnBilled_1345[[#This Row], [Payable]]*0.035</f>
        <v>22.750000000000004</v>
      </c>
      <c r="AE43" s="12">
        <v>0</v>
      </c>
      <c r="AF43" s="12">
        <v>0</v>
      </c>
      <c r="AG43" s="12">
        <v>0</v>
      </c>
      <c r="AH43" s="33">
        <f>Table_Query_from_UnBilled_1345[[#This Row], [Payable]]*0.01</f>
        <v>6.5</v>
      </c>
      <c r="AI43" s="33">
        <f>Table_Query_from_UnBilled_1345[[#This Row], [Payable]]+Table_Query_from_UnBilled_1345[[#This Row], [AgencyCommission]]+Table_Query_from_UnBilled_1345[[#This Row], [LevyBillable]]</f>
        <v>679.25</v>
      </c>
      <c r="AJ43" s="12">
        <v>0</v>
      </c>
      <c r="AK43" s="11"/>
      <c r="AL43" s="14"/>
      <c r="AM43" s="14"/>
      <c r="AN43" s="4"/>
      <c r="AO43" s="14"/>
      <c r="AP43" s="12"/>
      <c r="AQ43" s="12"/>
      <c r="AR43" s="12">
        <v>0</v>
      </c>
      <c r="AS43" s="12">
        <v>0</v>
      </c>
      <c r="AT43" s="12">
        <v>0</v>
      </c>
      <c r="AU43" s="12">
        <v>0</v>
      </c>
      <c r="AV43" s="12" t="s">
        <v>235</v>
      </c>
      <c r="AW43"/>
    </row>
    <row r="44" spans="1:49" ht="17.25" hidden="1" customHeight="1" x14ac:dyDescent="0.2">
      <c r="A44" s="1" t="s">
        <v>47</v>
      </c>
      <c r="C44" s="1" t="s">
        <v>48</v>
      </c>
      <c r="E44" s="1" t="s">
        <v>78</v>
      </c>
      <c r="F44" s="1" t="s">
        <v>432</v>
      </c>
      <c r="G44" s="10"/>
      <c r="H44" s="1" t="s">
        <v>66</v>
      </c>
      <c r="I44" s="11">
        <v>6</v>
      </c>
      <c r="J44" s="1" t="s">
        <v>79</v>
      </c>
      <c r="K44" s="3">
        <v>45444</v>
      </c>
      <c r="L44" s="1"/>
      <c r="M44" s="1" t="s">
        <v>82</v>
      </c>
      <c r="N44" s="1" t="s">
        <v>84</v>
      </c>
      <c r="O44" s="1"/>
      <c r="Q44" s="4"/>
      <c r="R44" s="5"/>
      <c r="S44" s="4"/>
      <c r="U44" s="1" t="s">
        <v>68</v>
      </c>
      <c r="V44" s="1" t="s">
        <v>68</v>
      </c>
      <c r="W44" s="1" t="s">
        <v>68</v>
      </c>
      <c r="X44" s="1" t="s">
        <v>68</v>
      </c>
      <c r="Y44" s="12"/>
      <c r="Z44" s="13"/>
      <c r="AA44" s="33">
        <v>640</v>
      </c>
      <c r="AB44" s="12"/>
      <c r="AC44" s="12"/>
      <c r="AD44" s="33">
        <f>Table_Query_from_UnBilled_1345[[#This Row], [Payable]]*0.035</f>
        <v>22.400000000000002</v>
      </c>
      <c r="AE44" s="12">
        <v>0</v>
      </c>
      <c r="AF44" s="12">
        <v>0</v>
      </c>
      <c r="AG44" s="12">
        <v>0</v>
      </c>
      <c r="AH44" s="33">
        <f>Table_Query_from_UnBilled_1345[[#This Row], [Payable]]*0.01</f>
        <v>6.4</v>
      </c>
      <c r="AI44" s="33">
        <f>Table_Query_from_UnBilled_1345[[#This Row], [Payable]]+Table_Query_from_UnBilled_1345[[#This Row], [AgencyCommission]]+Table_Query_from_UnBilled_1345[[#This Row], [LevyBillable]]</f>
        <v>668.8</v>
      </c>
      <c r="AJ44" s="12">
        <v>0</v>
      </c>
      <c r="AK44" s="11"/>
      <c r="AL44" s="14"/>
      <c r="AM44" s="14"/>
      <c r="AN44" s="4"/>
      <c r="AO44" s="14"/>
      <c r="AP44" s="12"/>
      <c r="AQ44" s="12"/>
      <c r="AR44" s="12">
        <v>0</v>
      </c>
      <c r="AS44" s="12">
        <v>0</v>
      </c>
      <c r="AT44" s="12">
        <v>0</v>
      </c>
      <c r="AU44" s="12">
        <v>0</v>
      </c>
      <c r="AV44" s="12" t="s">
        <v>236</v>
      </c>
      <c r="AW44"/>
    </row>
    <row r="45" spans="1:49" ht="17.25" hidden="1" customHeight="1" x14ac:dyDescent="0.2">
      <c r="A45" s="1" t="s">
        <v>47</v>
      </c>
      <c r="C45" s="1" t="s">
        <v>48</v>
      </c>
      <c r="E45" s="1" t="s">
        <v>78</v>
      </c>
      <c r="F45" s="1" t="s">
        <v>432</v>
      </c>
      <c r="G45" s="10"/>
      <c r="H45" s="1" t="s">
        <v>66</v>
      </c>
      <c r="I45" s="11">
        <v>6</v>
      </c>
      <c r="J45" s="1" t="s">
        <v>79</v>
      </c>
      <c r="K45" s="3">
        <v>45444</v>
      </c>
      <c r="L45" s="1"/>
      <c r="M45" s="1" t="s">
        <v>82</v>
      </c>
      <c r="N45" s="1" t="s">
        <v>85</v>
      </c>
      <c r="O45" s="1"/>
      <c r="Q45" s="4"/>
      <c r="R45" s="5"/>
      <c r="S45" s="4"/>
      <c r="U45" s="1" t="s">
        <v>68</v>
      </c>
      <c r="V45" s="1" t="s">
        <v>68</v>
      </c>
      <c r="W45" s="1" t="s">
        <v>68</v>
      </c>
      <c r="X45" s="1" t="s">
        <v>68</v>
      </c>
      <c r="Y45" s="12"/>
      <c r="Z45" s="13"/>
      <c r="AA45" s="33">
        <v>510</v>
      </c>
      <c r="AB45" s="12"/>
      <c r="AC45" s="12"/>
      <c r="AD45" s="33">
        <f>Table_Query_from_UnBilled_1345[[#This Row], [Payable]]*0.035</f>
        <v>17.850000000000001</v>
      </c>
      <c r="AE45" s="12">
        <v>0</v>
      </c>
      <c r="AF45" s="12">
        <v>0</v>
      </c>
      <c r="AG45" s="12">
        <v>0</v>
      </c>
      <c r="AH45" s="33">
        <f>Table_Query_from_UnBilled_1345[[#This Row], [Payable]]*0.01</f>
        <v>5.1000000000000005</v>
      </c>
      <c r="AI45" s="33">
        <f>Table_Query_from_UnBilled_1345[[#This Row], [Payable]]+Table_Query_from_UnBilled_1345[[#This Row], [AgencyCommission]]+Table_Query_from_UnBilled_1345[[#This Row], [LevyBillable]]</f>
        <v>532.95000000000005</v>
      </c>
      <c r="AJ45" s="12">
        <v>0</v>
      </c>
      <c r="AK45" s="11"/>
      <c r="AL45" s="14"/>
      <c r="AM45" s="14"/>
      <c r="AN45" s="4"/>
      <c r="AO45" s="14"/>
      <c r="AP45" s="12"/>
      <c r="AQ45" s="12"/>
      <c r="AR45" s="12">
        <v>0</v>
      </c>
      <c r="AS45" s="12">
        <v>0</v>
      </c>
      <c r="AT45" s="12">
        <v>0</v>
      </c>
      <c r="AU45" s="12">
        <v>0</v>
      </c>
      <c r="AV45" s="12" t="s">
        <v>237</v>
      </c>
      <c r="AW45"/>
    </row>
    <row r="46" spans="1:49" ht="17.25" hidden="1" customHeight="1" x14ac:dyDescent="0.2">
      <c r="A46" s="1" t="s">
        <v>47</v>
      </c>
      <c r="C46" s="1" t="s">
        <v>48</v>
      </c>
      <c r="E46" s="1" t="s">
        <v>78</v>
      </c>
      <c r="F46" s="1" t="s">
        <v>432</v>
      </c>
      <c r="G46" s="10"/>
      <c r="H46" s="1" t="s">
        <v>66</v>
      </c>
      <c r="I46" s="11">
        <v>6</v>
      </c>
      <c r="J46" s="1" t="s">
        <v>79</v>
      </c>
      <c r="K46" s="3">
        <v>45444</v>
      </c>
      <c r="L46" s="1"/>
      <c r="M46" s="1" t="s">
        <v>82</v>
      </c>
      <c r="N46" s="1" t="s">
        <v>86</v>
      </c>
      <c r="O46" s="1"/>
      <c r="Q46" s="4"/>
      <c r="R46" s="5"/>
      <c r="S46" s="4"/>
      <c r="U46" s="1" t="s">
        <v>68</v>
      </c>
      <c r="V46" s="1" t="s">
        <v>68</v>
      </c>
      <c r="W46" s="1" t="s">
        <v>68</v>
      </c>
      <c r="X46" s="1" t="s">
        <v>68</v>
      </c>
      <c r="Y46" s="12"/>
      <c r="Z46" s="13"/>
      <c r="AA46" s="33">
        <v>4500</v>
      </c>
      <c r="AB46" s="12"/>
      <c r="AC46" s="12"/>
      <c r="AD46" s="33">
        <f>Table_Query_from_UnBilled_1345[[#This Row], [Payable]]*0.035</f>
        <v>157.50000000000003</v>
      </c>
      <c r="AE46" s="12">
        <v>0</v>
      </c>
      <c r="AF46" s="12">
        <v>0</v>
      </c>
      <c r="AG46" s="12">
        <v>0</v>
      </c>
      <c r="AH46" s="33">
        <f>Table_Query_from_UnBilled_1345[[#This Row], [Payable]]*0.01</f>
        <v>45</v>
      </c>
      <c r="AI46" s="33">
        <f>Table_Query_from_UnBilled_1345[[#This Row], [Payable]]+Table_Query_from_UnBilled_1345[[#This Row], [AgencyCommission]]+Table_Query_from_UnBilled_1345[[#This Row], [LevyBillable]]</f>
        <v>4702.5</v>
      </c>
      <c r="AJ46" s="12">
        <v>0</v>
      </c>
      <c r="AK46" s="11"/>
      <c r="AL46" s="14"/>
      <c r="AM46" s="14"/>
      <c r="AN46" s="4"/>
      <c r="AO46" s="14"/>
      <c r="AP46" s="12"/>
      <c r="AQ46" s="12"/>
      <c r="AR46" s="12">
        <v>0</v>
      </c>
      <c r="AS46" s="12">
        <v>0</v>
      </c>
      <c r="AT46" s="12">
        <v>0</v>
      </c>
      <c r="AU46" s="12">
        <v>0</v>
      </c>
      <c r="AV46" s="12" t="s">
        <v>238</v>
      </c>
      <c r="AW46"/>
    </row>
    <row r="47" spans="1:49" ht="17.25" hidden="1" customHeight="1" x14ac:dyDescent="0.2">
      <c r="A47" s="1" t="s">
        <v>47</v>
      </c>
      <c r="C47" s="1" t="s">
        <v>48</v>
      </c>
      <c r="E47" s="1" t="s">
        <v>78</v>
      </c>
      <c r="F47" s="1" t="s">
        <v>432</v>
      </c>
      <c r="G47" s="10"/>
      <c r="H47" s="1" t="s">
        <v>66</v>
      </c>
      <c r="I47" s="11">
        <v>6</v>
      </c>
      <c r="J47" s="1" t="s">
        <v>79</v>
      </c>
      <c r="K47" s="3">
        <v>45444</v>
      </c>
      <c r="L47" s="1"/>
      <c r="M47" s="1" t="s">
        <v>82</v>
      </c>
      <c r="N47" s="1" t="s">
        <v>86</v>
      </c>
      <c r="O47" s="1"/>
      <c r="Q47" s="4"/>
      <c r="R47" s="5"/>
      <c r="S47" s="4"/>
      <c r="U47" s="1" t="s">
        <v>68</v>
      </c>
      <c r="V47" s="1" t="s">
        <v>68</v>
      </c>
      <c r="W47" s="1" t="s">
        <v>68</v>
      </c>
      <c r="X47" s="1" t="s">
        <v>68</v>
      </c>
      <c r="Y47" s="12"/>
      <c r="Z47" s="13"/>
      <c r="AA47" s="33">
        <v>340</v>
      </c>
      <c r="AB47" s="12"/>
      <c r="AC47" s="12"/>
      <c r="AD47" s="33">
        <f>Table_Query_from_UnBilled_1345[[#This Row], [Payable]]*0.035</f>
        <v>11.9</v>
      </c>
      <c r="AE47" s="12">
        <v>0</v>
      </c>
      <c r="AF47" s="12">
        <v>0</v>
      </c>
      <c r="AG47" s="12">
        <v>0</v>
      </c>
      <c r="AH47" s="33">
        <f>Table_Query_from_UnBilled_1345[[#This Row], [Payable]]*0.01</f>
        <v>3.4</v>
      </c>
      <c r="AI47" s="33">
        <f>Table_Query_from_UnBilled_1345[[#This Row], [Payable]]+Table_Query_from_UnBilled_1345[[#This Row], [AgencyCommission]]+Table_Query_from_UnBilled_1345[[#This Row], [LevyBillable]]</f>
        <v>355.29999999999995</v>
      </c>
      <c r="AJ47" s="12">
        <v>0</v>
      </c>
      <c r="AK47" s="11"/>
      <c r="AL47" s="14"/>
      <c r="AM47" s="14"/>
      <c r="AN47" s="4"/>
      <c r="AO47" s="14"/>
      <c r="AP47" s="12"/>
      <c r="AQ47" s="12"/>
      <c r="AR47" s="12">
        <v>0</v>
      </c>
      <c r="AS47" s="12">
        <v>0</v>
      </c>
      <c r="AT47" s="12">
        <v>0</v>
      </c>
      <c r="AU47" s="12">
        <v>0</v>
      </c>
      <c r="AV47" s="12" t="s">
        <v>239</v>
      </c>
      <c r="AW47"/>
    </row>
    <row r="48" spans="1:49" ht="17.25" hidden="1" customHeight="1" x14ac:dyDescent="0.2">
      <c r="A48" s="1" t="s">
        <v>47</v>
      </c>
      <c r="C48" s="1" t="s">
        <v>48</v>
      </c>
      <c r="E48" s="1" t="s">
        <v>78</v>
      </c>
      <c r="F48" s="1" t="s">
        <v>432</v>
      </c>
      <c r="G48" s="10"/>
      <c r="H48" s="1" t="s">
        <v>66</v>
      </c>
      <c r="I48" s="11">
        <v>6</v>
      </c>
      <c r="J48" s="1" t="s">
        <v>79</v>
      </c>
      <c r="K48" s="3">
        <v>45444</v>
      </c>
      <c r="L48" s="1"/>
      <c r="M48" s="1" t="s">
        <v>82</v>
      </c>
      <c r="N48" s="1" t="s">
        <v>87</v>
      </c>
      <c r="O48" s="1"/>
      <c r="Q48" s="4"/>
      <c r="R48" s="5"/>
      <c r="S48" s="4"/>
      <c r="U48" s="1" t="s">
        <v>68</v>
      </c>
      <c r="V48" s="1" t="s">
        <v>68</v>
      </c>
      <c r="W48" s="1" t="s">
        <v>68</v>
      </c>
      <c r="X48" s="1" t="s">
        <v>68</v>
      </c>
      <c r="Y48" s="12"/>
      <c r="Z48" s="13"/>
      <c r="AA48" s="33">
        <v>750</v>
      </c>
      <c r="AB48" s="12"/>
      <c r="AC48" s="12"/>
      <c r="AD48" s="33">
        <f>Table_Query_from_UnBilled_1345[[#This Row], [Payable]]*0.035</f>
        <v>26.250000000000004</v>
      </c>
      <c r="AE48" s="12">
        <v>0</v>
      </c>
      <c r="AF48" s="12">
        <v>0</v>
      </c>
      <c r="AG48" s="12">
        <v>0</v>
      </c>
      <c r="AH48" s="33">
        <f>Table_Query_from_UnBilled_1345[[#This Row], [Payable]]*0.01</f>
        <v>7.5</v>
      </c>
      <c r="AI48" s="33">
        <f>Table_Query_from_UnBilled_1345[[#This Row], [Payable]]+Table_Query_from_UnBilled_1345[[#This Row], [AgencyCommission]]+Table_Query_from_UnBilled_1345[[#This Row], [LevyBillable]]</f>
        <v>783.75</v>
      </c>
      <c r="AJ48" s="12">
        <v>0</v>
      </c>
      <c r="AK48" s="11"/>
      <c r="AL48" s="14"/>
      <c r="AM48" s="14"/>
      <c r="AN48" s="4"/>
      <c r="AO48" s="14"/>
      <c r="AP48" s="12"/>
      <c r="AQ48" s="12"/>
      <c r="AR48" s="12">
        <v>0</v>
      </c>
      <c r="AS48" s="12">
        <v>0</v>
      </c>
      <c r="AT48" s="12">
        <v>0</v>
      </c>
      <c r="AU48" s="12">
        <v>0</v>
      </c>
      <c r="AV48" s="12" t="s">
        <v>240</v>
      </c>
      <c r="AW48"/>
    </row>
    <row r="49" spans="1:49" ht="17.25" hidden="1" customHeight="1" x14ac:dyDescent="0.2">
      <c r="A49" s="1" t="s">
        <v>47</v>
      </c>
      <c r="C49" s="1" t="s">
        <v>48</v>
      </c>
      <c r="E49" s="1" t="s">
        <v>78</v>
      </c>
      <c r="F49" s="1" t="s">
        <v>432</v>
      </c>
      <c r="G49" s="10"/>
      <c r="H49" s="1" t="s">
        <v>66</v>
      </c>
      <c r="I49" s="11">
        <v>6</v>
      </c>
      <c r="J49" s="1" t="s">
        <v>79</v>
      </c>
      <c r="K49" s="3">
        <v>45444</v>
      </c>
      <c r="L49" s="1"/>
      <c r="M49" s="1" t="s">
        <v>82</v>
      </c>
      <c r="N49" s="1" t="s">
        <v>87</v>
      </c>
      <c r="O49" s="1"/>
      <c r="Q49" s="4"/>
      <c r="R49" s="5"/>
      <c r="S49" s="4"/>
      <c r="U49" s="1" t="s">
        <v>68</v>
      </c>
      <c r="V49" s="1" t="s">
        <v>68</v>
      </c>
      <c r="W49" s="1" t="s">
        <v>68</v>
      </c>
      <c r="X49" s="1" t="s">
        <v>68</v>
      </c>
      <c r="Y49" s="12"/>
      <c r="Z49" s="13"/>
      <c r="AA49" s="33">
        <v>700</v>
      </c>
      <c r="AB49" s="12"/>
      <c r="AC49" s="12"/>
      <c r="AD49" s="33">
        <f>Table_Query_from_UnBilled_1345[[#This Row], [Payable]]*0.035</f>
        <v>24.500000000000004</v>
      </c>
      <c r="AE49" s="12">
        <v>0</v>
      </c>
      <c r="AF49" s="12">
        <v>0</v>
      </c>
      <c r="AG49" s="12">
        <v>0</v>
      </c>
      <c r="AH49" s="33">
        <f>Table_Query_from_UnBilled_1345[[#This Row], [Payable]]*0.01</f>
        <v>7</v>
      </c>
      <c r="AI49" s="33">
        <f>Table_Query_from_UnBilled_1345[[#This Row], [Payable]]+Table_Query_from_UnBilled_1345[[#This Row], [AgencyCommission]]+Table_Query_from_UnBilled_1345[[#This Row], [LevyBillable]]</f>
        <v>731.5</v>
      </c>
      <c r="AJ49" s="12">
        <v>0</v>
      </c>
      <c r="AK49" s="11"/>
      <c r="AL49" s="14"/>
      <c r="AM49" s="14"/>
      <c r="AN49" s="4"/>
      <c r="AO49" s="14"/>
      <c r="AP49" s="12"/>
      <c r="AQ49" s="12"/>
      <c r="AR49" s="12">
        <v>0</v>
      </c>
      <c r="AS49" s="12">
        <v>0</v>
      </c>
      <c r="AT49" s="12">
        <v>0</v>
      </c>
      <c r="AU49" s="12">
        <v>0</v>
      </c>
      <c r="AV49" s="12" t="s">
        <v>241</v>
      </c>
      <c r="AW49"/>
    </row>
    <row r="50" spans="1:49" ht="17.25" hidden="1" customHeight="1" x14ac:dyDescent="0.2">
      <c r="A50" s="1" t="s">
        <v>47</v>
      </c>
      <c r="C50" s="1" t="s">
        <v>48</v>
      </c>
      <c r="E50" s="1" t="s">
        <v>78</v>
      </c>
      <c r="F50" s="1" t="s">
        <v>432</v>
      </c>
      <c r="G50" s="10"/>
      <c r="H50" s="1" t="s">
        <v>66</v>
      </c>
      <c r="I50" s="11">
        <v>6</v>
      </c>
      <c r="J50" s="1" t="s">
        <v>79</v>
      </c>
      <c r="K50" s="3">
        <v>45444</v>
      </c>
      <c r="L50" s="1"/>
      <c r="M50" s="1" t="s">
        <v>82</v>
      </c>
      <c r="N50" s="1" t="s">
        <v>85</v>
      </c>
      <c r="O50" s="1"/>
      <c r="Q50" s="4"/>
      <c r="R50" s="5"/>
      <c r="S50" s="4"/>
      <c r="U50" s="1" t="s">
        <v>68</v>
      </c>
      <c r="V50" s="1" t="s">
        <v>68</v>
      </c>
      <c r="W50" s="1" t="s">
        <v>68</v>
      </c>
      <c r="X50" s="1" t="s">
        <v>68</v>
      </c>
      <c r="Y50" s="12"/>
      <c r="Z50" s="13"/>
      <c r="AA50" s="33">
        <v>5100</v>
      </c>
      <c r="AB50" s="12"/>
      <c r="AC50" s="12"/>
      <c r="AD50" s="33">
        <f>Table_Query_from_UnBilled_1345[[#This Row], [Payable]]*0.035</f>
        <v>178.50000000000003</v>
      </c>
      <c r="AE50" s="12">
        <v>0</v>
      </c>
      <c r="AF50" s="12">
        <v>0</v>
      </c>
      <c r="AG50" s="12">
        <v>0</v>
      </c>
      <c r="AH50" s="33">
        <f>Table_Query_from_UnBilled_1345[[#This Row], [Payable]]*0.01</f>
        <v>51</v>
      </c>
      <c r="AI50" s="33">
        <f>Table_Query_from_UnBilled_1345[[#This Row], [Payable]]+Table_Query_from_UnBilled_1345[[#This Row], [AgencyCommission]]+Table_Query_from_UnBilled_1345[[#This Row], [LevyBillable]]</f>
        <v>5329.5</v>
      </c>
      <c r="AJ50" s="12">
        <v>0</v>
      </c>
      <c r="AK50" s="11"/>
      <c r="AL50" s="14"/>
      <c r="AM50" s="14"/>
      <c r="AN50" s="4"/>
      <c r="AO50" s="14"/>
      <c r="AP50" s="12"/>
      <c r="AQ50" s="12"/>
      <c r="AR50" s="12">
        <v>0</v>
      </c>
      <c r="AS50" s="12">
        <v>0</v>
      </c>
      <c r="AT50" s="12">
        <v>0</v>
      </c>
      <c r="AU50" s="12">
        <v>0</v>
      </c>
      <c r="AV50" s="12" t="s">
        <v>242</v>
      </c>
      <c r="AW50"/>
    </row>
    <row r="51" spans="1:49" ht="17.25" hidden="1" customHeight="1" x14ac:dyDescent="0.2">
      <c r="A51" s="1" t="s">
        <v>47</v>
      </c>
      <c r="C51" s="1" t="s">
        <v>48</v>
      </c>
      <c r="E51" s="1" t="s">
        <v>78</v>
      </c>
      <c r="F51" s="1" t="s">
        <v>432</v>
      </c>
      <c r="G51" s="10"/>
      <c r="H51" s="1" t="s">
        <v>66</v>
      </c>
      <c r="I51" s="11">
        <v>6</v>
      </c>
      <c r="J51" s="1" t="s">
        <v>79</v>
      </c>
      <c r="K51" s="3">
        <v>45444</v>
      </c>
      <c r="L51" s="1"/>
      <c r="M51" s="1" t="s">
        <v>82</v>
      </c>
      <c r="N51" s="1" t="s">
        <v>87</v>
      </c>
      <c r="O51" s="1"/>
      <c r="Q51" s="4"/>
      <c r="R51" s="5"/>
      <c r="S51" s="4"/>
      <c r="U51" s="1" t="s">
        <v>68</v>
      </c>
      <c r="V51" s="1" t="s">
        <v>68</v>
      </c>
      <c r="W51" s="1" t="s">
        <v>68</v>
      </c>
      <c r="X51" s="1" t="s">
        <v>68</v>
      </c>
      <c r="Y51" s="12"/>
      <c r="Z51" s="13"/>
      <c r="AA51" s="33">
        <v>2000</v>
      </c>
      <c r="AB51" s="12"/>
      <c r="AC51" s="12"/>
      <c r="AD51" s="33">
        <f>Table_Query_from_UnBilled_1345[[#This Row], [Payable]]*0.035</f>
        <v>70</v>
      </c>
      <c r="AE51" s="12">
        <v>0</v>
      </c>
      <c r="AF51" s="12">
        <v>0</v>
      </c>
      <c r="AG51" s="12">
        <v>0</v>
      </c>
      <c r="AH51" s="33">
        <f>Table_Query_from_UnBilled_1345[[#This Row], [Payable]]*0.01</f>
        <v>20</v>
      </c>
      <c r="AI51" s="33">
        <f>Table_Query_from_UnBilled_1345[[#This Row], [Payable]]+Table_Query_from_UnBilled_1345[[#This Row], [AgencyCommission]]+Table_Query_from_UnBilled_1345[[#This Row], [LevyBillable]]</f>
        <v>2090</v>
      </c>
      <c r="AJ51" s="12">
        <v>0</v>
      </c>
      <c r="AK51" s="11"/>
      <c r="AL51" s="14"/>
      <c r="AM51" s="14"/>
      <c r="AN51" s="4"/>
      <c r="AO51" s="14"/>
      <c r="AP51" s="12"/>
      <c r="AQ51" s="12"/>
      <c r="AR51" s="12">
        <v>0</v>
      </c>
      <c r="AS51" s="12">
        <v>0</v>
      </c>
      <c r="AT51" s="12">
        <v>0</v>
      </c>
      <c r="AU51" s="12">
        <v>0</v>
      </c>
      <c r="AV51" s="12" t="s">
        <v>243</v>
      </c>
      <c r="AW51"/>
    </row>
    <row r="52" spans="1:49" ht="17.25" hidden="1" customHeight="1" x14ac:dyDescent="0.2">
      <c r="A52" s="1" t="s">
        <v>47</v>
      </c>
      <c r="C52" s="1" t="s">
        <v>48</v>
      </c>
      <c r="E52" s="1" t="s">
        <v>78</v>
      </c>
      <c r="F52" s="1" t="s">
        <v>432</v>
      </c>
      <c r="G52" s="10"/>
      <c r="H52" s="1" t="s">
        <v>66</v>
      </c>
      <c r="I52" s="11">
        <v>6</v>
      </c>
      <c r="J52" s="1" t="s">
        <v>79</v>
      </c>
      <c r="K52" s="3">
        <v>45444</v>
      </c>
      <c r="L52" s="1"/>
      <c r="M52" s="1" t="s">
        <v>82</v>
      </c>
      <c r="N52" s="1" t="s">
        <v>85</v>
      </c>
      <c r="O52" s="1"/>
      <c r="Q52" s="4"/>
      <c r="R52" s="5"/>
      <c r="S52" s="4"/>
      <c r="U52" s="1" t="s">
        <v>68</v>
      </c>
      <c r="V52" s="1" t="s">
        <v>68</v>
      </c>
      <c r="W52" s="1" t="s">
        <v>68</v>
      </c>
      <c r="X52" s="1" t="s">
        <v>68</v>
      </c>
      <c r="Y52" s="12"/>
      <c r="Z52" s="13"/>
      <c r="AA52" s="33">
        <v>540</v>
      </c>
      <c r="AB52" s="12"/>
      <c r="AC52" s="12"/>
      <c r="AD52" s="33">
        <f>Table_Query_from_UnBilled_1345[[#This Row], [Payable]]*0.035</f>
        <v>18.900000000000002</v>
      </c>
      <c r="AE52" s="12">
        <v>0</v>
      </c>
      <c r="AF52" s="12">
        <v>0</v>
      </c>
      <c r="AG52" s="12">
        <v>0</v>
      </c>
      <c r="AH52" s="33">
        <f>Table_Query_from_UnBilled_1345[[#This Row], [Payable]]*0.01</f>
        <v>5.4</v>
      </c>
      <c r="AI52" s="33">
        <f>Table_Query_from_UnBilled_1345[[#This Row], [Payable]]+Table_Query_from_UnBilled_1345[[#This Row], [AgencyCommission]]+Table_Query_from_UnBilled_1345[[#This Row], [LevyBillable]]</f>
        <v>564.29999999999995</v>
      </c>
      <c r="AJ52" s="12">
        <v>0</v>
      </c>
      <c r="AK52" s="11"/>
      <c r="AL52" s="14"/>
      <c r="AM52" s="14"/>
      <c r="AN52" s="4"/>
      <c r="AO52" s="14"/>
      <c r="AP52" s="12"/>
      <c r="AQ52" s="12"/>
      <c r="AR52" s="12">
        <v>0</v>
      </c>
      <c r="AS52" s="12">
        <v>0</v>
      </c>
      <c r="AT52" s="12">
        <v>0</v>
      </c>
      <c r="AU52" s="12">
        <v>0</v>
      </c>
      <c r="AV52" s="12" t="s">
        <v>244</v>
      </c>
      <c r="AW52"/>
    </row>
    <row r="53" spans="1:49" ht="17.25" hidden="1" customHeight="1" x14ac:dyDescent="0.2">
      <c r="A53" s="1" t="s">
        <v>47</v>
      </c>
      <c r="C53" s="1" t="s">
        <v>48</v>
      </c>
      <c r="E53" s="1" t="s">
        <v>78</v>
      </c>
      <c r="F53" s="1" t="s">
        <v>432</v>
      </c>
      <c r="G53" s="10"/>
      <c r="H53" s="1" t="s">
        <v>66</v>
      </c>
      <c r="I53" s="11">
        <v>6</v>
      </c>
      <c r="J53" s="1" t="s">
        <v>79</v>
      </c>
      <c r="K53" s="3">
        <v>45444</v>
      </c>
      <c r="L53" s="1"/>
      <c r="M53" s="1" t="s">
        <v>82</v>
      </c>
      <c r="N53" s="1" t="s">
        <v>86</v>
      </c>
      <c r="O53" s="1"/>
      <c r="Q53" s="4"/>
      <c r="R53" s="5"/>
      <c r="S53" s="4"/>
      <c r="U53" s="1" t="s">
        <v>68</v>
      </c>
      <c r="V53" s="1" t="s">
        <v>68</v>
      </c>
      <c r="W53" s="1" t="s">
        <v>68</v>
      </c>
      <c r="X53" s="1" t="s">
        <v>68</v>
      </c>
      <c r="Y53" s="12"/>
      <c r="Z53" s="13"/>
      <c r="AA53" s="33">
        <v>90</v>
      </c>
      <c r="AB53" s="12"/>
      <c r="AC53" s="12"/>
      <c r="AD53" s="33">
        <f>Table_Query_from_UnBilled_1345[[#This Row], [Payable]]*0.035</f>
        <v>3.1500000000000004</v>
      </c>
      <c r="AE53" s="12">
        <v>0</v>
      </c>
      <c r="AF53" s="12">
        <v>0</v>
      </c>
      <c r="AG53" s="12">
        <v>0</v>
      </c>
      <c r="AH53" s="33">
        <f>Table_Query_from_UnBilled_1345[[#This Row], [Payable]]*0.01</f>
        <v>0.9</v>
      </c>
      <c r="AI53" s="33">
        <f>Table_Query_from_UnBilled_1345[[#This Row], [Payable]]+Table_Query_from_UnBilled_1345[[#This Row], [AgencyCommission]]+Table_Query_from_UnBilled_1345[[#This Row], [LevyBillable]]</f>
        <v>94.050000000000011</v>
      </c>
      <c r="AJ53" s="12">
        <v>0</v>
      </c>
      <c r="AK53" s="11"/>
      <c r="AL53" s="14"/>
      <c r="AM53" s="14"/>
      <c r="AN53" s="4"/>
      <c r="AO53" s="14"/>
      <c r="AP53" s="12"/>
      <c r="AQ53" s="12"/>
      <c r="AR53" s="12">
        <v>0</v>
      </c>
      <c r="AS53" s="12">
        <v>0</v>
      </c>
      <c r="AT53" s="12">
        <v>0</v>
      </c>
      <c r="AU53" s="12">
        <v>0</v>
      </c>
      <c r="AV53" s="12" t="s">
        <v>245</v>
      </c>
      <c r="AW53"/>
    </row>
    <row r="54" spans="1:49" ht="17.25" hidden="1" customHeight="1" x14ac:dyDescent="0.2">
      <c r="A54" s="1" t="s">
        <v>47</v>
      </c>
      <c r="C54" s="1" t="s">
        <v>48</v>
      </c>
      <c r="E54" s="1" t="s">
        <v>78</v>
      </c>
      <c r="F54" s="1" t="s">
        <v>432</v>
      </c>
      <c r="G54" s="10"/>
      <c r="H54" s="1" t="s">
        <v>66</v>
      </c>
      <c r="I54" s="11">
        <v>6</v>
      </c>
      <c r="J54" s="1" t="s">
        <v>79</v>
      </c>
      <c r="K54" s="3">
        <v>45444</v>
      </c>
      <c r="L54" s="1"/>
      <c r="M54" s="1" t="s">
        <v>82</v>
      </c>
      <c r="N54" s="1" t="s">
        <v>86</v>
      </c>
      <c r="O54" s="1"/>
      <c r="Q54" s="4"/>
      <c r="R54" s="5"/>
      <c r="S54" s="4"/>
      <c r="U54" s="1" t="s">
        <v>68</v>
      </c>
      <c r="V54" s="1" t="s">
        <v>68</v>
      </c>
      <c r="W54" s="1" t="s">
        <v>68</v>
      </c>
      <c r="X54" s="1" t="s">
        <v>68</v>
      </c>
      <c r="Y54" s="12"/>
      <c r="Z54" s="13"/>
      <c r="AA54" s="33">
        <v>650</v>
      </c>
      <c r="AB54" s="12"/>
      <c r="AC54" s="12"/>
      <c r="AD54" s="33">
        <f>Table_Query_from_UnBilled_1345[[#This Row], [Payable]]*0.035</f>
        <v>22.750000000000004</v>
      </c>
      <c r="AE54" s="12">
        <v>0</v>
      </c>
      <c r="AF54" s="12">
        <v>0</v>
      </c>
      <c r="AG54" s="12">
        <v>0</v>
      </c>
      <c r="AH54" s="33">
        <f>Table_Query_from_UnBilled_1345[[#This Row], [Payable]]*0.01</f>
        <v>6.5</v>
      </c>
      <c r="AI54" s="33">
        <f>Table_Query_from_UnBilled_1345[[#This Row], [Payable]]+Table_Query_from_UnBilled_1345[[#This Row], [AgencyCommission]]+Table_Query_from_UnBilled_1345[[#This Row], [LevyBillable]]</f>
        <v>679.25</v>
      </c>
      <c r="AJ54" s="12">
        <v>0</v>
      </c>
      <c r="AK54" s="11"/>
      <c r="AL54" s="14"/>
      <c r="AM54" s="14"/>
      <c r="AN54" s="4"/>
      <c r="AO54" s="14"/>
      <c r="AP54" s="12"/>
      <c r="AQ54" s="12"/>
      <c r="AR54" s="12">
        <v>0</v>
      </c>
      <c r="AS54" s="12">
        <v>0</v>
      </c>
      <c r="AT54" s="12">
        <v>0</v>
      </c>
      <c r="AU54" s="12">
        <v>0</v>
      </c>
      <c r="AV54" s="12" t="s">
        <v>246</v>
      </c>
      <c r="AW54"/>
    </row>
    <row r="55" spans="1:49" ht="17.25" hidden="1" customHeight="1" x14ac:dyDescent="0.2">
      <c r="A55" s="1" t="s">
        <v>47</v>
      </c>
      <c r="C55" s="1" t="s">
        <v>48</v>
      </c>
      <c r="E55" s="1" t="s">
        <v>78</v>
      </c>
      <c r="F55" s="1" t="s">
        <v>432</v>
      </c>
      <c r="G55" s="10"/>
      <c r="H55" s="1" t="s">
        <v>66</v>
      </c>
      <c r="I55" s="11">
        <v>6</v>
      </c>
      <c r="J55" s="1" t="s">
        <v>79</v>
      </c>
      <c r="K55" s="3">
        <v>45444</v>
      </c>
      <c r="L55" s="1"/>
      <c r="M55" s="1" t="s">
        <v>82</v>
      </c>
      <c r="N55" s="1" t="s">
        <v>86</v>
      </c>
      <c r="O55" s="1"/>
      <c r="Q55" s="4"/>
      <c r="R55" s="5"/>
      <c r="S55" s="4"/>
      <c r="U55" s="1" t="s">
        <v>68</v>
      </c>
      <c r="V55" s="1" t="s">
        <v>68</v>
      </c>
      <c r="W55" s="1" t="s">
        <v>68</v>
      </c>
      <c r="X55" s="1" t="s">
        <v>68</v>
      </c>
      <c r="Y55" s="12"/>
      <c r="Z55" s="13"/>
      <c r="AA55" s="33">
        <v>4400</v>
      </c>
      <c r="AB55" s="12"/>
      <c r="AC55" s="12"/>
      <c r="AD55" s="33">
        <f>Table_Query_from_UnBilled_1345[[#This Row], [Payable]]*0.035</f>
        <v>154.00000000000003</v>
      </c>
      <c r="AE55" s="12">
        <v>0</v>
      </c>
      <c r="AF55" s="12">
        <v>0</v>
      </c>
      <c r="AG55" s="12">
        <v>0</v>
      </c>
      <c r="AH55" s="33">
        <f>Table_Query_from_UnBilled_1345[[#This Row], [Payable]]*0.01</f>
        <v>44</v>
      </c>
      <c r="AI55" s="33">
        <f>Table_Query_from_UnBilled_1345[[#This Row], [Payable]]+Table_Query_from_UnBilled_1345[[#This Row], [AgencyCommission]]+Table_Query_from_UnBilled_1345[[#This Row], [LevyBillable]]</f>
        <v>4598</v>
      </c>
      <c r="AJ55" s="12">
        <v>0</v>
      </c>
      <c r="AK55" s="11"/>
      <c r="AL55" s="14"/>
      <c r="AM55" s="14"/>
      <c r="AN55" s="4"/>
      <c r="AO55" s="14"/>
      <c r="AP55" s="12"/>
      <c r="AQ55" s="12"/>
      <c r="AR55" s="12">
        <v>0</v>
      </c>
      <c r="AS55" s="12">
        <v>0</v>
      </c>
      <c r="AT55" s="12">
        <v>0</v>
      </c>
      <c r="AU55" s="12">
        <v>0</v>
      </c>
      <c r="AV55" s="12" t="s">
        <v>247</v>
      </c>
      <c r="AW55"/>
    </row>
    <row r="56" spans="1:49" ht="17.25" hidden="1" customHeight="1" x14ac:dyDescent="0.2">
      <c r="A56" s="1" t="s">
        <v>47</v>
      </c>
      <c r="C56" s="1" t="s">
        <v>48</v>
      </c>
      <c r="E56" s="1" t="s">
        <v>78</v>
      </c>
      <c r="F56" s="1" t="s">
        <v>432</v>
      </c>
      <c r="G56" s="10"/>
      <c r="H56" s="1" t="s">
        <v>66</v>
      </c>
      <c r="I56" s="11">
        <v>6</v>
      </c>
      <c r="J56" s="1" t="s">
        <v>79</v>
      </c>
      <c r="K56" s="3">
        <v>45444</v>
      </c>
      <c r="L56" s="1"/>
      <c r="M56" s="1" t="s">
        <v>82</v>
      </c>
      <c r="N56" s="1" t="s">
        <v>87</v>
      </c>
      <c r="O56" s="1"/>
      <c r="Q56" s="4"/>
      <c r="R56" s="5"/>
      <c r="S56" s="4"/>
      <c r="U56" s="1" t="s">
        <v>68</v>
      </c>
      <c r="V56" s="1" t="s">
        <v>68</v>
      </c>
      <c r="W56" s="1" t="s">
        <v>68</v>
      </c>
      <c r="X56" s="1" t="s">
        <v>68</v>
      </c>
      <c r="Y56" s="12"/>
      <c r="Z56" s="13"/>
      <c r="AA56" s="33">
        <v>1160</v>
      </c>
      <c r="AB56" s="12"/>
      <c r="AC56" s="12"/>
      <c r="AD56" s="33">
        <f>Table_Query_from_UnBilled_1345[[#This Row], [Payable]]*0.035</f>
        <v>40.6</v>
      </c>
      <c r="AE56" s="12">
        <v>0</v>
      </c>
      <c r="AF56" s="12">
        <v>0</v>
      </c>
      <c r="AG56" s="12">
        <v>0</v>
      </c>
      <c r="AH56" s="33">
        <f>Table_Query_from_UnBilled_1345[[#This Row], [Payable]]*0.01</f>
        <v>11.6</v>
      </c>
      <c r="AI56" s="33">
        <f>Table_Query_from_UnBilled_1345[[#This Row], [Payable]]+Table_Query_from_UnBilled_1345[[#This Row], [AgencyCommission]]+Table_Query_from_UnBilled_1345[[#This Row], [LevyBillable]]</f>
        <v>1212.1999999999998</v>
      </c>
      <c r="AJ56" s="12">
        <v>0</v>
      </c>
      <c r="AK56" s="11"/>
      <c r="AL56" s="14"/>
      <c r="AM56" s="14"/>
      <c r="AN56" s="4"/>
      <c r="AO56" s="14"/>
      <c r="AP56" s="12"/>
      <c r="AQ56" s="12"/>
      <c r="AR56" s="12">
        <v>0</v>
      </c>
      <c r="AS56" s="12">
        <v>0</v>
      </c>
      <c r="AT56" s="12">
        <v>0</v>
      </c>
      <c r="AU56" s="12">
        <v>0</v>
      </c>
      <c r="AV56" s="12" t="s">
        <v>248</v>
      </c>
      <c r="AW56"/>
    </row>
    <row r="57" spans="1:49" ht="17.25" hidden="1" customHeight="1" x14ac:dyDescent="0.2">
      <c r="A57" s="1" t="s">
        <v>47</v>
      </c>
      <c r="C57" s="1" t="s">
        <v>48</v>
      </c>
      <c r="E57" s="1" t="s">
        <v>78</v>
      </c>
      <c r="F57" s="1" t="s">
        <v>432</v>
      </c>
      <c r="G57" s="10"/>
      <c r="H57" s="1" t="s">
        <v>66</v>
      </c>
      <c r="I57" s="11">
        <v>6</v>
      </c>
      <c r="J57" s="1" t="s">
        <v>79</v>
      </c>
      <c r="K57" s="3">
        <v>45444</v>
      </c>
      <c r="L57" s="1"/>
      <c r="M57" s="1" t="s">
        <v>82</v>
      </c>
      <c r="N57" s="1" t="s">
        <v>88</v>
      </c>
      <c r="O57" s="1"/>
      <c r="Q57" s="4"/>
      <c r="R57" s="5"/>
      <c r="S57" s="4"/>
      <c r="U57" s="1" t="s">
        <v>68</v>
      </c>
      <c r="V57" s="1" t="s">
        <v>68</v>
      </c>
      <c r="W57" s="1" t="s">
        <v>68</v>
      </c>
      <c r="X57" s="1" t="s">
        <v>68</v>
      </c>
      <c r="Y57" s="12"/>
      <c r="Z57" s="13"/>
      <c r="AA57" s="33">
        <v>1320</v>
      </c>
      <c r="AB57" s="12"/>
      <c r="AC57" s="12"/>
      <c r="AD57" s="33">
        <f>Table_Query_from_UnBilled_1345[[#This Row], [Payable]]*0.035</f>
        <v>46.2</v>
      </c>
      <c r="AE57" s="12">
        <v>0</v>
      </c>
      <c r="AF57" s="12">
        <v>0</v>
      </c>
      <c r="AG57" s="12">
        <v>0</v>
      </c>
      <c r="AH57" s="33">
        <f>Table_Query_from_UnBilled_1345[[#This Row], [Payable]]*0.01</f>
        <v>13.200000000000001</v>
      </c>
      <c r="AI57" s="33">
        <f>Table_Query_from_UnBilled_1345[[#This Row], [Payable]]+Table_Query_from_UnBilled_1345[[#This Row], [AgencyCommission]]+Table_Query_from_UnBilled_1345[[#This Row], [LevyBillable]]</f>
        <v>1379.4</v>
      </c>
      <c r="AJ57" s="12">
        <v>0</v>
      </c>
      <c r="AK57" s="11"/>
      <c r="AL57" s="14"/>
      <c r="AM57" s="14"/>
      <c r="AN57" s="4"/>
      <c r="AO57" s="14"/>
      <c r="AP57" s="12"/>
      <c r="AQ57" s="12"/>
      <c r="AR57" s="12">
        <v>0</v>
      </c>
      <c r="AS57" s="12">
        <v>0</v>
      </c>
      <c r="AT57" s="12">
        <v>0</v>
      </c>
      <c r="AU57" s="12">
        <v>0</v>
      </c>
      <c r="AV57" s="12" t="s">
        <v>249</v>
      </c>
      <c r="AW57"/>
    </row>
    <row r="58" spans="1:49" ht="17.25" hidden="1" customHeight="1" x14ac:dyDescent="0.2">
      <c r="A58" s="1" t="s">
        <v>47</v>
      </c>
      <c r="C58" s="1" t="s">
        <v>48</v>
      </c>
      <c r="E58" s="1" t="s">
        <v>78</v>
      </c>
      <c r="F58" s="1" t="s">
        <v>432</v>
      </c>
      <c r="G58" s="10"/>
      <c r="H58" s="1" t="s">
        <v>66</v>
      </c>
      <c r="I58" s="11">
        <v>6</v>
      </c>
      <c r="J58" s="1" t="s">
        <v>79</v>
      </c>
      <c r="K58" s="3">
        <v>45444</v>
      </c>
      <c r="L58" s="1"/>
      <c r="M58" s="1" t="s">
        <v>82</v>
      </c>
      <c r="N58" s="1" t="s">
        <v>88</v>
      </c>
      <c r="O58" s="1"/>
      <c r="Q58" s="4"/>
      <c r="R58" s="5"/>
      <c r="S58" s="4"/>
      <c r="U58" s="1" t="s">
        <v>68</v>
      </c>
      <c r="V58" s="1" t="s">
        <v>68</v>
      </c>
      <c r="W58" s="1" t="s">
        <v>68</v>
      </c>
      <c r="X58" s="1" t="s">
        <v>68</v>
      </c>
      <c r="Y58" s="12"/>
      <c r="Z58" s="13"/>
      <c r="AA58" s="33">
        <v>300</v>
      </c>
      <c r="AB58" s="12"/>
      <c r="AC58" s="12"/>
      <c r="AD58" s="33">
        <f>Table_Query_from_UnBilled_1345[[#This Row], [Payable]]*0.035</f>
        <v>10.500000000000002</v>
      </c>
      <c r="AE58" s="12">
        <v>0</v>
      </c>
      <c r="AF58" s="12">
        <v>0</v>
      </c>
      <c r="AG58" s="12">
        <v>0</v>
      </c>
      <c r="AH58" s="33">
        <f>Table_Query_from_UnBilled_1345[[#This Row], [Payable]]*0.01</f>
        <v>3</v>
      </c>
      <c r="AI58" s="33">
        <f>Table_Query_from_UnBilled_1345[[#This Row], [Payable]]+Table_Query_from_UnBilled_1345[[#This Row], [AgencyCommission]]+Table_Query_from_UnBilled_1345[[#This Row], [LevyBillable]]</f>
        <v>313.5</v>
      </c>
      <c r="AJ58" s="12">
        <v>0</v>
      </c>
      <c r="AK58" s="11"/>
      <c r="AL58" s="14"/>
      <c r="AM58" s="14"/>
      <c r="AN58" s="4"/>
      <c r="AO58" s="14"/>
      <c r="AP58" s="12"/>
      <c r="AQ58" s="12"/>
      <c r="AR58" s="12">
        <v>0</v>
      </c>
      <c r="AS58" s="12">
        <v>0</v>
      </c>
      <c r="AT58" s="12">
        <v>0</v>
      </c>
      <c r="AU58" s="12">
        <v>0</v>
      </c>
      <c r="AV58" s="12" t="s">
        <v>250</v>
      </c>
      <c r="AW58"/>
    </row>
    <row r="59" spans="1:49" ht="17.25" hidden="1" customHeight="1" x14ac:dyDescent="0.2">
      <c r="A59" s="1" t="s">
        <v>47</v>
      </c>
      <c r="C59" s="1" t="s">
        <v>48</v>
      </c>
      <c r="E59" s="1" t="s">
        <v>78</v>
      </c>
      <c r="F59" s="1" t="s">
        <v>432</v>
      </c>
      <c r="G59" s="10"/>
      <c r="H59" s="1" t="s">
        <v>66</v>
      </c>
      <c r="I59" s="11">
        <v>6</v>
      </c>
      <c r="J59" s="1" t="s">
        <v>79</v>
      </c>
      <c r="K59" s="3">
        <v>45444</v>
      </c>
      <c r="L59" s="1"/>
      <c r="M59" s="1" t="s">
        <v>80</v>
      </c>
      <c r="N59" s="1" t="s">
        <v>89</v>
      </c>
      <c r="O59" s="1"/>
      <c r="Q59" s="4"/>
      <c r="R59" s="5"/>
      <c r="S59" s="4"/>
      <c r="U59" s="1" t="s">
        <v>68</v>
      </c>
      <c r="V59" s="1" t="s">
        <v>68</v>
      </c>
      <c r="W59" s="1" t="s">
        <v>68</v>
      </c>
      <c r="X59" s="1" t="s">
        <v>68</v>
      </c>
      <c r="Y59" s="12"/>
      <c r="Z59" s="13"/>
      <c r="AA59" s="33">
        <v>200</v>
      </c>
      <c r="AB59" s="12"/>
      <c r="AC59" s="12"/>
      <c r="AD59" s="33">
        <f>Table_Query_from_UnBilled_1345[[#This Row], [Payable]]*0.035</f>
        <v>7.0000000000000009</v>
      </c>
      <c r="AE59" s="12">
        <v>0</v>
      </c>
      <c r="AF59" s="12">
        <v>0</v>
      </c>
      <c r="AG59" s="12">
        <v>0</v>
      </c>
      <c r="AH59" s="33">
        <f>Table_Query_from_UnBilled_1345[[#This Row], [Payable]]*0.01</f>
        <v>2</v>
      </c>
      <c r="AI59" s="33">
        <f>Table_Query_from_UnBilled_1345[[#This Row], [Payable]]+Table_Query_from_UnBilled_1345[[#This Row], [AgencyCommission]]+Table_Query_from_UnBilled_1345[[#This Row], [LevyBillable]]</f>
        <v>209</v>
      </c>
      <c r="AJ59" s="12">
        <v>0</v>
      </c>
      <c r="AK59" s="11"/>
      <c r="AL59" s="14"/>
      <c r="AM59" s="14"/>
      <c r="AN59" s="4"/>
      <c r="AO59" s="14"/>
      <c r="AP59" s="12"/>
      <c r="AQ59" s="12"/>
      <c r="AR59" s="12">
        <v>0</v>
      </c>
      <c r="AS59" s="12">
        <v>0</v>
      </c>
      <c r="AT59" s="12">
        <v>0</v>
      </c>
      <c r="AU59" s="12">
        <v>0</v>
      </c>
      <c r="AV59" s="12" t="s">
        <v>251</v>
      </c>
      <c r="AW59"/>
    </row>
    <row r="60" spans="1:49" ht="17.25" hidden="1" customHeight="1" x14ac:dyDescent="0.2">
      <c r="A60" s="1" t="s">
        <v>47</v>
      </c>
      <c r="C60" s="1" t="s">
        <v>48</v>
      </c>
      <c r="E60" s="1" t="s">
        <v>78</v>
      </c>
      <c r="F60" s="1" t="s">
        <v>432</v>
      </c>
      <c r="G60" s="10"/>
      <c r="H60" s="1" t="s">
        <v>66</v>
      </c>
      <c r="I60" s="11">
        <v>6</v>
      </c>
      <c r="J60" s="1" t="s">
        <v>79</v>
      </c>
      <c r="K60" s="3">
        <v>45444</v>
      </c>
      <c r="L60" s="1"/>
      <c r="M60" s="1" t="s">
        <v>82</v>
      </c>
      <c r="N60" s="1" t="s">
        <v>88</v>
      </c>
      <c r="O60" s="1"/>
      <c r="Q60" s="4"/>
      <c r="R60" s="5"/>
      <c r="S60" s="4"/>
      <c r="U60" s="1" t="s">
        <v>68</v>
      </c>
      <c r="V60" s="1" t="s">
        <v>68</v>
      </c>
      <c r="W60" s="1" t="s">
        <v>68</v>
      </c>
      <c r="X60" s="1" t="s">
        <v>68</v>
      </c>
      <c r="Y60" s="12"/>
      <c r="Z60" s="13"/>
      <c r="AA60" s="33">
        <v>540</v>
      </c>
      <c r="AB60" s="12"/>
      <c r="AC60" s="12"/>
      <c r="AD60" s="33">
        <f>Table_Query_from_UnBilled_1345[[#This Row], [Payable]]*0.035</f>
        <v>18.900000000000002</v>
      </c>
      <c r="AE60" s="12">
        <v>0</v>
      </c>
      <c r="AF60" s="12">
        <v>0</v>
      </c>
      <c r="AG60" s="12">
        <v>0</v>
      </c>
      <c r="AH60" s="33">
        <f>Table_Query_from_UnBilled_1345[[#This Row], [Payable]]*0.01</f>
        <v>5.4</v>
      </c>
      <c r="AI60" s="33">
        <f>Table_Query_from_UnBilled_1345[[#This Row], [Payable]]+Table_Query_from_UnBilled_1345[[#This Row], [AgencyCommission]]+Table_Query_from_UnBilled_1345[[#This Row], [LevyBillable]]</f>
        <v>564.29999999999995</v>
      </c>
      <c r="AJ60" s="12">
        <v>0</v>
      </c>
      <c r="AK60" s="11"/>
      <c r="AL60" s="14"/>
      <c r="AM60" s="14"/>
      <c r="AN60" s="4"/>
      <c r="AO60" s="14"/>
      <c r="AP60" s="12"/>
      <c r="AQ60" s="12"/>
      <c r="AR60" s="12">
        <v>0</v>
      </c>
      <c r="AS60" s="12">
        <v>0</v>
      </c>
      <c r="AT60" s="12">
        <v>0</v>
      </c>
      <c r="AU60" s="12">
        <v>0</v>
      </c>
      <c r="AV60" s="12" t="s">
        <v>252</v>
      </c>
      <c r="AW60"/>
    </row>
    <row r="61" spans="1:49" ht="17.25" hidden="1" customHeight="1" x14ac:dyDescent="0.2">
      <c r="A61" s="1" t="s">
        <v>47</v>
      </c>
      <c r="C61" s="1" t="s">
        <v>48</v>
      </c>
      <c r="E61" s="1" t="s">
        <v>78</v>
      </c>
      <c r="F61" s="1" t="s">
        <v>432</v>
      </c>
      <c r="G61" s="10"/>
      <c r="H61" s="1" t="s">
        <v>66</v>
      </c>
      <c r="I61" s="11">
        <v>6</v>
      </c>
      <c r="J61" s="1" t="s">
        <v>79</v>
      </c>
      <c r="K61" s="3">
        <v>45444</v>
      </c>
      <c r="L61" s="1"/>
      <c r="M61" s="1" t="s">
        <v>82</v>
      </c>
      <c r="N61" s="1" t="s">
        <v>85</v>
      </c>
      <c r="O61" s="1"/>
      <c r="Q61" s="4"/>
      <c r="R61" s="5"/>
      <c r="S61" s="4"/>
      <c r="U61" s="1" t="s">
        <v>68</v>
      </c>
      <c r="V61" s="1" t="s">
        <v>68</v>
      </c>
      <c r="W61" s="1" t="s">
        <v>68</v>
      </c>
      <c r="X61" s="1" t="s">
        <v>68</v>
      </c>
      <c r="Y61" s="12"/>
      <c r="Z61" s="13"/>
      <c r="AA61" s="33">
        <v>4500</v>
      </c>
      <c r="AB61" s="12"/>
      <c r="AC61" s="12"/>
      <c r="AD61" s="33">
        <f>Table_Query_from_UnBilled_1345[[#This Row], [Payable]]*0.035</f>
        <v>157.50000000000003</v>
      </c>
      <c r="AE61" s="12">
        <v>0</v>
      </c>
      <c r="AF61" s="12">
        <v>0</v>
      </c>
      <c r="AG61" s="12">
        <v>0</v>
      </c>
      <c r="AH61" s="33">
        <f>Table_Query_from_UnBilled_1345[[#This Row], [Payable]]*0.01</f>
        <v>45</v>
      </c>
      <c r="AI61" s="33">
        <f>Table_Query_from_UnBilled_1345[[#This Row], [Payable]]+Table_Query_from_UnBilled_1345[[#This Row], [AgencyCommission]]+Table_Query_from_UnBilled_1345[[#This Row], [LevyBillable]]</f>
        <v>4702.5</v>
      </c>
      <c r="AJ61" s="12">
        <v>0</v>
      </c>
      <c r="AK61" s="11"/>
      <c r="AL61" s="14"/>
      <c r="AM61" s="14"/>
      <c r="AN61" s="4"/>
      <c r="AO61" s="14"/>
      <c r="AP61" s="12"/>
      <c r="AQ61" s="12"/>
      <c r="AR61" s="12">
        <v>0</v>
      </c>
      <c r="AS61" s="12">
        <v>0</v>
      </c>
      <c r="AT61" s="12">
        <v>0</v>
      </c>
      <c r="AU61" s="12">
        <v>0</v>
      </c>
      <c r="AV61" s="12" t="s">
        <v>253</v>
      </c>
      <c r="AW61"/>
    </row>
    <row r="62" spans="1:49" ht="17.25" hidden="1" customHeight="1" x14ac:dyDescent="0.2">
      <c r="A62" s="1" t="s">
        <v>47</v>
      </c>
      <c r="C62" s="1" t="s">
        <v>48</v>
      </c>
      <c r="E62" s="1" t="s">
        <v>78</v>
      </c>
      <c r="F62" s="1" t="s">
        <v>432</v>
      </c>
      <c r="G62" s="10"/>
      <c r="H62" s="1" t="s">
        <v>66</v>
      </c>
      <c r="I62" s="11">
        <v>6</v>
      </c>
      <c r="J62" s="1" t="s">
        <v>79</v>
      </c>
      <c r="K62" s="3">
        <v>45444</v>
      </c>
      <c r="L62" s="1"/>
      <c r="M62" s="1" t="s">
        <v>82</v>
      </c>
      <c r="N62" s="1" t="s">
        <v>87</v>
      </c>
      <c r="O62" s="1"/>
      <c r="Q62" s="4"/>
      <c r="R62" s="5"/>
      <c r="S62" s="4"/>
      <c r="U62" s="1" t="s">
        <v>68</v>
      </c>
      <c r="V62" s="1" t="s">
        <v>68</v>
      </c>
      <c r="W62" s="1" t="s">
        <v>68</v>
      </c>
      <c r="X62" s="1" t="s">
        <v>68</v>
      </c>
      <c r="Y62" s="12"/>
      <c r="Z62" s="13"/>
      <c r="AA62" s="33">
        <v>4500</v>
      </c>
      <c r="AB62" s="12"/>
      <c r="AC62" s="12"/>
      <c r="AD62" s="33">
        <f>Table_Query_from_UnBilled_1345[[#This Row], [Payable]]*0.035</f>
        <v>157.50000000000003</v>
      </c>
      <c r="AE62" s="12">
        <v>0</v>
      </c>
      <c r="AF62" s="12">
        <v>0</v>
      </c>
      <c r="AG62" s="12">
        <v>0</v>
      </c>
      <c r="AH62" s="33">
        <f>Table_Query_from_UnBilled_1345[[#This Row], [Payable]]*0.01</f>
        <v>45</v>
      </c>
      <c r="AI62" s="33">
        <f>Table_Query_from_UnBilled_1345[[#This Row], [Payable]]+Table_Query_from_UnBilled_1345[[#This Row], [AgencyCommission]]+Table_Query_from_UnBilled_1345[[#This Row], [LevyBillable]]</f>
        <v>4702.5</v>
      </c>
      <c r="AJ62" s="12">
        <v>0</v>
      </c>
      <c r="AK62" s="11"/>
      <c r="AL62" s="14"/>
      <c r="AM62" s="14"/>
      <c r="AN62" s="4"/>
      <c r="AO62" s="14"/>
      <c r="AP62" s="12"/>
      <c r="AQ62" s="12"/>
      <c r="AR62" s="12">
        <v>0</v>
      </c>
      <c r="AS62" s="12">
        <v>0</v>
      </c>
      <c r="AT62" s="12">
        <v>0</v>
      </c>
      <c r="AU62" s="12">
        <v>0</v>
      </c>
      <c r="AV62" s="12" t="s">
        <v>254</v>
      </c>
      <c r="AW62"/>
    </row>
    <row r="63" spans="1:49" ht="17.25" hidden="1" customHeight="1" x14ac:dyDescent="0.2">
      <c r="A63" s="1" t="s">
        <v>47</v>
      </c>
      <c r="C63" s="1" t="s">
        <v>48</v>
      </c>
      <c r="E63" s="1" t="s">
        <v>78</v>
      </c>
      <c r="F63" s="1" t="s">
        <v>432</v>
      </c>
      <c r="G63" s="10"/>
      <c r="H63" s="1" t="s">
        <v>66</v>
      </c>
      <c r="I63" s="11">
        <v>6</v>
      </c>
      <c r="J63" s="1" t="s">
        <v>79</v>
      </c>
      <c r="K63" s="3">
        <v>45444</v>
      </c>
      <c r="L63" s="1"/>
      <c r="M63" s="1" t="s">
        <v>82</v>
      </c>
      <c r="N63" s="1" t="s">
        <v>90</v>
      </c>
      <c r="O63" s="1"/>
      <c r="Q63" s="4"/>
      <c r="R63" s="5"/>
      <c r="S63" s="4"/>
      <c r="U63" s="1" t="s">
        <v>68</v>
      </c>
      <c r="V63" s="1" t="s">
        <v>68</v>
      </c>
      <c r="W63" s="1" t="s">
        <v>68</v>
      </c>
      <c r="X63" s="1" t="s">
        <v>68</v>
      </c>
      <c r="Y63" s="12"/>
      <c r="Z63" s="13"/>
      <c r="AA63" s="33">
        <v>100</v>
      </c>
      <c r="AB63" s="12"/>
      <c r="AC63" s="12"/>
      <c r="AD63" s="33">
        <f>Table_Query_from_UnBilled_1345[[#This Row], [Payable]]*0.035</f>
        <v>3.5000000000000004</v>
      </c>
      <c r="AE63" s="12">
        <v>0</v>
      </c>
      <c r="AF63" s="12">
        <v>0</v>
      </c>
      <c r="AG63" s="12">
        <v>0</v>
      </c>
      <c r="AH63" s="33">
        <f>Table_Query_from_UnBilled_1345[[#This Row], [Payable]]*0.01</f>
        <v>1</v>
      </c>
      <c r="AI63" s="33">
        <f>Table_Query_from_UnBilled_1345[[#This Row], [Payable]]+Table_Query_from_UnBilled_1345[[#This Row], [AgencyCommission]]+Table_Query_from_UnBilled_1345[[#This Row], [LevyBillable]]</f>
        <v>104.5</v>
      </c>
      <c r="AJ63" s="12">
        <v>0</v>
      </c>
      <c r="AK63" s="11"/>
      <c r="AL63" s="14"/>
      <c r="AM63" s="14"/>
      <c r="AN63" s="4"/>
      <c r="AO63" s="14"/>
      <c r="AP63" s="12"/>
      <c r="AQ63" s="12"/>
      <c r="AR63" s="12">
        <v>0</v>
      </c>
      <c r="AS63" s="12">
        <v>0</v>
      </c>
      <c r="AT63" s="12">
        <v>0</v>
      </c>
      <c r="AU63" s="12">
        <v>0</v>
      </c>
      <c r="AV63" s="12" t="s">
        <v>255</v>
      </c>
      <c r="AW63"/>
    </row>
    <row r="64" spans="1:49" ht="17.25" hidden="1" customHeight="1" x14ac:dyDescent="0.2">
      <c r="A64" s="1" t="s">
        <v>47</v>
      </c>
      <c r="C64" s="1" t="s">
        <v>48</v>
      </c>
      <c r="E64" s="1" t="s">
        <v>78</v>
      </c>
      <c r="F64" s="1" t="s">
        <v>432</v>
      </c>
      <c r="G64" s="10"/>
      <c r="H64" s="1" t="s">
        <v>66</v>
      </c>
      <c r="I64" s="11">
        <v>6</v>
      </c>
      <c r="J64" s="1" t="s">
        <v>79</v>
      </c>
      <c r="K64" s="3">
        <v>45444</v>
      </c>
      <c r="L64" s="1"/>
      <c r="M64" s="1" t="s">
        <v>82</v>
      </c>
      <c r="N64" s="1" t="s">
        <v>87</v>
      </c>
      <c r="O64" s="1"/>
      <c r="Q64" s="4"/>
      <c r="R64" s="5"/>
      <c r="S64" s="4"/>
      <c r="U64" s="1" t="s">
        <v>68</v>
      </c>
      <c r="V64" s="1" t="s">
        <v>68</v>
      </c>
      <c r="W64" s="1" t="s">
        <v>68</v>
      </c>
      <c r="X64" s="1" t="s">
        <v>68</v>
      </c>
      <c r="Y64" s="12"/>
      <c r="Z64" s="13"/>
      <c r="AA64" s="33">
        <v>250</v>
      </c>
      <c r="AB64" s="12"/>
      <c r="AC64" s="12"/>
      <c r="AD64" s="33">
        <f>Table_Query_from_UnBilled_1345[[#This Row], [Payable]]*0.035</f>
        <v>8.75</v>
      </c>
      <c r="AE64" s="12">
        <v>0</v>
      </c>
      <c r="AF64" s="12">
        <v>0</v>
      </c>
      <c r="AG64" s="12">
        <v>0</v>
      </c>
      <c r="AH64" s="33">
        <f>Table_Query_from_UnBilled_1345[[#This Row], [Payable]]*0.01</f>
        <v>2.5</v>
      </c>
      <c r="AI64" s="33">
        <f>Table_Query_from_UnBilled_1345[[#This Row], [Payable]]+Table_Query_from_UnBilled_1345[[#This Row], [AgencyCommission]]+Table_Query_from_UnBilled_1345[[#This Row], [LevyBillable]]</f>
        <v>261.25</v>
      </c>
      <c r="AJ64" s="12">
        <v>0</v>
      </c>
      <c r="AK64" s="11"/>
      <c r="AL64" s="14"/>
      <c r="AM64" s="14"/>
      <c r="AN64" s="4"/>
      <c r="AO64" s="14"/>
      <c r="AP64" s="12"/>
      <c r="AQ64" s="12"/>
      <c r="AR64" s="12">
        <v>0</v>
      </c>
      <c r="AS64" s="12">
        <v>0</v>
      </c>
      <c r="AT64" s="12">
        <v>0</v>
      </c>
      <c r="AU64" s="12">
        <v>0</v>
      </c>
      <c r="AV64" s="12" t="s">
        <v>256</v>
      </c>
      <c r="AW64"/>
    </row>
    <row r="65" spans="1:49" ht="17.25" hidden="1" customHeight="1" x14ac:dyDescent="0.2">
      <c r="A65" s="1" t="s">
        <v>47</v>
      </c>
      <c r="C65" s="1" t="s">
        <v>48</v>
      </c>
      <c r="E65" s="1" t="s">
        <v>91</v>
      </c>
      <c r="F65" s="1" t="s">
        <v>432</v>
      </c>
      <c r="G65" s="10"/>
      <c r="H65" s="1" t="s">
        <v>92</v>
      </c>
      <c r="I65" s="11">
        <v>6</v>
      </c>
      <c r="J65" s="1" t="s">
        <v>93</v>
      </c>
      <c r="K65" s="3">
        <v>45474</v>
      </c>
      <c r="L65" s="1"/>
      <c r="M65" s="1" t="s">
        <v>94</v>
      </c>
      <c r="N65" s="1" t="s">
        <v>95</v>
      </c>
      <c r="O65" s="1"/>
      <c r="Q65" s="4"/>
      <c r="R65" s="5"/>
      <c r="S65" s="4"/>
      <c r="U65" s="1" t="s">
        <v>96</v>
      </c>
      <c r="V65" s="1"/>
      <c r="W65" s="1" t="s">
        <v>96</v>
      </c>
      <c r="X65" s="1" t="s">
        <v>96</v>
      </c>
      <c r="Y65" s="12"/>
      <c r="Z65" s="13"/>
      <c r="AA65" s="33">
        <v>120</v>
      </c>
      <c r="AB65" s="12"/>
      <c r="AC65" s="12"/>
      <c r="AD65" s="33">
        <f>Table_Query_from_UnBilled_1345[[#This Row], [Payable]]*0.035</f>
        <v>4.2</v>
      </c>
      <c r="AE65" s="12">
        <v>0</v>
      </c>
      <c r="AF65" s="12">
        <v>0</v>
      </c>
      <c r="AG65" s="12">
        <v>0</v>
      </c>
      <c r="AH65" s="33">
        <f>Table_Query_from_UnBilled_1345[[#This Row], [Payable]]*0.01</f>
        <v>1.2</v>
      </c>
      <c r="AI65" s="33">
        <f>Table_Query_from_UnBilled_1345[[#This Row], [Payable]]+Table_Query_from_UnBilled_1345[[#This Row], [AgencyCommission]]+Table_Query_from_UnBilled_1345[[#This Row], [LevyBillable]]</f>
        <v>125.4</v>
      </c>
      <c r="AJ65" s="12">
        <v>0</v>
      </c>
      <c r="AK65" s="11"/>
      <c r="AL65" s="14"/>
      <c r="AM65" s="14"/>
      <c r="AN65" s="4"/>
      <c r="AO65" s="14"/>
      <c r="AP65" s="12"/>
      <c r="AQ65" s="12"/>
      <c r="AR65" s="12">
        <v>0</v>
      </c>
      <c r="AS65" s="12">
        <v>0</v>
      </c>
      <c r="AT65" s="12">
        <v>0</v>
      </c>
      <c r="AU65" s="12">
        <v>0</v>
      </c>
      <c r="AV65" s="12" t="s">
        <v>257</v>
      </c>
      <c r="AW65"/>
    </row>
    <row r="66" spans="1:49" ht="17.25" hidden="1" customHeight="1" x14ac:dyDescent="0.2">
      <c r="A66" s="1" t="s">
        <v>47</v>
      </c>
      <c r="C66" s="1" t="s">
        <v>48</v>
      </c>
      <c r="E66" s="1" t="s">
        <v>78</v>
      </c>
      <c r="F66" s="1" t="s">
        <v>432</v>
      </c>
      <c r="G66" s="10"/>
      <c r="H66" s="1" t="s">
        <v>66</v>
      </c>
      <c r="I66" s="11">
        <v>7</v>
      </c>
      <c r="J66" s="1" t="s">
        <v>97</v>
      </c>
      <c r="K66" s="3">
        <v>45413</v>
      </c>
      <c r="L66" s="1"/>
      <c r="M66" s="1" t="s">
        <v>80</v>
      </c>
      <c r="N66" s="1" t="s">
        <v>89</v>
      </c>
      <c r="O66" s="1"/>
      <c r="Q66" s="4"/>
      <c r="R66" s="5"/>
      <c r="S66" s="4"/>
      <c r="U66" s="1" t="s">
        <v>68</v>
      </c>
      <c r="V66" s="1"/>
      <c r="W66" s="1" t="s">
        <v>68</v>
      </c>
      <c r="X66" s="1" t="s">
        <v>68</v>
      </c>
      <c r="Y66" s="12"/>
      <c r="Z66" s="13"/>
      <c r="AA66" s="33">
        <v>1220</v>
      </c>
      <c r="AB66" s="12"/>
      <c r="AC66" s="12"/>
      <c r="AD66" s="33">
        <f>Table_Query_from_UnBilled_1345[[#This Row], [Payable]]*0.035</f>
        <v>42.7</v>
      </c>
      <c r="AE66" s="12">
        <v>0</v>
      </c>
      <c r="AF66" s="12">
        <v>0</v>
      </c>
      <c r="AG66" s="12">
        <v>0</v>
      </c>
      <c r="AH66" s="33">
        <f>Table_Query_from_UnBilled_1345[[#This Row], [Payable]]*0.01</f>
        <v>12.200000000000001</v>
      </c>
      <c r="AI66" s="33">
        <f>Table_Query_from_UnBilled_1345[[#This Row], [Payable]]+Table_Query_from_UnBilled_1345[[#This Row], [AgencyCommission]]+Table_Query_from_UnBilled_1345[[#This Row], [LevyBillable]]</f>
        <v>1274.9000000000001</v>
      </c>
      <c r="AJ66" s="12">
        <v>0</v>
      </c>
      <c r="AK66" s="11"/>
      <c r="AL66" s="14"/>
      <c r="AM66" s="14"/>
      <c r="AN66" s="4"/>
      <c r="AO66" s="14"/>
      <c r="AP66" s="12"/>
      <c r="AQ66" s="12"/>
      <c r="AR66" s="12">
        <v>0</v>
      </c>
      <c r="AS66" s="12">
        <v>0</v>
      </c>
      <c r="AT66" s="12">
        <v>0</v>
      </c>
      <c r="AU66" s="12">
        <v>0</v>
      </c>
      <c r="AV66" s="12" t="s">
        <v>258</v>
      </c>
      <c r="AW66"/>
    </row>
    <row r="67" spans="1:49" ht="17.25" hidden="1" customHeight="1" x14ac:dyDescent="0.2">
      <c r="A67" s="1" t="s">
        <v>47</v>
      </c>
      <c r="C67" s="1" t="s">
        <v>48</v>
      </c>
      <c r="E67" s="1" t="s">
        <v>78</v>
      </c>
      <c r="F67" s="1" t="s">
        <v>432</v>
      </c>
      <c r="G67" s="10"/>
      <c r="H67" s="1" t="s">
        <v>66</v>
      </c>
      <c r="I67" s="11">
        <v>7</v>
      </c>
      <c r="J67" s="1" t="s">
        <v>97</v>
      </c>
      <c r="K67" s="3">
        <v>45413</v>
      </c>
      <c r="L67" s="1"/>
      <c r="M67" s="1" t="s">
        <v>52</v>
      </c>
      <c r="N67" s="1" t="s">
        <v>98</v>
      </c>
      <c r="O67" s="1"/>
      <c r="Q67" s="4"/>
      <c r="R67" s="5"/>
      <c r="S67" s="4"/>
      <c r="U67" s="1" t="s">
        <v>68</v>
      </c>
      <c r="V67" s="1"/>
      <c r="W67" s="1" t="s">
        <v>68</v>
      </c>
      <c r="X67" s="1" t="s">
        <v>68</v>
      </c>
      <c r="Y67" s="12"/>
      <c r="Z67" s="13"/>
      <c r="AA67" s="33">
        <v>2300</v>
      </c>
      <c r="AB67" s="12"/>
      <c r="AC67" s="12"/>
      <c r="AD67" s="33">
        <f>Table_Query_from_UnBilled_1345[[#This Row], [Payable]]*0.035</f>
        <v>80.500000000000014</v>
      </c>
      <c r="AE67" s="12">
        <v>0</v>
      </c>
      <c r="AF67" s="12">
        <v>0</v>
      </c>
      <c r="AG67" s="12">
        <v>0</v>
      </c>
      <c r="AH67" s="33">
        <f>Table_Query_from_UnBilled_1345[[#This Row], [Payable]]*0.01</f>
        <v>23</v>
      </c>
      <c r="AI67" s="33">
        <f>Table_Query_from_UnBilled_1345[[#This Row], [Payable]]+Table_Query_from_UnBilled_1345[[#This Row], [AgencyCommission]]+Table_Query_from_UnBilled_1345[[#This Row], [LevyBillable]]</f>
        <v>2403.5</v>
      </c>
      <c r="AJ67" s="12">
        <v>0</v>
      </c>
      <c r="AK67" s="11"/>
      <c r="AL67" s="14"/>
      <c r="AM67" s="14"/>
      <c r="AN67" s="4"/>
      <c r="AO67" s="14"/>
      <c r="AP67" s="12"/>
      <c r="AQ67" s="12"/>
      <c r="AR67" s="12">
        <v>0</v>
      </c>
      <c r="AS67" s="12">
        <v>0</v>
      </c>
      <c r="AT67" s="12">
        <v>0</v>
      </c>
      <c r="AU67" s="12">
        <v>0</v>
      </c>
      <c r="AV67" s="12" t="s">
        <v>259</v>
      </c>
      <c r="AW67"/>
    </row>
    <row r="68" spans="1:49" ht="17.25" hidden="1" customHeight="1" x14ac:dyDescent="0.2">
      <c r="A68" s="1" t="s">
        <v>47</v>
      </c>
      <c r="C68" s="1" t="s">
        <v>48</v>
      </c>
      <c r="E68" s="1" t="s">
        <v>78</v>
      </c>
      <c r="F68" s="1" t="s">
        <v>432</v>
      </c>
      <c r="G68" s="10"/>
      <c r="H68" s="1" t="s">
        <v>66</v>
      </c>
      <c r="I68" s="11">
        <v>7</v>
      </c>
      <c r="J68" s="1" t="s">
        <v>97</v>
      </c>
      <c r="K68" s="3">
        <v>45444</v>
      </c>
      <c r="L68" s="1"/>
      <c r="M68" s="1" t="s">
        <v>99</v>
      </c>
      <c r="N68" s="1" t="s">
        <v>98</v>
      </c>
      <c r="O68" s="1"/>
      <c r="Q68" s="4"/>
      <c r="R68" s="5"/>
      <c r="S68" s="4"/>
      <c r="U68" s="1" t="s">
        <v>68</v>
      </c>
      <c r="V68" s="1"/>
      <c r="W68" s="1" t="s">
        <v>68</v>
      </c>
      <c r="X68" s="1" t="s">
        <v>68</v>
      </c>
      <c r="Y68" s="12"/>
      <c r="Z68" s="13"/>
      <c r="AA68" s="33">
        <v>2355</v>
      </c>
      <c r="AB68" s="12"/>
      <c r="AC68" s="12"/>
      <c r="AD68" s="33">
        <f>Table_Query_from_UnBilled_1345[[#This Row], [Payable]]*0.035</f>
        <v>82.425000000000011</v>
      </c>
      <c r="AE68" s="12">
        <v>0</v>
      </c>
      <c r="AF68" s="12">
        <v>0</v>
      </c>
      <c r="AG68" s="12">
        <v>0</v>
      </c>
      <c r="AH68" s="33">
        <f>Table_Query_from_UnBilled_1345[[#This Row], [Payable]]*0.01</f>
        <v>23.55</v>
      </c>
      <c r="AI68" s="33">
        <f>Table_Query_from_UnBilled_1345[[#This Row], [Payable]]+Table_Query_from_UnBilled_1345[[#This Row], [AgencyCommission]]+Table_Query_from_UnBilled_1345[[#This Row], [LevyBillable]]</f>
        <v>2460.9750000000004</v>
      </c>
      <c r="AJ68" s="12">
        <v>0</v>
      </c>
      <c r="AK68" s="11"/>
      <c r="AL68" s="14"/>
      <c r="AM68" s="14"/>
      <c r="AN68" s="4"/>
      <c r="AO68" s="14"/>
      <c r="AP68" s="12"/>
      <c r="AQ68" s="12"/>
      <c r="AR68" s="12">
        <v>0</v>
      </c>
      <c r="AS68" s="12">
        <v>0</v>
      </c>
      <c r="AT68" s="12">
        <v>0</v>
      </c>
      <c r="AU68" s="12">
        <v>0</v>
      </c>
      <c r="AV68" s="12" t="s">
        <v>260</v>
      </c>
      <c r="AW68"/>
    </row>
    <row r="69" spans="1:49" ht="17.25" hidden="1" customHeight="1" x14ac:dyDescent="0.2">
      <c r="A69" s="1" t="s">
        <v>47</v>
      </c>
      <c r="C69" s="1" t="s">
        <v>48</v>
      </c>
      <c r="E69" s="1" t="s">
        <v>78</v>
      </c>
      <c r="F69" s="1" t="s">
        <v>432</v>
      </c>
      <c r="G69" s="10"/>
      <c r="H69" s="1" t="s">
        <v>66</v>
      </c>
      <c r="I69" s="11">
        <v>7</v>
      </c>
      <c r="J69" s="1" t="s">
        <v>97</v>
      </c>
      <c r="K69" s="3">
        <v>45444</v>
      </c>
      <c r="L69" s="1"/>
      <c r="M69" s="1" t="s">
        <v>80</v>
      </c>
      <c r="N69" s="1" t="s">
        <v>89</v>
      </c>
      <c r="O69" s="1"/>
      <c r="Q69" s="4"/>
      <c r="R69" s="5"/>
      <c r="S69" s="4"/>
      <c r="U69" s="1" t="s">
        <v>68</v>
      </c>
      <c r="V69" s="1"/>
      <c r="W69" s="1" t="s">
        <v>68</v>
      </c>
      <c r="X69" s="1" t="s">
        <v>68</v>
      </c>
      <c r="Y69" s="12"/>
      <c r="Z69" s="13"/>
      <c r="AA69" s="33">
        <v>3450</v>
      </c>
      <c r="AB69" s="12"/>
      <c r="AC69" s="12"/>
      <c r="AD69" s="33">
        <v>310</v>
      </c>
      <c r="AE69" s="12">
        <v>0</v>
      </c>
      <c r="AF69" s="12">
        <v>0</v>
      </c>
      <c r="AG69" s="12">
        <v>0</v>
      </c>
      <c r="AH69" s="33">
        <f>Table_Query_from_UnBilled_1345[[#This Row], [Payable]]*0.01</f>
        <v>34.5</v>
      </c>
      <c r="AI69" s="33">
        <f>Table_Query_from_UnBilled_1345[[#This Row], [Payable]]+Table_Query_from_UnBilled_1345[[#This Row], [AgencyCommission]]+Table_Query_from_UnBilled_1345[[#This Row], [LevyBillable]]</f>
        <v>3794.5</v>
      </c>
      <c r="AJ69" s="12">
        <v>0</v>
      </c>
      <c r="AK69" s="11"/>
      <c r="AL69" s="14"/>
      <c r="AM69" s="14"/>
      <c r="AN69" s="4"/>
      <c r="AO69" s="14"/>
      <c r="AP69" s="12"/>
      <c r="AQ69" s="12"/>
      <c r="AR69" s="12">
        <v>0</v>
      </c>
      <c r="AS69" s="12">
        <v>0</v>
      </c>
      <c r="AT69" s="12">
        <v>0</v>
      </c>
      <c r="AU69" s="12">
        <v>0</v>
      </c>
      <c r="AV69" s="12" t="s">
        <v>261</v>
      </c>
      <c r="AW69"/>
    </row>
    <row r="70" spans="1:49" ht="17.25" hidden="1" customHeight="1" x14ac:dyDescent="0.2">
      <c r="A70" s="1" t="s">
        <v>47</v>
      </c>
      <c r="C70" s="1" t="s">
        <v>48</v>
      </c>
      <c r="E70" s="1" t="s">
        <v>78</v>
      </c>
      <c r="F70" s="1" t="s">
        <v>432</v>
      </c>
      <c r="G70" s="10"/>
      <c r="H70" s="1" t="s">
        <v>66</v>
      </c>
      <c r="I70" s="11">
        <v>7</v>
      </c>
      <c r="J70" s="1" t="s">
        <v>97</v>
      </c>
      <c r="K70" s="3">
        <v>45444</v>
      </c>
      <c r="L70" s="1"/>
      <c r="M70" s="1" t="s">
        <v>52</v>
      </c>
      <c r="N70" s="1" t="s">
        <v>98</v>
      </c>
      <c r="O70" s="1"/>
      <c r="Q70" s="4"/>
      <c r="R70" s="5"/>
      <c r="S70" s="4"/>
      <c r="U70" s="1" t="s">
        <v>68</v>
      </c>
      <c r="V70" s="1"/>
      <c r="W70" s="1" t="s">
        <v>68</v>
      </c>
      <c r="X70" s="1" t="s">
        <v>68</v>
      </c>
      <c r="Y70" s="12"/>
      <c r="Z70" s="13"/>
      <c r="AA70" s="33">
        <v>3275</v>
      </c>
      <c r="AB70" s="12"/>
      <c r="AC70" s="12"/>
      <c r="AD70" s="33">
        <v>650</v>
      </c>
      <c r="AE70" s="12">
        <v>0</v>
      </c>
      <c r="AF70" s="12">
        <v>0</v>
      </c>
      <c r="AG70" s="12">
        <v>0</v>
      </c>
      <c r="AH70" s="33">
        <f>Table_Query_from_UnBilled_1345[[#This Row], [Payable]]*0.01</f>
        <v>32.75</v>
      </c>
      <c r="AI70" s="33">
        <f>Table_Query_from_UnBilled_1345[[#This Row], [Payable]]+Table_Query_from_UnBilled_1345[[#This Row], [AgencyCommission]]+Table_Query_from_UnBilled_1345[[#This Row], [LevyBillable]]</f>
        <v>3957.75</v>
      </c>
      <c r="AJ70" s="12">
        <v>0</v>
      </c>
      <c r="AK70" s="11"/>
      <c r="AL70" s="14"/>
      <c r="AM70" s="14"/>
      <c r="AN70" s="4"/>
      <c r="AO70" s="14"/>
      <c r="AP70" s="12"/>
      <c r="AQ70" s="12"/>
      <c r="AR70" s="12">
        <v>0</v>
      </c>
      <c r="AS70" s="12">
        <v>0</v>
      </c>
      <c r="AT70" s="12">
        <v>0</v>
      </c>
      <c r="AU70" s="12">
        <v>0</v>
      </c>
      <c r="AV70" s="12" t="s">
        <v>262</v>
      </c>
      <c r="AW70"/>
    </row>
    <row r="71" spans="1:49" ht="17.25" hidden="1" customHeight="1" x14ac:dyDescent="0.2">
      <c r="A71" s="1" t="s">
        <v>47</v>
      </c>
      <c r="C71" s="1" t="s">
        <v>48</v>
      </c>
      <c r="E71" s="1" t="s">
        <v>78</v>
      </c>
      <c r="F71" s="1" t="s">
        <v>432</v>
      </c>
      <c r="G71" s="10"/>
      <c r="H71" s="32" t="s">
        <v>50</v>
      </c>
      <c r="I71" s="11">
        <v>7</v>
      </c>
      <c r="J71" s="32" t="s">
        <v>100</v>
      </c>
      <c r="K71" s="3">
        <v>45444</v>
      </c>
      <c r="L71" s="1"/>
      <c r="M71" s="1" t="s">
        <v>80</v>
      </c>
      <c r="N71" s="1" t="s">
        <v>81</v>
      </c>
      <c r="O71" s="1"/>
      <c r="Q71" s="4"/>
      <c r="R71" s="5"/>
      <c r="S71" s="4"/>
      <c r="U71" s="1" t="s">
        <v>54</v>
      </c>
      <c r="V71" s="1" t="s">
        <v>54</v>
      </c>
      <c r="W71" s="1" t="s">
        <v>54</v>
      </c>
      <c r="X71" s="1" t="s">
        <v>54</v>
      </c>
      <c r="Y71" s="12"/>
      <c r="Z71" s="13"/>
      <c r="AA71" s="33">
        <v>850</v>
      </c>
      <c r="AB71" s="12"/>
      <c r="AC71" s="12"/>
      <c r="AD71" s="33">
        <f>Table_Query_from_UnBilled_1345[[#This Row], [Payable]]*0.04</f>
        <v>34</v>
      </c>
      <c r="AE71" s="12">
        <v>0</v>
      </c>
      <c r="AF71" s="12">
        <v>0</v>
      </c>
      <c r="AG71" s="12">
        <v>0</v>
      </c>
      <c r="AH71" s="33">
        <f>Table_Query_from_UnBilled_1345[[#This Row], [Payable]]*0.01</f>
        <v>8.5</v>
      </c>
      <c r="AI71" s="33">
        <f>Table_Query_from_UnBilled_1345[[#This Row], [Payable]]+Table_Query_from_UnBilled_1345[[#This Row], [AgencyCommission]]+Table_Query_from_UnBilled_1345[[#This Row], [LevyBillable]]</f>
        <v>892.5</v>
      </c>
      <c r="AJ71" s="12">
        <v>16.95</v>
      </c>
      <c r="AK71" s="32" t="s">
        <v>36</v>
      </c>
      <c r="AL71" s="14"/>
      <c r="AM71" s="1" t="s">
        <v>55</v>
      </c>
      <c r="AN71" s="4"/>
      <c r="AO71" s="1" t="s">
        <v>56</v>
      </c>
      <c r="AP71" s="1" t="s">
        <v>57</v>
      </c>
      <c r="AQ71" s="12">
        <v>1</v>
      </c>
      <c r="AR71" s="36">
        <v>84.760002136230469</v>
      </c>
      <c r="AS71" s="36">
        <v>0</v>
      </c>
      <c r="AT71" s="36">
        <v>0</v>
      </c>
      <c r="AU71" s="36">
        <v>84.760002136230469</v>
      </c>
      <c r="AV71" s="12" t="s">
        <v>263</v>
      </c>
      <c r="AW71"/>
    </row>
    <row r="72" spans="1:49" ht="17.25" hidden="1" customHeight="1" x14ac:dyDescent="0.2">
      <c r="A72" s="1" t="s">
        <v>47</v>
      </c>
      <c r="C72" s="1" t="s">
        <v>48</v>
      </c>
      <c r="E72" s="1" t="s">
        <v>78</v>
      </c>
      <c r="F72" s="1" t="s">
        <v>432</v>
      </c>
      <c r="G72" s="10"/>
      <c r="H72" s="32" t="s">
        <v>50</v>
      </c>
      <c r="I72" s="11">
        <v>7</v>
      </c>
      <c r="J72" s="32" t="s">
        <v>100</v>
      </c>
      <c r="K72" s="3">
        <v>45444</v>
      </c>
      <c r="L72" s="1"/>
      <c r="M72" s="1" t="s">
        <v>80</v>
      </c>
      <c r="N72" s="1" t="s">
        <v>89</v>
      </c>
      <c r="O72" s="1"/>
      <c r="Q72" s="4"/>
      <c r="R72" s="5"/>
      <c r="S72" s="4"/>
      <c r="U72" s="1" t="s">
        <v>54</v>
      </c>
      <c r="V72" s="1" t="s">
        <v>54</v>
      </c>
      <c r="W72" s="1" t="s">
        <v>54</v>
      </c>
      <c r="X72" s="1" t="s">
        <v>54</v>
      </c>
      <c r="Y72" s="12"/>
      <c r="Z72" s="13"/>
      <c r="AA72" s="33">
        <v>250</v>
      </c>
      <c r="AB72" s="12"/>
      <c r="AC72" s="12"/>
      <c r="AD72" s="33">
        <f>Table_Query_from_UnBilled_1345[[#This Row], [Payable]]*0.04</f>
        <v>10</v>
      </c>
      <c r="AE72" s="12">
        <v>0</v>
      </c>
      <c r="AF72" s="12">
        <v>0</v>
      </c>
      <c r="AG72" s="12">
        <v>0</v>
      </c>
      <c r="AH72" s="33">
        <f>Table_Query_from_UnBilled_1345[[#This Row], [Payable]]*0.01</f>
        <v>2.5</v>
      </c>
      <c r="AI72" s="33">
        <f>Table_Query_from_UnBilled_1345[[#This Row], [Payable]]+Table_Query_from_UnBilled_1345[[#This Row], [AgencyCommission]]+Table_Query_from_UnBilled_1345[[#This Row], [LevyBillable]]</f>
        <v>262.5</v>
      </c>
      <c r="AJ72" s="12">
        <v>4.66</v>
      </c>
      <c r="AK72" s="32" t="s">
        <v>36</v>
      </c>
      <c r="AL72" s="14"/>
      <c r="AM72" s="1" t="s">
        <v>55</v>
      </c>
      <c r="AN72" s="4"/>
      <c r="AO72" s="1" t="s">
        <v>56</v>
      </c>
      <c r="AP72" s="1" t="s">
        <v>57</v>
      </c>
      <c r="AQ72" s="12">
        <v>1</v>
      </c>
      <c r="AR72" s="36">
        <v>23.309999465942383</v>
      </c>
      <c r="AS72" s="36">
        <v>0</v>
      </c>
      <c r="AT72" s="36">
        <v>0</v>
      </c>
      <c r="AU72" s="36">
        <v>23.309999465942383</v>
      </c>
      <c r="AV72" s="12" t="s">
        <v>264</v>
      </c>
      <c r="AW72"/>
    </row>
    <row r="73" spans="1:49" ht="17.25" hidden="1" customHeight="1" x14ac:dyDescent="0.2">
      <c r="A73" s="1" t="s">
        <v>47</v>
      </c>
      <c r="C73" s="1" t="s">
        <v>48</v>
      </c>
      <c r="E73" s="1" t="s">
        <v>78</v>
      </c>
      <c r="F73" s="1" t="s">
        <v>432</v>
      </c>
      <c r="G73" s="10"/>
      <c r="H73" s="32" t="s">
        <v>50</v>
      </c>
      <c r="I73" s="11">
        <v>7</v>
      </c>
      <c r="J73" s="32" t="s">
        <v>100</v>
      </c>
      <c r="K73" s="3">
        <v>45444</v>
      </c>
      <c r="L73" s="1"/>
      <c r="M73" s="1" t="s">
        <v>82</v>
      </c>
      <c r="N73" s="1" t="s">
        <v>101</v>
      </c>
      <c r="O73" s="1"/>
      <c r="Q73" s="4"/>
      <c r="R73" s="5"/>
      <c r="S73" s="4"/>
      <c r="U73" s="1" t="s">
        <v>54</v>
      </c>
      <c r="V73" s="1" t="s">
        <v>54</v>
      </c>
      <c r="W73" s="1" t="s">
        <v>54</v>
      </c>
      <c r="X73" s="1" t="s">
        <v>54</v>
      </c>
      <c r="Y73" s="12"/>
      <c r="Z73" s="13"/>
      <c r="AA73" s="33">
        <v>1200</v>
      </c>
      <c r="AB73" s="12"/>
      <c r="AC73" s="12"/>
      <c r="AD73" s="33">
        <f>Table_Query_from_UnBilled_1345[[#This Row], [Payable]]*0.04</f>
        <v>48</v>
      </c>
      <c r="AE73" s="12">
        <v>0</v>
      </c>
      <c r="AF73" s="12">
        <v>0</v>
      </c>
      <c r="AG73" s="12">
        <v>0</v>
      </c>
      <c r="AH73" s="33">
        <f>Table_Query_from_UnBilled_1345[[#This Row], [Payable]]*0.01</f>
        <v>12</v>
      </c>
      <c r="AI73" s="33">
        <f>Table_Query_from_UnBilled_1345[[#This Row], [Payable]]+Table_Query_from_UnBilled_1345[[#This Row], [AgencyCommission]]+Table_Query_from_UnBilled_1345[[#This Row], [LevyBillable]]</f>
        <v>1260</v>
      </c>
      <c r="AJ73" s="12">
        <v>250.15</v>
      </c>
      <c r="AK73" s="32" t="s">
        <v>36</v>
      </c>
      <c r="AL73" s="14"/>
      <c r="AM73" s="1" t="s">
        <v>55</v>
      </c>
      <c r="AN73" s="4"/>
      <c r="AO73" s="1" t="s">
        <v>56</v>
      </c>
      <c r="AP73" s="1" t="s">
        <v>57</v>
      </c>
      <c r="AQ73" s="12">
        <v>1</v>
      </c>
      <c r="AR73" s="36">
        <v>1250.739990234375</v>
      </c>
      <c r="AS73" s="36">
        <v>1.25074</v>
      </c>
      <c r="AT73" s="36">
        <v>0</v>
      </c>
      <c r="AU73" s="36">
        <v>1250.739990234375</v>
      </c>
      <c r="AV73" s="12" t="s">
        <v>265</v>
      </c>
      <c r="AW73"/>
    </row>
    <row r="74" spans="1:49" ht="17.25" hidden="1" customHeight="1" x14ac:dyDescent="0.2">
      <c r="A74" s="1" t="s">
        <v>47</v>
      </c>
      <c r="C74" s="1" t="s">
        <v>48</v>
      </c>
      <c r="E74" s="1" t="s">
        <v>78</v>
      </c>
      <c r="F74" s="1" t="s">
        <v>432</v>
      </c>
      <c r="G74" s="10"/>
      <c r="H74" s="32" t="s">
        <v>50</v>
      </c>
      <c r="I74" s="11">
        <v>7</v>
      </c>
      <c r="J74" s="32" t="s">
        <v>100</v>
      </c>
      <c r="K74" s="3">
        <v>45444</v>
      </c>
      <c r="L74" s="1"/>
      <c r="M74" s="1" t="s">
        <v>82</v>
      </c>
      <c r="N74" s="1" t="s">
        <v>101</v>
      </c>
      <c r="O74" s="1"/>
      <c r="Q74" s="4"/>
      <c r="R74" s="5"/>
      <c r="S74" s="4"/>
      <c r="U74" s="1" t="s">
        <v>54</v>
      </c>
      <c r="V74" s="1" t="s">
        <v>54</v>
      </c>
      <c r="W74" s="1" t="s">
        <v>54</v>
      </c>
      <c r="X74" s="1" t="s">
        <v>54</v>
      </c>
      <c r="Y74" s="12"/>
      <c r="Z74" s="13"/>
      <c r="AA74" s="33">
        <v>14000</v>
      </c>
      <c r="AB74" s="12"/>
      <c r="AC74" s="12"/>
      <c r="AD74" s="33">
        <f>Table_Query_from_UnBilled_1345[[#This Row], [Payable]]*0.04</f>
        <v>560</v>
      </c>
      <c r="AE74" s="12">
        <v>0</v>
      </c>
      <c r="AF74" s="12">
        <v>0</v>
      </c>
      <c r="AG74" s="12">
        <v>0</v>
      </c>
      <c r="AH74" s="33">
        <f>Table_Query_from_UnBilled_1345[[#This Row], [Payable]]*0.01</f>
        <v>140</v>
      </c>
      <c r="AI74" s="33">
        <f>Table_Query_from_UnBilled_1345[[#This Row], [Payable]]+Table_Query_from_UnBilled_1345[[#This Row], [AgencyCommission]]+Table_Query_from_UnBilled_1345[[#This Row], [LevyBillable]]</f>
        <v>14700</v>
      </c>
      <c r="AJ74" s="12">
        <v>2910.94</v>
      </c>
      <c r="AK74" s="32" t="s">
        <v>36</v>
      </c>
      <c r="AL74" s="14"/>
      <c r="AM74" s="1" t="s">
        <v>55</v>
      </c>
      <c r="AN74" s="4"/>
      <c r="AO74" s="1" t="s">
        <v>56</v>
      </c>
      <c r="AP74" s="1" t="s">
        <v>57</v>
      </c>
      <c r="AQ74" s="12">
        <v>1</v>
      </c>
      <c r="AR74" s="36">
        <v>14554.6904296875</v>
      </c>
      <c r="AS74" s="36">
        <v>14.554690000000001</v>
      </c>
      <c r="AT74" s="36">
        <v>0</v>
      </c>
      <c r="AU74" s="36">
        <v>14554.6904296875</v>
      </c>
      <c r="AV74" s="12" t="s">
        <v>266</v>
      </c>
      <c r="AW74"/>
    </row>
    <row r="75" spans="1:49" ht="17.25" hidden="1" customHeight="1" x14ac:dyDescent="0.2">
      <c r="A75" s="1" t="s">
        <v>47</v>
      </c>
      <c r="C75" s="1" t="s">
        <v>48</v>
      </c>
      <c r="E75" s="1" t="s">
        <v>78</v>
      </c>
      <c r="F75" s="1" t="s">
        <v>432</v>
      </c>
      <c r="G75" s="10"/>
      <c r="H75" s="32" t="s">
        <v>50</v>
      </c>
      <c r="I75" s="11">
        <v>7</v>
      </c>
      <c r="J75" s="32" t="s">
        <v>100</v>
      </c>
      <c r="K75" s="3">
        <v>45444</v>
      </c>
      <c r="L75" s="1"/>
      <c r="M75" s="1" t="s">
        <v>82</v>
      </c>
      <c r="N75" s="1" t="s">
        <v>85</v>
      </c>
      <c r="O75" s="1"/>
      <c r="Q75" s="4"/>
      <c r="R75" s="5"/>
      <c r="S75" s="4"/>
      <c r="U75" s="1" t="s">
        <v>54</v>
      </c>
      <c r="V75" s="1" t="s">
        <v>54</v>
      </c>
      <c r="W75" s="1" t="s">
        <v>54</v>
      </c>
      <c r="X75" s="1" t="s">
        <v>54</v>
      </c>
      <c r="Y75" s="12"/>
      <c r="Z75" s="13"/>
      <c r="AA75" s="33">
        <v>10200</v>
      </c>
      <c r="AB75" s="12"/>
      <c r="AC75" s="12"/>
      <c r="AD75" s="33">
        <f>Table_Query_from_UnBilled_1345[[#This Row], [Payable]]*0.04</f>
        <v>408</v>
      </c>
      <c r="AE75" s="12">
        <v>0</v>
      </c>
      <c r="AF75" s="12">
        <v>0</v>
      </c>
      <c r="AG75" s="12">
        <v>0</v>
      </c>
      <c r="AH75" s="33">
        <f>Table_Query_from_UnBilled_1345[[#This Row], [Payable]]*0.01</f>
        <v>102</v>
      </c>
      <c r="AI75" s="33">
        <f>Table_Query_from_UnBilled_1345[[#This Row], [Payable]]+Table_Query_from_UnBilled_1345[[#This Row], [AgencyCommission]]+Table_Query_from_UnBilled_1345[[#This Row], [LevyBillable]]</f>
        <v>10710</v>
      </c>
      <c r="AJ75" s="12">
        <v>2145.1799999999998</v>
      </c>
      <c r="AK75" s="32" t="s">
        <v>36</v>
      </c>
      <c r="AL75" s="14"/>
      <c r="AM75" s="1" t="s">
        <v>55</v>
      </c>
      <c r="AN75" s="4"/>
      <c r="AO75" s="1" t="s">
        <v>56</v>
      </c>
      <c r="AP75" s="1" t="s">
        <v>57</v>
      </c>
      <c r="AQ75" s="12">
        <v>1</v>
      </c>
      <c r="AR75" s="36">
        <v>10725.91015625</v>
      </c>
      <c r="AS75" s="36">
        <v>10.725910000000001</v>
      </c>
      <c r="AT75" s="36">
        <v>0</v>
      </c>
      <c r="AU75" s="36">
        <v>10725.91015625</v>
      </c>
      <c r="AV75" s="12" t="s">
        <v>267</v>
      </c>
      <c r="AW75"/>
    </row>
    <row r="76" spans="1:49" ht="17.25" hidden="1" customHeight="1" x14ac:dyDescent="0.2">
      <c r="A76" s="1" t="s">
        <v>47</v>
      </c>
      <c r="C76" s="1" t="s">
        <v>48</v>
      </c>
      <c r="E76" s="1" t="s">
        <v>78</v>
      </c>
      <c r="F76" s="1" t="s">
        <v>432</v>
      </c>
      <c r="G76" s="10"/>
      <c r="H76" s="32" t="s">
        <v>50</v>
      </c>
      <c r="I76" s="11">
        <v>7</v>
      </c>
      <c r="J76" s="32" t="s">
        <v>100</v>
      </c>
      <c r="K76" s="3">
        <v>45444</v>
      </c>
      <c r="L76" s="1"/>
      <c r="M76" s="1" t="s">
        <v>82</v>
      </c>
      <c r="N76" s="1" t="s">
        <v>102</v>
      </c>
      <c r="O76" s="1"/>
      <c r="Q76" s="4"/>
      <c r="R76" s="5"/>
      <c r="S76" s="4"/>
      <c r="U76" s="1" t="s">
        <v>54</v>
      </c>
      <c r="V76" s="1" t="s">
        <v>54</v>
      </c>
      <c r="W76" s="1" t="s">
        <v>54</v>
      </c>
      <c r="X76" s="1" t="s">
        <v>54</v>
      </c>
      <c r="Y76" s="12"/>
      <c r="Z76" s="13"/>
      <c r="AA76" s="33">
        <v>19000</v>
      </c>
      <c r="AB76" s="12"/>
      <c r="AC76" s="12"/>
      <c r="AD76" s="33">
        <f>Table_Query_from_UnBilled_1345[[#This Row], [Payable]]*0.04</f>
        <v>760</v>
      </c>
      <c r="AE76" s="12">
        <v>0</v>
      </c>
      <c r="AF76" s="12">
        <v>0</v>
      </c>
      <c r="AG76" s="12">
        <v>0</v>
      </c>
      <c r="AH76" s="33">
        <f>Table_Query_from_UnBilled_1345[[#This Row], [Payable]]*0.01</f>
        <v>190</v>
      </c>
      <c r="AI76" s="33">
        <f>Table_Query_from_UnBilled_1345[[#This Row], [Payable]]+Table_Query_from_UnBilled_1345[[#This Row], [AgencyCommission]]+Table_Query_from_UnBilled_1345[[#This Row], [LevyBillable]]</f>
        <v>19950</v>
      </c>
      <c r="AJ76" s="12">
        <v>3967.64</v>
      </c>
      <c r="AK76" s="32" t="s">
        <v>36</v>
      </c>
      <c r="AL76" s="14"/>
      <c r="AM76" s="1" t="s">
        <v>55</v>
      </c>
      <c r="AN76" s="4"/>
      <c r="AO76" s="1" t="s">
        <v>56</v>
      </c>
      <c r="AP76" s="1" t="s">
        <v>57</v>
      </c>
      <c r="AQ76" s="12">
        <v>1</v>
      </c>
      <c r="AR76" s="36">
        <v>19838.2109375</v>
      </c>
      <c r="AS76" s="36">
        <v>19.83821</v>
      </c>
      <c r="AT76" s="36">
        <v>0</v>
      </c>
      <c r="AU76" s="36">
        <v>19838.2109375</v>
      </c>
      <c r="AV76" s="12" t="s">
        <v>268</v>
      </c>
      <c r="AW76"/>
    </row>
    <row r="77" spans="1:49" ht="17.25" hidden="1" customHeight="1" x14ac:dyDescent="0.2">
      <c r="A77" s="1" t="s">
        <v>47</v>
      </c>
      <c r="C77" s="1" t="s">
        <v>48</v>
      </c>
      <c r="E77" s="1" t="s">
        <v>78</v>
      </c>
      <c r="F77" s="1" t="s">
        <v>432</v>
      </c>
      <c r="G77" s="10"/>
      <c r="H77" s="32" t="s">
        <v>50</v>
      </c>
      <c r="I77" s="11">
        <v>7</v>
      </c>
      <c r="J77" s="32" t="s">
        <v>100</v>
      </c>
      <c r="K77" s="3">
        <v>45444</v>
      </c>
      <c r="L77" s="1"/>
      <c r="M77" s="1" t="s">
        <v>82</v>
      </c>
      <c r="N77" s="1" t="s">
        <v>103</v>
      </c>
      <c r="O77" s="1"/>
      <c r="Q77" s="4"/>
      <c r="R77" s="5"/>
      <c r="S77" s="4"/>
      <c r="U77" s="1" t="s">
        <v>54</v>
      </c>
      <c r="V77" s="1" t="s">
        <v>54</v>
      </c>
      <c r="W77" s="1" t="s">
        <v>54</v>
      </c>
      <c r="X77" s="1" t="s">
        <v>54</v>
      </c>
      <c r="Y77" s="12"/>
      <c r="Z77" s="13"/>
      <c r="AA77" s="33">
        <v>23000</v>
      </c>
      <c r="AB77" s="12"/>
      <c r="AC77" s="12"/>
      <c r="AD77" s="33">
        <f>Table_Query_from_UnBilled_1345[[#This Row], [Payable]]*0.04</f>
        <v>920</v>
      </c>
      <c r="AE77" s="12">
        <v>0</v>
      </c>
      <c r="AF77" s="12">
        <v>0</v>
      </c>
      <c r="AG77" s="12">
        <v>0</v>
      </c>
      <c r="AH77" s="33">
        <f>Table_Query_from_UnBilled_1345[[#This Row], [Payable]]*0.01</f>
        <v>230</v>
      </c>
      <c r="AI77" s="33">
        <f>Table_Query_from_UnBilled_1345[[#This Row], [Payable]]+Table_Query_from_UnBilled_1345[[#This Row], [AgencyCommission]]+Table_Query_from_UnBilled_1345[[#This Row], [LevyBillable]]</f>
        <v>24150</v>
      </c>
      <c r="AJ77" s="12">
        <v>5210.8100000000004</v>
      </c>
      <c r="AK77" s="32" t="s">
        <v>36</v>
      </c>
      <c r="AL77" s="14"/>
      <c r="AM77" s="1" t="s">
        <v>55</v>
      </c>
      <c r="AN77" s="4"/>
      <c r="AO77" s="1" t="s">
        <v>56</v>
      </c>
      <c r="AP77" s="1" t="s">
        <v>57</v>
      </c>
      <c r="AQ77" s="12">
        <v>1</v>
      </c>
      <c r="AR77" s="36">
        <v>26054.0703125</v>
      </c>
      <c r="AS77" s="36">
        <v>26.054069999999999</v>
      </c>
      <c r="AT77" s="36">
        <v>0</v>
      </c>
      <c r="AU77" s="36">
        <v>26054.0703125</v>
      </c>
      <c r="AV77" s="12" t="s">
        <v>269</v>
      </c>
      <c r="AW77"/>
    </row>
    <row r="78" spans="1:49" ht="17.25" hidden="1" customHeight="1" x14ac:dyDescent="0.2">
      <c r="A78" s="1" t="s">
        <v>47</v>
      </c>
      <c r="C78" s="1" t="s">
        <v>48</v>
      </c>
      <c r="E78" s="1" t="s">
        <v>78</v>
      </c>
      <c r="F78" s="1" t="s">
        <v>432</v>
      </c>
      <c r="G78" s="10"/>
      <c r="H78" s="32" t="s">
        <v>50</v>
      </c>
      <c r="I78" s="11">
        <v>7</v>
      </c>
      <c r="J78" s="32" t="s">
        <v>100</v>
      </c>
      <c r="K78" s="3">
        <v>45444</v>
      </c>
      <c r="L78" s="1"/>
      <c r="M78" s="1" t="s">
        <v>82</v>
      </c>
      <c r="N78" s="1" t="s">
        <v>101</v>
      </c>
      <c r="O78" s="1"/>
      <c r="Q78" s="4"/>
      <c r="R78" s="5"/>
      <c r="S78" s="4"/>
      <c r="U78" s="1" t="s">
        <v>54</v>
      </c>
      <c r="V78" s="1" t="s">
        <v>54</v>
      </c>
      <c r="W78" s="1" t="s">
        <v>54</v>
      </c>
      <c r="X78" s="1" t="s">
        <v>54</v>
      </c>
      <c r="Y78" s="12"/>
      <c r="Z78" s="13"/>
      <c r="AA78" s="33">
        <v>1200</v>
      </c>
      <c r="AB78" s="12"/>
      <c r="AC78" s="12"/>
      <c r="AD78" s="33">
        <f>Table_Query_from_UnBilled_1345[[#This Row], [Payable]]*0.04</f>
        <v>48</v>
      </c>
      <c r="AE78" s="12">
        <v>0</v>
      </c>
      <c r="AF78" s="12">
        <v>0</v>
      </c>
      <c r="AG78" s="12">
        <v>0</v>
      </c>
      <c r="AH78" s="33">
        <f>Table_Query_from_UnBilled_1345[[#This Row], [Payable]]*0.01</f>
        <v>12</v>
      </c>
      <c r="AI78" s="33">
        <f>Table_Query_from_UnBilled_1345[[#This Row], [Payable]]+Table_Query_from_UnBilled_1345[[#This Row], [AgencyCommission]]+Table_Query_from_UnBilled_1345[[#This Row], [LevyBillable]]</f>
        <v>1260</v>
      </c>
      <c r="AJ78" s="12">
        <v>283.83</v>
      </c>
      <c r="AK78" s="32" t="s">
        <v>36</v>
      </c>
      <c r="AL78" s="14"/>
      <c r="AM78" s="1" t="s">
        <v>55</v>
      </c>
      <c r="AN78" s="4"/>
      <c r="AO78" s="1" t="s">
        <v>56</v>
      </c>
      <c r="AP78" s="1" t="s">
        <v>57</v>
      </c>
      <c r="AQ78" s="12">
        <v>1</v>
      </c>
      <c r="AR78" s="36">
        <v>1419.1400146484375</v>
      </c>
      <c r="AS78" s="36">
        <v>1.4191400000000001</v>
      </c>
      <c r="AT78" s="36">
        <v>0</v>
      </c>
      <c r="AU78" s="36">
        <v>1419.1400146484375</v>
      </c>
      <c r="AV78" s="12" t="s">
        <v>270</v>
      </c>
      <c r="AW78"/>
    </row>
    <row r="79" spans="1:49" ht="17.25" hidden="1" customHeight="1" x14ac:dyDescent="0.2">
      <c r="A79" s="1" t="s">
        <v>47</v>
      </c>
      <c r="C79" s="1" t="s">
        <v>48</v>
      </c>
      <c r="E79" s="1" t="s">
        <v>78</v>
      </c>
      <c r="F79" s="1" t="s">
        <v>432</v>
      </c>
      <c r="G79" s="10"/>
      <c r="H79" s="32" t="s">
        <v>50</v>
      </c>
      <c r="I79" s="11">
        <v>7</v>
      </c>
      <c r="J79" s="32" t="s">
        <v>100</v>
      </c>
      <c r="K79" s="3">
        <v>45444</v>
      </c>
      <c r="L79" s="1"/>
      <c r="M79" s="1" t="s">
        <v>82</v>
      </c>
      <c r="N79" s="1" t="s">
        <v>101</v>
      </c>
      <c r="O79" s="1"/>
      <c r="Q79" s="4"/>
      <c r="R79" s="5"/>
      <c r="S79" s="4"/>
      <c r="U79" s="1" t="s">
        <v>54</v>
      </c>
      <c r="V79" s="1" t="s">
        <v>54</v>
      </c>
      <c r="W79" s="1" t="s">
        <v>54</v>
      </c>
      <c r="X79" s="1" t="s">
        <v>54</v>
      </c>
      <c r="Y79" s="12"/>
      <c r="Z79" s="13"/>
      <c r="AA79" s="33">
        <v>1400</v>
      </c>
      <c r="AB79" s="12"/>
      <c r="AC79" s="12"/>
      <c r="AD79" s="33">
        <f>Table_Query_from_UnBilled_1345[[#This Row], [Payable]]*0.04</f>
        <v>56</v>
      </c>
      <c r="AE79" s="12">
        <v>0</v>
      </c>
      <c r="AF79" s="12">
        <v>0</v>
      </c>
      <c r="AG79" s="12">
        <v>0</v>
      </c>
      <c r="AH79" s="33">
        <f>Table_Query_from_UnBilled_1345[[#This Row], [Payable]]*0.01</f>
        <v>14</v>
      </c>
      <c r="AI79" s="33">
        <f>Table_Query_from_UnBilled_1345[[#This Row], [Payable]]+Table_Query_from_UnBilled_1345[[#This Row], [AgencyCommission]]+Table_Query_from_UnBilled_1345[[#This Row], [LevyBillable]]</f>
        <v>1470</v>
      </c>
      <c r="AJ79" s="12">
        <v>253.08</v>
      </c>
      <c r="AK79" s="32" t="s">
        <v>36</v>
      </c>
      <c r="AL79" s="14"/>
      <c r="AM79" s="1" t="s">
        <v>55</v>
      </c>
      <c r="AN79" s="4"/>
      <c r="AO79" s="1" t="s">
        <v>56</v>
      </c>
      <c r="AP79" s="1" t="s">
        <v>57</v>
      </c>
      <c r="AQ79" s="12">
        <v>1</v>
      </c>
      <c r="AR79" s="36">
        <v>1265.3900146484375</v>
      </c>
      <c r="AS79" s="36">
        <v>1.26539</v>
      </c>
      <c r="AT79" s="36">
        <v>0</v>
      </c>
      <c r="AU79" s="36">
        <v>1265.3900146484375</v>
      </c>
      <c r="AV79" s="12" t="s">
        <v>271</v>
      </c>
      <c r="AW79"/>
    </row>
    <row r="80" spans="1:49" ht="17.25" hidden="1" customHeight="1" x14ac:dyDescent="0.2">
      <c r="A80" s="1" t="s">
        <v>47</v>
      </c>
      <c r="C80" s="1" t="s">
        <v>48</v>
      </c>
      <c r="E80" s="1" t="s">
        <v>78</v>
      </c>
      <c r="F80" s="1" t="s">
        <v>432</v>
      </c>
      <c r="G80" s="10"/>
      <c r="H80" s="32" t="s">
        <v>50</v>
      </c>
      <c r="I80" s="11">
        <v>7</v>
      </c>
      <c r="J80" s="32" t="s">
        <v>100</v>
      </c>
      <c r="K80" s="3">
        <v>45444</v>
      </c>
      <c r="L80" s="1"/>
      <c r="M80" s="1" t="s">
        <v>82</v>
      </c>
      <c r="N80" s="1" t="s">
        <v>101</v>
      </c>
      <c r="O80" s="1"/>
      <c r="Q80" s="4"/>
      <c r="R80" s="5"/>
      <c r="S80" s="4"/>
      <c r="U80" s="1" t="s">
        <v>54</v>
      </c>
      <c r="V80" s="1" t="s">
        <v>54</v>
      </c>
      <c r="W80" s="1" t="s">
        <v>54</v>
      </c>
      <c r="X80" s="1" t="s">
        <v>54</v>
      </c>
      <c r="Y80" s="12"/>
      <c r="Z80" s="13"/>
      <c r="AA80" s="33">
        <v>14000</v>
      </c>
      <c r="AB80" s="12"/>
      <c r="AC80" s="12"/>
      <c r="AD80" s="33">
        <f>Table_Query_from_UnBilled_1345[[#This Row], [Payable]]*0.04</f>
        <v>560</v>
      </c>
      <c r="AE80" s="12">
        <v>0</v>
      </c>
      <c r="AF80" s="12">
        <v>0</v>
      </c>
      <c r="AG80" s="12">
        <v>0</v>
      </c>
      <c r="AH80" s="33">
        <f>Table_Query_from_UnBilled_1345[[#This Row], [Payable]]*0.01</f>
        <v>140</v>
      </c>
      <c r="AI80" s="33">
        <f>Table_Query_from_UnBilled_1345[[#This Row], [Payable]]+Table_Query_from_UnBilled_1345[[#This Row], [AgencyCommission]]+Table_Query_from_UnBilled_1345[[#This Row], [LevyBillable]]</f>
        <v>14700</v>
      </c>
      <c r="AJ80" s="12">
        <v>2910.94</v>
      </c>
      <c r="AK80" s="32" t="s">
        <v>36</v>
      </c>
      <c r="AL80" s="14"/>
      <c r="AM80" s="1" t="s">
        <v>55</v>
      </c>
      <c r="AN80" s="4"/>
      <c r="AO80" s="1" t="s">
        <v>56</v>
      </c>
      <c r="AP80" s="1" t="s">
        <v>57</v>
      </c>
      <c r="AQ80" s="12">
        <v>1</v>
      </c>
      <c r="AR80" s="36">
        <v>14554.6904296875</v>
      </c>
      <c r="AS80" s="36">
        <v>14.554690000000001</v>
      </c>
      <c r="AT80" s="36">
        <v>0</v>
      </c>
      <c r="AU80" s="36">
        <v>14554.6904296875</v>
      </c>
      <c r="AV80" s="12" t="s">
        <v>272</v>
      </c>
      <c r="AW80"/>
    </row>
    <row r="81" spans="1:49" ht="17.25" hidden="1" customHeight="1" x14ac:dyDescent="0.2">
      <c r="A81" s="1" t="s">
        <v>47</v>
      </c>
      <c r="C81" s="1" t="s">
        <v>48</v>
      </c>
      <c r="E81" s="1" t="s">
        <v>78</v>
      </c>
      <c r="F81" s="1" t="s">
        <v>432</v>
      </c>
      <c r="G81" s="10"/>
      <c r="H81" s="32" t="s">
        <v>50</v>
      </c>
      <c r="I81" s="11">
        <v>7</v>
      </c>
      <c r="J81" s="32" t="s">
        <v>100</v>
      </c>
      <c r="K81" s="3">
        <v>45444</v>
      </c>
      <c r="L81" s="1"/>
      <c r="M81" s="1" t="s">
        <v>82</v>
      </c>
      <c r="N81" s="1" t="s">
        <v>101</v>
      </c>
      <c r="O81" s="1"/>
      <c r="Q81" s="4"/>
      <c r="R81" s="5"/>
      <c r="S81" s="4"/>
      <c r="U81" s="1" t="s">
        <v>54</v>
      </c>
      <c r="V81" s="1" t="s">
        <v>54</v>
      </c>
      <c r="W81" s="1" t="s">
        <v>54</v>
      </c>
      <c r="X81" s="1" t="s">
        <v>54</v>
      </c>
      <c r="Y81" s="12"/>
      <c r="Z81" s="13"/>
      <c r="AA81" s="33">
        <v>1400</v>
      </c>
      <c r="AB81" s="12"/>
      <c r="AC81" s="12"/>
      <c r="AD81" s="33">
        <f>Table_Query_from_UnBilled_1345[[#This Row], [Payable]]*0.04</f>
        <v>56</v>
      </c>
      <c r="AE81" s="12">
        <v>0</v>
      </c>
      <c r="AF81" s="12">
        <v>0</v>
      </c>
      <c r="AG81" s="12">
        <v>0</v>
      </c>
      <c r="AH81" s="33">
        <f>Table_Query_from_UnBilled_1345[[#This Row], [Payable]]*0.01</f>
        <v>14</v>
      </c>
      <c r="AI81" s="33">
        <f>Table_Query_from_UnBilled_1345[[#This Row], [Payable]]+Table_Query_from_UnBilled_1345[[#This Row], [AgencyCommission]]+Table_Query_from_UnBilled_1345[[#This Row], [LevyBillable]]</f>
        <v>1470</v>
      </c>
      <c r="AJ81" s="12">
        <v>297.37</v>
      </c>
      <c r="AK81" s="32" t="s">
        <v>36</v>
      </c>
      <c r="AL81" s="14"/>
      <c r="AM81" s="1" t="s">
        <v>55</v>
      </c>
      <c r="AN81" s="4"/>
      <c r="AO81" s="1" t="s">
        <v>56</v>
      </c>
      <c r="AP81" s="1" t="s">
        <v>57</v>
      </c>
      <c r="AQ81" s="12">
        <v>1</v>
      </c>
      <c r="AR81" s="36">
        <v>1486.8699951171875</v>
      </c>
      <c r="AS81" s="36">
        <v>1.4868699999999999</v>
      </c>
      <c r="AT81" s="36">
        <v>0</v>
      </c>
      <c r="AU81" s="36">
        <v>1486.8699951171875</v>
      </c>
      <c r="AV81" s="12" t="s">
        <v>273</v>
      </c>
      <c r="AW81"/>
    </row>
    <row r="82" spans="1:49" ht="17.25" hidden="1" customHeight="1" x14ac:dyDescent="0.2">
      <c r="A82" s="1" t="s">
        <v>47</v>
      </c>
      <c r="C82" s="1" t="s">
        <v>48</v>
      </c>
      <c r="E82" s="1" t="s">
        <v>78</v>
      </c>
      <c r="F82" s="1" t="s">
        <v>432</v>
      </c>
      <c r="G82" s="10"/>
      <c r="H82" s="32" t="s">
        <v>50</v>
      </c>
      <c r="I82" s="11">
        <v>7</v>
      </c>
      <c r="J82" s="32" t="s">
        <v>100</v>
      </c>
      <c r="K82" s="3">
        <v>45444</v>
      </c>
      <c r="L82" s="1"/>
      <c r="M82" s="1" t="s">
        <v>82</v>
      </c>
      <c r="N82" s="1" t="s">
        <v>85</v>
      </c>
      <c r="O82" s="1"/>
      <c r="Q82" s="4"/>
      <c r="R82" s="5"/>
      <c r="S82" s="4"/>
      <c r="U82" s="1" t="s">
        <v>54</v>
      </c>
      <c r="V82" s="1" t="s">
        <v>54</v>
      </c>
      <c r="W82" s="1" t="s">
        <v>54</v>
      </c>
      <c r="X82" s="1" t="s">
        <v>54</v>
      </c>
      <c r="Y82" s="12"/>
      <c r="Z82" s="13"/>
      <c r="AA82" s="33">
        <v>100</v>
      </c>
      <c r="AB82" s="12"/>
      <c r="AC82" s="12"/>
      <c r="AD82" s="33">
        <f>Table_Query_from_UnBilled_1345[[#This Row], [Payable]]*0.04</f>
        <v>4</v>
      </c>
      <c r="AE82" s="12">
        <v>0</v>
      </c>
      <c r="AF82" s="12">
        <v>0</v>
      </c>
      <c r="AG82" s="12">
        <v>0</v>
      </c>
      <c r="AH82" s="33">
        <f>Table_Query_from_UnBilled_1345[[#This Row], [Payable]]*0.01</f>
        <v>1</v>
      </c>
      <c r="AI82" s="33">
        <f>Table_Query_from_UnBilled_1345[[#This Row], [Payable]]+Table_Query_from_UnBilled_1345[[#This Row], [AgencyCommission]]+Table_Query_from_UnBilled_1345[[#This Row], [LevyBillable]]</f>
        <v>105</v>
      </c>
      <c r="AJ82" s="12">
        <v>27.67</v>
      </c>
      <c r="AK82" s="32" t="s">
        <v>36</v>
      </c>
      <c r="AL82" s="14"/>
      <c r="AM82" s="1" t="s">
        <v>55</v>
      </c>
      <c r="AN82" s="4"/>
      <c r="AO82" s="1" t="s">
        <v>56</v>
      </c>
      <c r="AP82" s="1" t="s">
        <v>57</v>
      </c>
      <c r="AQ82" s="12">
        <v>1</v>
      </c>
      <c r="AR82" s="36">
        <v>138.35000610351562</v>
      </c>
      <c r="AS82" s="36">
        <v>0.13835</v>
      </c>
      <c r="AT82" s="36">
        <v>0</v>
      </c>
      <c r="AU82" s="36">
        <v>138.35000610351562</v>
      </c>
      <c r="AV82" s="12" t="s">
        <v>274</v>
      </c>
      <c r="AW82"/>
    </row>
    <row r="83" spans="1:49" ht="17.25" hidden="1" customHeight="1" x14ac:dyDescent="0.2">
      <c r="A83" s="1" t="s">
        <v>47</v>
      </c>
      <c r="C83" s="1" t="s">
        <v>48</v>
      </c>
      <c r="E83" s="1" t="s">
        <v>78</v>
      </c>
      <c r="F83" s="1" t="s">
        <v>432</v>
      </c>
      <c r="G83" s="10"/>
      <c r="H83" s="32" t="s">
        <v>50</v>
      </c>
      <c r="I83" s="11">
        <v>7</v>
      </c>
      <c r="J83" s="32" t="s">
        <v>100</v>
      </c>
      <c r="K83" s="3">
        <v>45444</v>
      </c>
      <c r="L83" s="1"/>
      <c r="M83" s="1" t="s">
        <v>82</v>
      </c>
      <c r="N83" s="1" t="s">
        <v>85</v>
      </c>
      <c r="O83" s="1"/>
      <c r="Q83" s="4"/>
      <c r="R83" s="5"/>
      <c r="S83" s="4"/>
      <c r="U83" s="1" t="s">
        <v>54</v>
      </c>
      <c r="V83" s="1" t="s">
        <v>54</v>
      </c>
      <c r="W83" s="1" t="s">
        <v>54</v>
      </c>
      <c r="X83" s="1" t="s">
        <v>54</v>
      </c>
      <c r="Y83" s="12"/>
      <c r="Z83" s="13"/>
      <c r="AA83" s="33">
        <v>4000</v>
      </c>
      <c r="AB83" s="12"/>
      <c r="AC83" s="12"/>
      <c r="AD83" s="33">
        <f>Table_Query_from_UnBilled_1345[[#This Row], [Payable]]*0.04</f>
        <v>160</v>
      </c>
      <c r="AE83" s="12">
        <v>0</v>
      </c>
      <c r="AF83" s="12">
        <v>0</v>
      </c>
      <c r="AG83" s="12">
        <v>0</v>
      </c>
      <c r="AH83" s="33">
        <f>Table_Query_from_UnBilled_1345[[#This Row], [Payable]]*0.01</f>
        <v>40</v>
      </c>
      <c r="AI83" s="33">
        <f>Table_Query_from_UnBilled_1345[[#This Row], [Payable]]+Table_Query_from_UnBilled_1345[[#This Row], [AgencyCommission]]+Table_Query_from_UnBilled_1345[[#This Row], [LevyBillable]]</f>
        <v>4200</v>
      </c>
      <c r="AJ83" s="12">
        <v>835.77</v>
      </c>
      <c r="AK83" s="32" t="s">
        <v>36</v>
      </c>
      <c r="AL83" s="14"/>
      <c r="AM83" s="1" t="s">
        <v>55</v>
      </c>
      <c r="AN83" s="4"/>
      <c r="AO83" s="1" t="s">
        <v>56</v>
      </c>
      <c r="AP83" s="1" t="s">
        <v>57</v>
      </c>
      <c r="AQ83" s="12">
        <v>1</v>
      </c>
      <c r="AR83" s="36">
        <v>4178.83984375</v>
      </c>
      <c r="AS83" s="36">
        <v>4.1788400000000001</v>
      </c>
      <c r="AT83" s="36">
        <v>0</v>
      </c>
      <c r="AU83" s="36">
        <v>4178.83984375</v>
      </c>
      <c r="AV83" s="12" t="s">
        <v>275</v>
      </c>
      <c r="AW83"/>
    </row>
    <row r="84" spans="1:49" ht="17.25" hidden="1" customHeight="1" x14ac:dyDescent="0.2">
      <c r="A84" s="1" t="s">
        <v>47</v>
      </c>
      <c r="C84" s="1" t="s">
        <v>48</v>
      </c>
      <c r="E84" s="1" t="s">
        <v>78</v>
      </c>
      <c r="F84" s="1" t="s">
        <v>432</v>
      </c>
      <c r="G84" s="10"/>
      <c r="H84" s="32" t="s">
        <v>50</v>
      </c>
      <c r="I84" s="11">
        <v>7</v>
      </c>
      <c r="J84" s="32" t="s">
        <v>100</v>
      </c>
      <c r="K84" s="3">
        <v>45444</v>
      </c>
      <c r="L84" s="1"/>
      <c r="M84" s="1" t="s">
        <v>82</v>
      </c>
      <c r="N84" s="1" t="s">
        <v>85</v>
      </c>
      <c r="O84" s="1"/>
      <c r="Q84" s="4"/>
      <c r="R84" s="5"/>
      <c r="S84" s="4"/>
      <c r="U84" s="1" t="s">
        <v>54</v>
      </c>
      <c r="V84" s="1" t="s">
        <v>54</v>
      </c>
      <c r="W84" s="1" t="s">
        <v>54</v>
      </c>
      <c r="X84" s="1" t="s">
        <v>54</v>
      </c>
      <c r="Y84" s="12"/>
      <c r="Z84" s="13"/>
      <c r="AA84" s="33">
        <v>390</v>
      </c>
      <c r="AB84" s="12"/>
      <c r="AC84" s="12"/>
      <c r="AD84" s="33">
        <f>Table_Query_from_UnBilled_1345[[#This Row], [Payable]]*0.04</f>
        <v>15.6</v>
      </c>
      <c r="AE84" s="12">
        <v>0</v>
      </c>
      <c r="AF84" s="12">
        <v>0</v>
      </c>
      <c r="AG84" s="12">
        <v>0</v>
      </c>
      <c r="AH84" s="33">
        <f>Table_Query_from_UnBilled_1345[[#This Row], [Payable]]*0.01</f>
        <v>3.9</v>
      </c>
      <c r="AI84" s="33">
        <f>Table_Query_from_UnBilled_1345[[#This Row], [Payable]]+Table_Query_from_UnBilled_1345[[#This Row], [AgencyCommission]]+Table_Query_from_UnBilled_1345[[#This Row], [LevyBillable]]</f>
        <v>409.5</v>
      </c>
      <c r="AJ84" s="12">
        <v>64.48</v>
      </c>
      <c r="AK84" s="32" t="s">
        <v>36</v>
      </c>
      <c r="AL84" s="14"/>
      <c r="AM84" s="1" t="s">
        <v>55</v>
      </c>
      <c r="AN84" s="4"/>
      <c r="AO84" s="1" t="s">
        <v>56</v>
      </c>
      <c r="AP84" s="1" t="s">
        <v>57</v>
      </c>
      <c r="AQ84" s="12">
        <v>1</v>
      </c>
      <c r="AR84" s="36">
        <v>322.41000366210938</v>
      </c>
      <c r="AS84" s="36">
        <v>0.32240999999999997</v>
      </c>
      <c r="AT84" s="36">
        <v>0</v>
      </c>
      <c r="AU84" s="36">
        <v>322.41000366210938</v>
      </c>
      <c r="AV84" s="12" t="s">
        <v>276</v>
      </c>
      <c r="AW84"/>
    </row>
    <row r="85" spans="1:49" ht="17.25" hidden="1" customHeight="1" x14ac:dyDescent="0.2">
      <c r="A85" s="1" t="s">
        <v>47</v>
      </c>
      <c r="C85" s="1" t="s">
        <v>48</v>
      </c>
      <c r="E85" s="1" t="s">
        <v>78</v>
      </c>
      <c r="F85" s="1" t="s">
        <v>432</v>
      </c>
      <c r="G85" s="10"/>
      <c r="H85" s="32" t="s">
        <v>50</v>
      </c>
      <c r="I85" s="11">
        <v>8</v>
      </c>
      <c r="J85" s="32" t="s">
        <v>104</v>
      </c>
      <c r="K85" s="3">
        <v>45444</v>
      </c>
      <c r="L85" s="1"/>
      <c r="M85" s="1" t="s">
        <v>99</v>
      </c>
      <c r="N85" s="1" t="s">
        <v>98</v>
      </c>
      <c r="O85" s="1"/>
      <c r="Q85" s="4"/>
      <c r="R85" s="5"/>
      <c r="S85" s="4"/>
      <c r="U85" s="1" t="s">
        <v>54</v>
      </c>
      <c r="V85" s="1"/>
      <c r="W85" s="1" t="s">
        <v>54</v>
      </c>
      <c r="X85" s="1" t="s">
        <v>54</v>
      </c>
      <c r="Y85" s="12"/>
      <c r="Z85" s="13"/>
      <c r="AA85" s="33">
        <v>15000</v>
      </c>
      <c r="AB85" s="12"/>
      <c r="AC85" s="12"/>
      <c r="AD85" s="33">
        <f>Table_Query_from_UnBilled_1345[[#This Row], [Payable]]*0.03</f>
        <v>450</v>
      </c>
      <c r="AE85" s="12">
        <v>0</v>
      </c>
      <c r="AF85" s="12">
        <v>0</v>
      </c>
      <c r="AG85" s="12">
        <v>0</v>
      </c>
      <c r="AH85" s="33">
        <f>Table_Query_from_UnBilled_1345[[#This Row], [Payable]]*0.01</f>
        <v>150</v>
      </c>
      <c r="AI85" s="33">
        <f>Table_Query_from_UnBilled_1345[[#This Row], [Payable]]+Table_Query_from_UnBilled_1345[[#This Row], [AgencyCommission]]+Table_Query_from_UnBilled_1345[[#This Row], [LevyBillable]]</f>
        <v>15600</v>
      </c>
      <c r="AJ85" s="12">
        <v>2939.21</v>
      </c>
      <c r="AK85" s="32" t="s">
        <v>36</v>
      </c>
      <c r="AL85" s="14"/>
      <c r="AM85" s="1" t="s">
        <v>55</v>
      </c>
      <c r="AN85" s="4"/>
      <c r="AO85" s="1" t="s">
        <v>56</v>
      </c>
      <c r="AP85" s="1" t="s">
        <v>57</v>
      </c>
      <c r="AQ85" s="12">
        <v>1</v>
      </c>
      <c r="AR85" s="36">
        <v>14696.0302734375</v>
      </c>
      <c r="AS85" s="36">
        <v>14.69603</v>
      </c>
      <c r="AT85" s="36">
        <v>0</v>
      </c>
      <c r="AU85" s="36">
        <v>14696.0302734375</v>
      </c>
      <c r="AV85" s="12" t="s">
        <v>277</v>
      </c>
      <c r="AW85"/>
    </row>
    <row r="86" spans="1:49" ht="17.25" hidden="1" customHeight="1" x14ac:dyDescent="0.2">
      <c r="A86" s="1" t="s">
        <v>47</v>
      </c>
      <c r="C86" s="1" t="s">
        <v>48</v>
      </c>
      <c r="E86" s="1" t="s">
        <v>78</v>
      </c>
      <c r="F86" s="1" t="s">
        <v>432</v>
      </c>
      <c r="G86" s="10"/>
      <c r="H86" s="32" t="s">
        <v>50</v>
      </c>
      <c r="I86" s="11">
        <v>8</v>
      </c>
      <c r="J86" s="32" t="s">
        <v>104</v>
      </c>
      <c r="K86" s="3">
        <v>45444</v>
      </c>
      <c r="L86" s="1"/>
      <c r="M86" s="1" t="s">
        <v>99</v>
      </c>
      <c r="N86" s="1" t="s">
        <v>105</v>
      </c>
      <c r="O86" s="1"/>
      <c r="Q86" s="4"/>
      <c r="R86" s="5"/>
      <c r="S86" s="4"/>
      <c r="U86" s="1" t="s">
        <v>54</v>
      </c>
      <c r="V86" s="1"/>
      <c r="W86" s="1" t="s">
        <v>54</v>
      </c>
      <c r="X86" s="1" t="s">
        <v>54</v>
      </c>
      <c r="Y86" s="12"/>
      <c r="Z86" s="13"/>
      <c r="AA86" s="33">
        <v>14000</v>
      </c>
      <c r="AB86" s="12"/>
      <c r="AC86" s="12"/>
      <c r="AD86" s="33">
        <f>Table_Query_from_UnBilled_1345[[#This Row], [Payable]]*0.03</f>
        <v>420</v>
      </c>
      <c r="AE86" s="12">
        <v>0</v>
      </c>
      <c r="AF86" s="12">
        <v>0</v>
      </c>
      <c r="AG86" s="12">
        <v>0</v>
      </c>
      <c r="AH86" s="33">
        <f>Table_Query_from_UnBilled_1345[[#This Row], [Payable]]*0.01</f>
        <v>140</v>
      </c>
      <c r="AI86" s="33">
        <f>Table_Query_from_UnBilled_1345[[#This Row], [Payable]]+Table_Query_from_UnBilled_1345[[#This Row], [AgencyCommission]]+Table_Query_from_UnBilled_1345[[#This Row], [LevyBillable]]</f>
        <v>14560</v>
      </c>
      <c r="AJ86" s="12">
        <v>2996.79</v>
      </c>
      <c r="AK86" s="32" t="s">
        <v>36</v>
      </c>
      <c r="AL86" s="14"/>
      <c r="AM86" s="1" t="s">
        <v>55</v>
      </c>
      <c r="AN86" s="4"/>
      <c r="AO86" s="1" t="s">
        <v>56</v>
      </c>
      <c r="AP86" s="1" t="s">
        <v>57</v>
      </c>
      <c r="AQ86" s="12">
        <v>1</v>
      </c>
      <c r="AR86" s="36">
        <v>14983.9697265625</v>
      </c>
      <c r="AS86" s="36">
        <v>14.983969999999999</v>
      </c>
      <c r="AT86" s="36">
        <v>0</v>
      </c>
      <c r="AU86" s="36">
        <v>14983.9697265625</v>
      </c>
      <c r="AV86" s="12" t="s">
        <v>278</v>
      </c>
      <c r="AW86"/>
    </row>
    <row r="87" spans="1:49" ht="17.25" hidden="1" customHeight="1" x14ac:dyDescent="0.2">
      <c r="A87" s="1" t="s">
        <v>47</v>
      </c>
      <c r="C87" s="1" t="s">
        <v>48</v>
      </c>
      <c r="E87" s="1" t="s">
        <v>78</v>
      </c>
      <c r="F87" s="1" t="s">
        <v>432</v>
      </c>
      <c r="G87" s="10"/>
      <c r="H87" s="32" t="s">
        <v>50</v>
      </c>
      <c r="I87" s="11">
        <v>8</v>
      </c>
      <c r="J87" s="32" t="s">
        <v>104</v>
      </c>
      <c r="K87" s="3">
        <v>45444</v>
      </c>
      <c r="L87" s="1"/>
      <c r="M87" s="1" t="s">
        <v>99</v>
      </c>
      <c r="N87" s="1" t="s">
        <v>106</v>
      </c>
      <c r="O87" s="1"/>
      <c r="Q87" s="4"/>
      <c r="R87" s="5"/>
      <c r="S87" s="4"/>
      <c r="U87" s="1" t="s">
        <v>54</v>
      </c>
      <c r="V87" s="1"/>
      <c r="W87" s="1" t="s">
        <v>54</v>
      </c>
      <c r="X87" s="1" t="s">
        <v>54</v>
      </c>
      <c r="Y87" s="12"/>
      <c r="Z87" s="13"/>
      <c r="AA87" s="33">
        <v>30000</v>
      </c>
      <c r="AB87" s="12"/>
      <c r="AC87" s="12"/>
      <c r="AD87" s="33">
        <f>Table_Query_from_UnBilled_1345[[#This Row], [Payable]]*0.03</f>
        <v>900</v>
      </c>
      <c r="AE87" s="12">
        <v>0</v>
      </c>
      <c r="AF87" s="12">
        <v>0</v>
      </c>
      <c r="AG87" s="12">
        <v>0</v>
      </c>
      <c r="AH87" s="33">
        <f>Table_Query_from_UnBilled_1345[[#This Row], [Payable]]*0.01</f>
        <v>300</v>
      </c>
      <c r="AI87" s="33">
        <f>Table_Query_from_UnBilled_1345[[#This Row], [Payable]]+Table_Query_from_UnBilled_1345[[#This Row], [AgencyCommission]]+Table_Query_from_UnBilled_1345[[#This Row], [LevyBillable]]</f>
        <v>31200</v>
      </c>
      <c r="AJ87" s="12">
        <v>5993.55</v>
      </c>
      <c r="AK87" s="32" t="s">
        <v>36</v>
      </c>
      <c r="AL87" s="14"/>
      <c r="AM87" s="1" t="s">
        <v>55</v>
      </c>
      <c r="AN87" s="4"/>
      <c r="AO87" s="1" t="s">
        <v>56</v>
      </c>
      <c r="AP87" s="1" t="s">
        <v>57</v>
      </c>
      <c r="AQ87" s="12">
        <v>1</v>
      </c>
      <c r="AR87" s="36">
        <v>29967.759765625</v>
      </c>
      <c r="AS87" s="36">
        <v>29.967759999999998</v>
      </c>
      <c r="AT87" s="36">
        <v>0</v>
      </c>
      <c r="AU87" s="36">
        <v>29967.759765625</v>
      </c>
      <c r="AV87" s="12" t="s">
        <v>279</v>
      </c>
      <c r="AW87"/>
    </row>
    <row r="88" spans="1:49" ht="17.25" hidden="1" customHeight="1" x14ac:dyDescent="0.2">
      <c r="A88" s="1" t="s">
        <v>47</v>
      </c>
      <c r="C88" s="1" t="s">
        <v>48</v>
      </c>
      <c r="E88" s="1" t="s">
        <v>78</v>
      </c>
      <c r="F88" s="1" t="s">
        <v>432</v>
      </c>
      <c r="G88" s="10"/>
      <c r="H88" s="32" t="s">
        <v>50</v>
      </c>
      <c r="I88" s="11">
        <v>8</v>
      </c>
      <c r="J88" s="32" t="s">
        <v>104</v>
      </c>
      <c r="K88" s="3">
        <v>45444</v>
      </c>
      <c r="L88" s="1"/>
      <c r="M88" s="1" t="s">
        <v>99</v>
      </c>
      <c r="N88" s="1" t="s">
        <v>107</v>
      </c>
      <c r="O88" s="1"/>
      <c r="Q88" s="4"/>
      <c r="R88" s="5"/>
      <c r="S88" s="4"/>
      <c r="U88" s="1" t="s">
        <v>54</v>
      </c>
      <c r="V88" s="1"/>
      <c r="W88" s="1" t="s">
        <v>54</v>
      </c>
      <c r="X88" s="1" t="s">
        <v>54</v>
      </c>
      <c r="Y88" s="12"/>
      <c r="Z88" s="13"/>
      <c r="AA88" s="33">
        <v>25000</v>
      </c>
      <c r="AB88" s="12"/>
      <c r="AC88" s="12"/>
      <c r="AD88" s="33">
        <f>Table_Query_from_UnBilled_1345[[#This Row], [Payable]]*0.03</f>
        <v>750</v>
      </c>
      <c r="AE88" s="12">
        <v>0</v>
      </c>
      <c r="AF88" s="12">
        <v>0</v>
      </c>
      <c r="AG88" s="12">
        <v>0</v>
      </c>
      <c r="AH88" s="33">
        <f>Table_Query_from_UnBilled_1345[[#This Row], [Payable]]*0.01</f>
        <v>250</v>
      </c>
      <c r="AI88" s="33">
        <f>Table_Query_from_UnBilled_1345[[#This Row], [Payable]]+Table_Query_from_UnBilled_1345[[#This Row], [AgencyCommission]]+Table_Query_from_UnBilled_1345[[#This Row], [LevyBillable]]</f>
        <v>26000</v>
      </c>
      <c r="AJ88" s="12">
        <v>6646.47</v>
      </c>
      <c r="AK88" s="32" t="s">
        <v>36</v>
      </c>
      <c r="AL88" s="14"/>
      <c r="AM88" s="1" t="s">
        <v>55</v>
      </c>
      <c r="AN88" s="4"/>
      <c r="AO88" s="1" t="s">
        <v>56</v>
      </c>
      <c r="AP88" s="1" t="s">
        <v>57</v>
      </c>
      <c r="AQ88" s="12">
        <v>1</v>
      </c>
      <c r="AR88" s="36">
        <v>33232.328125</v>
      </c>
      <c r="AS88" s="36">
        <v>33.232329999999997</v>
      </c>
      <c r="AT88" s="36">
        <v>0</v>
      </c>
      <c r="AU88" s="36">
        <v>33232.328125</v>
      </c>
      <c r="AV88" s="12" t="s">
        <v>280</v>
      </c>
      <c r="AW88"/>
    </row>
    <row r="89" spans="1:49" ht="17.25" hidden="1" customHeight="1" x14ac:dyDescent="0.2">
      <c r="A89" s="1" t="s">
        <v>47</v>
      </c>
      <c r="C89" s="1" t="s">
        <v>48</v>
      </c>
      <c r="E89" s="1" t="s">
        <v>78</v>
      </c>
      <c r="F89" s="1" t="s">
        <v>432</v>
      </c>
      <c r="G89" s="10"/>
      <c r="H89" s="32" t="s">
        <v>50</v>
      </c>
      <c r="I89" s="11">
        <v>8</v>
      </c>
      <c r="J89" s="32" t="s">
        <v>104</v>
      </c>
      <c r="K89" s="3">
        <v>45444</v>
      </c>
      <c r="L89" s="1"/>
      <c r="M89" s="1" t="s">
        <v>99</v>
      </c>
      <c r="N89" s="1" t="s">
        <v>106</v>
      </c>
      <c r="O89" s="1"/>
      <c r="Q89" s="4"/>
      <c r="R89" s="5"/>
      <c r="S89" s="4"/>
      <c r="U89" s="1" t="s">
        <v>54</v>
      </c>
      <c r="V89" s="1"/>
      <c r="W89" s="1" t="s">
        <v>54</v>
      </c>
      <c r="X89" s="1" t="s">
        <v>54</v>
      </c>
      <c r="Y89" s="12"/>
      <c r="Z89" s="13"/>
      <c r="AA89" s="33">
        <v>3560</v>
      </c>
      <c r="AB89" s="12"/>
      <c r="AC89" s="12"/>
      <c r="AD89" s="33">
        <f>Table_Query_from_UnBilled_1345[[#This Row], [Payable]]*0.03</f>
        <v>106.8</v>
      </c>
      <c r="AE89" s="12">
        <v>0</v>
      </c>
      <c r="AF89" s="12">
        <v>0</v>
      </c>
      <c r="AG89" s="12">
        <v>0</v>
      </c>
      <c r="AH89" s="33">
        <f>Table_Query_from_UnBilled_1345[[#This Row], [Payable]]*0.01</f>
        <v>35.6</v>
      </c>
      <c r="AI89" s="33">
        <f>Table_Query_from_UnBilled_1345[[#This Row], [Payable]]+Table_Query_from_UnBilled_1345[[#This Row], [AgencyCommission]]+Table_Query_from_UnBilled_1345[[#This Row], [LevyBillable]]</f>
        <v>3702.4</v>
      </c>
      <c r="AJ89" s="12">
        <v>230.79</v>
      </c>
      <c r="AK89" s="32" t="s">
        <v>36</v>
      </c>
      <c r="AL89" s="14"/>
      <c r="AM89" s="1" t="s">
        <v>55</v>
      </c>
      <c r="AN89" s="4"/>
      <c r="AO89" s="1" t="s">
        <v>56</v>
      </c>
      <c r="AP89" s="1" t="s">
        <v>57</v>
      </c>
      <c r="AQ89" s="12">
        <v>1</v>
      </c>
      <c r="AR89" s="36">
        <v>1153.9599609375</v>
      </c>
      <c r="AS89" s="36">
        <v>1.1539600000000001</v>
      </c>
      <c r="AT89" s="36">
        <v>0</v>
      </c>
      <c r="AU89" s="36">
        <v>1153.9599609375</v>
      </c>
      <c r="AV89" s="12" t="s">
        <v>281</v>
      </c>
      <c r="AW89"/>
    </row>
    <row r="90" spans="1:49" ht="17.25" hidden="1" customHeight="1" x14ac:dyDescent="0.2">
      <c r="A90" s="1" t="s">
        <v>47</v>
      </c>
      <c r="C90" s="1" t="s">
        <v>48</v>
      </c>
      <c r="E90" s="1" t="s">
        <v>78</v>
      </c>
      <c r="F90" s="1" t="s">
        <v>432</v>
      </c>
      <c r="G90" s="10"/>
      <c r="H90" s="32" t="s">
        <v>50</v>
      </c>
      <c r="I90" s="11">
        <v>8</v>
      </c>
      <c r="J90" s="32" t="s">
        <v>104</v>
      </c>
      <c r="K90" s="3">
        <v>45444</v>
      </c>
      <c r="L90" s="1"/>
      <c r="M90" s="1" t="s">
        <v>99</v>
      </c>
      <c r="N90" s="1" t="s">
        <v>108</v>
      </c>
      <c r="O90" s="1"/>
      <c r="Q90" s="4"/>
      <c r="R90" s="5"/>
      <c r="S90" s="4"/>
      <c r="U90" s="1" t="s">
        <v>54</v>
      </c>
      <c r="V90" s="1"/>
      <c r="W90" s="1" t="s">
        <v>54</v>
      </c>
      <c r="X90" s="1" t="s">
        <v>54</v>
      </c>
      <c r="Y90" s="12"/>
      <c r="Z90" s="13"/>
      <c r="AA90" s="33">
        <v>20000</v>
      </c>
      <c r="AB90" s="12"/>
      <c r="AC90" s="12"/>
      <c r="AD90" s="33">
        <f>Table_Query_from_UnBilled_1345[[#This Row], [Payable]]*0.03</f>
        <v>600</v>
      </c>
      <c r="AE90" s="12">
        <v>0</v>
      </c>
      <c r="AF90" s="12">
        <v>0</v>
      </c>
      <c r="AG90" s="12">
        <v>0</v>
      </c>
      <c r="AH90" s="33">
        <f>Table_Query_from_UnBilled_1345[[#This Row], [Payable]]*0.01</f>
        <v>200</v>
      </c>
      <c r="AI90" s="33">
        <f>Table_Query_from_UnBilled_1345[[#This Row], [Payable]]+Table_Query_from_UnBilled_1345[[#This Row], [AgencyCommission]]+Table_Query_from_UnBilled_1345[[#This Row], [LevyBillable]]</f>
        <v>20800</v>
      </c>
      <c r="AJ90" s="12">
        <v>3745.82</v>
      </c>
      <c r="AK90" s="32" t="s">
        <v>36</v>
      </c>
      <c r="AL90" s="14"/>
      <c r="AM90" s="1" t="s">
        <v>55</v>
      </c>
      <c r="AN90" s="4"/>
      <c r="AO90" s="1" t="s">
        <v>56</v>
      </c>
      <c r="AP90" s="1" t="s">
        <v>57</v>
      </c>
      <c r="AQ90" s="12">
        <v>1</v>
      </c>
      <c r="AR90" s="36">
        <v>18729.099609375</v>
      </c>
      <c r="AS90" s="36">
        <v>18.729099999999999</v>
      </c>
      <c r="AT90" s="36">
        <v>0</v>
      </c>
      <c r="AU90" s="36">
        <v>18729.099609375</v>
      </c>
      <c r="AV90" s="12" t="s">
        <v>282</v>
      </c>
      <c r="AW90"/>
    </row>
    <row r="91" spans="1:49" ht="17.25" hidden="1" customHeight="1" x14ac:dyDescent="0.2">
      <c r="A91" s="1" t="s">
        <v>47</v>
      </c>
      <c r="C91" s="1" t="s">
        <v>48</v>
      </c>
      <c r="E91" s="1" t="s">
        <v>78</v>
      </c>
      <c r="F91" s="1" t="s">
        <v>432</v>
      </c>
      <c r="G91" s="10"/>
      <c r="H91" s="32" t="s">
        <v>50</v>
      </c>
      <c r="I91" s="11">
        <v>8</v>
      </c>
      <c r="J91" s="32" t="s">
        <v>104</v>
      </c>
      <c r="K91" s="3">
        <v>45444</v>
      </c>
      <c r="L91" s="1"/>
      <c r="M91" s="1" t="s">
        <v>99</v>
      </c>
      <c r="N91" s="1" t="s">
        <v>107</v>
      </c>
      <c r="O91" s="1"/>
      <c r="Q91" s="4"/>
      <c r="R91" s="5"/>
      <c r="S91" s="4"/>
      <c r="U91" s="1" t="s">
        <v>54</v>
      </c>
      <c r="V91" s="1"/>
      <c r="W91" s="1" t="s">
        <v>54</v>
      </c>
      <c r="X91" s="1" t="s">
        <v>54</v>
      </c>
      <c r="Y91" s="12"/>
      <c r="Z91" s="13"/>
      <c r="AA91" s="33">
        <v>3000</v>
      </c>
      <c r="AB91" s="12"/>
      <c r="AC91" s="12"/>
      <c r="AD91" s="33">
        <f>Table_Query_from_UnBilled_1345[[#This Row], [Payable]]*0.03</f>
        <v>90</v>
      </c>
      <c r="AE91" s="12">
        <v>0</v>
      </c>
      <c r="AF91" s="12">
        <v>0</v>
      </c>
      <c r="AG91" s="12">
        <v>0</v>
      </c>
      <c r="AH91" s="33">
        <f>Table_Query_from_UnBilled_1345[[#This Row], [Payable]]*0.01</f>
        <v>30</v>
      </c>
      <c r="AI91" s="33">
        <f>Table_Query_from_UnBilled_1345[[#This Row], [Payable]]+Table_Query_from_UnBilled_1345[[#This Row], [AgencyCommission]]+Table_Query_from_UnBilled_1345[[#This Row], [LevyBillable]]</f>
        <v>3120</v>
      </c>
      <c r="AJ91" s="12">
        <v>665.99</v>
      </c>
      <c r="AK91" s="32" t="s">
        <v>36</v>
      </c>
      <c r="AL91" s="14"/>
      <c r="AM91" s="1" t="s">
        <v>55</v>
      </c>
      <c r="AN91" s="4"/>
      <c r="AO91" s="1" t="s">
        <v>56</v>
      </c>
      <c r="AP91" s="1" t="s">
        <v>57</v>
      </c>
      <c r="AQ91" s="12">
        <v>1</v>
      </c>
      <c r="AR91" s="36">
        <v>3329.93994140625</v>
      </c>
      <c r="AS91" s="36">
        <v>3.3299400000000001</v>
      </c>
      <c r="AT91" s="36">
        <v>0</v>
      </c>
      <c r="AU91" s="36">
        <v>3329.93994140625</v>
      </c>
      <c r="AV91" s="12" t="s">
        <v>283</v>
      </c>
      <c r="AW91"/>
    </row>
    <row r="92" spans="1:49" ht="17.25" hidden="1" customHeight="1" x14ac:dyDescent="0.2">
      <c r="A92" s="1" t="s">
        <v>47</v>
      </c>
      <c r="C92" s="1" t="s">
        <v>48</v>
      </c>
      <c r="E92" s="1" t="s">
        <v>78</v>
      </c>
      <c r="F92" s="1" t="s">
        <v>432</v>
      </c>
      <c r="G92" s="10"/>
      <c r="H92" s="32" t="s">
        <v>50</v>
      </c>
      <c r="I92" s="11">
        <v>8</v>
      </c>
      <c r="J92" s="32" t="s">
        <v>104</v>
      </c>
      <c r="K92" s="3">
        <v>45444</v>
      </c>
      <c r="L92" s="1"/>
      <c r="M92" s="1" t="s">
        <v>99</v>
      </c>
      <c r="N92" s="1" t="s">
        <v>109</v>
      </c>
      <c r="O92" s="1"/>
      <c r="Q92" s="4"/>
      <c r="R92" s="5"/>
      <c r="S92" s="4"/>
      <c r="U92" s="1" t="s">
        <v>54</v>
      </c>
      <c r="V92" s="1"/>
      <c r="W92" s="1" t="s">
        <v>54</v>
      </c>
      <c r="X92" s="1" t="s">
        <v>54</v>
      </c>
      <c r="Y92" s="12"/>
      <c r="Z92" s="13"/>
      <c r="AA92" s="33">
        <v>18000</v>
      </c>
      <c r="AB92" s="12"/>
      <c r="AC92" s="12"/>
      <c r="AD92" s="33">
        <f>Table_Query_from_UnBilled_1345[[#This Row], [Payable]]*0.03</f>
        <v>540</v>
      </c>
      <c r="AE92" s="12">
        <v>0</v>
      </c>
      <c r="AF92" s="12">
        <v>0</v>
      </c>
      <c r="AG92" s="12">
        <v>0</v>
      </c>
      <c r="AH92" s="33">
        <f>Table_Query_from_UnBilled_1345[[#This Row], [Payable]]*0.01</f>
        <v>180</v>
      </c>
      <c r="AI92" s="33">
        <f>Table_Query_from_UnBilled_1345[[#This Row], [Payable]]+Table_Query_from_UnBilled_1345[[#This Row], [AgencyCommission]]+Table_Query_from_UnBilled_1345[[#This Row], [LevyBillable]]</f>
        <v>18720</v>
      </c>
      <c r="AJ92" s="12">
        <v>3739.47</v>
      </c>
      <c r="AK92" s="32" t="s">
        <v>36</v>
      </c>
      <c r="AL92" s="14"/>
      <c r="AM92" s="1" t="s">
        <v>55</v>
      </c>
      <c r="AN92" s="4"/>
      <c r="AO92" s="1" t="s">
        <v>56</v>
      </c>
      <c r="AP92" s="1" t="s">
        <v>57</v>
      </c>
      <c r="AQ92" s="12">
        <v>1</v>
      </c>
      <c r="AR92" s="36">
        <v>18697.359375</v>
      </c>
      <c r="AS92" s="36">
        <v>18.69736</v>
      </c>
      <c r="AT92" s="36">
        <v>0</v>
      </c>
      <c r="AU92" s="36">
        <v>18697.359375</v>
      </c>
      <c r="AV92" s="12" t="s">
        <v>284</v>
      </c>
      <c r="AW92"/>
    </row>
    <row r="93" spans="1:49" ht="17.25" hidden="1" customHeight="1" x14ac:dyDescent="0.2">
      <c r="A93" s="1" t="s">
        <v>47</v>
      </c>
      <c r="C93" s="1" t="s">
        <v>48</v>
      </c>
      <c r="E93" s="1" t="s">
        <v>78</v>
      </c>
      <c r="F93" s="1" t="s">
        <v>432</v>
      </c>
      <c r="G93" s="10"/>
      <c r="H93" s="32" t="s">
        <v>50</v>
      </c>
      <c r="I93" s="11">
        <v>8</v>
      </c>
      <c r="J93" s="32" t="s">
        <v>104</v>
      </c>
      <c r="K93" s="3">
        <v>45444</v>
      </c>
      <c r="L93" s="1"/>
      <c r="M93" s="1" t="s">
        <v>80</v>
      </c>
      <c r="N93" s="1" t="s">
        <v>81</v>
      </c>
      <c r="O93" s="1"/>
      <c r="Q93" s="4"/>
      <c r="R93" s="5"/>
      <c r="S93" s="4"/>
      <c r="U93" s="1" t="s">
        <v>54</v>
      </c>
      <c r="V93" s="1"/>
      <c r="W93" s="1" t="s">
        <v>54</v>
      </c>
      <c r="X93" s="1" t="s">
        <v>54</v>
      </c>
      <c r="Y93" s="12"/>
      <c r="Z93" s="13"/>
      <c r="AA93" s="33">
        <v>1500</v>
      </c>
      <c r="AB93" s="12"/>
      <c r="AC93" s="12"/>
      <c r="AD93" s="33">
        <f>Table_Query_from_UnBilled_1345[[#This Row], [Payable]]*0.03</f>
        <v>45</v>
      </c>
      <c r="AE93" s="12">
        <v>0</v>
      </c>
      <c r="AF93" s="12">
        <v>0</v>
      </c>
      <c r="AG93" s="12">
        <v>0</v>
      </c>
      <c r="AH93" s="33">
        <f>Table_Query_from_UnBilled_1345[[#This Row], [Payable]]*0.01</f>
        <v>15</v>
      </c>
      <c r="AI93" s="33">
        <f>Table_Query_from_UnBilled_1345[[#This Row], [Payable]]+Table_Query_from_UnBilled_1345[[#This Row], [AgencyCommission]]+Table_Query_from_UnBilled_1345[[#This Row], [LevyBillable]]</f>
        <v>1560</v>
      </c>
      <c r="AJ93" s="12">
        <v>3.53</v>
      </c>
      <c r="AK93" s="32" t="s">
        <v>36</v>
      </c>
      <c r="AL93" s="14"/>
      <c r="AM93" s="1" t="s">
        <v>55</v>
      </c>
      <c r="AN93" s="4"/>
      <c r="AO93" s="1" t="s">
        <v>56</v>
      </c>
      <c r="AP93" s="1" t="s">
        <v>57</v>
      </c>
      <c r="AQ93" s="12">
        <v>1</v>
      </c>
      <c r="AR93" s="36">
        <v>17.639999389648438</v>
      </c>
      <c r="AS93" s="36">
        <v>0</v>
      </c>
      <c r="AT93" s="36">
        <v>0</v>
      </c>
      <c r="AU93" s="36">
        <v>17.639999389648438</v>
      </c>
      <c r="AV93" s="12" t="s">
        <v>285</v>
      </c>
      <c r="AW93"/>
    </row>
    <row r="94" spans="1:49" ht="17.25" hidden="1" customHeight="1" x14ac:dyDescent="0.2">
      <c r="A94" s="1" t="s">
        <v>47</v>
      </c>
      <c r="C94" s="1" t="s">
        <v>48</v>
      </c>
      <c r="E94" s="1" t="s">
        <v>78</v>
      </c>
      <c r="F94" s="1" t="s">
        <v>432</v>
      </c>
      <c r="G94" s="10"/>
      <c r="H94" s="32" t="s">
        <v>50</v>
      </c>
      <c r="I94" s="11">
        <v>8</v>
      </c>
      <c r="J94" s="32" t="s">
        <v>104</v>
      </c>
      <c r="K94" s="3">
        <v>45444</v>
      </c>
      <c r="L94" s="1"/>
      <c r="M94" s="1" t="s">
        <v>80</v>
      </c>
      <c r="N94" s="1" t="s">
        <v>89</v>
      </c>
      <c r="O94" s="1"/>
      <c r="Q94" s="4"/>
      <c r="R94" s="5"/>
      <c r="S94" s="4"/>
      <c r="U94" s="1" t="s">
        <v>54</v>
      </c>
      <c r="V94" s="1"/>
      <c r="W94" s="1" t="s">
        <v>54</v>
      </c>
      <c r="X94" s="1" t="s">
        <v>54</v>
      </c>
      <c r="Y94" s="12"/>
      <c r="Z94" s="13"/>
      <c r="AA94" s="33">
        <v>250</v>
      </c>
      <c r="AB94" s="12"/>
      <c r="AC94" s="12"/>
      <c r="AD94" s="33">
        <f>Table_Query_from_UnBilled_1345[[#This Row], [Payable]]*0.03</f>
        <v>7.5</v>
      </c>
      <c r="AE94" s="12">
        <v>0</v>
      </c>
      <c r="AF94" s="12">
        <v>0</v>
      </c>
      <c r="AG94" s="12">
        <v>0</v>
      </c>
      <c r="AH94" s="33">
        <f>Table_Query_from_UnBilled_1345[[#This Row], [Payable]]*0.01</f>
        <v>2.5</v>
      </c>
      <c r="AI94" s="33">
        <f>Table_Query_from_UnBilled_1345[[#This Row], [Payable]]+Table_Query_from_UnBilled_1345[[#This Row], [AgencyCommission]]+Table_Query_from_UnBilled_1345[[#This Row], [LevyBillable]]</f>
        <v>260</v>
      </c>
      <c r="AJ94" s="12">
        <v>1.9</v>
      </c>
      <c r="AK94" s="32" t="s">
        <v>36</v>
      </c>
      <c r="AL94" s="14"/>
      <c r="AM94" s="1" t="s">
        <v>55</v>
      </c>
      <c r="AN94" s="4"/>
      <c r="AO94" s="1" t="s">
        <v>56</v>
      </c>
      <c r="AP94" s="1" t="s">
        <v>57</v>
      </c>
      <c r="AQ94" s="12">
        <v>1</v>
      </c>
      <c r="AR94" s="36">
        <v>9.4899997711181641</v>
      </c>
      <c r="AS94" s="36">
        <v>0</v>
      </c>
      <c r="AT94" s="36">
        <v>0</v>
      </c>
      <c r="AU94" s="36">
        <v>9.4899997711181641</v>
      </c>
      <c r="AV94" s="12" t="s">
        <v>286</v>
      </c>
      <c r="AW94"/>
    </row>
    <row r="95" spans="1:49" ht="17.25" hidden="1" customHeight="1" x14ac:dyDescent="0.2">
      <c r="A95" s="1" t="s">
        <v>47</v>
      </c>
      <c r="C95" s="1" t="s">
        <v>48</v>
      </c>
      <c r="E95" s="1" t="s">
        <v>78</v>
      </c>
      <c r="F95" s="1" t="s">
        <v>432</v>
      </c>
      <c r="G95" s="10"/>
      <c r="H95" s="32" t="s">
        <v>50</v>
      </c>
      <c r="I95" s="11">
        <v>8</v>
      </c>
      <c r="J95" s="32" t="s">
        <v>104</v>
      </c>
      <c r="K95" s="3">
        <v>45444</v>
      </c>
      <c r="L95" s="1"/>
      <c r="M95" s="1" t="s">
        <v>99</v>
      </c>
      <c r="N95" s="1" t="s">
        <v>105</v>
      </c>
      <c r="O95" s="1"/>
      <c r="Q95" s="4"/>
      <c r="R95" s="5"/>
      <c r="S95" s="4"/>
      <c r="U95" s="1" t="s">
        <v>54</v>
      </c>
      <c r="V95" s="1"/>
      <c r="W95" s="1" t="s">
        <v>54</v>
      </c>
      <c r="X95" s="1" t="s">
        <v>54</v>
      </c>
      <c r="Y95" s="12"/>
      <c r="Z95" s="13"/>
      <c r="AA95" s="33">
        <v>3000</v>
      </c>
      <c r="AB95" s="12"/>
      <c r="AC95" s="12"/>
      <c r="AD95" s="33">
        <f>Table_Query_from_UnBilled_1345[[#This Row], [Payable]]*0.03</f>
        <v>90</v>
      </c>
      <c r="AE95" s="12">
        <v>0</v>
      </c>
      <c r="AF95" s="12">
        <v>0</v>
      </c>
      <c r="AG95" s="12">
        <v>0</v>
      </c>
      <c r="AH95" s="33">
        <f>Table_Query_from_UnBilled_1345[[#This Row], [Payable]]*0.01</f>
        <v>30</v>
      </c>
      <c r="AI95" s="33">
        <f>Table_Query_from_UnBilled_1345[[#This Row], [Payable]]+Table_Query_from_UnBilled_1345[[#This Row], [AgencyCommission]]+Table_Query_from_UnBilled_1345[[#This Row], [LevyBillable]]</f>
        <v>3120</v>
      </c>
      <c r="AJ95" s="12">
        <v>665.98</v>
      </c>
      <c r="AK95" s="32" t="s">
        <v>36</v>
      </c>
      <c r="AL95" s="14"/>
      <c r="AM95" s="1" t="s">
        <v>55</v>
      </c>
      <c r="AN95" s="4"/>
      <c r="AO95" s="1" t="s">
        <v>56</v>
      </c>
      <c r="AP95" s="1" t="s">
        <v>57</v>
      </c>
      <c r="AQ95" s="12">
        <v>1</v>
      </c>
      <c r="AR95" s="36">
        <v>3329.8798828125</v>
      </c>
      <c r="AS95" s="36">
        <v>3.3298800000000002</v>
      </c>
      <c r="AT95" s="36">
        <v>0</v>
      </c>
      <c r="AU95" s="36">
        <v>3329.8798828125</v>
      </c>
      <c r="AV95" s="12" t="s">
        <v>287</v>
      </c>
      <c r="AW95"/>
    </row>
    <row r="96" spans="1:49" ht="17.25" hidden="1" customHeight="1" x14ac:dyDescent="0.2">
      <c r="A96" s="1" t="s">
        <v>47</v>
      </c>
      <c r="C96" s="1" t="s">
        <v>48</v>
      </c>
      <c r="E96" s="1" t="s">
        <v>78</v>
      </c>
      <c r="F96" s="1" t="s">
        <v>432</v>
      </c>
      <c r="G96" s="10"/>
      <c r="H96" s="32" t="s">
        <v>50</v>
      </c>
      <c r="I96" s="11">
        <v>8</v>
      </c>
      <c r="J96" s="32" t="s">
        <v>104</v>
      </c>
      <c r="K96" s="3">
        <v>45444</v>
      </c>
      <c r="L96" s="1"/>
      <c r="M96" s="1" t="s">
        <v>52</v>
      </c>
      <c r="N96" s="1" t="s">
        <v>98</v>
      </c>
      <c r="O96" s="1"/>
      <c r="Q96" s="4"/>
      <c r="R96" s="5"/>
      <c r="S96" s="4"/>
      <c r="U96" s="1" t="s">
        <v>54</v>
      </c>
      <c r="V96" s="1"/>
      <c r="W96" s="1" t="s">
        <v>54</v>
      </c>
      <c r="X96" s="1" t="s">
        <v>54</v>
      </c>
      <c r="Y96" s="12"/>
      <c r="Z96" s="13"/>
      <c r="AA96" s="33">
        <v>400</v>
      </c>
      <c r="AB96" s="12"/>
      <c r="AC96" s="12"/>
      <c r="AD96" s="33">
        <f>Table_Query_from_UnBilled_1345[[#This Row], [Payable]]*0.03</f>
        <v>12</v>
      </c>
      <c r="AE96" s="12">
        <v>0</v>
      </c>
      <c r="AF96" s="12">
        <v>0</v>
      </c>
      <c r="AG96" s="12">
        <v>0</v>
      </c>
      <c r="AH96" s="33">
        <f>Table_Query_from_UnBilled_1345[[#This Row], [Payable]]*0.01</f>
        <v>4</v>
      </c>
      <c r="AI96" s="33">
        <f>Table_Query_from_UnBilled_1345[[#This Row], [Payable]]+Table_Query_from_UnBilled_1345[[#This Row], [AgencyCommission]]+Table_Query_from_UnBilled_1345[[#This Row], [LevyBillable]]</f>
        <v>416</v>
      </c>
      <c r="AJ96" s="12">
        <v>70.989999999999995</v>
      </c>
      <c r="AK96" s="32" t="s">
        <v>36</v>
      </c>
      <c r="AL96" s="14"/>
      <c r="AM96" s="1" t="s">
        <v>55</v>
      </c>
      <c r="AN96" s="4"/>
      <c r="AO96" s="1" t="s">
        <v>56</v>
      </c>
      <c r="AP96" s="1" t="s">
        <v>57</v>
      </c>
      <c r="AQ96" s="12">
        <v>1</v>
      </c>
      <c r="AR96" s="36">
        <v>354.97000122070312</v>
      </c>
      <c r="AS96" s="36">
        <v>0</v>
      </c>
      <c r="AT96" s="36">
        <v>0</v>
      </c>
      <c r="AU96" s="36">
        <v>354.97000122070312</v>
      </c>
      <c r="AV96" s="12" t="s">
        <v>288</v>
      </c>
      <c r="AW96"/>
    </row>
    <row r="97" spans="1:49" ht="17.25" hidden="1" customHeight="1" x14ac:dyDescent="0.2">
      <c r="A97" s="1" t="s">
        <v>47</v>
      </c>
      <c r="C97" s="1" t="s">
        <v>48</v>
      </c>
      <c r="E97" s="1" t="s">
        <v>78</v>
      </c>
      <c r="F97" s="1" t="s">
        <v>432</v>
      </c>
      <c r="G97" s="10"/>
      <c r="H97" s="32" t="s">
        <v>50</v>
      </c>
      <c r="I97" s="11">
        <v>8</v>
      </c>
      <c r="J97" s="32" t="s">
        <v>104</v>
      </c>
      <c r="K97" s="3">
        <v>45444</v>
      </c>
      <c r="L97" s="1"/>
      <c r="M97" s="1" t="s">
        <v>99</v>
      </c>
      <c r="N97" s="1" t="s">
        <v>106</v>
      </c>
      <c r="O97" s="1"/>
      <c r="Q97" s="4"/>
      <c r="R97" s="5"/>
      <c r="S97" s="4"/>
      <c r="U97" s="1" t="s">
        <v>54</v>
      </c>
      <c r="V97" s="1"/>
      <c r="W97" s="1" t="s">
        <v>54</v>
      </c>
      <c r="X97" s="1" t="s">
        <v>54</v>
      </c>
      <c r="Y97" s="12"/>
      <c r="Z97" s="13"/>
      <c r="AA97" s="33">
        <v>5000</v>
      </c>
      <c r="AB97" s="12"/>
      <c r="AC97" s="12"/>
      <c r="AD97" s="33">
        <f>Table_Query_from_UnBilled_1345[[#This Row], [Payable]]*0.03</f>
        <v>150</v>
      </c>
      <c r="AE97" s="12">
        <v>0</v>
      </c>
      <c r="AF97" s="12">
        <v>0</v>
      </c>
      <c r="AG97" s="12">
        <v>0</v>
      </c>
      <c r="AH97" s="33">
        <f>Table_Query_from_UnBilled_1345[[#This Row], [Payable]]*0.01</f>
        <v>50</v>
      </c>
      <c r="AI97" s="33">
        <f>Table_Query_from_UnBilled_1345[[#This Row], [Payable]]+Table_Query_from_UnBilled_1345[[#This Row], [AgencyCommission]]+Table_Query_from_UnBilled_1345[[#This Row], [LevyBillable]]</f>
        <v>5200</v>
      </c>
      <c r="AJ97" s="12">
        <v>998.92</v>
      </c>
      <c r="AK97" s="32" t="s">
        <v>36</v>
      </c>
      <c r="AL97" s="14"/>
      <c r="AM97" s="1" t="s">
        <v>55</v>
      </c>
      <c r="AN97" s="4"/>
      <c r="AO97" s="1" t="s">
        <v>56</v>
      </c>
      <c r="AP97" s="1" t="s">
        <v>57</v>
      </c>
      <c r="AQ97" s="12">
        <v>1</v>
      </c>
      <c r="AR97" s="36">
        <v>4994.6201171875</v>
      </c>
      <c r="AS97" s="36">
        <v>4.9946200000000003</v>
      </c>
      <c r="AT97" s="36">
        <v>0</v>
      </c>
      <c r="AU97" s="36">
        <v>4994.6201171875</v>
      </c>
      <c r="AV97" s="12" t="s">
        <v>289</v>
      </c>
      <c r="AW97"/>
    </row>
    <row r="98" spans="1:49" ht="17.25" hidden="1" customHeight="1" x14ac:dyDescent="0.2">
      <c r="A98" s="1" t="s">
        <v>47</v>
      </c>
      <c r="C98" s="1" t="s">
        <v>48</v>
      </c>
      <c r="E98" s="1" t="s">
        <v>78</v>
      </c>
      <c r="F98" s="1" t="s">
        <v>432</v>
      </c>
      <c r="G98" s="10"/>
      <c r="H98" s="32" t="s">
        <v>50</v>
      </c>
      <c r="I98" s="11">
        <v>8</v>
      </c>
      <c r="J98" s="32" t="s">
        <v>104</v>
      </c>
      <c r="K98" s="3">
        <v>45444</v>
      </c>
      <c r="L98" s="1"/>
      <c r="M98" s="1" t="s">
        <v>99</v>
      </c>
      <c r="N98" s="1" t="s">
        <v>106</v>
      </c>
      <c r="O98" s="1"/>
      <c r="Q98" s="4"/>
      <c r="R98" s="5"/>
      <c r="S98" s="4"/>
      <c r="U98" s="1" t="s">
        <v>54</v>
      </c>
      <c r="V98" s="1"/>
      <c r="W98" s="1" t="s">
        <v>54</v>
      </c>
      <c r="X98" s="1" t="s">
        <v>54</v>
      </c>
      <c r="Y98" s="12"/>
      <c r="Z98" s="13"/>
      <c r="AA98" s="33">
        <v>3000</v>
      </c>
      <c r="AB98" s="12"/>
      <c r="AC98" s="12"/>
      <c r="AD98" s="33">
        <f>Table_Query_from_UnBilled_1345[[#This Row], [Payable]]*0.03</f>
        <v>90</v>
      </c>
      <c r="AE98" s="12">
        <v>0</v>
      </c>
      <c r="AF98" s="12">
        <v>0</v>
      </c>
      <c r="AG98" s="12">
        <v>0</v>
      </c>
      <c r="AH98" s="33">
        <f>Table_Query_from_UnBilled_1345[[#This Row], [Payable]]*0.01</f>
        <v>30</v>
      </c>
      <c r="AI98" s="33">
        <f>Table_Query_from_UnBilled_1345[[#This Row], [Payable]]+Table_Query_from_UnBilled_1345[[#This Row], [AgencyCommission]]+Table_Query_from_UnBilled_1345[[#This Row], [LevyBillable]]</f>
        <v>3120</v>
      </c>
      <c r="AJ98" s="12">
        <v>665.97</v>
      </c>
      <c r="AK98" s="32" t="s">
        <v>36</v>
      </c>
      <c r="AL98" s="14"/>
      <c r="AM98" s="1" t="s">
        <v>55</v>
      </c>
      <c r="AN98" s="4"/>
      <c r="AO98" s="1" t="s">
        <v>56</v>
      </c>
      <c r="AP98" s="1" t="s">
        <v>57</v>
      </c>
      <c r="AQ98" s="12">
        <v>1</v>
      </c>
      <c r="AR98" s="36">
        <v>3329.8701171875</v>
      </c>
      <c r="AS98" s="36">
        <v>3.3298700000000001</v>
      </c>
      <c r="AT98" s="36">
        <v>0</v>
      </c>
      <c r="AU98" s="36">
        <v>3329.8701171875</v>
      </c>
      <c r="AV98" s="12" t="s">
        <v>290</v>
      </c>
      <c r="AW98"/>
    </row>
    <row r="99" spans="1:49" ht="17.25" hidden="1" customHeight="1" x14ac:dyDescent="0.2">
      <c r="A99" s="1" t="s">
        <v>47</v>
      </c>
      <c r="C99" s="1" t="s">
        <v>48</v>
      </c>
      <c r="E99" s="1" t="s">
        <v>92</v>
      </c>
      <c r="F99" s="1" t="s">
        <v>432</v>
      </c>
      <c r="G99" s="10"/>
      <c r="H99" s="1" t="s">
        <v>92</v>
      </c>
      <c r="I99" s="11">
        <v>8</v>
      </c>
      <c r="J99" s="1" t="s">
        <v>110</v>
      </c>
      <c r="K99" s="3">
        <v>45474</v>
      </c>
      <c r="L99" s="1"/>
      <c r="M99" s="1" t="s">
        <v>111</v>
      </c>
      <c r="N99" s="1" t="s">
        <v>92</v>
      </c>
      <c r="O99" s="1"/>
      <c r="Q99" s="4"/>
      <c r="R99" s="5"/>
      <c r="S99" s="4"/>
      <c r="U99" s="1" t="s">
        <v>96</v>
      </c>
      <c r="V99" s="1"/>
      <c r="W99" s="1" t="s">
        <v>96</v>
      </c>
      <c r="X99" s="1" t="s">
        <v>96</v>
      </c>
      <c r="Y99" s="12"/>
      <c r="Z99" s="13"/>
      <c r="AA99" s="33">
        <v>2400</v>
      </c>
      <c r="AB99" s="12"/>
      <c r="AC99" s="12"/>
      <c r="AD99" s="33">
        <f>Table_Query_from_UnBilled_1345[[#This Row], [Payable]]*0.03</f>
        <v>72</v>
      </c>
      <c r="AE99" s="12">
        <v>0</v>
      </c>
      <c r="AF99" s="12">
        <v>0</v>
      </c>
      <c r="AG99" s="12">
        <v>0</v>
      </c>
      <c r="AH99" s="33">
        <f>Table_Query_from_UnBilled_1345[[#This Row], [Payable]]*0.01</f>
        <v>24</v>
      </c>
      <c r="AI99" s="33">
        <f>Table_Query_from_UnBilled_1345[[#This Row], [Payable]]+Table_Query_from_UnBilled_1345[[#This Row], [AgencyCommission]]+Table_Query_from_UnBilled_1345[[#This Row], [LevyBillable]]</f>
        <v>2496</v>
      </c>
      <c r="AJ99" s="12">
        <v>0</v>
      </c>
      <c r="AK99" s="11"/>
      <c r="AL99" s="14"/>
      <c r="AM99" s="14"/>
      <c r="AN99" s="4"/>
      <c r="AO99" s="14"/>
      <c r="AP99" s="12"/>
      <c r="AQ99" s="12"/>
      <c r="AR99" s="12">
        <v>0</v>
      </c>
      <c r="AS99" s="12">
        <v>0</v>
      </c>
      <c r="AT99" s="12">
        <v>0</v>
      </c>
      <c r="AU99" s="12">
        <v>0</v>
      </c>
      <c r="AV99" s="12" t="s">
        <v>291</v>
      </c>
      <c r="AW99"/>
    </row>
    <row r="100" spans="1:49" ht="17.25" hidden="1" customHeight="1" x14ac:dyDescent="0.2">
      <c r="A100" s="1" t="s">
        <v>47</v>
      </c>
      <c r="C100" s="1" t="s">
        <v>48</v>
      </c>
      <c r="E100" s="1" t="s">
        <v>49</v>
      </c>
      <c r="F100" s="39" t="s">
        <v>435</v>
      </c>
      <c r="G100" s="10"/>
      <c r="H100" s="1" t="s">
        <v>112</v>
      </c>
      <c r="I100" s="11">
        <v>9</v>
      </c>
      <c r="J100" s="1" t="s">
        <v>113</v>
      </c>
      <c r="K100" s="3">
        <v>45444</v>
      </c>
      <c r="L100" s="1"/>
      <c r="M100" s="1" t="s">
        <v>52</v>
      </c>
      <c r="N100" s="1" t="s">
        <v>53</v>
      </c>
      <c r="O100" s="1"/>
      <c r="Q100" s="4"/>
      <c r="R100" s="5"/>
      <c r="S100" s="4"/>
      <c r="V100" s="1" t="s">
        <v>114</v>
      </c>
      <c r="W100" s="1" t="s">
        <v>114</v>
      </c>
      <c r="X100" s="1" t="s">
        <v>114</v>
      </c>
      <c r="Y100" s="12"/>
      <c r="Z100" s="13"/>
      <c r="AA100" s="33">
        <v>120</v>
      </c>
      <c r="AB100" s="12"/>
      <c r="AC100" s="12"/>
      <c r="AD100" s="33">
        <f>Table_Query_from_UnBilled_1345[[#This Row], [Payable]]*0.03</f>
        <v>3.5999999999999996</v>
      </c>
      <c r="AE100" s="12">
        <v>0</v>
      </c>
      <c r="AF100" s="12">
        <v>0</v>
      </c>
      <c r="AG100" s="12">
        <v>0</v>
      </c>
      <c r="AH100" s="33">
        <f>Table_Query_from_UnBilled_1345[[#This Row], [Payable]]*0.01</f>
        <v>1.2</v>
      </c>
      <c r="AI100" s="33">
        <f>Table_Query_from_UnBilled_1345[[#This Row], [Payable]]+Table_Query_from_UnBilled_1345[[#This Row], [AgencyCommission]]+Table_Query_from_UnBilled_1345[[#This Row], [LevyBillable]]</f>
        <v>124.8</v>
      </c>
      <c r="AJ100" s="12">
        <v>0</v>
      </c>
      <c r="AK100" s="11"/>
      <c r="AL100" s="14"/>
      <c r="AM100" s="14"/>
      <c r="AN100" s="4"/>
      <c r="AO100" s="14"/>
      <c r="AP100" s="12"/>
      <c r="AQ100" s="12"/>
      <c r="AR100" s="12">
        <v>0</v>
      </c>
      <c r="AS100" s="12">
        <v>0</v>
      </c>
      <c r="AT100" s="12">
        <v>0</v>
      </c>
      <c r="AU100" s="12">
        <v>0</v>
      </c>
      <c r="AV100" s="12" t="s">
        <v>292</v>
      </c>
      <c r="AW100"/>
    </row>
    <row r="101" spans="1:49" ht="17.25" hidden="1" customHeight="1" x14ac:dyDescent="0.2">
      <c r="A101" s="1" t="s">
        <v>47</v>
      </c>
      <c r="C101" s="1" t="s">
        <v>48</v>
      </c>
      <c r="E101" s="1" t="s">
        <v>49</v>
      </c>
      <c r="F101" s="1" t="s">
        <v>435</v>
      </c>
      <c r="G101" s="10"/>
      <c r="H101" s="1" t="s">
        <v>112</v>
      </c>
      <c r="I101" s="11">
        <v>9</v>
      </c>
      <c r="J101" s="1" t="s">
        <v>113</v>
      </c>
      <c r="K101" s="3">
        <v>45444</v>
      </c>
      <c r="L101" s="1"/>
      <c r="M101" s="1" t="s">
        <v>58</v>
      </c>
      <c r="N101" s="1" t="s">
        <v>61</v>
      </c>
      <c r="O101" s="1"/>
      <c r="Q101" s="4"/>
      <c r="R101" s="5"/>
      <c r="S101" s="4"/>
      <c r="V101" s="1" t="s">
        <v>114</v>
      </c>
      <c r="W101" s="1" t="s">
        <v>114</v>
      </c>
      <c r="X101" s="1" t="s">
        <v>114</v>
      </c>
      <c r="Y101" s="12"/>
      <c r="Z101" s="13"/>
      <c r="AA101" s="33">
        <v>2210</v>
      </c>
      <c r="AB101" s="12"/>
      <c r="AC101" s="12"/>
      <c r="AD101" s="33">
        <f>Table_Query_from_UnBilled_1345[[#This Row], [Payable]]*0.03</f>
        <v>66.3</v>
      </c>
      <c r="AE101" s="12">
        <v>0</v>
      </c>
      <c r="AF101" s="12">
        <v>0</v>
      </c>
      <c r="AG101" s="12">
        <v>0</v>
      </c>
      <c r="AH101" s="33">
        <f>Table_Query_from_UnBilled_1345[[#This Row], [Payable]]*0.01</f>
        <v>22.1</v>
      </c>
      <c r="AI101" s="33">
        <f>Table_Query_from_UnBilled_1345[[#This Row], [Payable]]+Table_Query_from_UnBilled_1345[[#This Row], [AgencyCommission]]+Table_Query_from_UnBilled_1345[[#This Row], [LevyBillable]]</f>
        <v>2298.4</v>
      </c>
      <c r="AJ101" s="12">
        <v>0</v>
      </c>
      <c r="AK101" s="11"/>
      <c r="AL101" s="14"/>
      <c r="AM101" s="14"/>
      <c r="AN101" s="4"/>
      <c r="AO101" s="14"/>
      <c r="AP101" s="12"/>
      <c r="AQ101" s="12"/>
      <c r="AR101" s="12">
        <v>0</v>
      </c>
      <c r="AS101" s="12">
        <v>0</v>
      </c>
      <c r="AT101" s="12">
        <v>0</v>
      </c>
      <c r="AU101" s="12">
        <v>0</v>
      </c>
      <c r="AV101" s="12" t="s">
        <v>293</v>
      </c>
      <c r="AW101"/>
    </row>
    <row r="102" spans="1:49" ht="17.25" hidden="1" customHeight="1" x14ac:dyDescent="0.2">
      <c r="A102" s="1" t="s">
        <v>47</v>
      </c>
      <c r="C102" s="1" t="s">
        <v>48</v>
      </c>
      <c r="E102" s="1" t="s">
        <v>49</v>
      </c>
      <c r="F102" s="39" t="s">
        <v>435</v>
      </c>
      <c r="G102" s="10"/>
      <c r="H102" s="1" t="s">
        <v>112</v>
      </c>
      <c r="I102" s="11">
        <v>9</v>
      </c>
      <c r="J102" s="1" t="s">
        <v>113</v>
      </c>
      <c r="K102" s="3">
        <v>45444</v>
      </c>
      <c r="L102" s="1"/>
      <c r="M102" s="1" t="s">
        <v>58</v>
      </c>
      <c r="N102" s="1" t="s">
        <v>59</v>
      </c>
      <c r="O102" s="1"/>
      <c r="Q102" s="4"/>
      <c r="R102" s="5"/>
      <c r="S102" s="4"/>
      <c r="V102" s="1"/>
      <c r="W102" s="1" t="s">
        <v>114</v>
      </c>
      <c r="X102" s="1" t="s">
        <v>114</v>
      </c>
      <c r="Y102" s="12"/>
      <c r="Z102" s="13"/>
      <c r="AA102" s="33">
        <v>2300</v>
      </c>
      <c r="AB102" s="12"/>
      <c r="AC102" s="12"/>
      <c r="AD102" s="33">
        <f>Table_Query_from_UnBilled_1345[[#This Row], [Payable]]*0.03</f>
        <v>69</v>
      </c>
      <c r="AE102" s="12">
        <v>0</v>
      </c>
      <c r="AF102" s="12">
        <v>0</v>
      </c>
      <c r="AG102" s="12">
        <v>0</v>
      </c>
      <c r="AH102" s="33">
        <f>Table_Query_from_UnBilled_1345[[#This Row], [Payable]]*0.01</f>
        <v>23</v>
      </c>
      <c r="AI102" s="33">
        <f>Table_Query_from_UnBilled_1345[[#This Row], [Payable]]+Table_Query_from_UnBilled_1345[[#This Row], [AgencyCommission]]+Table_Query_from_UnBilled_1345[[#This Row], [LevyBillable]]</f>
        <v>2392</v>
      </c>
      <c r="AJ102" s="12">
        <v>0</v>
      </c>
      <c r="AK102" s="11"/>
      <c r="AL102" s="14"/>
      <c r="AM102" s="14"/>
      <c r="AN102" s="4"/>
      <c r="AO102" s="14"/>
      <c r="AP102" s="12"/>
      <c r="AQ102" s="12"/>
      <c r="AR102" s="12">
        <v>0</v>
      </c>
      <c r="AS102" s="12">
        <v>0</v>
      </c>
      <c r="AT102" s="12">
        <v>0</v>
      </c>
      <c r="AU102" s="12">
        <v>0</v>
      </c>
      <c r="AV102" s="12" t="s">
        <v>197</v>
      </c>
      <c r="AW102"/>
    </row>
    <row r="103" spans="1:49" ht="17.25" hidden="1" customHeight="1" x14ac:dyDescent="0.2">
      <c r="A103" s="1" t="s">
        <v>47</v>
      </c>
      <c r="C103" s="1" t="s">
        <v>48</v>
      </c>
      <c r="E103" s="1" t="s">
        <v>92</v>
      </c>
      <c r="F103" s="1" t="s">
        <v>432</v>
      </c>
      <c r="G103" s="10"/>
      <c r="H103" s="1" t="s">
        <v>92</v>
      </c>
      <c r="I103" s="11">
        <v>9</v>
      </c>
      <c r="J103" s="1" t="s">
        <v>115</v>
      </c>
      <c r="K103" s="3">
        <v>45474</v>
      </c>
      <c r="L103" s="1"/>
      <c r="M103" s="1" t="s">
        <v>111</v>
      </c>
      <c r="N103" s="1" t="s">
        <v>92</v>
      </c>
      <c r="O103" s="1"/>
      <c r="Q103" s="4"/>
      <c r="R103" s="5"/>
      <c r="S103" s="4"/>
      <c r="U103" s="1" t="s">
        <v>96</v>
      </c>
      <c r="V103" s="1"/>
      <c r="W103" s="1" t="s">
        <v>96</v>
      </c>
      <c r="X103" s="1" t="s">
        <v>96</v>
      </c>
      <c r="Y103" s="12"/>
      <c r="Z103" s="13"/>
      <c r="AA103" s="33">
        <v>540</v>
      </c>
      <c r="AB103" s="12"/>
      <c r="AC103" s="12"/>
      <c r="AD103" s="33">
        <f>Table_Query_from_UnBilled_1345[[#This Row], [Payable]]*0.03</f>
        <v>16.2</v>
      </c>
      <c r="AE103" s="12">
        <v>0</v>
      </c>
      <c r="AF103" s="12">
        <v>0</v>
      </c>
      <c r="AG103" s="12">
        <v>0</v>
      </c>
      <c r="AH103" s="33">
        <f>Table_Query_from_UnBilled_1345[[#This Row], [Payable]]*0.01</f>
        <v>5.4</v>
      </c>
      <c r="AI103" s="33">
        <f>Table_Query_from_UnBilled_1345[[#This Row], [Payable]]+Table_Query_from_UnBilled_1345[[#This Row], [AgencyCommission]]+Table_Query_from_UnBilled_1345[[#This Row], [LevyBillable]]</f>
        <v>561.6</v>
      </c>
      <c r="AJ103" s="12">
        <v>0</v>
      </c>
      <c r="AK103" s="11"/>
      <c r="AL103" s="14"/>
      <c r="AM103" s="14"/>
      <c r="AN103" s="4"/>
      <c r="AO103" s="14"/>
      <c r="AP103" s="12"/>
      <c r="AQ103" s="12"/>
      <c r="AR103" s="12">
        <v>0</v>
      </c>
      <c r="AS103" s="12">
        <v>0</v>
      </c>
      <c r="AT103" s="12">
        <v>0</v>
      </c>
      <c r="AU103" s="12">
        <v>0</v>
      </c>
      <c r="AV103" s="12" t="s">
        <v>294</v>
      </c>
      <c r="AW103"/>
    </row>
    <row r="104" spans="1:49" ht="17.25" hidden="1" customHeight="1" x14ac:dyDescent="0.2">
      <c r="A104" s="1" t="s">
        <v>47</v>
      </c>
      <c r="C104" s="1" t="s">
        <v>48</v>
      </c>
      <c r="E104" s="1" t="s">
        <v>49</v>
      </c>
      <c r="F104" s="39" t="s">
        <v>435</v>
      </c>
      <c r="G104" s="10"/>
      <c r="H104" s="1" t="s">
        <v>112</v>
      </c>
      <c r="I104" s="11">
        <v>9</v>
      </c>
      <c r="J104" s="1" t="s">
        <v>113</v>
      </c>
      <c r="K104" s="3">
        <v>45474</v>
      </c>
      <c r="L104" s="1"/>
      <c r="M104" s="1" t="s">
        <v>58</v>
      </c>
      <c r="N104" s="1" t="s">
        <v>59</v>
      </c>
      <c r="O104" s="1"/>
      <c r="Q104" s="4"/>
      <c r="R104" s="5"/>
      <c r="S104" s="4"/>
      <c r="V104" s="1"/>
      <c r="W104" s="1" t="s">
        <v>114</v>
      </c>
      <c r="X104" s="1" t="s">
        <v>114</v>
      </c>
      <c r="Y104" s="12"/>
      <c r="Z104" s="13"/>
      <c r="AA104" s="33">
        <v>2200</v>
      </c>
      <c r="AB104" s="12"/>
      <c r="AC104" s="12"/>
      <c r="AD104" s="33">
        <f>Table_Query_from_UnBilled_1345[[#This Row], [Payable]]*0.03</f>
        <v>66</v>
      </c>
      <c r="AE104" s="12">
        <v>0</v>
      </c>
      <c r="AF104" s="12">
        <v>0</v>
      </c>
      <c r="AG104" s="12">
        <v>0</v>
      </c>
      <c r="AH104" s="33">
        <f>Table_Query_from_UnBilled_1345[[#This Row], [Payable]]*0.01</f>
        <v>22</v>
      </c>
      <c r="AI104" s="33">
        <f>Table_Query_from_UnBilled_1345[[#This Row], [Payable]]+Table_Query_from_UnBilled_1345[[#This Row], [AgencyCommission]]+Table_Query_from_UnBilled_1345[[#This Row], [LevyBillable]]</f>
        <v>2288</v>
      </c>
      <c r="AJ104" s="12">
        <v>0</v>
      </c>
      <c r="AK104" s="11"/>
      <c r="AL104" s="14"/>
      <c r="AM104" s="14"/>
      <c r="AN104" s="4"/>
      <c r="AO104" s="14"/>
      <c r="AP104" s="12"/>
      <c r="AQ104" s="12"/>
      <c r="AR104" s="12">
        <v>0</v>
      </c>
      <c r="AS104" s="12">
        <v>0</v>
      </c>
      <c r="AT104" s="12">
        <v>0</v>
      </c>
      <c r="AU104" s="12">
        <v>0</v>
      </c>
      <c r="AV104" s="12" t="s">
        <v>295</v>
      </c>
      <c r="AW104"/>
    </row>
    <row r="105" spans="1:49" ht="17.25" hidden="1" customHeight="1" x14ac:dyDescent="0.2">
      <c r="A105" s="1" t="s">
        <v>47</v>
      </c>
      <c r="C105" s="1" t="s">
        <v>48</v>
      </c>
      <c r="E105" s="1" t="s">
        <v>49</v>
      </c>
      <c r="F105" s="1" t="s">
        <v>435</v>
      </c>
      <c r="G105" s="10"/>
      <c r="H105" s="1" t="s">
        <v>112</v>
      </c>
      <c r="I105" s="11">
        <v>9</v>
      </c>
      <c r="J105" s="1" t="s">
        <v>113</v>
      </c>
      <c r="K105" s="3">
        <v>45474</v>
      </c>
      <c r="L105" s="1"/>
      <c r="M105" s="1" t="s">
        <v>52</v>
      </c>
      <c r="N105" s="1" t="s">
        <v>53</v>
      </c>
      <c r="O105" s="1"/>
      <c r="Q105" s="4"/>
      <c r="R105" s="5"/>
      <c r="S105" s="4"/>
      <c r="V105" s="1" t="s">
        <v>114</v>
      </c>
      <c r="W105" s="1" t="s">
        <v>114</v>
      </c>
      <c r="X105" s="1" t="s">
        <v>114</v>
      </c>
      <c r="Y105" s="12"/>
      <c r="Z105" s="13"/>
      <c r="AA105" s="33">
        <v>5800</v>
      </c>
      <c r="AB105" s="12"/>
      <c r="AC105" s="12"/>
      <c r="AD105" s="33">
        <f>Table_Query_from_UnBilled_1345[[#This Row], [Payable]]*0.03</f>
        <v>174</v>
      </c>
      <c r="AE105" s="12">
        <v>0</v>
      </c>
      <c r="AF105" s="12">
        <v>0</v>
      </c>
      <c r="AG105" s="12">
        <v>0</v>
      </c>
      <c r="AH105" s="33">
        <f>Table_Query_from_UnBilled_1345[[#This Row], [Payable]]*0.01</f>
        <v>58</v>
      </c>
      <c r="AI105" s="33">
        <f>Table_Query_from_UnBilled_1345[[#This Row], [Payable]]+Table_Query_from_UnBilled_1345[[#This Row], [AgencyCommission]]+Table_Query_from_UnBilled_1345[[#This Row], [LevyBillable]]</f>
        <v>6032</v>
      </c>
      <c r="AJ105" s="12">
        <v>0</v>
      </c>
      <c r="AK105" s="11"/>
      <c r="AL105" s="14"/>
      <c r="AM105" s="14"/>
      <c r="AN105" s="4"/>
      <c r="AO105" s="14"/>
      <c r="AP105" s="12"/>
      <c r="AQ105" s="12"/>
      <c r="AR105" s="12">
        <v>0</v>
      </c>
      <c r="AS105" s="12">
        <v>0</v>
      </c>
      <c r="AT105" s="12">
        <v>0</v>
      </c>
      <c r="AU105" s="12">
        <v>0</v>
      </c>
      <c r="AV105" s="12" t="s">
        <v>296</v>
      </c>
      <c r="AW105"/>
    </row>
    <row r="106" spans="1:49" ht="17.25" hidden="1" customHeight="1" x14ac:dyDescent="0.2">
      <c r="A106" s="1" t="s">
        <v>47</v>
      </c>
      <c r="C106" s="1" t="s">
        <v>48</v>
      </c>
      <c r="E106" s="1" t="s">
        <v>49</v>
      </c>
      <c r="F106" s="1" t="s">
        <v>435</v>
      </c>
      <c r="G106" s="10"/>
      <c r="H106" s="1" t="s">
        <v>112</v>
      </c>
      <c r="I106" s="11">
        <v>9</v>
      </c>
      <c r="J106" s="1" t="s">
        <v>113</v>
      </c>
      <c r="K106" s="3">
        <v>45474</v>
      </c>
      <c r="L106" s="1"/>
      <c r="M106" s="1" t="s">
        <v>58</v>
      </c>
      <c r="N106" s="1" t="s">
        <v>59</v>
      </c>
      <c r="O106" s="1"/>
      <c r="Q106" s="4"/>
      <c r="R106" s="5"/>
      <c r="S106" s="4"/>
      <c r="V106" s="1"/>
      <c r="W106" s="1" t="s">
        <v>114</v>
      </c>
      <c r="X106" s="1" t="s">
        <v>114</v>
      </c>
      <c r="Y106" s="12"/>
      <c r="Z106" s="13"/>
      <c r="AA106" s="33">
        <v>670</v>
      </c>
      <c r="AB106" s="12"/>
      <c r="AC106" s="12"/>
      <c r="AD106" s="33">
        <f>Table_Query_from_UnBilled_1345[[#This Row], [Payable]]*0.03</f>
        <v>20.099999999999998</v>
      </c>
      <c r="AE106" s="12">
        <v>0</v>
      </c>
      <c r="AF106" s="12">
        <v>0</v>
      </c>
      <c r="AG106" s="12">
        <v>0</v>
      </c>
      <c r="AH106" s="33">
        <f>Table_Query_from_UnBilled_1345[[#This Row], [Payable]]*0.01</f>
        <v>6.7</v>
      </c>
      <c r="AI106" s="33">
        <f>Table_Query_from_UnBilled_1345[[#This Row], [Payable]]+Table_Query_from_UnBilled_1345[[#This Row], [AgencyCommission]]+Table_Query_from_UnBilled_1345[[#This Row], [LevyBillable]]</f>
        <v>696.80000000000007</v>
      </c>
      <c r="AJ106" s="12">
        <v>0</v>
      </c>
      <c r="AK106" s="11"/>
      <c r="AL106" s="14"/>
      <c r="AM106" s="14"/>
      <c r="AN106" s="4"/>
      <c r="AO106" s="14"/>
      <c r="AP106" s="12"/>
      <c r="AQ106" s="12"/>
      <c r="AR106" s="12">
        <v>0</v>
      </c>
      <c r="AS106" s="12">
        <v>0</v>
      </c>
      <c r="AT106" s="12">
        <v>0</v>
      </c>
      <c r="AU106" s="12">
        <v>0</v>
      </c>
      <c r="AV106" s="12" t="s">
        <v>297</v>
      </c>
      <c r="AW106"/>
    </row>
    <row r="107" spans="1:49" ht="17.25" hidden="1" customHeight="1" x14ac:dyDescent="0.2">
      <c r="A107" s="1" t="s">
        <v>47</v>
      </c>
      <c r="C107" s="1" t="s">
        <v>48</v>
      </c>
      <c r="E107" s="1" t="s">
        <v>49</v>
      </c>
      <c r="F107" s="1" t="s">
        <v>435</v>
      </c>
      <c r="G107" s="10"/>
      <c r="H107" s="1" t="s">
        <v>112</v>
      </c>
      <c r="I107" s="11">
        <v>9</v>
      </c>
      <c r="J107" s="1" t="s">
        <v>113</v>
      </c>
      <c r="K107" s="3">
        <v>45474</v>
      </c>
      <c r="L107" s="1"/>
      <c r="M107" s="1" t="s">
        <v>58</v>
      </c>
      <c r="N107" s="1" t="s">
        <v>61</v>
      </c>
      <c r="O107" s="1"/>
      <c r="Q107" s="4"/>
      <c r="R107" s="5"/>
      <c r="S107" s="4"/>
      <c r="V107" s="1" t="s">
        <v>114</v>
      </c>
      <c r="W107" s="1" t="s">
        <v>114</v>
      </c>
      <c r="X107" s="1" t="s">
        <v>114</v>
      </c>
      <c r="Y107" s="12"/>
      <c r="Z107" s="13"/>
      <c r="AA107" s="33">
        <v>870</v>
      </c>
      <c r="AB107" s="12"/>
      <c r="AC107" s="12"/>
      <c r="AD107" s="33">
        <f>Table_Query_from_UnBilled_1345[[#This Row], [Payable]]*0.03</f>
        <v>26.099999999999998</v>
      </c>
      <c r="AE107" s="12">
        <v>0</v>
      </c>
      <c r="AF107" s="12">
        <v>0</v>
      </c>
      <c r="AG107" s="12">
        <v>0</v>
      </c>
      <c r="AH107" s="33">
        <f>Table_Query_from_UnBilled_1345[[#This Row], [Payable]]*0.01</f>
        <v>8.7000000000000011</v>
      </c>
      <c r="AI107" s="33">
        <f>Table_Query_from_UnBilled_1345[[#This Row], [Payable]]+Table_Query_from_UnBilled_1345[[#This Row], [AgencyCommission]]+Table_Query_from_UnBilled_1345[[#This Row], [LevyBillable]]</f>
        <v>904.80000000000007</v>
      </c>
      <c r="AJ107" s="12">
        <v>0</v>
      </c>
      <c r="AK107" s="11"/>
      <c r="AL107" s="14"/>
      <c r="AM107" s="14"/>
      <c r="AN107" s="4"/>
      <c r="AO107" s="14"/>
      <c r="AP107" s="12"/>
      <c r="AQ107" s="12"/>
      <c r="AR107" s="12">
        <v>0</v>
      </c>
      <c r="AS107" s="12">
        <v>0</v>
      </c>
      <c r="AT107" s="12">
        <v>0</v>
      </c>
      <c r="AU107" s="12">
        <v>0</v>
      </c>
      <c r="AV107" s="12" t="s">
        <v>298</v>
      </c>
      <c r="AW107"/>
    </row>
    <row r="108" spans="1:49" ht="17.25" hidden="1" customHeight="1" x14ac:dyDescent="0.2">
      <c r="A108" s="1" t="s">
        <v>47</v>
      </c>
      <c r="C108" s="1" t="s">
        <v>48</v>
      </c>
      <c r="E108" s="1" t="s">
        <v>49</v>
      </c>
      <c r="F108" s="39" t="s">
        <v>435</v>
      </c>
      <c r="G108" s="10"/>
      <c r="H108" s="1" t="s">
        <v>112</v>
      </c>
      <c r="I108" s="11">
        <v>9</v>
      </c>
      <c r="J108" s="1" t="s">
        <v>113</v>
      </c>
      <c r="K108" s="3">
        <v>45474</v>
      </c>
      <c r="L108" s="1"/>
      <c r="M108" s="1" t="s">
        <v>58</v>
      </c>
      <c r="N108" s="1" t="s">
        <v>75</v>
      </c>
      <c r="O108" s="1"/>
      <c r="Q108" s="4"/>
      <c r="R108" s="5"/>
      <c r="S108" s="4"/>
      <c r="V108" s="1" t="s">
        <v>114</v>
      </c>
      <c r="W108" s="1" t="s">
        <v>114</v>
      </c>
      <c r="X108" s="1" t="s">
        <v>114</v>
      </c>
      <c r="Y108" s="12"/>
      <c r="Z108" s="13"/>
      <c r="AA108" s="33">
        <v>3340</v>
      </c>
      <c r="AB108" s="12"/>
      <c r="AC108" s="12"/>
      <c r="AD108" s="33">
        <f>Table_Query_from_UnBilled_1345[[#This Row], [Payable]]*0.03</f>
        <v>100.2</v>
      </c>
      <c r="AE108" s="12">
        <v>0</v>
      </c>
      <c r="AF108" s="12">
        <v>0</v>
      </c>
      <c r="AG108" s="12">
        <v>0</v>
      </c>
      <c r="AH108" s="33">
        <f>Table_Query_from_UnBilled_1345[[#This Row], [Payable]]*0.01</f>
        <v>33.4</v>
      </c>
      <c r="AI108" s="33">
        <f>Table_Query_from_UnBilled_1345[[#This Row], [Payable]]+Table_Query_from_UnBilled_1345[[#This Row], [AgencyCommission]]+Table_Query_from_UnBilled_1345[[#This Row], [LevyBillable]]</f>
        <v>3473.6</v>
      </c>
      <c r="AJ108" s="12">
        <v>0</v>
      </c>
      <c r="AK108" s="11"/>
      <c r="AL108" s="14"/>
      <c r="AM108" s="14"/>
      <c r="AN108" s="4"/>
      <c r="AO108" s="14"/>
      <c r="AP108" s="12"/>
      <c r="AQ108" s="12"/>
      <c r="AR108" s="12">
        <v>0</v>
      </c>
      <c r="AS108" s="12">
        <v>0</v>
      </c>
      <c r="AT108" s="12">
        <v>0</v>
      </c>
      <c r="AU108" s="12">
        <v>0</v>
      </c>
      <c r="AV108" s="12" t="s">
        <v>299</v>
      </c>
      <c r="AW108"/>
    </row>
    <row r="109" spans="1:49" ht="17.25" hidden="1" customHeight="1" x14ac:dyDescent="0.2">
      <c r="A109" s="1" t="s">
        <v>47</v>
      </c>
      <c r="C109" s="1" t="s">
        <v>48</v>
      </c>
      <c r="E109" s="1" t="s">
        <v>49</v>
      </c>
      <c r="F109" s="1" t="s">
        <v>435</v>
      </c>
      <c r="G109" s="10"/>
      <c r="H109" s="1" t="s">
        <v>112</v>
      </c>
      <c r="I109" s="11">
        <v>9</v>
      </c>
      <c r="J109" s="1" t="s">
        <v>113</v>
      </c>
      <c r="K109" s="3">
        <v>45474</v>
      </c>
      <c r="L109" s="1"/>
      <c r="M109" s="1" t="s">
        <v>58</v>
      </c>
      <c r="N109" s="1" t="s">
        <v>59</v>
      </c>
      <c r="O109" s="1"/>
      <c r="Q109" s="4"/>
      <c r="R109" s="5"/>
      <c r="S109" s="4"/>
      <c r="V109" s="1"/>
      <c r="W109" s="1" t="s">
        <v>114</v>
      </c>
      <c r="X109" s="1" t="s">
        <v>114</v>
      </c>
      <c r="Y109" s="12"/>
      <c r="Z109" s="13"/>
      <c r="AA109" s="33">
        <v>230</v>
      </c>
      <c r="AB109" s="12"/>
      <c r="AC109" s="12"/>
      <c r="AD109" s="33">
        <f>Table_Query_from_UnBilled_1345[[#This Row], [Payable]]*0.03</f>
        <v>6.8999999999999995</v>
      </c>
      <c r="AE109" s="12">
        <v>0</v>
      </c>
      <c r="AF109" s="12">
        <v>0</v>
      </c>
      <c r="AG109" s="12">
        <v>0</v>
      </c>
      <c r="AH109" s="33">
        <f>Table_Query_from_UnBilled_1345[[#This Row], [Payable]]*0.01</f>
        <v>2.3000000000000003</v>
      </c>
      <c r="AI109" s="33">
        <f>Table_Query_from_UnBilled_1345[[#This Row], [Payable]]+Table_Query_from_UnBilled_1345[[#This Row], [AgencyCommission]]+Table_Query_from_UnBilled_1345[[#This Row], [LevyBillable]]</f>
        <v>239.20000000000002</v>
      </c>
      <c r="AJ109" s="12">
        <v>0</v>
      </c>
      <c r="AK109" s="11"/>
      <c r="AL109" s="14"/>
      <c r="AM109" s="14"/>
      <c r="AN109" s="4"/>
      <c r="AO109" s="14"/>
      <c r="AP109" s="12"/>
      <c r="AQ109" s="12"/>
      <c r="AR109" s="12">
        <v>0</v>
      </c>
      <c r="AS109" s="12">
        <v>0</v>
      </c>
      <c r="AT109" s="12">
        <v>0</v>
      </c>
      <c r="AU109" s="12">
        <v>0</v>
      </c>
      <c r="AV109" s="12" t="s">
        <v>300</v>
      </c>
      <c r="AW109"/>
    </row>
    <row r="110" spans="1:49" ht="17.25" hidden="1" customHeight="1" x14ac:dyDescent="0.2">
      <c r="A110" s="1" t="s">
        <v>47</v>
      </c>
      <c r="C110" s="1" t="s">
        <v>48</v>
      </c>
      <c r="E110" s="1" t="s">
        <v>49</v>
      </c>
      <c r="F110" s="39" t="s">
        <v>435</v>
      </c>
      <c r="G110" s="10"/>
      <c r="H110" s="1" t="s">
        <v>112</v>
      </c>
      <c r="I110" s="11">
        <v>9</v>
      </c>
      <c r="J110" s="1" t="s">
        <v>113</v>
      </c>
      <c r="K110" s="3">
        <v>45474</v>
      </c>
      <c r="L110" s="1"/>
      <c r="M110" s="1" t="s">
        <v>58</v>
      </c>
      <c r="N110" s="1" t="s">
        <v>59</v>
      </c>
      <c r="O110" s="1"/>
      <c r="Q110" s="4"/>
      <c r="R110" s="5"/>
      <c r="S110" s="4"/>
      <c r="V110" s="1"/>
      <c r="W110" s="1" t="s">
        <v>114</v>
      </c>
      <c r="X110" s="1" t="s">
        <v>114</v>
      </c>
      <c r="Y110" s="12"/>
      <c r="Z110" s="13"/>
      <c r="AA110" s="33">
        <v>1220</v>
      </c>
      <c r="AB110" s="12"/>
      <c r="AC110" s="12"/>
      <c r="AD110" s="33">
        <f>Table_Query_from_UnBilled_1345[[#This Row], [Payable]]*0.03</f>
        <v>36.6</v>
      </c>
      <c r="AE110" s="12">
        <v>0</v>
      </c>
      <c r="AF110" s="12">
        <v>0</v>
      </c>
      <c r="AG110" s="12">
        <v>0</v>
      </c>
      <c r="AH110" s="33">
        <f>Table_Query_from_UnBilled_1345[[#This Row], [Payable]]*0.01</f>
        <v>12.200000000000001</v>
      </c>
      <c r="AI110" s="33">
        <f>Table_Query_from_UnBilled_1345[[#This Row], [Payable]]+Table_Query_from_UnBilled_1345[[#This Row], [AgencyCommission]]+Table_Query_from_UnBilled_1345[[#This Row], [LevyBillable]]</f>
        <v>1268.8</v>
      </c>
      <c r="AJ110" s="12">
        <v>0</v>
      </c>
      <c r="AK110" s="11"/>
      <c r="AL110" s="14"/>
      <c r="AM110" s="14"/>
      <c r="AN110" s="4"/>
      <c r="AO110" s="14"/>
      <c r="AP110" s="12"/>
      <c r="AQ110" s="12"/>
      <c r="AR110" s="12">
        <v>0</v>
      </c>
      <c r="AS110" s="12">
        <v>0</v>
      </c>
      <c r="AT110" s="12">
        <v>0</v>
      </c>
      <c r="AU110" s="12">
        <v>0</v>
      </c>
      <c r="AV110" s="12" t="s">
        <v>301</v>
      </c>
      <c r="AW110"/>
    </row>
    <row r="111" spans="1:49" ht="17.25" hidden="1" customHeight="1" x14ac:dyDescent="0.2">
      <c r="A111" s="1" t="s">
        <v>47</v>
      </c>
      <c r="C111" s="1" t="s">
        <v>48</v>
      </c>
      <c r="E111" s="1" t="s">
        <v>49</v>
      </c>
      <c r="F111" s="1" t="s">
        <v>435</v>
      </c>
      <c r="G111" s="10"/>
      <c r="H111" s="1" t="s">
        <v>112</v>
      </c>
      <c r="I111" s="11">
        <v>9</v>
      </c>
      <c r="J111" s="1" t="s">
        <v>113</v>
      </c>
      <c r="K111" s="3">
        <v>45474</v>
      </c>
      <c r="L111" s="1"/>
      <c r="M111" s="1" t="s">
        <v>58</v>
      </c>
      <c r="N111" s="1" t="s">
        <v>59</v>
      </c>
      <c r="O111" s="1"/>
      <c r="Q111" s="4"/>
      <c r="R111" s="5"/>
      <c r="S111" s="4"/>
      <c r="V111" s="1"/>
      <c r="W111" s="1" t="s">
        <v>114</v>
      </c>
      <c r="X111" s="1" t="s">
        <v>114</v>
      </c>
      <c r="Y111" s="12"/>
      <c r="Z111" s="13"/>
      <c r="AA111" s="33">
        <v>1020</v>
      </c>
      <c r="AB111" s="12"/>
      <c r="AC111" s="12"/>
      <c r="AD111" s="33">
        <f>Table_Query_from_UnBilled_1345[[#This Row], [Payable]]*0.03</f>
        <v>30.599999999999998</v>
      </c>
      <c r="AE111" s="12">
        <v>0</v>
      </c>
      <c r="AF111" s="12">
        <v>0</v>
      </c>
      <c r="AG111" s="12">
        <v>0</v>
      </c>
      <c r="AH111" s="33">
        <f>Table_Query_from_UnBilled_1345[[#This Row], [Payable]]*0.01</f>
        <v>10.200000000000001</v>
      </c>
      <c r="AI111" s="33">
        <f>Table_Query_from_UnBilled_1345[[#This Row], [Payable]]+Table_Query_from_UnBilled_1345[[#This Row], [AgencyCommission]]+Table_Query_from_UnBilled_1345[[#This Row], [LevyBillable]]</f>
        <v>1060.8</v>
      </c>
      <c r="AJ111" s="12">
        <v>0</v>
      </c>
      <c r="AK111" s="11"/>
      <c r="AL111" s="14"/>
      <c r="AM111" s="14"/>
      <c r="AN111" s="4"/>
      <c r="AO111" s="14"/>
      <c r="AP111" s="12"/>
      <c r="AQ111" s="12"/>
      <c r="AR111" s="12">
        <v>0</v>
      </c>
      <c r="AS111" s="12">
        <v>0</v>
      </c>
      <c r="AT111" s="12">
        <v>0</v>
      </c>
      <c r="AU111" s="12">
        <v>0</v>
      </c>
      <c r="AV111" s="12" t="s">
        <v>302</v>
      </c>
      <c r="AW111"/>
    </row>
    <row r="112" spans="1:49" ht="17.25" hidden="1" customHeight="1" x14ac:dyDescent="0.2">
      <c r="A112" s="1" t="s">
        <v>47</v>
      </c>
      <c r="C112" s="1" t="s">
        <v>48</v>
      </c>
      <c r="E112" s="1" t="s">
        <v>92</v>
      </c>
      <c r="F112" s="39" t="s">
        <v>432</v>
      </c>
      <c r="G112" s="10"/>
      <c r="H112" s="1" t="s">
        <v>92</v>
      </c>
      <c r="I112" s="11">
        <v>10</v>
      </c>
      <c r="J112" s="1" t="s">
        <v>116</v>
      </c>
      <c r="K112" s="3">
        <v>45474</v>
      </c>
      <c r="L112" s="1"/>
      <c r="M112" s="1" t="s">
        <v>111</v>
      </c>
      <c r="N112" s="1" t="s">
        <v>92</v>
      </c>
      <c r="O112" s="1"/>
      <c r="Q112" s="4"/>
      <c r="R112" s="5"/>
      <c r="S112" s="4"/>
      <c r="U112" s="1" t="s">
        <v>96</v>
      </c>
      <c r="V112" s="1"/>
      <c r="W112" s="1" t="s">
        <v>96</v>
      </c>
      <c r="X112" s="1" t="s">
        <v>96</v>
      </c>
      <c r="Y112" s="12"/>
      <c r="Z112" s="13"/>
      <c r="AA112" s="33">
        <v>200</v>
      </c>
      <c r="AB112" s="12"/>
      <c r="AC112" s="12"/>
      <c r="AD112" s="33">
        <f>Table_Query_from_UnBilled_1345[[#This Row], [Payable]]*0.03</f>
        <v>6</v>
      </c>
      <c r="AE112" s="12">
        <v>0</v>
      </c>
      <c r="AF112" s="12">
        <v>0</v>
      </c>
      <c r="AG112" s="12">
        <v>0</v>
      </c>
      <c r="AH112" s="33">
        <f>Table_Query_from_UnBilled_1345[[#This Row], [Payable]]*0.01</f>
        <v>2</v>
      </c>
      <c r="AI112" s="33">
        <f>Table_Query_from_UnBilled_1345[[#This Row], [Payable]]+Table_Query_from_UnBilled_1345[[#This Row], [AgencyCommission]]+Table_Query_from_UnBilled_1345[[#This Row], [LevyBillable]]</f>
        <v>208</v>
      </c>
      <c r="AJ112" s="12">
        <v>0</v>
      </c>
      <c r="AK112" s="11"/>
      <c r="AL112" s="14"/>
      <c r="AM112" s="14"/>
      <c r="AN112" s="4"/>
      <c r="AO112" s="14"/>
      <c r="AP112" s="12"/>
      <c r="AQ112" s="12"/>
      <c r="AR112" s="12">
        <v>0</v>
      </c>
      <c r="AS112" s="12">
        <v>0</v>
      </c>
      <c r="AT112" s="12">
        <v>0</v>
      </c>
      <c r="AU112" s="12">
        <v>0</v>
      </c>
      <c r="AV112" s="12" t="s">
        <v>303</v>
      </c>
      <c r="AW112"/>
    </row>
    <row r="113" spans="1:49" ht="17.25" hidden="1" customHeight="1" x14ac:dyDescent="0.2">
      <c r="A113" s="1" t="s">
        <v>47</v>
      </c>
      <c r="C113" s="1" t="s">
        <v>48</v>
      </c>
      <c r="E113" s="1" t="s">
        <v>92</v>
      </c>
      <c r="F113" s="1" t="s">
        <v>432</v>
      </c>
      <c r="G113" s="10"/>
      <c r="H113" s="1" t="s">
        <v>92</v>
      </c>
      <c r="I113" s="11">
        <v>11</v>
      </c>
      <c r="J113" s="1" t="s">
        <v>117</v>
      </c>
      <c r="K113" s="3">
        <v>45474</v>
      </c>
      <c r="L113" s="1"/>
      <c r="M113" s="1" t="s">
        <v>111</v>
      </c>
      <c r="N113" s="1" t="s">
        <v>92</v>
      </c>
      <c r="O113" s="1"/>
      <c r="Q113" s="4"/>
      <c r="R113" s="5"/>
      <c r="S113" s="4"/>
      <c r="U113" s="1" t="s">
        <v>96</v>
      </c>
      <c r="V113" s="1"/>
      <c r="W113" s="1" t="s">
        <v>96</v>
      </c>
      <c r="X113" s="1" t="s">
        <v>96</v>
      </c>
      <c r="Y113" s="12"/>
      <c r="Z113" s="13"/>
      <c r="AA113" s="33">
        <v>340</v>
      </c>
      <c r="AB113" s="12"/>
      <c r="AC113" s="12"/>
      <c r="AD113" s="33">
        <f>Table_Query_from_UnBilled_1345[[#This Row], [Payable]]*0.03</f>
        <v>10.199999999999999</v>
      </c>
      <c r="AE113" s="12">
        <v>0</v>
      </c>
      <c r="AF113" s="12">
        <v>0</v>
      </c>
      <c r="AG113" s="12">
        <v>0</v>
      </c>
      <c r="AH113" s="33">
        <f>Table_Query_from_UnBilled_1345[[#This Row], [Payable]]*0.01</f>
        <v>3.4</v>
      </c>
      <c r="AI113" s="33">
        <f>Table_Query_from_UnBilled_1345[[#This Row], [Payable]]+Table_Query_from_UnBilled_1345[[#This Row], [AgencyCommission]]+Table_Query_from_UnBilled_1345[[#This Row], [LevyBillable]]</f>
        <v>353.59999999999997</v>
      </c>
      <c r="AJ113" s="12">
        <v>0</v>
      </c>
      <c r="AK113" s="11"/>
      <c r="AL113" s="14"/>
      <c r="AM113" s="14"/>
      <c r="AN113" s="4"/>
      <c r="AO113" s="14"/>
      <c r="AP113" s="12"/>
      <c r="AQ113" s="12"/>
      <c r="AR113" s="12">
        <v>0</v>
      </c>
      <c r="AS113" s="12">
        <v>0</v>
      </c>
      <c r="AT113" s="12">
        <v>0</v>
      </c>
      <c r="AU113" s="12">
        <v>0</v>
      </c>
      <c r="AV113" s="12" t="s">
        <v>304</v>
      </c>
      <c r="AW113"/>
    </row>
    <row r="114" spans="1:49" ht="17.25" hidden="1" customHeight="1" x14ac:dyDescent="0.2">
      <c r="A114" s="1" t="s">
        <v>47</v>
      </c>
      <c r="C114" s="1" t="s">
        <v>48</v>
      </c>
      <c r="E114" s="1" t="s">
        <v>92</v>
      </c>
      <c r="F114" s="39" t="s">
        <v>432</v>
      </c>
      <c r="G114" s="10"/>
      <c r="H114" s="1" t="s">
        <v>92</v>
      </c>
      <c r="I114" s="11">
        <v>12</v>
      </c>
      <c r="J114" s="1" t="s">
        <v>118</v>
      </c>
      <c r="K114" s="3">
        <v>45474</v>
      </c>
      <c r="L114" s="1"/>
      <c r="M114" s="1" t="s">
        <v>111</v>
      </c>
      <c r="N114" s="1" t="s">
        <v>92</v>
      </c>
      <c r="O114" s="1"/>
      <c r="Q114" s="4"/>
      <c r="R114" s="5"/>
      <c r="S114" s="4"/>
      <c r="U114" s="1" t="s">
        <v>96</v>
      </c>
      <c r="V114" s="1"/>
      <c r="W114" s="1" t="s">
        <v>96</v>
      </c>
      <c r="X114" s="1" t="s">
        <v>96</v>
      </c>
      <c r="Y114" s="12"/>
      <c r="Z114" s="13"/>
      <c r="AA114" s="33">
        <v>820</v>
      </c>
      <c r="AB114" s="12"/>
      <c r="AC114" s="12"/>
      <c r="AD114" s="33">
        <f>Table_Query_from_UnBilled_1345[[#This Row], [Payable]]*0.03</f>
        <v>24.599999999999998</v>
      </c>
      <c r="AE114" s="12">
        <v>0</v>
      </c>
      <c r="AF114" s="12">
        <v>0</v>
      </c>
      <c r="AG114" s="12">
        <v>0</v>
      </c>
      <c r="AH114" s="33">
        <f>Table_Query_from_UnBilled_1345[[#This Row], [Payable]]*0.01</f>
        <v>8.1999999999999993</v>
      </c>
      <c r="AI114" s="33">
        <f>Table_Query_from_UnBilled_1345[[#This Row], [Payable]]+Table_Query_from_UnBilled_1345[[#This Row], [AgencyCommission]]+Table_Query_from_UnBilled_1345[[#This Row], [LevyBillable]]</f>
        <v>852.80000000000007</v>
      </c>
      <c r="AJ114" s="12">
        <v>0</v>
      </c>
      <c r="AK114" s="11"/>
      <c r="AL114" s="14"/>
      <c r="AM114" s="14"/>
      <c r="AN114" s="4"/>
      <c r="AO114" s="14"/>
      <c r="AP114" s="12"/>
      <c r="AQ114" s="12"/>
      <c r="AR114" s="12">
        <v>0</v>
      </c>
      <c r="AS114" s="12">
        <v>0</v>
      </c>
      <c r="AT114" s="12">
        <v>0</v>
      </c>
      <c r="AU114" s="12">
        <v>0</v>
      </c>
      <c r="AV114" s="12" t="s">
        <v>305</v>
      </c>
      <c r="AW114"/>
    </row>
    <row r="115" spans="1:49" ht="17.25" hidden="1" customHeight="1" x14ac:dyDescent="0.2">
      <c r="A115" s="1" t="s">
        <v>47</v>
      </c>
      <c r="C115" s="1" t="s">
        <v>48</v>
      </c>
      <c r="E115" s="1" t="s">
        <v>92</v>
      </c>
      <c r="F115" s="1" t="s">
        <v>432</v>
      </c>
      <c r="G115" s="10"/>
      <c r="H115" s="1" t="s">
        <v>92</v>
      </c>
      <c r="I115" s="11">
        <v>13</v>
      </c>
      <c r="J115" s="1" t="s">
        <v>119</v>
      </c>
      <c r="K115" s="3">
        <v>45474</v>
      </c>
      <c r="L115" s="1"/>
      <c r="M115" s="1" t="s">
        <v>111</v>
      </c>
      <c r="N115" s="1" t="s">
        <v>92</v>
      </c>
      <c r="O115" s="1"/>
      <c r="Q115" s="4"/>
      <c r="R115" s="5"/>
      <c r="S115" s="4"/>
      <c r="U115" s="1" t="s">
        <v>96</v>
      </c>
      <c r="V115" s="1"/>
      <c r="W115" s="1" t="s">
        <v>96</v>
      </c>
      <c r="X115" s="1" t="s">
        <v>96</v>
      </c>
      <c r="Y115" s="12"/>
      <c r="Z115" s="13"/>
      <c r="AA115" s="33">
        <v>2030</v>
      </c>
      <c r="AB115" s="12"/>
      <c r="AC115" s="12"/>
      <c r="AD115" s="33">
        <f>Table_Query_from_UnBilled_1345[[#This Row], [Payable]]*0.03</f>
        <v>60.9</v>
      </c>
      <c r="AE115" s="12">
        <v>0</v>
      </c>
      <c r="AF115" s="12">
        <v>0</v>
      </c>
      <c r="AG115" s="12">
        <v>0</v>
      </c>
      <c r="AH115" s="33">
        <f>Table_Query_from_UnBilled_1345[[#This Row], [Payable]]*0.01</f>
        <v>20.3</v>
      </c>
      <c r="AI115" s="33">
        <f>Table_Query_from_UnBilled_1345[[#This Row], [Payable]]+Table_Query_from_UnBilled_1345[[#This Row], [AgencyCommission]]+Table_Query_from_UnBilled_1345[[#This Row], [LevyBillable]]</f>
        <v>2111.2000000000003</v>
      </c>
      <c r="AJ115" s="12">
        <v>0</v>
      </c>
      <c r="AK115" s="11"/>
      <c r="AL115" s="14"/>
      <c r="AM115" s="14"/>
      <c r="AN115" s="4"/>
      <c r="AO115" s="14"/>
      <c r="AP115" s="12"/>
      <c r="AQ115" s="12"/>
      <c r="AR115" s="12">
        <v>0</v>
      </c>
      <c r="AS115" s="12">
        <v>0</v>
      </c>
      <c r="AT115" s="12">
        <v>0</v>
      </c>
      <c r="AU115" s="12">
        <v>0</v>
      </c>
      <c r="AV115" s="12" t="s">
        <v>306</v>
      </c>
      <c r="AW115"/>
    </row>
    <row r="116" spans="1:49" ht="17.25" customHeight="1" x14ac:dyDescent="0.2">
      <c r="A116" s="11" t="s">
        <v>120</v>
      </c>
      <c r="E116" s="1"/>
      <c r="G116" s="10"/>
      <c r="I116" s="11"/>
      <c r="K116" s="10"/>
      <c r="L116" s="1"/>
      <c r="M116" s="11"/>
      <c r="N116" s="11"/>
      <c r="Q116" s="4"/>
      <c r="R116" s="5"/>
      <c r="S116" s="11"/>
      <c r="V116" s="1"/>
      <c r="W116" s="1"/>
      <c r="X116" s="4"/>
      <c r="Y116" s="12">
        <f>SUBTOTAL(109,Table_Query_from_UnBilled_1345[Payable])</f>
        <v>34020</v>
      </c>
      <c r="Z116" s="13"/>
      <c r="AA116" s="37">
        <f>SUBTOTAL(109,Table_Query_from_UnBilled_1345[Payable])</f>
        <v>34020</v>
      </c>
      <c r="AD116" s="37">
        <f>SUBTOTAL(109,Table_Query_from_UnBilled_1345[AgencyCommission])</f>
        <v>1190.7</v>
      </c>
      <c r="AE116" s="12">
        <f>SUBTOTAL(109,Table_Query_from_UnBilled_1345[Billable])</f>
        <v>0</v>
      </c>
      <c r="AF116" s="12">
        <f>SUBTOTAL(109,Table_Query_from_UnBilled_1345[Billed])</f>
        <v>0</v>
      </c>
      <c r="AG116" s="12">
        <f>SUBTOTAL(109,Table_Query_from_UnBilled_1345[UnBilled])</f>
        <v>0</v>
      </c>
      <c r="AH116" s="37">
        <f>SUBTOTAL(109,Table_Query_from_UnBilled_1345[LevyBillable])</f>
        <v>340.20000000000005</v>
      </c>
      <c r="AI116" s="37">
        <f>SUBTOTAL(109,Table_Query_from_UnBilled_1345[Unbilled Client Cost])</f>
        <v>35550.899999999994</v>
      </c>
      <c r="AK116" s="11"/>
      <c r="AL116" s="4"/>
      <c r="AM116" s="4"/>
      <c r="AN116" s="4"/>
      <c r="AO116" s="4"/>
      <c r="AP116" s="12"/>
      <c r="AQ116" s="12"/>
      <c r="AR116" s="12"/>
      <c r="AS116" s="12"/>
      <c r="AT116" s="12"/>
      <c r="AU116" s="12"/>
      <c r="AV116" s="12"/>
      <c r="AW116"/>
    </row>
    <row r="117" spans="1:49" ht="17.25" customHeight="1" x14ac:dyDescent="0.2"/>
    <row r="118" spans="1:49" ht="17.25" customHeight="1" x14ac:dyDescent="0.2"/>
    <row r="119" spans="1:49" ht="17.25" customHeight="1" x14ac:dyDescent="0.2">
      <c r="AA119" s="35"/>
      <c r="AD119" s="35"/>
      <c r="AH119" s="35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A37"/>
  <sheetViews>
    <sheetView zoomScale="75" zoomScaleNormal="100" workbookViewId="0">
      <selection activeCell="F43" sqref="F43"/>
    </sheetView>
  </sheetViews>
  <sheetFormatPr baseColWidth="10" defaultColWidth="8.83203125" defaultRowHeight="15" x14ac:dyDescent="0.2"/>
  <cols>
    <col min="1" max="1" width="14.5" customWidth="1"/>
    <col min="2" max="2" width="11" customWidth="1"/>
    <col min="3" max="3" width="12.6640625" bestFit="1" customWidth="1"/>
    <col min="4" max="4" width="18.6640625" bestFit="1" customWidth="1"/>
    <col min="5" max="5" width="11.83203125" bestFit="1" customWidth="1"/>
    <col min="6" max="6" width="11.33203125" bestFit="1" customWidth="1"/>
    <col min="7" max="7" width="12.5" bestFit="1" customWidth="1"/>
    <col min="8" max="8" width="26.5" bestFit="1" customWidth="1"/>
    <col min="9" max="9" width="14.33203125" style="15" bestFit="1" customWidth="1"/>
    <col min="10" max="10" width="24.1640625" bestFit="1" customWidth="1"/>
    <col min="11" max="11" width="10.33203125" style="16" bestFit="1" customWidth="1"/>
    <col min="12" max="12" width="9.83203125" bestFit="1" customWidth="1"/>
    <col min="13" max="13" width="23.5" bestFit="1" customWidth="1"/>
    <col min="14" max="14" width="29" bestFit="1" customWidth="1"/>
    <col min="15" max="15" width="18.5" bestFit="1" customWidth="1"/>
    <col min="16" max="16" width="9.83203125" bestFit="1" customWidth="1"/>
    <col min="17" max="17" width="9.33203125" style="17" bestFit="1" customWidth="1"/>
    <col min="18" max="18" width="14.33203125" style="18" bestFit="1" customWidth="1"/>
    <col min="19" max="19" width="18.33203125" bestFit="1" customWidth="1"/>
    <col min="20" max="20" width="18" bestFit="1" customWidth="1"/>
    <col min="21" max="21" width="29.1640625" bestFit="1" customWidth="1"/>
    <col min="22" max="22" width="36.6640625" bestFit="1" customWidth="1"/>
    <col min="23" max="23" width="17.33203125" bestFit="1" customWidth="1"/>
    <col min="24" max="24" width="12.6640625" customWidth="1"/>
    <col min="25" max="25" width="12.5" style="19" hidden="1" bestFit="1" customWidth="1"/>
    <col min="26" max="26" width="12.5" style="20" hidden="1" bestFit="1" customWidth="1"/>
    <col min="27" max="27" width="12.6640625" style="19" customWidth="1"/>
    <col min="28" max="28" width="17.5" style="19" customWidth="1"/>
    <col min="29" max="29" width="14" style="19" customWidth="1"/>
    <col min="30" max="30" width="18.6640625" style="19" customWidth="1"/>
    <col min="31" max="31" width="10" style="19" bestFit="1" customWidth="1"/>
    <col min="32" max="32" width="7.33203125" style="19" bestFit="1" customWidth="1"/>
    <col min="33" max="33" width="10" style="19" bestFit="1" customWidth="1"/>
    <col min="34" max="34" width="11.6640625" style="19" bestFit="1" customWidth="1"/>
    <col min="35" max="35" width="17.5" style="19" bestFit="1" customWidth="1"/>
    <col min="36" max="36" width="12.5" style="19" hidden="1" bestFit="1" customWidth="1"/>
    <col min="37" max="37" width="11.33203125" bestFit="1" customWidth="1"/>
    <col min="38" max="38" width="17.5" bestFit="1" customWidth="1"/>
    <col min="39" max="39" width="11.33203125" bestFit="1" customWidth="1"/>
    <col min="40" max="40" width="19.1640625" bestFit="1" customWidth="1"/>
    <col min="41" max="41" width="5.5" bestFit="1" customWidth="1"/>
    <col min="42" max="42" width="14.6640625" customWidth="1"/>
    <col min="43" max="43" width="11.1640625" style="21" customWidth="1"/>
    <col min="44" max="44" width="16.1640625" style="19" customWidth="1"/>
    <col min="45" max="45" width="17.6640625" style="21" customWidth="1"/>
    <col min="46" max="46" width="13.83203125" style="19" customWidth="1"/>
    <col min="47" max="47" width="18.33203125" style="19" customWidth="1"/>
    <col min="48" max="54" width="16.83203125" bestFit="1" customWidth="1"/>
    <col min="55" max="58" width="12.5" bestFit="1" customWidth="1"/>
    <col min="59" max="78" width="16.83203125" bestFit="1" customWidth="1"/>
    <col min="79" max="79" width="12.5" bestFit="1" customWidth="1"/>
  </cols>
  <sheetData>
    <row r="1" spans="1:79" ht="17.2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6" t="s">
        <v>24</v>
      </c>
      <c r="Z1" s="7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8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192</v>
      </c>
    </row>
    <row r="2" spans="1:79" ht="17.25" customHeight="1" x14ac:dyDescent="0.2">
      <c r="A2" s="1" t="s">
        <v>47</v>
      </c>
      <c r="B2" s="1" t="s">
        <v>121</v>
      </c>
      <c r="C2" s="1" t="s">
        <v>48</v>
      </c>
      <c r="E2" s="1" t="s">
        <v>49</v>
      </c>
      <c r="F2" s="1" t="s">
        <v>433</v>
      </c>
      <c r="G2" s="10"/>
      <c r="H2" s="1" t="s">
        <v>122</v>
      </c>
      <c r="I2" s="11">
        <v>8</v>
      </c>
      <c r="J2" s="1" t="s">
        <v>123</v>
      </c>
      <c r="K2" s="3">
        <v>45413</v>
      </c>
      <c r="L2" s="1"/>
      <c r="M2" s="1" t="s">
        <v>52</v>
      </c>
      <c r="N2" s="1" t="s">
        <v>53</v>
      </c>
      <c r="Q2" s="4">
        <v>45413</v>
      </c>
      <c r="R2" s="5">
        <v>45420</v>
      </c>
      <c r="S2" s="4"/>
      <c r="V2" s="1"/>
      <c r="W2" s="1" t="s">
        <v>428</v>
      </c>
      <c r="X2" s="1"/>
      <c r="Y2" s="12"/>
      <c r="Z2" s="13"/>
      <c r="AA2" s="12">
        <v>4500</v>
      </c>
      <c r="AB2" s="12"/>
      <c r="AC2" s="12"/>
      <c r="AD2" s="12">
        <f>Table_Query_from_UnBilled_134[[#This Row],[Payable]]*0.035</f>
        <v>157.50000000000003</v>
      </c>
      <c r="AE2" s="12"/>
      <c r="AF2" s="12"/>
      <c r="AG2" s="12"/>
      <c r="AH2" s="12">
        <f>Table_Query_from_UnBilled_134[[#This Row],[Payable]]*0.01</f>
        <v>45</v>
      </c>
      <c r="AI2" s="12">
        <f>Table_Query_from_UnBilled_134[[#This Row],[Payable]]+Table_Query_from_UnBilled_134[[#This Row],[AgencyCommission]]+Table_Query_from_UnBilled_134[[#This Row],[LevyBillable]]</f>
        <v>4702.5</v>
      </c>
      <c r="AJ2" s="12"/>
      <c r="AK2" s="11"/>
      <c r="AL2" s="14"/>
      <c r="AM2" s="1" t="s">
        <v>55</v>
      </c>
      <c r="AN2" s="4"/>
      <c r="AO2" s="1" t="s">
        <v>56</v>
      </c>
      <c r="AP2" s="1" t="s">
        <v>57</v>
      </c>
      <c r="AQ2" s="12">
        <v>1</v>
      </c>
      <c r="AR2" s="12">
        <v>56.450000762939453</v>
      </c>
      <c r="AS2" s="12">
        <v>0</v>
      </c>
      <c r="AT2" s="12">
        <v>0</v>
      </c>
      <c r="AU2" s="12">
        <v>56.450000762939453</v>
      </c>
      <c r="AV2" s="12" t="s">
        <v>307</v>
      </c>
      <c r="BC2" s="1"/>
      <c r="BD2" s="1"/>
      <c r="BE2" s="1"/>
      <c r="BF2" s="1"/>
      <c r="BH2" s="1"/>
      <c r="BI2" s="1"/>
      <c r="BJ2" s="1"/>
      <c r="BK2" s="1"/>
      <c r="BL2" s="1"/>
      <c r="BM2" s="1"/>
      <c r="BN2" s="1"/>
      <c r="BO2" s="1"/>
      <c r="BU2" s="1"/>
      <c r="BV2" s="1"/>
      <c r="BW2" s="1"/>
      <c r="BX2" s="1"/>
      <c r="BY2" s="1"/>
      <c r="BZ2" s="1"/>
      <c r="CA2" s="1"/>
    </row>
    <row r="3" spans="1:79" ht="17.25" customHeight="1" x14ac:dyDescent="0.2">
      <c r="A3" s="1" t="s">
        <v>47</v>
      </c>
      <c r="B3" s="1" t="s">
        <v>121</v>
      </c>
      <c r="C3" s="1" t="s">
        <v>48</v>
      </c>
      <c r="E3" s="1" t="s">
        <v>49</v>
      </c>
      <c r="F3" s="1" t="s">
        <v>433</v>
      </c>
      <c r="G3" s="10"/>
      <c r="H3" s="1" t="s">
        <v>124</v>
      </c>
      <c r="I3" s="11">
        <v>5</v>
      </c>
      <c r="J3" s="1" t="s">
        <v>125</v>
      </c>
      <c r="K3" s="3">
        <v>45413</v>
      </c>
      <c r="L3" s="1"/>
      <c r="M3" s="1" t="s">
        <v>52</v>
      </c>
      <c r="N3" s="1" t="s">
        <v>53</v>
      </c>
      <c r="Q3" s="4">
        <v>45425</v>
      </c>
      <c r="R3" s="5">
        <v>45447</v>
      </c>
      <c r="S3" s="4"/>
      <c r="V3" s="1"/>
      <c r="W3" s="1" t="s">
        <v>429</v>
      </c>
      <c r="X3" s="1"/>
      <c r="Y3" s="12"/>
      <c r="Z3" s="13"/>
      <c r="AA3" s="12">
        <v>4505</v>
      </c>
      <c r="AB3" s="12"/>
      <c r="AC3" s="12"/>
      <c r="AD3" s="12">
        <f>Table_Query_from_UnBilled_134[[#This Row],[Payable]]*0.035</f>
        <v>157.67500000000001</v>
      </c>
      <c r="AE3" s="12"/>
      <c r="AF3" s="12"/>
      <c r="AG3" s="12"/>
      <c r="AH3" s="12">
        <f>Table_Query_from_UnBilled_134[[#This Row],[Payable]]*0.01</f>
        <v>45.050000000000004</v>
      </c>
      <c r="AI3" s="12">
        <f>Table_Query_from_UnBilled_134[[#This Row],[Payable]]+Table_Query_from_UnBilled_134[[#This Row],[AgencyCommission]]+Table_Query_from_UnBilled_134[[#This Row],[LevyBillable]]</f>
        <v>4707.7250000000004</v>
      </c>
      <c r="AJ3" s="12"/>
      <c r="AK3" s="11"/>
      <c r="AL3" s="14"/>
      <c r="AM3" s="1" t="s">
        <v>55</v>
      </c>
      <c r="AN3" s="4"/>
      <c r="AO3" s="1" t="s">
        <v>56</v>
      </c>
      <c r="AP3" s="1" t="s">
        <v>57</v>
      </c>
      <c r="AQ3" s="12">
        <v>1</v>
      </c>
      <c r="AR3" s="12">
        <v>315.14999389648438</v>
      </c>
      <c r="AS3" s="12">
        <v>0</v>
      </c>
      <c r="AT3" s="12">
        <v>0</v>
      </c>
      <c r="AU3" s="12">
        <v>315.14999389648438</v>
      </c>
      <c r="AV3" s="12" t="s">
        <v>308</v>
      </c>
      <c r="BC3" s="1"/>
      <c r="BD3" s="1"/>
      <c r="BE3" s="1"/>
      <c r="BF3" s="1"/>
      <c r="BH3" s="1"/>
      <c r="BI3" s="1"/>
      <c r="BJ3" s="1"/>
      <c r="BK3" s="1"/>
      <c r="BL3" s="1"/>
      <c r="BM3" s="1"/>
      <c r="BN3" s="1"/>
      <c r="BO3" s="1"/>
      <c r="BU3" s="1"/>
      <c r="BV3" s="1"/>
      <c r="BW3" s="1"/>
      <c r="BX3" s="1"/>
      <c r="BY3" s="1"/>
      <c r="BZ3" s="1"/>
      <c r="CA3" s="1"/>
    </row>
    <row r="4" spans="1:79" ht="17.25" customHeight="1" x14ac:dyDescent="0.2">
      <c r="A4" s="1" t="s">
        <v>47</v>
      </c>
      <c r="B4" s="1" t="s">
        <v>121</v>
      </c>
      <c r="C4" s="1" t="s">
        <v>48</v>
      </c>
      <c r="E4" s="1" t="s">
        <v>49</v>
      </c>
      <c r="F4" s="1" t="s">
        <v>433</v>
      </c>
      <c r="G4" s="10"/>
      <c r="H4" s="1" t="s">
        <v>124</v>
      </c>
      <c r="I4" s="11">
        <v>5</v>
      </c>
      <c r="J4" s="1" t="s">
        <v>125</v>
      </c>
      <c r="K4" s="3">
        <v>45444</v>
      </c>
      <c r="L4" s="1"/>
      <c r="M4" s="1" t="s">
        <v>52</v>
      </c>
      <c r="N4" s="1" t="s">
        <v>53</v>
      </c>
      <c r="Q4" s="4">
        <v>45444</v>
      </c>
      <c r="R4" s="5">
        <v>45447</v>
      </c>
      <c r="S4" s="4"/>
      <c r="V4" s="1"/>
      <c r="W4" s="39" t="s">
        <v>429</v>
      </c>
      <c r="X4" s="1"/>
      <c r="Y4" s="12"/>
      <c r="Z4" s="13"/>
      <c r="AA4" s="12">
        <v>6570</v>
      </c>
      <c r="AB4" s="12"/>
      <c r="AC4" s="12"/>
      <c r="AD4" s="12">
        <f>Table_Query_from_UnBilled_134[[#This Row],[Payable]]*0.035</f>
        <v>229.95000000000002</v>
      </c>
      <c r="AE4" s="12"/>
      <c r="AF4" s="12"/>
      <c r="AG4" s="12"/>
      <c r="AH4" s="12">
        <f>Table_Query_from_UnBilled_134[[#This Row],[Payable]]*0.01</f>
        <v>65.7</v>
      </c>
      <c r="AI4" s="12">
        <f>Table_Query_from_UnBilled_134[[#This Row],[Payable]]+Table_Query_from_UnBilled_134[[#This Row],[AgencyCommission]]+Table_Query_from_UnBilled_134[[#This Row],[LevyBillable]]</f>
        <v>6865.65</v>
      </c>
      <c r="AJ4" s="12"/>
      <c r="AK4" s="11"/>
      <c r="AL4" s="14"/>
      <c r="AM4" s="1" t="s">
        <v>55</v>
      </c>
      <c r="AN4" s="4"/>
      <c r="AO4" s="1" t="s">
        <v>56</v>
      </c>
      <c r="AP4" s="1" t="s">
        <v>57</v>
      </c>
      <c r="AQ4" s="12">
        <v>1</v>
      </c>
      <c r="AR4" s="12">
        <v>462.19000244140625</v>
      </c>
      <c r="AS4" s="12">
        <v>0</v>
      </c>
      <c r="AT4" s="12">
        <v>0</v>
      </c>
      <c r="AU4" s="12">
        <v>462.19000244140625</v>
      </c>
      <c r="AV4" s="12" t="s">
        <v>309</v>
      </c>
      <c r="BC4" s="1"/>
      <c r="BD4" s="1"/>
      <c r="BE4" s="1"/>
      <c r="BF4" s="1"/>
      <c r="BH4" s="1"/>
      <c r="BI4" s="1"/>
      <c r="BJ4" s="1"/>
      <c r="BK4" s="1"/>
      <c r="BL4" s="1"/>
      <c r="BM4" s="1"/>
      <c r="BN4" s="1"/>
      <c r="BO4" s="1"/>
      <c r="BU4" s="1"/>
      <c r="BV4" s="1"/>
      <c r="BW4" s="1"/>
      <c r="BX4" s="1"/>
      <c r="BY4" s="1"/>
      <c r="BZ4" s="1"/>
      <c r="CA4" s="1"/>
    </row>
    <row r="5" spans="1:79" ht="17.25" customHeight="1" x14ac:dyDescent="0.2">
      <c r="A5" s="1" t="s">
        <v>47</v>
      </c>
      <c r="B5" s="1" t="s">
        <v>121</v>
      </c>
      <c r="C5" s="1" t="s">
        <v>48</v>
      </c>
      <c r="E5" s="1" t="s">
        <v>49</v>
      </c>
      <c r="F5" s="1" t="s">
        <v>433</v>
      </c>
      <c r="G5" s="10"/>
      <c r="H5" s="1" t="s">
        <v>124</v>
      </c>
      <c r="I5" s="11">
        <v>5</v>
      </c>
      <c r="J5" s="1" t="s">
        <v>125</v>
      </c>
      <c r="K5" s="3">
        <v>45444</v>
      </c>
      <c r="L5" s="1"/>
      <c r="M5" s="1" t="s">
        <v>58</v>
      </c>
      <c r="N5" s="1" t="s">
        <v>126</v>
      </c>
      <c r="Q5" s="4">
        <v>45444</v>
      </c>
      <c r="R5" s="5">
        <v>45447</v>
      </c>
      <c r="S5" s="4"/>
      <c r="V5" s="1"/>
      <c r="W5" s="1" t="s">
        <v>429</v>
      </c>
      <c r="X5" s="1"/>
      <c r="Y5" s="12"/>
      <c r="Z5" s="13"/>
      <c r="AA5" s="12">
        <v>1225</v>
      </c>
      <c r="AB5" s="12"/>
      <c r="AC5" s="12"/>
      <c r="AD5" s="12">
        <f>Table_Query_from_UnBilled_134[[#This Row],[Payable]]*0.035</f>
        <v>42.875000000000007</v>
      </c>
      <c r="AE5" s="12"/>
      <c r="AF5" s="12"/>
      <c r="AG5" s="12"/>
      <c r="AH5" s="12">
        <f>Table_Query_from_UnBilled_134[[#This Row],[Payable]]*0.01</f>
        <v>12.25</v>
      </c>
      <c r="AI5" s="12">
        <f>Table_Query_from_UnBilled_134[[#This Row],[Payable]]+Table_Query_from_UnBilled_134[[#This Row],[AgencyCommission]]+Table_Query_from_UnBilled_134[[#This Row],[LevyBillable]]</f>
        <v>1280.125</v>
      </c>
      <c r="AJ5" s="12"/>
      <c r="AK5" s="11"/>
      <c r="AL5" s="14"/>
      <c r="AM5" s="1" t="s">
        <v>55</v>
      </c>
      <c r="AN5" s="4"/>
      <c r="AO5" s="1" t="s">
        <v>56</v>
      </c>
      <c r="AP5" s="1" t="s">
        <v>57</v>
      </c>
      <c r="AQ5" s="12">
        <v>1</v>
      </c>
      <c r="AR5" s="12">
        <v>10657.1904296875</v>
      </c>
      <c r="AS5" s="12">
        <v>10.65719</v>
      </c>
      <c r="AT5" s="12">
        <v>0</v>
      </c>
      <c r="AU5" s="12">
        <v>10657.1904296875</v>
      </c>
      <c r="AV5" s="12" t="s">
        <v>310</v>
      </c>
      <c r="BC5" s="1"/>
      <c r="BD5" s="1"/>
      <c r="BE5" s="1"/>
      <c r="BF5" s="1"/>
      <c r="BH5" s="1"/>
      <c r="BI5" s="1"/>
      <c r="BJ5" s="1"/>
      <c r="BK5" s="1"/>
      <c r="BL5" s="1"/>
      <c r="BM5" s="1"/>
      <c r="BN5" s="1"/>
      <c r="BO5" s="1"/>
      <c r="BU5" s="1"/>
      <c r="BV5" s="1"/>
      <c r="BW5" s="1"/>
      <c r="BX5" s="1"/>
      <c r="BY5" s="1"/>
      <c r="BZ5" s="1"/>
      <c r="CA5" s="1"/>
    </row>
    <row r="6" spans="1:79" ht="17.25" customHeight="1" x14ac:dyDescent="0.2">
      <c r="A6" s="1" t="s">
        <v>47</v>
      </c>
      <c r="B6" s="1" t="s">
        <v>121</v>
      </c>
      <c r="C6" s="1" t="s">
        <v>48</v>
      </c>
      <c r="E6" s="1" t="s">
        <v>49</v>
      </c>
      <c r="F6" s="1" t="s">
        <v>433</v>
      </c>
      <c r="G6" s="10"/>
      <c r="H6" s="1" t="s">
        <v>124</v>
      </c>
      <c r="I6" s="11">
        <v>5</v>
      </c>
      <c r="J6" s="1" t="s">
        <v>125</v>
      </c>
      <c r="K6" s="3">
        <v>45444</v>
      </c>
      <c r="L6" s="1"/>
      <c r="M6" s="1" t="s">
        <v>58</v>
      </c>
      <c r="N6" s="1" t="s">
        <v>75</v>
      </c>
      <c r="Q6" s="4">
        <v>45444</v>
      </c>
      <c r="R6" s="5">
        <v>45447</v>
      </c>
      <c r="S6" s="4"/>
      <c r="V6" s="1"/>
      <c r="W6" s="39" t="s">
        <v>429</v>
      </c>
      <c r="X6" s="1"/>
      <c r="Y6" s="12"/>
      <c r="Z6" s="13"/>
      <c r="AA6" s="12">
        <v>1200</v>
      </c>
      <c r="AB6" s="12"/>
      <c r="AC6" s="12"/>
      <c r="AD6" s="12">
        <f>Table_Query_from_UnBilled_134[[#This Row],[Payable]]*0.035</f>
        <v>42.000000000000007</v>
      </c>
      <c r="AE6" s="12"/>
      <c r="AF6" s="12"/>
      <c r="AG6" s="12"/>
      <c r="AH6" s="12">
        <f>Table_Query_from_UnBilled_134[[#This Row],[Payable]]*0.01</f>
        <v>12</v>
      </c>
      <c r="AI6" s="12">
        <f>Table_Query_from_UnBilled_134[[#This Row],[Payable]]+Table_Query_from_UnBilled_134[[#This Row],[AgencyCommission]]+Table_Query_from_UnBilled_134[[#This Row],[LevyBillable]]</f>
        <v>1254</v>
      </c>
      <c r="AJ6" s="12"/>
      <c r="AK6" s="11"/>
      <c r="AL6" s="14"/>
      <c r="AM6" s="1" t="s">
        <v>55</v>
      </c>
      <c r="AN6" s="4"/>
      <c r="AO6" s="1" t="s">
        <v>56</v>
      </c>
      <c r="AP6" s="1" t="s">
        <v>57</v>
      </c>
      <c r="AQ6" s="12">
        <v>1</v>
      </c>
      <c r="AR6" s="12">
        <v>5748.72998046875</v>
      </c>
      <c r="AS6" s="12">
        <v>5.7487300000000001</v>
      </c>
      <c r="AT6" s="12">
        <v>0</v>
      </c>
      <c r="AU6" s="12">
        <v>5748.72998046875</v>
      </c>
      <c r="AV6" s="12" t="s">
        <v>311</v>
      </c>
      <c r="BC6" s="1"/>
      <c r="BD6" s="1"/>
      <c r="BE6" s="1"/>
      <c r="BF6" s="1"/>
      <c r="BH6" s="1"/>
      <c r="BI6" s="1"/>
      <c r="BJ6" s="1"/>
      <c r="BK6" s="1"/>
      <c r="BL6" s="1"/>
      <c r="BM6" s="1"/>
      <c r="BN6" s="1"/>
      <c r="BO6" s="1"/>
      <c r="BU6" s="1"/>
      <c r="BV6" s="1"/>
      <c r="BW6" s="1"/>
      <c r="BX6" s="1"/>
      <c r="BY6" s="1"/>
      <c r="BZ6" s="1"/>
      <c r="CA6" s="1"/>
    </row>
    <row r="7" spans="1:79" ht="17.25" customHeight="1" x14ac:dyDescent="0.2">
      <c r="A7" s="1" t="s">
        <v>47</v>
      </c>
      <c r="B7" s="1" t="s">
        <v>121</v>
      </c>
      <c r="C7" s="1" t="s">
        <v>48</v>
      </c>
      <c r="E7" s="1" t="s">
        <v>49</v>
      </c>
      <c r="F7" s="1" t="s">
        <v>433</v>
      </c>
      <c r="G7" s="10"/>
      <c r="H7" s="1" t="s">
        <v>124</v>
      </c>
      <c r="I7" s="11">
        <v>5</v>
      </c>
      <c r="J7" s="1" t="s">
        <v>125</v>
      </c>
      <c r="K7" s="3">
        <v>45444</v>
      </c>
      <c r="L7" s="1"/>
      <c r="M7" s="1" t="s">
        <v>58</v>
      </c>
      <c r="N7" s="1" t="s">
        <v>59</v>
      </c>
      <c r="Q7" s="4">
        <v>45444</v>
      </c>
      <c r="R7" s="5">
        <v>45447</v>
      </c>
      <c r="S7" s="4"/>
      <c r="V7" s="1"/>
      <c r="W7" s="1" t="s">
        <v>429</v>
      </c>
      <c r="X7" s="1"/>
      <c r="Y7" s="12"/>
      <c r="Z7" s="13"/>
      <c r="AA7" s="12">
        <v>1235</v>
      </c>
      <c r="AB7" s="12"/>
      <c r="AC7" s="12"/>
      <c r="AD7" s="12">
        <f>Table_Query_from_UnBilled_134[[#This Row],[Payable]]*0.035</f>
        <v>43.225000000000001</v>
      </c>
      <c r="AE7" s="12"/>
      <c r="AF7" s="12"/>
      <c r="AG7" s="12"/>
      <c r="AH7" s="12">
        <f>Table_Query_from_UnBilled_134[[#This Row],[Payable]]*0.01</f>
        <v>12.35</v>
      </c>
      <c r="AI7" s="12">
        <f>Table_Query_from_UnBilled_134[[#This Row],[Payable]]+Table_Query_from_UnBilled_134[[#This Row],[AgencyCommission]]+Table_Query_from_UnBilled_134[[#This Row],[LevyBillable]]</f>
        <v>1290.5749999999998</v>
      </c>
      <c r="AJ7" s="12"/>
      <c r="AK7" s="11"/>
      <c r="AL7" s="14"/>
      <c r="AM7" s="1" t="s">
        <v>55</v>
      </c>
      <c r="AN7" s="4"/>
      <c r="AO7" s="1" t="s">
        <v>56</v>
      </c>
      <c r="AP7" s="1" t="s">
        <v>57</v>
      </c>
      <c r="AQ7" s="12">
        <v>1</v>
      </c>
      <c r="AR7" s="12">
        <v>10754.150390625</v>
      </c>
      <c r="AS7" s="12">
        <v>10.754149999999999</v>
      </c>
      <c r="AT7" s="12">
        <v>0</v>
      </c>
      <c r="AU7" s="12">
        <v>10754.150390625</v>
      </c>
      <c r="AV7" s="12" t="s">
        <v>312</v>
      </c>
      <c r="BC7" s="1"/>
      <c r="BD7" s="1"/>
      <c r="BE7" s="1"/>
      <c r="BF7" s="1"/>
      <c r="BH7" s="1"/>
      <c r="BI7" s="1"/>
      <c r="BJ7" s="1"/>
      <c r="BK7" s="1"/>
      <c r="BL7" s="1"/>
      <c r="BM7" s="1"/>
      <c r="BN7" s="1"/>
      <c r="BO7" s="1"/>
      <c r="BU7" s="1"/>
      <c r="BV7" s="1"/>
      <c r="BW7" s="1"/>
      <c r="BX7" s="1"/>
      <c r="BY7" s="1"/>
      <c r="BZ7" s="1"/>
      <c r="CA7" s="1"/>
    </row>
    <row r="8" spans="1:79" ht="17.25" customHeight="1" x14ac:dyDescent="0.2">
      <c r="A8" s="1" t="s">
        <v>47</v>
      </c>
      <c r="B8" s="1" t="s">
        <v>121</v>
      </c>
      <c r="C8" s="1" t="s">
        <v>48</v>
      </c>
      <c r="E8" s="1" t="s">
        <v>49</v>
      </c>
      <c r="F8" s="1" t="s">
        <v>433</v>
      </c>
      <c r="G8" s="10"/>
      <c r="H8" s="1" t="s">
        <v>124</v>
      </c>
      <c r="I8" s="11">
        <v>5</v>
      </c>
      <c r="J8" s="1" t="s">
        <v>125</v>
      </c>
      <c r="K8" s="3">
        <v>45444</v>
      </c>
      <c r="L8" s="1"/>
      <c r="M8" s="1" t="s">
        <v>58</v>
      </c>
      <c r="N8" s="1" t="s">
        <v>59</v>
      </c>
      <c r="Q8" s="4">
        <v>45444</v>
      </c>
      <c r="R8" s="5">
        <v>45447</v>
      </c>
      <c r="S8" s="4"/>
      <c r="V8" s="1"/>
      <c r="W8" s="39" t="s">
        <v>429</v>
      </c>
      <c r="X8" s="1"/>
      <c r="Y8" s="12"/>
      <c r="Z8" s="13"/>
      <c r="AA8" s="12">
        <v>1650</v>
      </c>
      <c r="AB8" s="12"/>
      <c r="AC8" s="12"/>
      <c r="AD8" s="12">
        <f>Table_Query_from_UnBilled_134[[#This Row],[Payable]]*0.035</f>
        <v>57.750000000000007</v>
      </c>
      <c r="AE8" s="12"/>
      <c r="AF8" s="12"/>
      <c r="AG8" s="12"/>
      <c r="AH8" s="12">
        <f>Table_Query_from_UnBilled_134[[#This Row],[Payable]]*0.01</f>
        <v>16.5</v>
      </c>
      <c r="AI8" s="12">
        <f>Table_Query_from_UnBilled_134[[#This Row],[Payable]]+Table_Query_from_UnBilled_134[[#This Row],[AgencyCommission]]+Table_Query_from_UnBilled_134[[#This Row],[LevyBillable]]</f>
        <v>1724.25</v>
      </c>
      <c r="AJ8" s="12"/>
      <c r="AK8" s="11"/>
      <c r="AL8" s="14"/>
      <c r="AM8" s="1" t="s">
        <v>55</v>
      </c>
      <c r="AN8" s="4"/>
      <c r="AO8" s="1" t="s">
        <v>56</v>
      </c>
      <c r="AP8" s="1" t="s">
        <v>57</v>
      </c>
      <c r="AQ8" s="12">
        <v>1</v>
      </c>
      <c r="AR8" s="12">
        <v>10876.7802734375</v>
      </c>
      <c r="AS8" s="12">
        <v>10.87678</v>
      </c>
      <c r="AT8" s="12">
        <v>0</v>
      </c>
      <c r="AU8" s="12">
        <v>10876.7802734375</v>
      </c>
      <c r="AV8" s="12" t="s">
        <v>313</v>
      </c>
      <c r="BC8" s="1"/>
      <c r="BD8" s="1"/>
      <c r="BE8" s="1"/>
      <c r="BF8" s="1"/>
      <c r="BH8" s="1"/>
      <c r="BI8" s="1"/>
      <c r="BJ8" s="1"/>
      <c r="BK8" s="1"/>
      <c r="BL8" s="1"/>
      <c r="BM8" s="1"/>
      <c r="BN8" s="1"/>
      <c r="BO8" s="1"/>
      <c r="BU8" s="1"/>
      <c r="BV8" s="1"/>
      <c r="BW8" s="1"/>
      <c r="BX8" s="1"/>
      <c r="BY8" s="1"/>
      <c r="BZ8" s="1"/>
      <c r="CA8" s="1"/>
    </row>
    <row r="9" spans="1:79" ht="17.25" customHeight="1" x14ac:dyDescent="0.2">
      <c r="A9" s="1" t="s">
        <v>47</v>
      </c>
      <c r="B9" s="1" t="s">
        <v>121</v>
      </c>
      <c r="C9" s="1" t="s">
        <v>48</v>
      </c>
      <c r="E9" s="1" t="s">
        <v>49</v>
      </c>
      <c r="F9" s="1" t="s">
        <v>433</v>
      </c>
      <c r="G9" s="10"/>
      <c r="H9" s="1" t="s">
        <v>124</v>
      </c>
      <c r="I9" s="11">
        <v>5</v>
      </c>
      <c r="J9" s="1" t="s">
        <v>125</v>
      </c>
      <c r="K9" s="3">
        <v>45444</v>
      </c>
      <c r="L9" s="1"/>
      <c r="M9" s="1" t="s">
        <v>58</v>
      </c>
      <c r="N9" s="1" t="s">
        <v>59</v>
      </c>
      <c r="Q9" s="4">
        <v>45444</v>
      </c>
      <c r="R9" s="5">
        <v>45447</v>
      </c>
      <c r="S9" s="4"/>
      <c r="V9" s="1"/>
      <c r="W9" s="1" t="s">
        <v>429</v>
      </c>
      <c r="X9" s="1"/>
      <c r="Y9" s="12"/>
      <c r="Z9" s="13"/>
      <c r="AA9" s="12">
        <v>6670</v>
      </c>
      <c r="AB9" s="12"/>
      <c r="AC9" s="12"/>
      <c r="AD9" s="12">
        <f>Table_Query_from_UnBilled_134[[#This Row],[Payable]]*0.035</f>
        <v>233.45000000000002</v>
      </c>
      <c r="AE9" s="12"/>
      <c r="AF9" s="12"/>
      <c r="AG9" s="12"/>
      <c r="AH9" s="12">
        <f>Table_Query_from_UnBilled_134[[#This Row],[Payable]]*0.01</f>
        <v>66.7</v>
      </c>
      <c r="AI9" s="12">
        <f>Table_Query_from_UnBilled_134[[#This Row],[Payable]]+Table_Query_from_UnBilled_134[[#This Row],[AgencyCommission]]+Table_Query_from_UnBilled_134[[#This Row],[LevyBillable]]</f>
        <v>6970.15</v>
      </c>
      <c r="AJ9" s="12"/>
      <c r="AK9" s="11"/>
      <c r="AL9" s="14"/>
      <c r="AM9" s="1" t="s">
        <v>55</v>
      </c>
      <c r="AN9" s="4"/>
      <c r="AO9" s="1" t="s">
        <v>56</v>
      </c>
      <c r="AP9" s="1" t="s">
        <v>57</v>
      </c>
      <c r="AQ9" s="12">
        <v>1</v>
      </c>
      <c r="AR9" s="12">
        <v>10567.8203125</v>
      </c>
      <c r="AS9" s="12">
        <v>10.567819999999999</v>
      </c>
      <c r="AT9" s="12">
        <v>0</v>
      </c>
      <c r="AU9" s="12">
        <v>10567.8203125</v>
      </c>
      <c r="AV9" s="12" t="s">
        <v>314</v>
      </c>
      <c r="BC9" s="1"/>
      <c r="BD9" s="1"/>
      <c r="BE9" s="1"/>
      <c r="BF9" s="1"/>
      <c r="BH9" s="1"/>
      <c r="BI9" s="1"/>
      <c r="BJ9" s="1"/>
      <c r="BK9" s="1"/>
      <c r="BL9" s="1"/>
      <c r="BM9" s="1"/>
      <c r="BN9" s="1"/>
      <c r="BO9" s="1"/>
      <c r="BU9" s="1"/>
      <c r="BV9" s="1"/>
      <c r="BW9" s="1"/>
      <c r="BX9" s="1"/>
      <c r="BY9" s="1"/>
      <c r="BZ9" s="1"/>
      <c r="CA9" s="1"/>
    </row>
    <row r="10" spans="1:79" ht="17.25" customHeight="1" x14ac:dyDescent="0.2">
      <c r="A10" s="1" t="s">
        <v>47</v>
      </c>
      <c r="B10" s="1" t="s">
        <v>121</v>
      </c>
      <c r="C10" s="1" t="s">
        <v>48</v>
      </c>
      <c r="E10" s="1" t="s">
        <v>78</v>
      </c>
      <c r="F10" s="1" t="s">
        <v>433</v>
      </c>
      <c r="G10" s="10"/>
      <c r="H10" s="1" t="s">
        <v>124</v>
      </c>
      <c r="I10" s="11">
        <v>3</v>
      </c>
      <c r="J10" s="1" t="s">
        <v>127</v>
      </c>
      <c r="K10" s="3">
        <v>45444</v>
      </c>
      <c r="L10" s="1"/>
      <c r="M10" s="1" t="s">
        <v>128</v>
      </c>
      <c r="N10" s="1" t="s">
        <v>85</v>
      </c>
      <c r="Q10" s="4">
        <v>45446</v>
      </c>
      <c r="R10" s="5">
        <v>45427</v>
      </c>
      <c r="S10" s="4"/>
      <c r="V10" s="1"/>
      <c r="W10" s="39" t="s">
        <v>429</v>
      </c>
      <c r="X10" s="1"/>
      <c r="Y10" s="12"/>
      <c r="Z10" s="13"/>
      <c r="AA10" s="12">
        <v>3450</v>
      </c>
      <c r="AB10" s="12"/>
      <c r="AC10" s="12"/>
      <c r="AD10" s="12">
        <f>Table_Query_from_UnBilled_134[[#This Row],[Payable]]*0.035</f>
        <v>120.75000000000001</v>
      </c>
      <c r="AE10" s="12"/>
      <c r="AF10" s="12"/>
      <c r="AG10" s="12"/>
      <c r="AH10" s="12">
        <f>Table_Query_from_UnBilled_134[[#This Row],[Payable]]*0.01</f>
        <v>34.5</v>
      </c>
      <c r="AI10" s="12">
        <f>Table_Query_from_UnBilled_134[[#This Row],[Payable]]+Table_Query_from_UnBilled_134[[#This Row],[AgencyCommission]]+Table_Query_from_UnBilled_134[[#This Row],[LevyBillable]]</f>
        <v>3605.25</v>
      </c>
      <c r="AJ10" s="12"/>
      <c r="AK10" s="11"/>
      <c r="AL10" s="14"/>
      <c r="AM10" s="1" t="s">
        <v>55</v>
      </c>
      <c r="AN10" s="4"/>
      <c r="AO10" s="1" t="s">
        <v>56</v>
      </c>
      <c r="AP10" s="1" t="s">
        <v>57</v>
      </c>
      <c r="AQ10" s="12">
        <v>1</v>
      </c>
      <c r="AR10" s="12">
        <v>107.38999938964844</v>
      </c>
      <c r="AS10" s="12">
        <v>0</v>
      </c>
      <c r="AT10" s="12">
        <v>0</v>
      </c>
      <c r="AU10" s="12">
        <v>107.38999938964844</v>
      </c>
      <c r="AV10" s="12" t="s">
        <v>315</v>
      </c>
      <c r="BC10" s="1"/>
      <c r="BD10" s="1"/>
      <c r="BE10" s="1"/>
      <c r="BF10" s="1"/>
      <c r="BH10" s="1"/>
      <c r="BI10" s="1"/>
      <c r="BJ10" s="1"/>
      <c r="BK10" s="1"/>
      <c r="BL10" s="1"/>
      <c r="BM10" s="1"/>
      <c r="BN10" s="1"/>
      <c r="BO10" s="1"/>
      <c r="BU10" s="1"/>
      <c r="BV10" s="1"/>
      <c r="BW10" s="1"/>
      <c r="BX10" s="1"/>
      <c r="BY10" s="1"/>
      <c r="BZ10" s="1"/>
      <c r="CA10" s="1"/>
    </row>
    <row r="11" spans="1:79" ht="17.25" customHeight="1" x14ac:dyDescent="0.2">
      <c r="A11" s="1" t="s">
        <v>47</v>
      </c>
      <c r="B11" s="1" t="s">
        <v>121</v>
      </c>
      <c r="C11" s="1" t="s">
        <v>48</v>
      </c>
      <c r="E11" s="1" t="s">
        <v>78</v>
      </c>
      <c r="F11" s="1" t="s">
        <v>433</v>
      </c>
      <c r="G11" s="10"/>
      <c r="H11" s="1" t="s">
        <v>124</v>
      </c>
      <c r="I11" s="11">
        <v>3</v>
      </c>
      <c r="J11" s="1" t="s">
        <v>127</v>
      </c>
      <c r="K11" s="3">
        <v>45444</v>
      </c>
      <c r="L11" s="1"/>
      <c r="M11" s="1" t="s">
        <v>80</v>
      </c>
      <c r="N11" s="1" t="s">
        <v>81</v>
      </c>
      <c r="Q11" s="4">
        <v>45446</v>
      </c>
      <c r="R11" s="5">
        <v>45427</v>
      </c>
      <c r="S11" s="4"/>
      <c r="V11" s="1"/>
      <c r="W11" s="1" t="s">
        <v>429</v>
      </c>
      <c r="X11" s="1"/>
      <c r="Y11" s="12"/>
      <c r="Z11" s="13"/>
      <c r="AA11" s="12">
        <v>3445</v>
      </c>
      <c r="AB11" s="12"/>
      <c r="AC11" s="12"/>
      <c r="AD11" s="12">
        <f>Table_Query_from_UnBilled_134[[#This Row],[Payable]]*0.035</f>
        <v>120.57500000000002</v>
      </c>
      <c r="AE11" s="12"/>
      <c r="AF11" s="12"/>
      <c r="AG11" s="12"/>
      <c r="AH11" s="12">
        <f>Table_Query_from_UnBilled_134[[#This Row],[Payable]]*0.01</f>
        <v>34.450000000000003</v>
      </c>
      <c r="AI11" s="12">
        <f>Table_Query_from_UnBilled_134[[#This Row],[Payable]]+Table_Query_from_UnBilled_134[[#This Row],[AgencyCommission]]+Table_Query_from_UnBilled_134[[#This Row],[LevyBillable]]</f>
        <v>3600.0249999999996</v>
      </c>
      <c r="AJ11" s="12"/>
      <c r="AK11" s="11"/>
      <c r="AL11" s="14"/>
      <c r="AM11" s="1" t="s">
        <v>55</v>
      </c>
      <c r="AN11" s="4"/>
      <c r="AO11" s="1" t="s">
        <v>56</v>
      </c>
      <c r="AP11" s="1" t="s">
        <v>57</v>
      </c>
      <c r="AQ11" s="12">
        <v>1</v>
      </c>
      <c r="AR11" s="12">
        <v>36.939998626708984</v>
      </c>
      <c r="AS11" s="12">
        <v>0</v>
      </c>
      <c r="AT11" s="12">
        <v>0</v>
      </c>
      <c r="AU11" s="12">
        <v>36.939998626708984</v>
      </c>
      <c r="AV11" s="12" t="s">
        <v>316</v>
      </c>
      <c r="BC11" s="1"/>
      <c r="BD11" s="1"/>
      <c r="BE11" s="1"/>
      <c r="BF11" s="1"/>
      <c r="BH11" s="1"/>
      <c r="BI11" s="1"/>
      <c r="BJ11" s="1"/>
      <c r="BK11" s="1"/>
      <c r="BL11" s="1"/>
      <c r="BM11" s="1"/>
      <c r="BN11" s="1"/>
      <c r="BO11" s="1"/>
      <c r="BU11" s="1"/>
      <c r="BV11" s="1"/>
      <c r="BW11" s="1"/>
      <c r="BX11" s="1"/>
      <c r="BY11" s="1"/>
      <c r="BZ11" s="1"/>
      <c r="CA11" s="1"/>
    </row>
    <row r="12" spans="1:79" ht="17.25" customHeight="1" x14ac:dyDescent="0.2">
      <c r="A12" s="1" t="s">
        <v>47</v>
      </c>
      <c r="B12" s="1" t="s">
        <v>121</v>
      </c>
      <c r="C12" s="1" t="s">
        <v>48</v>
      </c>
      <c r="E12" s="1" t="s">
        <v>78</v>
      </c>
      <c r="F12" s="1" t="s">
        <v>433</v>
      </c>
      <c r="G12" s="10"/>
      <c r="H12" s="1" t="s">
        <v>124</v>
      </c>
      <c r="I12" s="11">
        <v>3</v>
      </c>
      <c r="J12" s="1" t="s">
        <v>127</v>
      </c>
      <c r="K12" s="3">
        <v>45444</v>
      </c>
      <c r="L12" s="1"/>
      <c r="M12" s="1" t="s">
        <v>82</v>
      </c>
      <c r="N12" s="1" t="s">
        <v>129</v>
      </c>
      <c r="Q12" s="4">
        <v>45446</v>
      </c>
      <c r="R12" s="5">
        <v>45427</v>
      </c>
      <c r="S12" s="4"/>
      <c r="V12" s="1"/>
      <c r="W12" s="39" t="s">
        <v>429</v>
      </c>
      <c r="X12" s="1"/>
      <c r="Y12" s="12"/>
      <c r="Z12" s="13"/>
      <c r="AA12" s="12">
        <v>2650</v>
      </c>
      <c r="AB12" s="12"/>
      <c r="AC12" s="12"/>
      <c r="AD12" s="12">
        <f>Table_Query_from_UnBilled_134[[#This Row],[Payable]]*0.035</f>
        <v>92.750000000000014</v>
      </c>
      <c r="AE12" s="12"/>
      <c r="AF12" s="12"/>
      <c r="AG12" s="12"/>
      <c r="AH12" s="12">
        <f>Table_Query_from_UnBilled_134[[#This Row],[Payable]]*0.01</f>
        <v>26.5</v>
      </c>
      <c r="AI12" s="12">
        <f>Table_Query_from_UnBilled_134[[#This Row],[Payable]]+Table_Query_from_UnBilled_134[[#This Row],[AgencyCommission]]+Table_Query_from_UnBilled_134[[#This Row],[LevyBillable]]</f>
        <v>2769.25</v>
      </c>
      <c r="AJ12" s="12"/>
      <c r="AK12" s="11"/>
      <c r="AL12" s="14"/>
      <c r="AM12" s="1" t="s">
        <v>55</v>
      </c>
      <c r="AN12" s="4"/>
      <c r="AO12" s="1" t="s">
        <v>56</v>
      </c>
      <c r="AP12" s="1" t="s">
        <v>57</v>
      </c>
      <c r="AQ12" s="12">
        <v>1</v>
      </c>
      <c r="AR12" s="12">
        <v>7606.8798828125</v>
      </c>
      <c r="AS12" s="12">
        <v>7.6068800000000003</v>
      </c>
      <c r="AT12" s="12">
        <v>0</v>
      </c>
      <c r="AU12" s="12">
        <v>7606.8798828125</v>
      </c>
      <c r="AV12" s="12" t="s">
        <v>317</v>
      </c>
      <c r="BC12" s="1"/>
      <c r="BD12" s="1"/>
      <c r="BE12" s="1"/>
      <c r="BF12" s="1"/>
      <c r="BH12" s="1"/>
      <c r="BI12" s="1"/>
      <c r="BJ12" s="1"/>
      <c r="BK12" s="1"/>
      <c r="BL12" s="1"/>
      <c r="BM12" s="1"/>
      <c r="BN12" s="1"/>
      <c r="BO12" s="1"/>
      <c r="BU12" s="1"/>
      <c r="BV12" s="1"/>
      <c r="BW12" s="1"/>
      <c r="BX12" s="1"/>
      <c r="BY12" s="1"/>
      <c r="BZ12" s="1"/>
      <c r="CA12" s="1"/>
    </row>
    <row r="13" spans="1:79" ht="17.25" customHeight="1" x14ac:dyDescent="0.2">
      <c r="A13" s="1" t="s">
        <v>47</v>
      </c>
      <c r="B13" s="1" t="s">
        <v>121</v>
      </c>
      <c r="C13" s="1" t="s">
        <v>48</v>
      </c>
      <c r="E13" s="1" t="s">
        <v>78</v>
      </c>
      <c r="F13" s="1" t="s">
        <v>433</v>
      </c>
      <c r="G13" s="10"/>
      <c r="H13" s="1" t="s">
        <v>124</v>
      </c>
      <c r="I13" s="11">
        <v>3</v>
      </c>
      <c r="J13" s="1" t="s">
        <v>127</v>
      </c>
      <c r="K13" s="3">
        <v>45444</v>
      </c>
      <c r="L13" s="1"/>
      <c r="M13" s="1" t="s">
        <v>82</v>
      </c>
      <c r="N13" s="1" t="s">
        <v>130</v>
      </c>
      <c r="Q13" s="4">
        <v>45446</v>
      </c>
      <c r="R13" s="5">
        <v>45427</v>
      </c>
      <c r="S13" s="4"/>
      <c r="V13" s="1"/>
      <c r="W13" s="1" t="s">
        <v>429</v>
      </c>
      <c r="X13" s="1"/>
      <c r="Y13" s="12"/>
      <c r="Z13" s="13"/>
      <c r="AA13" s="12">
        <v>1230</v>
      </c>
      <c r="AB13" s="12"/>
      <c r="AC13" s="12"/>
      <c r="AD13" s="12">
        <f>Table_Query_from_UnBilled_134[[#This Row],[Payable]]*0.035</f>
        <v>43.050000000000004</v>
      </c>
      <c r="AE13" s="12"/>
      <c r="AF13" s="12"/>
      <c r="AG13" s="12"/>
      <c r="AH13" s="12">
        <f>Table_Query_from_UnBilled_134[[#This Row],[Payable]]*0.01</f>
        <v>12.3</v>
      </c>
      <c r="AI13" s="12">
        <f>Table_Query_from_UnBilled_134[[#This Row],[Payable]]+Table_Query_from_UnBilled_134[[#This Row],[AgencyCommission]]+Table_Query_from_UnBilled_134[[#This Row],[LevyBillable]]</f>
        <v>1285.3499999999999</v>
      </c>
      <c r="AJ13" s="12"/>
      <c r="AK13" s="11"/>
      <c r="AL13" s="14"/>
      <c r="AM13" s="1" t="s">
        <v>55</v>
      </c>
      <c r="AN13" s="4"/>
      <c r="AO13" s="1" t="s">
        <v>56</v>
      </c>
      <c r="AP13" s="1" t="s">
        <v>57</v>
      </c>
      <c r="AQ13" s="12">
        <v>1</v>
      </c>
      <c r="AR13" s="12">
        <v>0.86000001430511475</v>
      </c>
      <c r="AS13" s="12">
        <v>8.5999999999999998E-4</v>
      </c>
      <c r="AT13" s="12">
        <v>0</v>
      </c>
      <c r="AU13" s="12">
        <v>0.86000001430511475</v>
      </c>
      <c r="AV13" s="12" t="s">
        <v>318</v>
      </c>
      <c r="BC13" s="1"/>
      <c r="BD13" s="1"/>
      <c r="BE13" s="1"/>
      <c r="BF13" s="1"/>
      <c r="BH13" s="1"/>
      <c r="BI13" s="1"/>
      <c r="BJ13" s="1"/>
      <c r="BK13" s="1"/>
      <c r="BL13" s="1"/>
      <c r="BM13" s="1"/>
      <c r="BN13" s="1"/>
      <c r="BO13" s="1"/>
      <c r="BU13" s="1"/>
      <c r="BV13" s="1"/>
      <c r="BW13" s="1"/>
      <c r="BX13" s="1"/>
      <c r="BY13" s="1"/>
      <c r="BZ13" s="1"/>
      <c r="CA13" s="1"/>
    </row>
    <row r="14" spans="1:79" ht="17.25" customHeight="1" x14ac:dyDescent="0.2">
      <c r="A14" s="1" t="s">
        <v>47</v>
      </c>
      <c r="B14" s="1" t="s">
        <v>121</v>
      </c>
      <c r="C14" s="1" t="s">
        <v>48</v>
      </c>
      <c r="E14" s="1" t="s">
        <v>78</v>
      </c>
      <c r="F14" s="1" t="s">
        <v>433</v>
      </c>
      <c r="G14" s="10"/>
      <c r="H14" s="1" t="s">
        <v>124</v>
      </c>
      <c r="I14" s="11">
        <v>3</v>
      </c>
      <c r="J14" s="1" t="s">
        <v>127</v>
      </c>
      <c r="K14" s="3">
        <v>45444</v>
      </c>
      <c r="L14" s="1"/>
      <c r="M14" s="1" t="s">
        <v>82</v>
      </c>
      <c r="N14" s="1" t="s">
        <v>131</v>
      </c>
      <c r="Q14" s="4">
        <v>45446</v>
      </c>
      <c r="R14" s="5">
        <v>45427</v>
      </c>
      <c r="S14" s="4"/>
      <c r="V14" s="1"/>
      <c r="W14" s="39" t="s">
        <v>429</v>
      </c>
      <c r="X14" s="1"/>
      <c r="Y14" s="12"/>
      <c r="Z14" s="13"/>
      <c r="AA14" s="12">
        <v>1305</v>
      </c>
      <c r="AB14" s="12"/>
      <c r="AC14" s="12"/>
      <c r="AD14" s="12">
        <f>Table_Query_from_UnBilled_134[[#This Row],[Payable]]*0.035</f>
        <v>45.675000000000004</v>
      </c>
      <c r="AE14" s="12"/>
      <c r="AF14" s="12"/>
      <c r="AG14" s="12"/>
      <c r="AH14" s="12">
        <f>Table_Query_from_UnBilled_134[[#This Row],[Payable]]*0.01</f>
        <v>13.05</v>
      </c>
      <c r="AI14" s="12">
        <f>Table_Query_from_UnBilled_134[[#This Row],[Payable]]+Table_Query_from_UnBilled_134[[#This Row],[AgencyCommission]]+Table_Query_from_UnBilled_134[[#This Row],[LevyBillable]]</f>
        <v>1363.7249999999999</v>
      </c>
      <c r="AJ14" s="12"/>
      <c r="AK14" s="11"/>
      <c r="AL14" s="14"/>
      <c r="AM14" s="1" t="s">
        <v>55</v>
      </c>
      <c r="AN14" s="4"/>
      <c r="AO14" s="1" t="s">
        <v>56</v>
      </c>
      <c r="AP14" s="1" t="s">
        <v>57</v>
      </c>
      <c r="AQ14" s="12">
        <v>1</v>
      </c>
      <c r="AR14" s="12">
        <v>5619.6298828125</v>
      </c>
      <c r="AS14" s="12">
        <v>5.6196299999999999</v>
      </c>
      <c r="AT14" s="12">
        <v>0</v>
      </c>
      <c r="AU14" s="12">
        <v>5619.6298828125</v>
      </c>
      <c r="AV14" s="12" t="s">
        <v>319</v>
      </c>
      <c r="BC14" s="1"/>
      <c r="BD14" s="1"/>
      <c r="BE14" s="1"/>
      <c r="BF14" s="1"/>
      <c r="BH14" s="1"/>
      <c r="BI14" s="1"/>
      <c r="BJ14" s="1"/>
      <c r="BK14" s="1"/>
      <c r="BL14" s="1"/>
      <c r="BM14" s="1"/>
      <c r="BN14" s="1"/>
      <c r="BO14" s="1"/>
      <c r="BU14" s="1"/>
      <c r="BV14" s="1"/>
      <c r="BW14" s="1"/>
      <c r="BX14" s="1"/>
      <c r="BY14" s="1"/>
      <c r="BZ14" s="1"/>
      <c r="CA14" s="1"/>
    </row>
    <row r="15" spans="1:79" ht="17.25" customHeight="1" x14ac:dyDescent="0.2">
      <c r="A15" s="1" t="s">
        <v>47</v>
      </c>
      <c r="B15" s="1" t="s">
        <v>121</v>
      </c>
      <c r="C15" s="1" t="s">
        <v>48</v>
      </c>
      <c r="E15" s="1" t="s">
        <v>78</v>
      </c>
      <c r="F15" s="1" t="s">
        <v>433</v>
      </c>
      <c r="G15" s="10"/>
      <c r="H15" s="1" t="s">
        <v>124</v>
      </c>
      <c r="I15" s="11">
        <v>3</v>
      </c>
      <c r="J15" s="1" t="s">
        <v>127</v>
      </c>
      <c r="K15" s="3">
        <v>45444</v>
      </c>
      <c r="L15" s="1"/>
      <c r="M15" s="1" t="s">
        <v>82</v>
      </c>
      <c r="N15" s="1" t="s">
        <v>85</v>
      </c>
      <c r="Q15" s="4">
        <v>45455</v>
      </c>
      <c r="R15" s="5">
        <v>45427</v>
      </c>
      <c r="S15" s="4"/>
      <c r="V15" s="1"/>
      <c r="W15" s="1" t="s">
        <v>429</v>
      </c>
      <c r="X15" s="1"/>
      <c r="Y15" s="12"/>
      <c r="Z15" s="13"/>
      <c r="AA15" s="12">
        <v>3750</v>
      </c>
      <c r="AB15" s="12"/>
      <c r="AC15" s="12"/>
      <c r="AD15" s="12">
        <f>Table_Query_from_UnBilled_134[[#This Row],[Payable]]*0.035</f>
        <v>131.25</v>
      </c>
      <c r="AE15" s="12"/>
      <c r="AF15" s="12"/>
      <c r="AG15" s="12"/>
      <c r="AH15" s="12">
        <f>Table_Query_from_UnBilled_134[[#This Row],[Payable]]*0.01</f>
        <v>37.5</v>
      </c>
      <c r="AI15" s="12">
        <f>Table_Query_from_UnBilled_134[[#This Row],[Payable]]+Table_Query_from_UnBilled_134[[#This Row],[AgencyCommission]]+Table_Query_from_UnBilled_134[[#This Row],[LevyBillable]]</f>
        <v>3918.75</v>
      </c>
      <c r="AJ15" s="12"/>
      <c r="AK15" s="11"/>
      <c r="AL15" s="14"/>
      <c r="AM15" s="1" t="s">
        <v>55</v>
      </c>
      <c r="AN15" s="4"/>
      <c r="AO15" s="1" t="s">
        <v>56</v>
      </c>
      <c r="AP15" s="1" t="s">
        <v>57</v>
      </c>
      <c r="AQ15" s="12">
        <v>1</v>
      </c>
      <c r="AR15" s="12">
        <v>2581.030029296875</v>
      </c>
      <c r="AS15" s="12">
        <v>2.5810300000000002</v>
      </c>
      <c r="AT15" s="12">
        <v>0</v>
      </c>
      <c r="AU15" s="12">
        <v>2581.030029296875</v>
      </c>
      <c r="AV15" s="12" t="s">
        <v>320</v>
      </c>
      <c r="BC15" s="1"/>
      <c r="BD15" s="1"/>
      <c r="BE15" s="1"/>
      <c r="BF15" s="1"/>
      <c r="BH15" s="1"/>
      <c r="BI15" s="1"/>
      <c r="BJ15" s="1"/>
      <c r="BK15" s="1"/>
      <c r="BL15" s="1"/>
      <c r="BM15" s="1"/>
      <c r="BN15" s="1"/>
      <c r="BO15" s="1"/>
      <c r="BU15" s="1"/>
      <c r="BV15" s="1"/>
      <c r="BW15" s="1"/>
      <c r="BX15" s="1"/>
      <c r="BY15" s="1"/>
      <c r="BZ15" s="1"/>
      <c r="CA15" s="1"/>
    </row>
    <row r="16" spans="1:79" ht="17.25" customHeight="1" x14ac:dyDescent="0.2">
      <c r="A16" s="1" t="s">
        <v>47</v>
      </c>
      <c r="B16" s="1" t="s">
        <v>121</v>
      </c>
      <c r="C16" s="1" t="s">
        <v>48</v>
      </c>
      <c r="E16" s="1" t="s">
        <v>78</v>
      </c>
      <c r="F16" s="1" t="s">
        <v>433</v>
      </c>
      <c r="G16" s="10"/>
      <c r="H16" s="1" t="s">
        <v>124</v>
      </c>
      <c r="I16" s="11">
        <v>3</v>
      </c>
      <c r="J16" s="1" t="s">
        <v>127</v>
      </c>
      <c r="K16" s="3">
        <v>45444</v>
      </c>
      <c r="L16" s="1"/>
      <c r="M16" s="1" t="s">
        <v>80</v>
      </c>
      <c r="N16" s="1" t="s">
        <v>89</v>
      </c>
      <c r="Q16" s="4">
        <v>45446</v>
      </c>
      <c r="R16" s="5">
        <v>45427</v>
      </c>
      <c r="S16" s="4"/>
      <c r="V16" s="1"/>
      <c r="W16" s="39" t="s">
        <v>429</v>
      </c>
      <c r="X16" s="1"/>
      <c r="Y16" s="12"/>
      <c r="Z16" s="13"/>
      <c r="AA16" s="12">
        <v>3090</v>
      </c>
      <c r="AB16" s="12"/>
      <c r="AC16" s="12"/>
      <c r="AD16" s="12">
        <f>Table_Query_from_UnBilled_134[[#This Row],[Payable]]*0.035</f>
        <v>108.15</v>
      </c>
      <c r="AE16" s="12"/>
      <c r="AF16" s="12"/>
      <c r="AG16" s="12"/>
      <c r="AH16" s="12">
        <f>Table_Query_from_UnBilled_134[[#This Row],[Payable]]*0.01</f>
        <v>30.900000000000002</v>
      </c>
      <c r="AI16" s="12">
        <f>Table_Query_from_UnBilled_134[[#This Row],[Payable]]+Table_Query_from_UnBilled_134[[#This Row],[AgencyCommission]]+Table_Query_from_UnBilled_134[[#This Row],[LevyBillable]]</f>
        <v>3229.05</v>
      </c>
      <c r="AJ16" s="12"/>
      <c r="AK16" s="11"/>
      <c r="AL16" s="14"/>
      <c r="AM16" s="1" t="s">
        <v>55</v>
      </c>
      <c r="AN16" s="4"/>
      <c r="AO16" s="1" t="s">
        <v>56</v>
      </c>
      <c r="AP16" s="1" t="s">
        <v>57</v>
      </c>
      <c r="AQ16" s="12">
        <v>1</v>
      </c>
      <c r="AR16" s="12">
        <v>10.159999847412109</v>
      </c>
      <c r="AS16" s="12">
        <v>0</v>
      </c>
      <c r="AT16" s="12">
        <v>0</v>
      </c>
      <c r="AU16" s="12">
        <v>10.159999847412109</v>
      </c>
      <c r="AV16" s="12" t="s">
        <v>321</v>
      </c>
      <c r="BC16" s="1"/>
      <c r="BD16" s="1"/>
      <c r="BE16" s="1"/>
      <c r="BF16" s="1"/>
      <c r="BH16" s="1"/>
      <c r="BI16" s="1"/>
      <c r="BJ16" s="1"/>
      <c r="BK16" s="1"/>
      <c r="BL16" s="1"/>
      <c r="BM16" s="1"/>
      <c r="BN16" s="1"/>
      <c r="BO16" s="1"/>
      <c r="BU16" s="1"/>
      <c r="BV16" s="1"/>
      <c r="BW16" s="1"/>
      <c r="BX16" s="1"/>
      <c r="BY16" s="1"/>
      <c r="BZ16" s="1"/>
      <c r="CA16" s="1"/>
    </row>
    <row r="17" spans="1:79" ht="17.25" customHeight="1" x14ac:dyDescent="0.2">
      <c r="A17" s="1" t="s">
        <v>47</v>
      </c>
      <c r="B17" s="1" t="s">
        <v>121</v>
      </c>
      <c r="C17" s="1" t="s">
        <v>48</v>
      </c>
      <c r="E17" s="1" t="s">
        <v>78</v>
      </c>
      <c r="F17" s="1" t="s">
        <v>433</v>
      </c>
      <c r="G17" s="10"/>
      <c r="H17" s="1" t="s">
        <v>124</v>
      </c>
      <c r="I17" s="11">
        <v>3</v>
      </c>
      <c r="J17" s="1" t="s">
        <v>127</v>
      </c>
      <c r="K17" s="3">
        <v>45444</v>
      </c>
      <c r="L17" s="1"/>
      <c r="M17" s="1" t="s">
        <v>82</v>
      </c>
      <c r="N17" s="1" t="s">
        <v>85</v>
      </c>
      <c r="Q17" s="4">
        <v>45446</v>
      </c>
      <c r="R17" s="5">
        <v>45427</v>
      </c>
      <c r="S17" s="4"/>
      <c r="V17" s="1"/>
      <c r="W17" s="1" t="s">
        <v>429</v>
      </c>
      <c r="X17" s="1"/>
      <c r="Y17" s="12"/>
      <c r="Z17" s="13"/>
      <c r="AA17" s="12">
        <v>1050</v>
      </c>
      <c r="AB17" s="12"/>
      <c r="AC17" s="12"/>
      <c r="AD17" s="12">
        <f>Table_Query_from_UnBilled_134[[#This Row],[Payable]]*0.035</f>
        <v>36.75</v>
      </c>
      <c r="AE17" s="12"/>
      <c r="AF17" s="12"/>
      <c r="AG17" s="12"/>
      <c r="AH17" s="12">
        <f>Table_Query_from_UnBilled_134[[#This Row],[Payable]]*0.01</f>
        <v>10.5</v>
      </c>
      <c r="AI17" s="12">
        <f>Table_Query_from_UnBilled_134[[#This Row],[Payable]]+Table_Query_from_UnBilled_134[[#This Row],[AgencyCommission]]+Table_Query_from_UnBilled_134[[#This Row],[LevyBillable]]</f>
        <v>1097.25</v>
      </c>
      <c r="AJ17" s="12"/>
      <c r="AK17" s="11"/>
      <c r="AL17" s="14"/>
      <c r="AM17" s="1" t="s">
        <v>55</v>
      </c>
      <c r="AN17" s="4"/>
      <c r="AO17" s="1" t="s">
        <v>56</v>
      </c>
      <c r="AP17" s="1" t="s">
        <v>57</v>
      </c>
      <c r="AQ17" s="12">
        <v>1</v>
      </c>
      <c r="AR17" s="12">
        <v>338.08999633789062</v>
      </c>
      <c r="AS17" s="12">
        <v>0.33809</v>
      </c>
      <c r="AT17" s="12">
        <v>0</v>
      </c>
      <c r="AU17" s="12">
        <v>338.08999633789062</v>
      </c>
      <c r="AV17" s="12" t="s">
        <v>322</v>
      </c>
      <c r="BC17" s="1"/>
      <c r="BD17" s="1"/>
      <c r="BE17" s="1"/>
      <c r="BF17" s="1"/>
      <c r="BH17" s="1"/>
      <c r="BI17" s="1"/>
      <c r="BJ17" s="1"/>
      <c r="BK17" s="1"/>
      <c r="BL17" s="1"/>
      <c r="BM17" s="1"/>
      <c r="BN17" s="1"/>
      <c r="BO17" s="1"/>
      <c r="BU17" s="1"/>
      <c r="BV17" s="1"/>
      <c r="BW17" s="1"/>
      <c r="BX17" s="1"/>
      <c r="BY17" s="1"/>
      <c r="BZ17" s="1"/>
      <c r="CA17" s="1"/>
    </row>
    <row r="18" spans="1:79" ht="17.25" customHeight="1" x14ac:dyDescent="0.2">
      <c r="A18" s="1" t="s">
        <v>47</v>
      </c>
      <c r="B18" s="1" t="s">
        <v>121</v>
      </c>
      <c r="C18" s="1" t="s">
        <v>48</v>
      </c>
      <c r="E18" s="1" t="s">
        <v>78</v>
      </c>
      <c r="F18" s="1" t="s">
        <v>433</v>
      </c>
      <c r="G18" s="10"/>
      <c r="H18" s="1" t="s">
        <v>124</v>
      </c>
      <c r="I18" s="11">
        <v>3</v>
      </c>
      <c r="J18" s="1" t="s">
        <v>127</v>
      </c>
      <c r="K18" s="3">
        <v>45444</v>
      </c>
      <c r="L18" s="1"/>
      <c r="M18" s="1" t="s">
        <v>82</v>
      </c>
      <c r="N18" s="1" t="s">
        <v>85</v>
      </c>
      <c r="Q18" s="4">
        <v>45446</v>
      </c>
      <c r="R18" s="5">
        <v>45427</v>
      </c>
      <c r="S18" s="4"/>
      <c r="V18" s="1"/>
      <c r="W18" s="39" t="s">
        <v>429</v>
      </c>
      <c r="X18" s="1"/>
      <c r="Y18" s="12"/>
      <c r="Z18" s="13"/>
      <c r="AA18" s="12">
        <v>1650</v>
      </c>
      <c r="AB18" s="12"/>
      <c r="AC18" s="12"/>
      <c r="AD18" s="12">
        <f>Table_Query_from_UnBilled_134[[#This Row],[Payable]]*0.035</f>
        <v>57.750000000000007</v>
      </c>
      <c r="AE18" s="12"/>
      <c r="AF18" s="12"/>
      <c r="AG18" s="12"/>
      <c r="AH18" s="12">
        <f>Table_Query_from_UnBilled_134[[#This Row],[Payable]]*0.01</f>
        <v>16.5</v>
      </c>
      <c r="AI18" s="12">
        <f>Table_Query_from_UnBilled_134[[#This Row],[Payable]]+Table_Query_from_UnBilled_134[[#This Row],[AgencyCommission]]+Table_Query_from_UnBilled_134[[#This Row],[LevyBillable]]</f>
        <v>1724.25</v>
      </c>
      <c r="AJ18" s="12"/>
      <c r="AK18" s="11"/>
      <c r="AL18" s="14"/>
      <c r="AM18" s="1" t="s">
        <v>55</v>
      </c>
      <c r="AN18" s="4"/>
      <c r="AO18" s="1" t="s">
        <v>56</v>
      </c>
      <c r="AP18" s="1" t="s">
        <v>57</v>
      </c>
      <c r="AQ18" s="12">
        <v>1</v>
      </c>
      <c r="AR18" s="12">
        <v>665.719970703125</v>
      </c>
      <c r="AS18" s="12">
        <v>0.66571999999999998</v>
      </c>
      <c r="AT18" s="12">
        <v>0</v>
      </c>
      <c r="AU18" s="12">
        <v>665.719970703125</v>
      </c>
      <c r="AV18" s="12" t="s">
        <v>323</v>
      </c>
      <c r="BC18" s="1"/>
      <c r="BD18" s="1"/>
      <c r="BE18" s="1"/>
      <c r="BF18" s="1"/>
      <c r="BH18" s="1"/>
      <c r="BI18" s="1"/>
      <c r="BJ18" s="1"/>
      <c r="BK18" s="1"/>
      <c r="BL18" s="1"/>
      <c r="BM18" s="1"/>
      <c r="BN18" s="1"/>
      <c r="BO18" s="1"/>
      <c r="BU18" s="1"/>
      <c r="BV18" s="1"/>
      <c r="BW18" s="1"/>
      <c r="BX18" s="1"/>
      <c r="BY18" s="1"/>
      <c r="BZ18" s="1"/>
      <c r="CA18" s="1"/>
    </row>
    <row r="19" spans="1:79" ht="17.25" customHeight="1" x14ac:dyDescent="0.2">
      <c r="A19" s="1" t="s">
        <v>47</v>
      </c>
      <c r="B19" s="1" t="s">
        <v>121</v>
      </c>
      <c r="C19" s="1" t="s">
        <v>48</v>
      </c>
      <c r="E19" s="1" t="s">
        <v>78</v>
      </c>
      <c r="F19" s="1" t="s">
        <v>433</v>
      </c>
      <c r="G19" s="10"/>
      <c r="H19" s="1" t="s">
        <v>124</v>
      </c>
      <c r="I19" s="11">
        <v>3</v>
      </c>
      <c r="J19" s="1" t="s">
        <v>127</v>
      </c>
      <c r="K19" s="3">
        <v>45444</v>
      </c>
      <c r="L19" s="1"/>
      <c r="M19" s="1" t="s">
        <v>82</v>
      </c>
      <c r="N19" s="1" t="s">
        <v>130</v>
      </c>
      <c r="Q19" s="4">
        <v>45446</v>
      </c>
      <c r="R19" s="5">
        <v>45427</v>
      </c>
      <c r="S19" s="4"/>
      <c r="V19" s="1"/>
      <c r="W19" s="1" t="s">
        <v>429</v>
      </c>
      <c r="X19" s="1"/>
      <c r="Y19" s="12"/>
      <c r="Z19" s="13"/>
      <c r="AA19" s="12">
        <v>1870</v>
      </c>
      <c r="AB19" s="12"/>
      <c r="AC19" s="12"/>
      <c r="AD19" s="12">
        <f>Table_Query_from_UnBilled_134[[#This Row],[Payable]]*0.035</f>
        <v>65.45</v>
      </c>
      <c r="AE19" s="12"/>
      <c r="AF19" s="12"/>
      <c r="AG19" s="12"/>
      <c r="AH19" s="12">
        <f>Table_Query_from_UnBilled_134[[#This Row],[Payable]]*0.01</f>
        <v>18.7</v>
      </c>
      <c r="AI19" s="12">
        <f>Table_Query_from_UnBilled_134[[#This Row],[Payable]]+Table_Query_from_UnBilled_134[[#This Row],[AgencyCommission]]+Table_Query_from_UnBilled_134[[#This Row],[LevyBillable]]</f>
        <v>1954.15</v>
      </c>
      <c r="AJ19" s="12"/>
      <c r="AK19" s="11"/>
      <c r="AL19" s="14"/>
      <c r="AM19" s="1" t="s">
        <v>55</v>
      </c>
      <c r="AN19" s="4"/>
      <c r="AO19" s="1" t="s">
        <v>56</v>
      </c>
      <c r="AP19" s="1" t="s">
        <v>57</v>
      </c>
      <c r="AQ19" s="12">
        <v>1</v>
      </c>
      <c r="AR19" s="12">
        <v>2187.02001953125</v>
      </c>
      <c r="AS19" s="12">
        <v>2.18702</v>
      </c>
      <c r="AT19" s="12">
        <v>0</v>
      </c>
      <c r="AU19" s="12">
        <v>2187.02001953125</v>
      </c>
      <c r="AV19" s="12" t="s">
        <v>324</v>
      </c>
      <c r="BC19" s="1"/>
      <c r="BD19" s="1"/>
      <c r="BE19" s="1"/>
      <c r="BF19" s="1"/>
      <c r="BH19" s="1"/>
      <c r="BI19" s="1"/>
      <c r="BJ19" s="1"/>
      <c r="BK19" s="1"/>
      <c r="BL19" s="1"/>
      <c r="BM19" s="1"/>
      <c r="BN19" s="1"/>
      <c r="BO19" s="1"/>
      <c r="BU19" s="1"/>
      <c r="BV19" s="1"/>
      <c r="BW19" s="1"/>
      <c r="BX19" s="1"/>
      <c r="BY19" s="1"/>
      <c r="BZ19" s="1"/>
      <c r="CA19" s="1"/>
    </row>
    <row r="20" spans="1:79" ht="17.25" customHeight="1" x14ac:dyDescent="0.2">
      <c r="A20" s="1" t="s">
        <v>47</v>
      </c>
      <c r="B20" s="1" t="s">
        <v>121</v>
      </c>
      <c r="C20" s="1" t="s">
        <v>48</v>
      </c>
      <c r="E20" s="1" t="s">
        <v>78</v>
      </c>
      <c r="F20" s="1" t="s">
        <v>433</v>
      </c>
      <c r="G20" s="10"/>
      <c r="H20" s="1" t="s">
        <v>124</v>
      </c>
      <c r="I20" s="11">
        <v>3</v>
      </c>
      <c r="J20" s="1" t="s">
        <v>127</v>
      </c>
      <c r="K20" s="3">
        <v>45444</v>
      </c>
      <c r="L20" s="1"/>
      <c r="M20" s="1" t="s">
        <v>82</v>
      </c>
      <c r="N20" s="1" t="s">
        <v>85</v>
      </c>
      <c r="Q20" s="4">
        <v>45456</v>
      </c>
      <c r="R20" s="5">
        <v>45441</v>
      </c>
      <c r="S20" s="4"/>
      <c r="V20" s="1"/>
      <c r="W20" s="39" t="s">
        <v>429</v>
      </c>
      <c r="X20" s="1"/>
      <c r="Y20" s="12"/>
      <c r="Z20" s="13"/>
      <c r="AA20" s="12">
        <v>1540</v>
      </c>
      <c r="AB20" s="12"/>
      <c r="AC20" s="12"/>
      <c r="AD20" s="12">
        <f>Table_Query_from_UnBilled_134[[#This Row],[Payable]]*0.035</f>
        <v>53.900000000000006</v>
      </c>
      <c r="AE20" s="12"/>
      <c r="AF20" s="12"/>
      <c r="AG20" s="12"/>
      <c r="AH20" s="12">
        <f>Table_Query_from_UnBilled_134[[#This Row],[Payable]]*0.01</f>
        <v>15.4</v>
      </c>
      <c r="AI20" s="12">
        <f>Table_Query_from_UnBilled_134[[#This Row],[Payable]]+Table_Query_from_UnBilled_134[[#This Row],[AgencyCommission]]+Table_Query_from_UnBilled_134[[#This Row],[LevyBillable]]</f>
        <v>1609.3000000000002</v>
      </c>
      <c r="AJ20" s="12"/>
      <c r="AK20" s="11"/>
      <c r="AL20" s="14"/>
      <c r="AM20" s="1" t="s">
        <v>55</v>
      </c>
      <c r="AN20" s="4"/>
      <c r="AO20" s="1" t="s">
        <v>56</v>
      </c>
      <c r="AP20" s="1" t="s">
        <v>57</v>
      </c>
      <c r="AQ20" s="12">
        <v>1</v>
      </c>
      <c r="AR20" s="12">
        <v>6384.72998046875</v>
      </c>
      <c r="AS20" s="12">
        <v>6.3847300000000002</v>
      </c>
      <c r="AT20" s="12">
        <v>0</v>
      </c>
      <c r="AU20" s="12">
        <v>6384.72998046875</v>
      </c>
      <c r="AV20" s="12" t="s">
        <v>325</v>
      </c>
      <c r="BC20" s="1"/>
      <c r="BD20" s="1"/>
      <c r="BE20" s="1"/>
      <c r="BF20" s="1"/>
      <c r="BH20" s="1"/>
      <c r="BI20" s="1"/>
      <c r="BJ20" s="1"/>
      <c r="BK20" s="1"/>
      <c r="BL20" s="1"/>
      <c r="BM20" s="1"/>
      <c r="BN20" s="1"/>
      <c r="BO20" s="1"/>
      <c r="BU20" s="1"/>
      <c r="BV20" s="1"/>
      <c r="BW20" s="1"/>
      <c r="BX20" s="1"/>
      <c r="BY20" s="1"/>
      <c r="BZ20" s="1"/>
      <c r="CA20" s="1"/>
    </row>
    <row r="21" spans="1:79" ht="17.25" customHeight="1" x14ac:dyDescent="0.2">
      <c r="A21" s="1" t="s">
        <v>47</v>
      </c>
      <c r="B21" s="1" t="s">
        <v>121</v>
      </c>
      <c r="C21" s="1" t="s">
        <v>48</v>
      </c>
      <c r="E21" s="1" t="s">
        <v>49</v>
      </c>
      <c r="F21" s="1" t="s">
        <v>433</v>
      </c>
      <c r="G21" s="10"/>
      <c r="H21" s="1" t="s">
        <v>124</v>
      </c>
      <c r="I21" s="11">
        <v>5</v>
      </c>
      <c r="J21" s="1" t="s">
        <v>125</v>
      </c>
      <c r="K21" s="3">
        <v>45474</v>
      </c>
      <c r="L21" s="1"/>
      <c r="M21" s="1" t="s">
        <v>58</v>
      </c>
      <c r="N21" s="1" t="s">
        <v>59</v>
      </c>
      <c r="Q21" s="4">
        <v>45474</v>
      </c>
      <c r="R21" s="5">
        <v>45488</v>
      </c>
      <c r="S21" s="4"/>
      <c r="V21" s="1"/>
      <c r="W21" s="1" t="s">
        <v>429</v>
      </c>
      <c r="X21" s="1"/>
      <c r="Y21" s="12"/>
      <c r="Z21" s="13"/>
      <c r="AA21" s="12">
        <v>1990</v>
      </c>
      <c r="AB21" s="12"/>
      <c r="AC21" s="12"/>
      <c r="AD21" s="12">
        <f>Table_Query_from_UnBilled_134[[#This Row],[Payable]]*0.035</f>
        <v>69.650000000000006</v>
      </c>
      <c r="AE21" s="12"/>
      <c r="AF21" s="12"/>
      <c r="AG21" s="12"/>
      <c r="AH21" s="12">
        <f>Table_Query_from_UnBilled_134[[#This Row],[Payable]]*0.01</f>
        <v>19.900000000000002</v>
      </c>
      <c r="AI21" s="12">
        <f>Table_Query_from_UnBilled_134[[#This Row],[Payable]]+Table_Query_from_UnBilled_134[[#This Row],[AgencyCommission]]+Table_Query_from_UnBilled_134[[#This Row],[LevyBillable]]</f>
        <v>2079.5500000000002</v>
      </c>
      <c r="AJ21" s="12"/>
      <c r="AK21" s="11"/>
      <c r="AL21" s="14"/>
      <c r="AM21" s="1" t="s">
        <v>132</v>
      </c>
      <c r="AN21" s="4"/>
      <c r="AO21" s="1" t="s">
        <v>133</v>
      </c>
      <c r="AP21" s="1" t="s">
        <v>57</v>
      </c>
      <c r="AQ21" s="12">
        <v>1</v>
      </c>
      <c r="AR21" s="12">
        <v>2474.469970703125</v>
      </c>
      <c r="AS21" s="12">
        <v>2.4744700000000002</v>
      </c>
      <c r="AT21" s="12">
        <v>0</v>
      </c>
      <c r="AU21" s="12">
        <v>2474.469970703125</v>
      </c>
      <c r="AV21" s="12" t="s">
        <v>326</v>
      </c>
      <c r="BC21" s="1"/>
      <c r="BD21" s="1"/>
      <c r="BE21" s="1"/>
      <c r="BF21" s="1"/>
      <c r="BH21" s="1"/>
      <c r="BI21" s="1"/>
      <c r="BJ21" s="1"/>
      <c r="BK21" s="1"/>
      <c r="BL21" s="1"/>
      <c r="BM21" s="1"/>
      <c r="BN21" s="1"/>
      <c r="BO21" s="1"/>
      <c r="BU21" s="1"/>
      <c r="BV21" s="1"/>
      <c r="BW21" s="1"/>
      <c r="BX21" s="1"/>
      <c r="BY21" s="1"/>
      <c r="BZ21" s="1"/>
      <c r="CA21" s="1"/>
    </row>
    <row r="22" spans="1:79" ht="17.25" customHeight="1" x14ac:dyDescent="0.2">
      <c r="A22" s="1" t="s">
        <v>47</v>
      </c>
      <c r="B22" s="1" t="s">
        <v>121</v>
      </c>
      <c r="C22" s="1" t="s">
        <v>48</v>
      </c>
      <c r="E22" s="1" t="s">
        <v>134</v>
      </c>
      <c r="F22" s="1" t="s">
        <v>433</v>
      </c>
      <c r="G22" s="10"/>
      <c r="H22" s="1" t="s">
        <v>135</v>
      </c>
      <c r="I22" s="11">
        <v>5</v>
      </c>
      <c r="J22" s="1" t="s">
        <v>136</v>
      </c>
      <c r="K22" s="3">
        <v>45474</v>
      </c>
      <c r="L22" s="1"/>
      <c r="M22" s="1" t="s">
        <v>137</v>
      </c>
      <c r="N22" s="1" t="s">
        <v>138</v>
      </c>
      <c r="Q22" s="4">
        <v>45482</v>
      </c>
      <c r="R22" s="5">
        <v>45427</v>
      </c>
      <c r="S22" s="4"/>
      <c r="V22" s="1"/>
      <c r="W22" s="39" t="s">
        <v>430</v>
      </c>
      <c r="X22" s="1"/>
      <c r="Y22" s="12"/>
      <c r="Z22" s="13"/>
      <c r="AA22" s="12">
        <v>1680</v>
      </c>
      <c r="AB22" s="12"/>
      <c r="AC22" s="12"/>
      <c r="AD22" s="12">
        <f>Table_Query_from_UnBilled_134[[#This Row],[Payable]]*0.035</f>
        <v>58.800000000000004</v>
      </c>
      <c r="AE22" s="12"/>
      <c r="AF22" s="12"/>
      <c r="AG22" s="12"/>
      <c r="AH22" s="12">
        <f>Table_Query_from_UnBilled_134[[#This Row],[Payable]]*0.01</f>
        <v>16.8</v>
      </c>
      <c r="AI22" s="12">
        <f>Table_Query_from_UnBilled_134[[#This Row],[Payable]]+Table_Query_from_UnBilled_134[[#This Row],[AgencyCommission]]+Table_Query_from_UnBilled_134[[#This Row],[LevyBillable]]</f>
        <v>1755.6</v>
      </c>
      <c r="AJ22" s="12"/>
      <c r="AK22" s="11"/>
      <c r="AL22" s="14"/>
      <c r="AM22" s="1" t="s">
        <v>55</v>
      </c>
      <c r="AN22" s="4"/>
      <c r="AO22" s="1" t="s">
        <v>56</v>
      </c>
      <c r="AP22" s="1" t="s">
        <v>57</v>
      </c>
      <c r="AQ22" s="12">
        <v>1</v>
      </c>
      <c r="AR22" s="12">
        <v>6490.06005859375</v>
      </c>
      <c r="AS22" s="12">
        <v>6.4900599999999997</v>
      </c>
      <c r="AT22" s="12">
        <v>0</v>
      </c>
      <c r="AU22" s="12">
        <v>6490.06005859375</v>
      </c>
      <c r="AV22" s="12" t="s">
        <v>327</v>
      </c>
      <c r="BC22" s="1"/>
      <c r="BD22" s="1"/>
      <c r="BE22" s="1"/>
      <c r="BF22" s="1"/>
      <c r="BH22" s="1"/>
      <c r="BI22" s="1"/>
      <c r="BJ22" s="1"/>
      <c r="BK22" s="1"/>
      <c r="BL22" s="1"/>
      <c r="BM22" s="1"/>
      <c r="BN22" s="1"/>
      <c r="BO22" s="1"/>
      <c r="BU22" s="1"/>
      <c r="BV22" s="1"/>
      <c r="BW22" s="1"/>
      <c r="BX22" s="1"/>
      <c r="BY22" s="1"/>
      <c r="BZ22" s="1"/>
      <c r="CA22" s="1"/>
    </row>
    <row r="23" spans="1:79" ht="17.25" customHeight="1" x14ac:dyDescent="0.2">
      <c r="A23" s="1" t="s">
        <v>47</v>
      </c>
      <c r="B23" s="1" t="s">
        <v>121</v>
      </c>
      <c r="C23" s="1" t="s">
        <v>48</v>
      </c>
      <c r="E23" s="1" t="s">
        <v>78</v>
      </c>
      <c r="F23" s="1" t="s">
        <v>433</v>
      </c>
      <c r="G23" s="10"/>
      <c r="H23" s="1" t="s">
        <v>124</v>
      </c>
      <c r="I23" s="11">
        <v>3</v>
      </c>
      <c r="J23" s="1" t="s">
        <v>127</v>
      </c>
      <c r="K23" s="3">
        <v>45474</v>
      </c>
      <c r="L23" s="1"/>
      <c r="M23" s="1" t="s">
        <v>80</v>
      </c>
      <c r="N23" s="1" t="s">
        <v>81</v>
      </c>
      <c r="Q23" s="4">
        <v>45474</v>
      </c>
      <c r="R23" s="5">
        <v>45427</v>
      </c>
      <c r="S23" s="4"/>
      <c r="V23" s="1"/>
      <c r="W23" s="1" t="s">
        <v>429</v>
      </c>
      <c r="X23" s="1"/>
      <c r="Y23" s="12"/>
      <c r="Z23" s="13"/>
      <c r="AA23" s="12">
        <v>1225</v>
      </c>
      <c r="AB23" s="12"/>
      <c r="AC23" s="12"/>
      <c r="AD23" s="12">
        <f>Table_Query_from_UnBilled_134[[#This Row],[Payable]]*0.035</f>
        <v>42.875000000000007</v>
      </c>
      <c r="AE23" s="12"/>
      <c r="AF23" s="12"/>
      <c r="AG23" s="12"/>
      <c r="AH23" s="12">
        <f>Table_Query_from_UnBilled_134[[#This Row],[Payable]]*0.01</f>
        <v>12.25</v>
      </c>
      <c r="AI23" s="12">
        <f>Table_Query_from_UnBilled_134[[#This Row],[Payable]]+Table_Query_from_UnBilled_134[[#This Row],[AgencyCommission]]+Table_Query_from_UnBilled_134[[#This Row],[LevyBillable]]</f>
        <v>1280.125</v>
      </c>
      <c r="AJ23" s="12"/>
      <c r="AK23" s="11"/>
      <c r="AL23" s="14"/>
      <c r="AM23" s="1" t="s">
        <v>132</v>
      </c>
      <c r="AN23" s="4"/>
      <c r="AO23" s="1" t="s">
        <v>133</v>
      </c>
      <c r="AP23" s="1" t="s">
        <v>57</v>
      </c>
      <c r="AQ23" s="12">
        <v>1</v>
      </c>
      <c r="AR23" s="12">
        <v>147.47000122070312</v>
      </c>
      <c r="AS23" s="12">
        <v>0</v>
      </c>
      <c r="AT23" s="12">
        <v>0</v>
      </c>
      <c r="AU23" s="12">
        <v>147.47000122070312</v>
      </c>
      <c r="AV23" s="12" t="s">
        <v>328</v>
      </c>
      <c r="BC23" s="1"/>
      <c r="BD23" s="1"/>
      <c r="BE23" s="1"/>
      <c r="BF23" s="1"/>
      <c r="BH23" s="1"/>
      <c r="BI23" s="1"/>
      <c r="BJ23" s="1"/>
      <c r="BK23" s="1"/>
      <c r="BL23" s="1"/>
      <c r="BM23" s="1"/>
      <c r="BN23" s="1"/>
      <c r="BO23" s="1"/>
      <c r="BU23" s="1"/>
      <c r="BV23" s="1"/>
      <c r="BW23" s="1"/>
      <c r="BX23" s="1"/>
      <c r="BY23" s="1"/>
      <c r="BZ23" s="1"/>
      <c r="CA23" s="1"/>
    </row>
    <row r="24" spans="1:79" ht="17.25" customHeight="1" x14ac:dyDescent="0.2">
      <c r="A24" s="1" t="s">
        <v>47</v>
      </c>
      <c r="B24" s="1" t="s">
        <v>121</v>
      </c>
      <c r="C24" s="1" t="s">
        <v>48</v>
      </c>
      <c r="E24" s="1" t="s">
        <v>78</v>
      </c>
      <c r="F24" s="1" t="s">
        <v>433</v>
      </c>
      <c r="G24" s="10"/>
      <c r="H24" s="1" t="s">
        <v>124</v>
      </c>
      <c r="I24" s="11">
        <v>3</v>
      </c>
      <c r="J24" s="1" t="s">
        <v>127</v>
      </c>
      <c r="K24" s="3">
        <v>45474</v>
      </c>
      <c r="L24" s="1"/>
      <c r="M24" s="1" t="s">
        <v>80</v>
      </c>
      <c r="N24" s="1" t="s">
        <v>89</v>
      </c>
      <c r="Q24" s="4">
        <v>45474</v>
      </c>
      <c r="R24" s="5">
        <v>45427</v>
      </c>
      <c r="S24" s="4"/>
      <c r="V24" s="1"/>
      <c r="W24" s="39" t="s">
        <v>429</v>
      </c>
      <c r="X24" s="1"/>
      <c r="Y24" s="12"/>
      <c r="Z24" s="13"/>
      <c r="AA24" s="12">
        <v>1580</v>
      </c>
      <c r="AB24" s="12"/>
      <c r="AC24" s="12"/>
      <c r="AD24" s="12">
        <f>Table_Query_from_UnBilled_134[[#This Row],[Payable]]*0.035</f>
        <v>55.300000000000004</v>
      </c>
      <c r="AE24" s="12"/>
      <c r="AF24" s="12"/>
      <c r="AG24" s="12"/>
      <c r="AH24" s="12">
        <f>Table_Query_from_UnBilled_134[[#This Row],[Payable]]*0.01</f>
        <v>15.8</v>
      </c>
      <c r="AI24" s="12">
        <f>Table_Query_from_UnBilled_134[[#This Row],[Payable]]+Table_Query_from_UnBilled_134[[#This Row],[AgencyCommission]]+Table_Query_from_UnBilled_134[[#This Row],[LevyBillable]]</f>
        <v>1651.1</v>
      </c>
      <c r="AJ24" s="12"/>
      <c r="AK24" s="11"/>
      <c r="AL24" s="14"/>
      <c r="AM24" s="1" t="s">
        <v>132</v>
      </c>
      <c r="AN24" s="4"/>
      <c r="AO24" s="1" t="s">
        <v>133</v>
      </c>
      <c r="AP24" s="1" t="s">
        <v>57</v>
      </c>
      <c r="AQ24" s="12">
        <v>1</v>
      </c>
      <c r="AR24" s="12">
        <v>40.520000457763672</v>
      </c>
      <c r="AS24" s="12">
        <v>0</v>
      </c>
      <c r="AT24" s="12">
        <v>0</v>
      </c>
      <c r="AU24" s="12">
        <v>40.520000457763672</v>
      </c>
      <c r="AV24" s="12" t="s">
        <v>329</v>
      </c>
      <c r="BC24" s="1"/>
      <c r="BD24" s="1"/>
      <c r="BE24" s="1"/>
      <c r="BF24" s="1"/>
      <c r="BH24" s="1"/>
      <c r="BI24" s="1"/>
      <c r="BJ24" s="1"/>
      <c r="BK24" s="1"/>
      <c r="BL24" s="1"/>
      <c r="BM24" s="1"/>
      <c r="BN24" s="1"/>
      <c r="BO24" s="1"/>
      <c r="BU24" s="1"/>
      <c r="BV24" s="1"/>
      <c r="BW24" s="1"/>
      <c r="BX24" s="1"/>
      <c r="BY24" s="1"/>
      <c r="BZ24" s="1"/>
      <c r="CA24" s="1"/>
    </row>
    <row r="25" spans="1:79" ht="17.25" customHeight="1" x14ac:dyDescent="0.2">
      <c r="A25" s="1" t="s">
        <v>47</v>
      </c>
      <c r="B25" s="1" t="s">
        <v>121</v>
      </c>
      <c r="C25" s="1" t="s">
        <v>48</v>
      </c>
      <c r="E25" s="1" t="s">
        <v>78</v>
      </c>
      <c r="F25" s="1" t="s">
        <v>433</v>
      </c>
      <c r="G25" s="10"/>
      <c r="H25" s="1" t="s">
        <v>124</v>
      </c>
      <c r="I25" s="11">
        <v>3</v>
      </c>
      <c r="J25" s="1" t="s">
        <v>127</v>
      </c>
      <c r="K25" s="3">
        <v>45474</v>
      </c>
      <c r="L25" s="1"/>
      <c r="M25" s="1" t="s">
        <v>82</v>
      </c>
      <c r="N25" s="1" t="s">
        <v>131</v>
      </c>
      <c r="Q25" s="4">
        <v>45474</v>
      </c>
      <c r="R25" s="5">
        <v>45427</v>
      </c>
      <c r="S25" s="4"/>
      <c r="V25" s="1"/>
      <c r="W25" s="1" t="s">
        <v>429</v>
      </c>
      <c r="X25" s="1"/>
      <c r="Y25" s="12"/>
      <c r="Z25" s="13"/>
      <c r="AA25" s="12">
        <v>1120</v>
      </c>
      <c r="AB25" s="12"/>
      <c r="AC25" s="12"/>
      <c r="AD25" s="12">
        <f>Table_Query_from_UnBilled_134[[#This Row],[Payable]]*0.035</f>
        <v>39.200000000000003</v>
      </c>
      <c r="AE25" s="12"/>
      <c r="AF25" s="12"/>
      <c r="AG25" s="12"/>
      <c r="AH25" s="12">
        <f>Table_Query_from_UnBilled_134[[#This Row],[Payable]]*0.01</f>
        <v>11.200000000000001</v>
      </c>
      <c r="AI25" s="12">
        <f>Table_Query_from_UnBilled_134[[#This Row],[Payable]]+Table_Query_from_UnBilled_134[[#This Row],[AgencyCommission]]+Table_Query_from_UnBilled_134[[#This Row],[LevyBillable]]</f>
        <v>1170.4000000000001</v>
      </c>
      <c r="AJ25" s="12"/>
      <c r="AK25" s="11"/>
      <c r="AL25" s="14"/>
      <c r="AM25" s="1" t="s">
        <v>132</v>
      </c>
      <c r="AN25" s="4"/>
      <c r="AO25" s="1" t="s">
        <v>133</v>
      </c>
      <c r="AP25" s="1" t="s">
        <v>57</v>
      </c>
      <c r="AQ25" s="12">
        <v>1</v>
      </c>
      <c r="AR25" s="12">
        <v>6652.89013671875</v>
      </c>
      <c r="AS25" s="12">
        <v>6.6528900000000002</v>
      </c>
      <c r="AT25" s="12">
        <v>0</v>
      </c>
      <c r="AU25" s="12">
        <v>6652.89013671875</v>
      </c>
      <c r="AV25" s="12" t="s">
        <v>330</v>
      </c>
      <c r="BC25" s="1"/>
      <c r="BD25" s="1"/>
      <c r="BE25" s="1"/>
      <c r="BF25" s="1"/>
      <c r="BH25" s="1"/>
      <c r="BI25" s="1"/>
      <c r="BJ25" s="1"/>
      <c r="BK25" s="1"/>
      <c r="BL25" s="1"/>
      <c r="BM25" s="1"/>
      <c r="BN25" s="1"/>
      <c r="BO25" s="1"/>
      <c r="BU25" s="1"/>
      <c r="BV25" s="1"/>
      <c r="BW25" s="1"/>
      <c r="BX25" s="1"/>
      <c r="BY25" s="1"/>
      <c r="BZ25" s="1"/>
      <c r="CA25" s="1"/>
    </row>
    <row r="26" spans="1:79" ht="17.25" customHeight="1" x14ac:dyDescent="0.2">
      <c r="A26" s="1" t="s">
        <v>47</v>
      </c>
      <c r="B26" s="1" t="s">
        <v>121</v>
      </c>
      <c r="C26" s="1" t="s">
        <v>48</v>
      </c>
      <c r="E26" s="1" t="s">
        <v>78</v>
      </c>
      <c r="F26" s="1" t="s">
        <v>433</v>
      </c>
      <c r="G26" s="10"/>
      <c r="H26" s="1" t="s">
        <v>124</v>
      </c>
      <c r="I26" s="11">
        <v>3</v>
      </c>
      <c r="J26" s="1" t="s">
        <v>127</v>
      </c>
      <c r="K26" s="3">
        <v>45474</v>
      </c>
      <c r="L26" s="1"/>
      <c r="M26" s="1" t="s">
        <v>82</v>
      </c>
      <c r="N26" s="1" t="s">
        <v>101</v>
      </c>
      <c r="Q26" s="4">
        <v>45493</v>
      </c>
      <c r="R26" s="5">
        <v>45482</v>
      </c>
      <c r="S26" s="4"/>
      <c r="V26" s="1"/>
      <c r="W26" s="39" t="s">
        <v>429</v>
      </c>
      <c r="X26" s="1"/>
      <c r="Y26" s="12"/>
      <c r="Z26" s="13"/>
      <c r="AA26" s="12">
        <v>1950</v>
      </c>
      <c r="AB26" s="12"/>
      <c r="AC26" s="12"/>
      <c r="AD26" s="12">
        <f>Table_Query_from_UnBilled_134[[#This Row],[Payable]]*0.035</f>
        <v>68.25</v>
      </c>
      <c r="AE26" s="12"/>
      <c r="AF26" s="12"/>
      <c r="AG26" s="12"/>
      <c r="AH26" s="12">
        <f>Table_Query_from_UnBilled_134[[#This Row],[Payable]]*0.01</f>
        <v>19.5</v>
      </c>
      <c r="AI26" s="12">
        <f>Table_Query_from_UnBilled_134[[#This Row],[Payable]]+Table_Query_from_UnBilled_134[[#This Row],[AgencyCommission]]+Table_Query_from_UnBilled_134[[#This Row],[LevyBillable]]</f>
        <v>2037.75</v>
      </c>
      <c r="AJ26" s="12"/>
      <c r="AK26" s="11"/>
      <c r="AL26" s="14"/>
      <c r="AM26" s="1" t="s">
        <v>132</v>
      </c>
      <c r="AN26" s="4"/>
      <c r="AO26" s="1" t="s">
        <v>133</v>
      </c>
      <c r="AP26" s="1" t="s">
        <v>57</v>
      </c>
      <c r="AQ26" s="12">
        <v>1</v>
      </c>
      <c r="AR26" s="12">
        <v>6272.35986328125</v>
      </c>
      <c r="AS26" s="12">
        <v>6.2723599999999999</v>
      </c>
      <c r="AT26" s="12">
        <v>0</v>
      </c>
      <c r="AU26" s="12">
        <v>6272.35986328125</v>
      </c>
      <c r="AV26" s="12" t="s">
        <v>331</v>
      </c>
      <c r="BC26" s="1"/>
      <c r="BD26" s="1"/>
      <c r="BE26" s="1"/>
      <c r="BF26" s="1"/>
      <c r="BH26" s="1"/>
      <c r="BI26" s="1"/>
      <c r="BJ26" s="1"/>
      <c r="BK26" s="1"/>
      <c r="BL26" s="1"/>
      <c r="BM26" s="1"/>
      <c r="BN26" s="1"/>
      <c r="BO26" s="1"/>
      <c r="BU26" s="1"/>
      <c r="BV26" s="1"/>
      <c r="BW26" s="1"/>
      <c r="BX26" s="1"/>
      <c r="BY26" s="1"/>
      <c r="BZ26" s="1"/>
      <c r="CA26" s="1"/>
    </row>
    <row r="27" spans="1:79" ht="17.25" customHeight="1" x14ac:dyDescent="0.2">
      <c r="A27" s="1" t="s">
        <v>47</v>
      </c>
      <c r="B27" s="1" t="s">
        <v>121</v>
      </c>
      <c r="C27" s="1" t="s">
        <v>48</v>
      </c>
      <c r="E27" s="1" t="s">
        <v>78</v>
      </c>
      <c r="F27" s="1" t="s">
        <v>433</v>
      </c>
      <c r="G27" s="10"/>
      <c r="H27" s="1" t="s">
        <v>124</v>
      </c>
      <c r="I27" s="11">
        <v>3</v>
      </c>
      <c r="J27" s="1" t="s">
        <v>127</v>
      </c>
      <c r="K27" s="3">
        <v>45474</v>
      </c>
      <c r="L27" s="1"/>
      <c r="M27" s="1" t="s">
        <v>82</v>
      </c>
      <c r="N27" s="1" t="s">
        <v>85</v>
      </c>
      <c r="Q27" s="4">
        <v>45474</v>
      </c>
      <c r="R27" s="5">
        <v>45482</v>
      </c>
      <c r="S27" s="4"/>
      <c r="V27" s="1"/>
      <c r="W27" s="1" t="s">
        <v>429</v>
      </c>
      <c r="X27" s="1"/>
      <c r="Y27" s="12"/>
      <c r="Z27" s="13"/>
      <c r="AA27" s="12">
        <v>1830</v>
      </c>
      <c r="AB27" s="12"/>
      <c r="AC27" s="12"/>
      <c r="AD27" s="12">
        <f>Table_Query_from_UnBilled_134[[#This Row],[Payable]]*0.035</f>
        <v>64.050000000000011</v>
      </c>
      <c r="AE27" s="12"/>
      <c r="AF27" s="12"/>
      <c r="AG27" s="12"/>
      <c r="AH27" s="12">
        <f>Table_Query_from_UnBilled_134[[#This Row],[Payable]]*0.01</f>
        <v>18.3</v>
      </c>
      <c r="AI27" s="12">
        <f>Table_Query_from_UnBilled_134[[#This Row],[Payable]]+Table_Query_from_UnBilled_134[[#This Row],[AgencyCommission]]+Table_Query_from_UnBilled_134[[#This Row],[LevyBillable]]</f>
        <v>1912.35</v>
      </c>
      <c r="AJ27" s="12"/>
      <c r="AK27" s="11"/>
      <c r="AL27" s="14"/>
      <c r="AM27" s="1" t="s">
        <v>132</v>
      </c>
      <c r="AN27" s="4"/>
      <c r="AO27" s="1" t="s">
        <v>133</v>
      </c>
      <c r="AP27" s="1" t="s">
        <v>57</v>
      </c>
      <c r="AQ27" s="12">
        <v>1</v>
      </c>
      <c r="AR27" s="12">
        <v>5070.68017578125</v>
      </c>
      <c r="AS27" s="12">
        <v>5.0706800000000003</v>
      </c>
      <c r="AT27" s="12">
        <v>0</v>
      </c>
      <c r="AU27" s="12">
        <v>5070.68017578125</v>
      </c>
      <c r="AV27" s="12" t="s">
        <v>332</v>
      </c>
      <c r="BC27" s="1"/>
      <c r="BD27" s="1"/>
      <c r="BE27" s="1"/>
      <c r="BF27" s="1"/>
      <c r="BH27" s="1"/>
      <c r="BI27" s="1"/>
      <c r="BJ27" s="1"/>
      <c r="BK27" s="1"/>
      <c r="BL27" s="1"/>
      <c r="BM27" s="1"/>
      <c r="BN27" s="1"/>
      <c r="BO27" s="1"/>
      <c r="BU27" s="1"/>
      <c r="BV27" s="1"/>
      <c r="BW27" s="1"/>
      <c r="BX27" s="1"/>
      <c r="BY27" s="1"/>
      <c r="BZ27" s="1"/>
      <c r="CA27" s="1"/>
    </row>
    <row r="28" spans="1:79" ht="17.25" customHeight="1" x14ac:dyDescent="0.2">
      <c r="A28" s="1" t="s">
        <v>47</v>
      </c>
      <c r="B28" s="1" t="s">
        <v>121</v>
      </c>
      <c r="C28" s="1" t="s">
        <v>48</v>
      </c>
      <c r="E28" s="1" t="s">
        <v>78</v>
      </c>
      <c r="F28" s="1" t="s">
        <v>433</v>
      </c>
      <c r="G28" s="10"/>
      <c r="H28" s="1" t="s">
        <v>124</v>
      </c>
      <c r="I28" s="11">
        <v>3</v>
      </c>
      <c r="J28" s="1" t="s">
        <v>127</v>
      </c>
      <c r="K28" s="3">
        <v>45474</v>
      </c>
      <c r="L28" s="1"/>
      <c r="M28" s="1" t="s">
        <v>82</v>
      </c>
      <c r="N28" s="1" t="s">
        <v>130</v>
      </c>
      <c r="Q28" s="4">
        <v>45474</v>
      </c>
      <c r="R28" s="5">
        <v>45482</v>
      </c>
      <c r="S28" s="4"/>
      <c r="V28" s="1"/>
      <c r="W28" s="39" t="s">
        <v>429</v>
      </c>
      <c r="X28" s="1"/>
      <c r="Y28" s="12"/>
      <c r="Z28" s="13"/>
      <c r="AA28" s="12">
        <v>1275</v>
      </c>
      <c r="AB28" s="12"/>
      <c r="AC28" s="12"/>
      <c r="AD28" s="12">
        <f>Table_Query_from_UnBilled_134[[#This Row],[Payable]]*0.035</f>
        <v>44.625000000000007</v>
      </c>
      <c r="AE28" s="12"/>
      <c r="AF28" s="12"/>
      <c r="AG28" s="12"/>
      <c r="AH28" s="12">
        <f>Table_Query_from_UnBilled_134[[#This Row],[Payable]]*0.01</f>
        <v>12.75</v>
      </c>
      <c r="AI28" s="12">
        <f>Table_Query_from_UnBilled_134[[#This Row],[Payable]]+Table_Query_from_UnBilled_134[[#This Row],[AgencyCommission]]+Table_Query_from_UnBilled_134[[#This Row],[LevyBillable]]</f>
        <v>1332.375</v>
      </c>
      <c r="AJ28" s="12"/>
      <c r="AK28" s="11"/>
      <c r="AL28" s="14"/>
      <c r="AM28" s="1" t="s">
        <v>132</v>
      </c>
      <c r="AN28" s="4"/>
      <c r="AO28" s="1" t="s">
        <v>133</v>
      </c>
      <c r="AP28" s="1" t="s">
        <v>57</v>
      </c>
      <c r="AQ28" s="12">
        <v>1</v>
      </c>
      <c r="AR28" s="12">
        <v>9676.3896484375</v>
      </c>
      <c r="AS28" s="12">
        <v>9.6763899999999996</v>
      </c>
      <c r="AT28" s="12">
        <v>0</v>
      </c>
      <c r="AU28" s="12">
        <v>9676.3896484375</v>
      </c>
      <c r="AV28" s="12" t="s">
        <v>333</v>
      </c>
      <c r="BC28" s="1"/>
      <c r="BD28" s="1"/>
      <c r="BE28" s="1"/>
      <c r="BF28" s="1"/>
      <c r="BH28" s="1"/>
      <c r="BI28" s="1"/>
      <c r="BJ28" s="1"/>
      <c r="BK28" s="1"/>
      <c r="BL28" s="1"/>
      <c r="BM28" s="1"/>
      <c r="BN28" s="1"/>
      <c r="BO28" s="1"/>
      <c r="BU28" s="1"/>
      <c r="BV28" s="1"/>
      <c r="BW28" s="1"/>
      <c r="BX28" s="1"/>
      <c r="BY28" s="1"/>
      <c r="BZ28" s="1"/>
      <c r="CA28" s="1"/>
    </row>
    <row r="29" spans="1:79" ht="17.25" customHeight="1" x14ac:dyDescent="0.2">
      <c r="A29" s="1" t="s">
        <v>47</v>
      </c>
      <c r="B29" s="1" t="s">
        <v>121</v>
      </c>
      <c r="C29" s="1" t="s">
        <v>48</v>
      </c>
      <c r="E29" s="1" t="s">
        <v>78</v>
      </c>
      <c r="F29" s="1" t="s">
        <v>433</v>
      </c>
      <c r="G29" s="10"/>
      <c r="H29" s="1" t="s">
        <v>124</v>
      </c>
      <c r="I29" s="11">
        <v>3</v>
      </c>
      <c r="J29" s="1" t="s">
        <v>127</v>
      </c>
      <c r="K29" s="3">
        <v>45474</v>
      </c>
      <c r="L29" s="1"/>
      <c r="M29" s="1" t="s">
        <v>82</v>
      </c>
      <c r="N29" s="1" t="s">
        <v>85</v>
      </c>
      <c r="Q29" s="4">
        <v>45474</v>
      </c>
      <c r="R29" s="5">
        <v>45482</v>
      </c>
      <c r="S29" s="4"/>
      <c r="V29" s="1"/>
      <c r="W29" s="1" t="s">
        <v>429</v>
      </c>
      <c r="X29" s="1"/>
      <c r="Y29" s="12"/>
      <c r="Z29" s="13"/>
      <c r="AA29" s="12">
        <v>1090</v>
      </c>
      <c r="AB29" s="12"/>
      <c r="AC29" s="12"/>
      <c r="AD29" s="12">
        <f>Table_Query_from_UnBilled_134[[#This Row],[Payable]]*0.035</f>
        <v>38.150000000000006</v>
      </c>
      <c r="AE29" s="12"/>
      <c r="AF29" s="12"/>
      <c r="AG29" s="12"/>
      <c r="AH29" s="12">
        <f>Table_Query_from_UnBilled_134[[#This Row],[Payable]]*0.01</f>
        <v>10.9</v>
      </c>
      <c r="AI29" s="12">
        <f>Table_Query_from_UnBilled_134[[#This Row],[Payable]]+Table_Query_from_UnBilled_134[[#This Row],[AgencyCommission]]+Table_Query_from_UnBilled_134[[#This Row],[LevyBillable]]</f>
        <v>1139.0500000000002</v>
      </c>
      <c r="AJ29" s="12"/>
      <c r="AK29" s="11"/>
      <c r="AL29" s="14"/>
      <c r="AM29" s="1" t="s">
        <v>132</v>
      </c>
      <c r="AN29" s="4"/>
      <c r="AO29" s="1" t="s">
        <v>133</v>
      </c>
      <c r="AP29" s="1" t="s">
        <v>57</v>
      </c>
      <c r="AQ29" s="12">
        <v>1</v>
      </c>
      <c r="AR29" s="12">
        <v>5398.31005859375</v>
      </c>
      <c r="AS29" s="12">
        <v>5.3983100000000004</v>
      </c>
      <c r="AT29" s="12">
        <v>0</v>
      </c>
      <c r="AU29" s="12">
        <v>5398.31005859375</v>
      </c>
      <c r="AV29" s="12" t="s">
        <v>334</v>
      </c>
      <c r="BC29" s="1"/>
      <c r="BD29" s="1"/>
      <c r="BE29" s="1"/>
      <c r="BF29" s="1"/>
      <c r="BH29" s="1"/>
      <c r="BI29" s="1"/>
      <c r="BJ29" s="1"/>
      <c r="BK29" s="1"/>
      <c r="BL29" s="1"/>
      <c r="BM29" s="1"/>
      <c r="BN29" s="1"/>
      <c r="BO29" s="1"/>
      <c r="BU29" s="1"/>
      <c r="BV29" s="1"/>
      <c r="BW29" s="1"/>
      <c r="BX29" s="1"/>
      <c r="BY29" s="1"/>
      <c r="BZ29" s="1"/>
      <c r="CA29" s="1"/>
    </row>
    <row r="30" spans="1:79" ht="17.25" customHeight="1" x14ac:dyDescent="0.2">
      <c r="A30" s="1" t="s">
        <v>47</v>
      </c>
      <c r="B30" s="1" t="s">
        <v>121</v>
      </c>
      <c r="C30" s="1" t="s">
        <v>48</v>
      </c>
      <c r="E30" s="1" t="s">
        <v>78</v>
      </c>
      <c r="F30" s="1" t="s">
        <v>433</v>
      </c>
      <c r="G30" s="10"/>
      <c r="H30" s="1" t="s">
        <v>124</v>
      </c>
      <c r="I30" s="11">
        <v>3</v>
      </c>
      <c r="J30" s="1" t="s">
        <v>127</v>
      </c>
      <c r="K30" s="3">
        <v>45474</v>
      </c>
      <c r="L30" s="1"/>
      <c r="M30" s="1" t="s">
        <v>82</v>
      </c>
      <c r="N30" s="1" t="s">
        <v>101</v>
      </c>
      <c r="Q30" s="4">
        <v>45495</v>
      </c>
      <c r="R30" s="5">
        <v>45482</v>
      </c>
      <c r="S30" s="4"/>
      <c r="V30" s="1"/>
      <c r="W30" s="39" t="s">
        <v>429</v>
      </c>
      <c r="X30" s="1"/>
      <c r="Y30" s="12"/>
      <c r="Z30" s="13"/>
      <c r="AA30" s="12">
        <v>2515</v>
      </c>
      <c r="AB30" s="12"/>
      <c r="AC30" s="12"/>
      <c r="AD30" s="12">
        <f>Table_Query_from_UnBilled_134[[#This Row],[Payable]]*0.035</f>
        <v>88.025000000000006</v>
      </c>
      <c r="AE30" s="12"/>
      <c r="AF30" s="12"/>
      <c r="AG30" s="12"/>
      <c r="AH30" s="12">
        <f>Table_Query_from_UnBilled_134[[#This Row],[Payable]]*0.01</f>
        <v>25.150000000000002</v>
      </c>
      <c r="AI30" s="12">
        <f>Table_Query_from_UnBilled_134[[#This Row],[Payable]]+Table_Query_from_UnBilled_134[[#This Row],[AgencyCommission]]+Table_Query_from_UnBilled_134[[#This Row],[LevyBillable]]</f>
        <v>2628.1750000000002</v>
      </c>
      <c r="AJ30" s="12"/>
      <c r="AK30" s="11"/>
      <c r="AL30" s="14"/>
      <c r="AM30" s="1" t="s">
        <v>132</v>
      </c>
      <c r="AN30" s="4"/>
      <c r="AO30" s="1" t="s">
        <v>133</v>
      </c>
      <c r="AP30" s="1" t="s">
        <v>57</v>
      </c>
      <c r="AQ30" s="12">
        <v>1</v>
      </c>
      <c r="AR30" s="12">
        <v>1634.5799560546875</v>
      </c>
      <c r="AS30" s="12">
        <v>1.6345799999999999</v>
      </c>
      <c r="AT30" s="12">
        <v>0</v>
      </c>
      <c r="AU30" s="12">
        <v>1634.5799560546875</v>
      </c>
      <c r="AV30" s="12" t="s">
        <v>335</v>
      </c>
      <c r="BC30" s="1"/>
      <c r="BD30" s="1"/>
      <c r="BE30" s="1"/>
      <c r="BF30" s="1"/>
      <c r="BH30" s="1"/>
      <c r="BI30" s="1"/>
      <c r="BJ30" s="1"/>
      <c r="BK30" s="1"/>
      <c r="BL30" s="1"/>
      <c r="BM30" s="1"/>
      <c r="BN30" s="1"/>
      <c r="BO30" s="1"/>
      <c r="BU30" s="1"/>
      <c r="BV30" s="1"/>
      <c r="BW30" s="1"/>
      <c r="BX30" s="1"/>
      <c r="BY30" s="1"/>
      <c r="BZ30" s="1"/>
      <c r="CA30" s="1"/>
    </row>
    <row r="31" spans="1:79" ht="17.25" customHeight="1" x14ac:dyDescent="0.2">
      <c r="A31" s="1" t="s">
        <v>47</v>
      </c>
      <c r="B31" s="1" t="s">
        <v>121</v>
      </c>
      <c r="C31" s="1" t="s">
        <v>48</v>
      </c>
      <c r="E31" s="1" t="s">
        <v>78</v>
      </c>
      <c r="F31" s="1" t="s">
        <v>433</v>
      </c>
      <c r="G31" s="10"/>
      <c r="H31" s="1" t="s">
        <v>124</v>
      </c>
      <c r="I31" s="11">
        <v>3</v>
      </c>
      <c r="J31" s="1" t="s">
        <v>127</v>
      </c>
      <c r="K31" s="3">
        <v>45474</v>
      </c>
      <c r="L31" s="1"/>
      <c r="M31" s="1" t="s">
        <v>128</v>
      </c>
      <c r="N31" s="1" t="s">
        <v>85</v>
      </c>
      <c r="Q31" s="4">
        <v>45474</v>
      </c>
      <c r="R31" s="5">
        <v>45482</v>
      </c>
      <c r="S31" s="4"/>
      <c r="V31" s="1"/>
      <c r="W31" s="1" t="s">
        <v>429</v>
      </c>
      <c r="X31" s="1"/>
      <c r="Y31" s="12"/>
      <c r="Z31" s="13"/>
      <c r="AA31" s="12">
        <v>1750</v>
      </c>
      <c r="AB31" s="12"/>
      <c r="AC31" s="12"/>
      <c r="AD31" s="12">
        <f>Table_Query_from_UnBilled_134[[#This Row],[Payable]]*0.035</f>
        <v>61.250000000000007</v>
      </c>
      <c r="AE31" s="12"/>
      <c r="AF31" s="12"/>
      <c r="AG31" s="12"/>
      <c r="AH31" s="12">
        <f>Table_Query_from_UnBilled_134[[#This Row],[Payable]]*0.01</f>
        <v>17.5</v>
      </c>
      <c r="AI31" s="12">
        <f>Table_Query_from_UnBilled_134[[#This Row],[Payable]]+Table_Query_from_UnBilled_134[[#This Row],[AgencyCommission]]+Table_Query_from_UnBilled_134[[#This Row],[LevyBillable]]</f>
        <v>1828.75</v>
      </c>
      <c r="AJ31" s="12"/>
      <c r="AK31" s="11"/>
      <c r="AL31" s="14"/>
      <c r="AM31" s="1" t="s">
        <v>132</v>
      </c>
      <c r="AN31" s="4"/>
      <c r="AO31" s="1" t="s">
        <v>133</v>
      </c>
      <c r="AP31" s="1" t="s">
        <v>57</v>
      </c>
      <c r="AQ31" s="12">
        <v>1</v>
      </c>
      <c r="AR31" s="12">
        <v>845.44000244140625</v>
      </c>
      <c r="AS31" s="12">
        <v>0</v>
      </c>
      <c r="AT31" s="12">
        <v>0</v>
      </c>
      <c r="AU31" s="12">
        <v>845.44000244140625</v>
      </c>
      <c r="AV31" s="12" t="s">
        <v>336</v>
      </c>
      <c r="BC31" s="1"/>
      <c r="BD31" s="1"/>
      <c r="BE31" s="1"/>
      <c r="BF31" s="1"/>
      <c r="BH31" s="1"/>
      <c r="BI31" s="1"/>
      <c r="BJ31" s="1"/>
      <c r="BK31" s="1"/>
      <c r="BL31" s="1"/>
      <c r="BM31" s="1"/>
      <c r="BN31" s="1"/>
      <c r="BO31" s="1"/>
      <c r="BU31" s="1"/>
      <c r="BV31" s="1"/>
      <c r="BW31" s="1"/>
      <c r="BX31" s="1"/>
      <c r="BY31" s="1"/>
      <c r="BZ31" s="1"/>
      <c r="CA31" s="1"/>
    </row>
    <row r="32" spans="1:79" ht="17.25" customHeight="1" x14ac:dyDescent="0.2">
      <c r="A32" s="1" t="s">
        <v>47</v>
      </c>
      <c r="B32" s="1" t="s">
        <v>121</v>
      </c>
      <c r="C32" s="1" t="s">
        <v>48</v>
      </c>
      <c r="E32" s="1" t="s">
        <v>78</v>
      </c>
      <c r="F32" s="1" t="s">
        <v>433</v>
      </c>
      <c r="G32" s="10"/>
      <c r="H32" s="1" t="s">
        <v>124</v>
      </c>
      <c r="I32" s="11">
        <v>3</v>
      </c>
      <c r="J32" s="1" t="s">
        <v>127</v>
      </c>
      <c r="K32" s="3">
        <v>45474</v>
      </c>
      <c r="L32" s="1"/>
      <c r="M32" s="1" t="s">
        <v>82</v>
      </c>
      <c r="N32" s="1" t="s">
        <v>129</v>
      </c>
      <c r="Q32" s="4">
        <v>45474</v>
      </c>
      <c r="R32" s="5">
        <v>45482</v>
      </c>
      <c r="S32" s="4"/>
      <c r="V32" s="1"/>
      <c r="W32" s="39" t="s">
        <v>429</v>
      </c>
      <c r="X32" s="1"/>
      <c r="Y32" s="12"/>
      <c r="Z32" s="13"/>
      <c r="AA32" s="12">
        <v>1980</v>
      </c>
      <c r="AB32" s="12"/>
      <c r="AC32" s="12"/>
      <c r="AD32" s="12">
        <f>Table_Query_from_UnBilled_134[[#This Row],[Payable]]*0.035</f>
        <v>69.300000000000011</v>
      </c>
      <c r="AE32" s="12"/>
      <c r="AF32" s="12"/>
      <c r="AG32" s="12"/>
      <c r="AH32" s="12">
        <f>Table_Query_from_UnBilled_134[[#This Row],[Payable]]*0.01</f>
        <v>19.8</v>
      </c>
      <c r="AI32" s="12">
        <f>Table_Query_from_UnBilled_134[[#This Row],[Payable]]+Table_Query_from_UnBilled_134[[#This Row],[AgencyCommission]]+Table_Query_from_UnBilled_134[[#This Row],[LevyBillable]]</f>
        <v>2069.1000000000004</v>
      </c>
      <c r="AJ32" s="12"/>
      <c r="AK32" s="11"/>
      <c r="AL32" s="14"/>
      <c r="AM32" s="1" t="s">
        <v>132</v>
      </c>
      <c r="AN32" s="4"/>
      <c r="AO32" s="1" t="s">
        <v>133</v>
      </c>
      <c r="AP32" s="1" t="s">
        <v>57</v>
      </c>
      <c r="AQ32" s="12">
        <v>1</v>
      </c>
      <c r="AR32" s="12">
        <v>9988.1201171875</v>
      </c>
      <c r="AS32" s="12">
        <v>9.9881200000000003</v>
      </c>
      <c r="AT32" s="12">
        <v>0</v>
      </c>
      <c r="AU32" s="12">
        <v>9988.1201171875</v>
      </c>
      <c r="AV32" s="12" t="s">
        <v>337</v>
      </c>
      <c r="BC32" s="1"/>
      <c r="BD32" s="1"/>
      <c r="BE32" s="1"/>
      <c r="BF32" s="1"/>
      <c r="BH32" s="1"/>
      <c r="BI32" s="1"/>
      <c r="BJ32" s="1"/>
      <c r="BK32" s="1"/>
      <c r="BL32" s="1"/>
      <c r="BM32" s="1"/>
      <c r="BN32" s="1"/>
      <c r="BO32" s="1"/>
      <c r="BU32" s="1"/>
      <c r="BV32" s="1"/>
      <c r="BW32" s="1"/>
      <c r="BX32" s="1"/>
      <c r="BY32" s="1"/>
      <c r="BZ32" s="1"/>
      <c r="CA32" s="1"/>
    </row>
    <row r="33" spans="1:79" ht="17.25" customHeight="1" x14ac:dyDescent="0.2">
      <c r="A33" s="1" t="s">
        <v>47</v>
      </c>
      <c r="B33" s="1" t="s">
        <v>121</v>
      </c>
      <c r="C33" s="1" t="s">
        <v>48</v>
      </c>
      <c r="E33" s="1" t="s">
        <v>78</v>
      </c>
      <c r="F33" s="1" t="s">
        <v>433</v>
      </c>
      <c r="G33" s="10"/>
      <c r="H33" s="1" t="s">
        <v>124</v>
      </c>
      <c r="I33" s="11">
        <v>3</v>
      </c>
      <c r="J33" s="1" t="s">
        <v>127</v>
      </c>
      <c r="K33" s="3">
        <v>45474</v>
      </c>
      <c r="L33" s="1"/>
      <c r="M33" s="1" t="s">
        <v>82</v>
      </c>
      <c r="N33" s="1" t="s">
        <v>85</v>
      </c>
      <c r="Q33" s="4">
        <v>45474</v>
      </c>
      <c r="R33" s="5">
        <v>45482</v>
      </c>
      <c r="S33" s="4"/>
      <c r="V33" s="1"/>
      <c r="W33" s="1" t="s">
        <v>429</v>
      </c>
      <c r="X33" s="1"/>
      <c r="Y33" s="12"/>
      <c r="Z33" s="13"/>
      <c r="AA33" s="12">
        <v>1980</v>
      </c>
      <c r="AB33" s="12"/>
      <c r="AC33" s="12"/>
      <c r="AD33" s="12">
        <f>Table_Query_from_UnBilled_134[[#This Row],[Payable]]*0.035</f>
        <v>69.300000000000011</v>
      </c>
      <c r="AE33" s="12"/>
      <c r="AF33" s="12"/>
      <c r="AG33" s="12"/>
      <c r="AH33" s="12">
        <f>Table_Query_from_UnBilled_134[[#This Row],[Payable]]*0.01</f>
        <v>19.8</v>
      </c>
      <c r="AI33" s="12">
        <f>Table_Query_from_UnBilled_134[[#This Row],[Payable]]+Table_Query_from_UnBilled_134[[#This Row],[AgencyCommission]]+Table_Query_from_UnBilled_134[[#This Row],[LevyBillable]]</f>
        <v>2069.1000000000004</v>
      </c>
      <c r="AJ33" s="12"/>
      <c r="AK33" s="11"/>
      <c r="AL33" s="14"/>
      <c r="AM33" s="1" t="s">
        <v>132</v>
      </c>
      <c r="AN33" s="4"/>
      <c r="AO33" s="1" t="s">
        <v>133</v>
      </c>
      <c r="AP33" s="1" t="s">
        <v>57</v>
      </c>
      <c r="AQ33" s="12">
        <v>1</v>
      </c>
      <c r="AR33" s="12">
        <v>9105.0703125</v>
      </c>
      <c r="AS33" s="12">
        <v>9.1050699999999996</v>
      </c>
      <c r="AT33" s="12">
        <v>0</v>
      </c>
      <c r="AU33" s="12">
        <v>9105.0703125</v>
      </c>
      <c r="AV33" s="12" t="s">
        <v>338</v>
      </c>
      <c r="BC33" s="1"/>
      <c r="BD33" s="1"/>
      <c r="BE33" s="1"/>
      <c r="BF33" s="1"/>
      <c r="BH33" s="1"/>
      <c r="BI33" s="1"/>
      <c r="BJ33" s="1"/>
      <c r="BK33" s="1"/>
      <c r="BL33" s="1"/>
      <c r="BM33" s="1"/>
      <c r="BN33" s="1"/>
      <c r="BO33" s="1"/>
      <c r="BU33" s="1"/>
      <c r="BV33" s="1"/>
      <c r="BW33" s="1"/>
      <c r="BX33" s="1"/>
      <c r="BY33" s="1"/>
      <c r="BZ33" s="1"/>
      <c r="CA33" s="1"/>
    </row>
    <row r="34" spans="1:79" ht="17.25" customHeight="1" x14ac:dyDescent="0.2">
      <c r="A34" s="1" t="s">
        <v>47</v>
      </c>
      <c r="B34" s="1" t="s">
        <v>121</v>
      </c>
      <c r="C34" s="1" t="s">
        <v>48</v>
      </c>
      <c r="E34" s="1" t="s">
        <v>78</v>
      </c>
      <c r="F34" s="1" t="s">
        <v>433</v>
      </c>
      <c r="G34" s="10"/>
      <c r="H34" s="1" t="s">
        <v>124</v>
      </c>
      <c r="I34" s="11">
        <v>3</v>
      </c>
      <c r="J34" s="1" t="s">
        <v>127</v>
      </c>
      <c r="K34" s="3">
        <v>45474</v>
      </c>
      <c r="L34" s="1"/>
      <c r="M34" s="1" t="s">
        <v>82</v>
      </c>
      <c r="N34" s="1" t="s">
        <v>101</v>
      </c>
      <c r="Q34" s="4">
        <v>45495</v>
      </c>
      <c r="R34" s="5">
        <v>45482</v>
      </c>
      <c r="S34" s="4"/>
      <c r="V34" s="1"/>
      <c r="W34" s="39" t="s">
        <v>429</v>
      </c>
      <c r="X34" s="1"/>
      <c r="Y34" s="12"/>
      <c r="Z34" s="13"/>
      <c r="AA34" s="12">
        <v>1250</v>
      </c>
      <c r="AB34" s="12"/>
      <c r="AC34" s="12"/>
      <c r="AD34" s="12">
        <f>Table_Query_from_UnBilled_134[[#This Row],[Payable]]*0.035</f>
        <v>43.750000000000007</v>
      </c>
      <c r="AE34" s="12"/>
      <c r="AF34" s="12"/>
      <c r="AG34" s="12"/>
      <c r="AH34" s="12">
        <f>Table_Query_from_UnBilled_134[[#This Row],[Payable]]*0.01</f>
        <v>12.5</v>
      </c>
      <c r="AI34" s="12">
        <f>Table_Query_from_UnBilled_134[[#This Row],[Payable]]+Table_Query_from_UnBilled_134[[#This Row],[AgencyCommission]]+Table_Query_from_UnBilled_134[[#This Row],[LevyBillable]]</f>
        <v>1306.25</v>
      </c>
      <c r="AJ34" s="12"/>
      <c r="AK34" s="11"/>
      <c r="AL34" s="14"/>
      <c r="AM34" s="1" t="s">
        <v>132</v>
      </c>
      <c r="AN34" s="4"/>
      <c r="AO34" s="1" t="s">
        <v>133</v>
      </c>
      <c r="AP34" s="1" t="s">
        <v>57</v>
      </c>
      <c r="AQ34" s="12">
        <v>1</v>
      </c>
      <c r="AR34" s="12">
        <v>6486.39990234375</v>
      </c>
      <c r="AS34" s="12">
        <v>6.4863999999999997</v>
      </c>
      <c r="AT34" s="12">
        <v>0</v>
      </c>
      <c r="AU34" s="12">
        <v>6486.39990234375</v>
      </c>
      <c r="AV34" s="12" t="s">
        <v>339</v>
      </c>
      <c r="BC34" s="1"/>
      <c r="BD34" s="1"/>
      <c r="BE34" s="1"/>
      <c r="BF34" s="1"/>
      <c r="BH34" s="1"/>
      <c r="BI34" s="1"/>
      <c r="BJ34" s="1"/>
      <c r="BK34" s="1"/>
      <c r="BL34" s="1"/>
      <c r="BM34" s="1"/>
      <c r="BN34" s="1"/>
      <c r="BO34" s="1"/>
      <c r="BU34" s="1"/>
      <c r="BV34" s="1"/>
      <c r="BW34" s="1"/>
      <c r="BX34" s="1"/>
      <c r="BY34" s="1"/>
      <c r="BZ34" s="1"/>
      <c r="CA34" s="1"/>
    </row>
    <row r="35" spans="1:79" ht="17.25" customHeight="1" x14ac:dyDescent="0.2">
      <c r="A35" s="1" t="s">
        <v>47</v>
      </c>
      <c r="B35" s="1" t="s">
        <v>121</v>
      </c>
      <c r="C35" s="1" t="s">
        <v>48</v>
      </c>
      <c r="E35" s="1" t="s">
        <v>78</v>
      </c>
      <c r="F35" s="1" t="s">
        <v>433</v>
      </c>
      <c r="G35" s="10"/>
      <c r="H35" s="1" t="s">
        <v>124</v>
      </c>
      <c r="I35" s="11">
        <v>3</v>
      </c>
      <c r="J35" s="1" t="s">
        <v>127</v>
      </c>
      <c r="K35" s="3">
        <v>45474</v>
      </c>
      <c r="L35" s="1"/>
      <c r="M35" s="1" t="s">
        <v>82</v>
      </c>
      <c r="N35" s="1" t="s">
        <v>130</v>
      </c>
      <c r="Q35" s="4">
        <v>45474</v>
      </c>
      <c r="R35" s="5">
        <v>45482</v>
      </c>
      <c r="S35" s="4"/>
      <c r="V35" s="1"/>
      <c r="W35" s="1" t="s">
        <v>429</v>
      </c>
      <c r="X35" s="1"/>
      <c r="Y35" s="12"/>
      <c r="Z35" s="13"/>
      <c r="AA35" s="12">
        <v>1230</v>
      </c>
      <c r="AB35" s="12"/>
      <c r="AC35" s="12"/>
      <c r="AD35" s="12">
        <f>Table_Query_from_UnBilled_134[[#This Row],[Payable]]*0.035</f>
        <v>43.050000000000004</v>
      </c>
      <c r="AE35" s="12"/>
      <c r="AF35" s="12"/>
      <c r="AG35" s="12"/>
      <c r="AH35" s="12">
        <f>Table_Query_from_UnBilled_134[[#This Row],[Payable]]*0.01</f>
        <v>12.3</v>
      </c>
      <c r="AI35" s="12">
        <f>Table_Query_from_UnBilled_134[[#This Row],[Payable]]+Table_Query_from_UnBilled_134[[#This Row],[AgencyCommission]]+Table_Query_from_UnBilled_134[[#This Row],[LevyBillable]]</f>
        <v>1285.3499999999999</v>
      </c>
      <c r="AJ35" s="12"/>
      <c r="AK35" s="11"/>
      <c r="AL35" s="14"/>
      <c r="AM35" s="1" t="s">
        <v>132</v>
      </c>
      <c r="AN35" s="4"/>
      <c r="AO35" s="1" t="s">
        <v>133</v>
      </c>
      <c r="AP35" s="1" t="s">
        <v>57</v>
      </c>
      <c r="AQ35" s="12">
        <v>1</v>
      </c>
      <c r="AR35" s="12">
        <v>5730.72998046875</v>
      </c>
      <c r="AS35" s="12">
        <v>5.7307300000000003</v>
      </c>
      <c r="AT35" s="12">
        <v>0</v>
      </c>
      <c r="AU35" s="12">
        <v>5730.72998046875</v>
      </c>
      <c r="AV35" s="12" t="s">
        <v>340</v>
      </c>
      <c r="BC35" s="1"/>
      <c r="BD35" s="1"/>
      <c r="BE35" s="1"/>
      <c r="BF35" s="1"/>
      <c r="BH35" s="1"/>
      <c r="BI35" s="1"/>
      <c r="BJ35" s="1"/>
      <c r="BK35" s="1"/>
      <c r="BL35" s="1"/>
      <c r="BM35" s="1"/>
      <c r="BN35" s="1"/>
      <c r="BO35" s="1"/>
      <c r="BU35" s="1"/>
      <c r="BV35" s="1"/>
      <c r="BW35" s="1"/>
      <c r="BX35" s="1"/>
      <c r="BY35" s="1"/>
      <c r="BZ35" s="1"/>
      <c r="CA35" s="1"/>
    </row>
    <row r="36" spans="1:79" ht="17.25" customHeight="1" x14ac:dyDescent="0.2">
      <c r="A36" s="1" t="s">
        <v>47</v>
      </c>
      <c r="B36" s="1" t="s">
        <v>121</v>
      </c>
      <c r="C36" s="1" t="s">
        <v>48</v>
      </c>
      <c r="E36" s="1" t="s">
        <v>78</v>
      </c>
      <c r="F36" s="1" t="s">
        <v>433</v>
      </c>
      <c r="G36" s="10"/>
      <c r="H36" s="1" t="s">
        <v>124</v>
      </c>
      <c r="I36" s="11">
        <v>3</v>
      </c>
      <c r="J36" s="1" t="s">
        <v>127</v>
      </c>
      <c r="K36" s="3">
        <v>45474</v>
      </c>
      <c r="L36" s="1"/>
      <c r="M36" s="1" t="s">
        <v>82</v>
      </c>
      <c r="N36" s="1" t="s">
        <v>85</v>
      </c>
      <c r="Q36" s="4">
        <v>45493</v>
      </c>
      <c r="R36" s="5">
        <v>45485</v>
      </c>
      <c r="S36" s="4"/>
      <c r="V36" s="1"/>
      <c r="W36" s="39" t="s">
        <v>429</v>
      </c>
      <c r="X36" s="1"/>
      <c r="Y36" s="12"/>
      <c r="Z36" s="13"/>
      <c r="AA36" s="12">
        <v>1505</v>
      </c>
      <c r="AB36" s="12"/>
      <c r="AC36" s="12"/>
      <c r="AD36" s="12">
        <f>Table_Query_from_UnBilled_134[[#This Row],[Payable]]*0.035</f>
        <v>52.675000000000004</v>
      </c>
      <c r="AE36" s="12"/>
      <c r="AF36" s="12"/>
      <c r="AG36" s="12"/>
      <c r="AH36" s="12">
        <f>Table_Query_from_UnBilled_134[[#This Row],[Payable]]*0.01</f>
        <v>15.05</v>
      </c>
      <c r="AI36" s="12">
        <f>Table_Query_from_UnBilled_134[[#This Row],[Payable]]+Table_Query_from_UnBilled_134[[#This Row],[AgencyCommission]]+Table_Query_from_UnBilled_134[[#This Row],[LevyBillable]]</f>
        <v>1572.7249999999999</v>
      </c>
      <c r="AJ36" s="12"/>
      <c r="AK36" s="11"/>
      <c r="AL36" s="14"/>
      <c r="AM36" s="1" t="s">
        <v>132</v>
      </c>
      <c r="AN36" s="4"/>
      <c r="AO36" s="1" t="s">
        <v>133</v>
      </c>
      <c r="AP36" s="1" t="s">
        <v>57</v>
      </c>
      <c r="AQ36" s="12">
        <v>1</v>
      </c>
      <c r="AR36" s="12">
        <v>10641.2001953125</v>
      </c>
      <c r="AS36" s="12">
        <v>10.6412</v>
      </c>
      <c r="AT36" s="12">
        <v>0</v>
      </c>
      <c r="AU36" s="12">
        <v>10641.2001953125</v>
      </c>
      <c r="AV36" s="12" t="s">
        <v>341</v>
      </c>
      <c r="BC36" s="1"/>
      <c r="BD36" s="1"/>
      <c r="BE36" s="1"/>
      <c r="BF36" s="1"/>
      <c r="BH36" s="1"/>
      <c r="BI36" s="1"/>
      <c r="BJ36" s="1"/>
      <c r="BK36" s="1"/>
      <c r="BL36" s="1"/>
      <c r="BM36" s="1"/>
      <c r="BN36" s="1"/>
      <c r="BO36" s="1"/>
      <c r="BU36" s="1"/>
      <c r="BV36" s="1"/>
      <c r="BW36" s="1"/>
      <c r="BX36" s="1"/>
      <c r="BY36" s="1"/>
      <c r="BZ36" s="1"/>
      <c r="CA36" s="1"/>
    </row>
    <row r="37" spans="1:79" ht="17.25" customHeight="1" x14ac:dyDescent="0.2">
      <c r="A37" s="11" t="s">
        <v>120</v>
      </c>
      <c r="E37" s="1"/>
      <c r="G37" s="10"/>
      <c r="I37" s="11"/>
      <c r="K37" s="10"/>
      <c r="L37" s="1"/>
      <c r="M37" s="11"/>
      <c r="N37" s="11"/>
      <c r="Q37" s="4"/>
      <c r="R37" s="5"/>
      <c r="S37" s="11"/>
      <c r="V37" s="1"/>
      <c r="W37" s="1"/>
      <c r="X37" s="4"/>
      <c r="Y37" s="12">
        <f>SUBTOTAL(109,Table_Query_from_UnBilled_134[Payable])</f>
        <v>78535</v>
      </c>
      <c r="Z37" s="13"/>
      <c r="AA37" s="12">
        <f>SUBTOTAL(109,Table_Query_from_UnBilled_134[Payable])</f>
        <v>78535</v>
      </c>
      <c r="AB37" s="12">
        <f>SUBTOTAL(109,Table_Query_from_UnBilled_134[Paid])</f>
        <v>0</v>
      </c>
      <c r="AC37" s="12">
        <f>SUBTOTAL(109,Table_Query_from_UnBilled_134[Billed])</f>
        <v>0</v>
      </c>
      <c r="AD37" s="12">
        <f>SUBTOTAL(109,Table_Query_from_UnBilled_134[AgencyCommission])</f>
        <v>2748.7250000000013</v>
      </c>
      <c r="AE37" s="12">
        <f>SUBTOTAL(109,Table_Query_from_UnBilled_134[Billable])</f>
        <v>0</v>
      </c>
      <c r="AF37" s="12">
        <f>SUBTOTAL(109,Table_Query_from_UnBilled_134[Billed])</f>
        <v>0</v>
      </c>
      <c r="AG37" s="12">
        <f>SUBTOTAL(109,Table_Query_from_UnBilled_134[UnBilled])</f>
        <v>0</v>
      </c>
      <c r="AH37" s="12">
        <f>SUBTOTAL(109,Table_Query_from_UnBilled_134[LevyBillable])</f>
        <v>785.34999999999968</v>
      </c>
      <c r="AI37" s="12">
        <f>SUBTOTAL(109,Table_Query_from_UnBilled_134[Unbilled Client Cost])</f>
        <v>82069.075000000041</v>
      </c>
      <c r="AJ37" s="12">
        <f>SUBTOTAL(109,Table_Query_from_UnBilled_134[VATBillable])</f>
        <v>0</v>
      </c>
      <c r="AK37" s="11"/>
      <c r="AL37" s="4"/>
      <c r="AM37" s="4"/>
      <c r="AN37" s="4"/>
      <c r="AO37" s="4"/>
      <c r="AP37" s="12"/>
      <c r="AQ37" s="12"/>
      <c r="AR37" s="12">
        <f>SUBTOTAL(109,Table_Query_from_UnBilled_134[BillableCurrency])</f>
        <v>161631.60152375698</v>
      </c>
      <c r="AS37" s="12"/>
      <c r="AT37" s="12">
        <f>SUBTOTAL(109,Table_Query_from_UnBilled_134[BilledCurrency])</f>
        <v>0</v>
      </c>
      <c r="AU37" s="12">
        <f>SUBTOTAL(109,Table_Query_from_UnBilled_134[UnbilledCurrency])</f>
        <v>161631.60152375698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V68"/>
  <sheetViews>
    <sheetView zoomScale="75" workbookViewId="0">
      <selection activeCell="F71" sqref="F71"/>
    </sheetView>
  </sheetViews>
  <sheetFormatPr baseColWidth="10" defaultColWidth="30.83203125" defaultRowHeight="15" x14ac:dyDescent="0.2"/>
  <cols>
    <col min="9" max="9" width="30.83203125" style="15"/>
    <col min="11" max="11" width="30.83203125" style="16"/>
    <col min="17" max="17" width="30.83203125" style="17"/>
    <col min="18" max="18" width="30.83203125" style="18"/>
    <col min="25" max="25" width="30.83203125" style="19"/>
    <col min="26" max="26" width="30.83203125" style="20"/>
    <col min="27" max="36" width="30.83203125" style="19"/>
    <col min="43" max="43" width="30.83203125" style="21"/>
    <col min="44" max="44" width="30.83203125" style="19"/>
    <col min="45" max="45" width="30.83203125" style="21"/>
    <col min="46" max="47" width="30.83203125" style="19"/>
  </cols>
  <sheetData>
    <row r="1" spans="1:48" ht="17.2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6" t="s">
        <v>24</v>
      </c>
      <c r="Z1" s="7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8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192</v>
      </c>
    </row>
    <row r="2" spans="1:48" ht="17.25" customHeight="1" x14ac:dyDescent="0.2">
      <c r="A2" s="1" t="s">
        <v>47</v>
      </c>
      <c r="B2" s="1" t="s">
        <v>121</v>
      </c>
      <c r="C2" s="1" t="s">
        <v>48</v>
      </c>
      <c r="E2" s="1" t="s">
        <v>49</v>
      </c>
      <c r="F2" s="1" t="s">
        <v>435</v>
      </c>
      <c r="G2" s="10"/>
      <c r="H2" s="1" t="s">
        <v>139</v>
      </c>
      <c r="I2" s="11">
        <v>5</v>
      </c>
      <c r="J2" s="1" t="s">
        <v>140</v>
      </c>
      <c r="K2" s="3">
        <v>45413</v>
      </c>
      <c r="L2" s="1"/>
      <c r="M2" s="1" t="s">
        <v>52</v>
      </c>
      <c r="N2" s="1" t="s">
        <v>53</v>
      </c>
      <c r="Q2" s="4">
        <v>45416</v>
      </c>
      <c r="R2" s="5">
        <v>45441</v>
      </c>
      <c r="S2" s="4"/>
      <c r="U2" s="1" t="s">
        <v>141</v>
      </c>
      <c r="V2" s="1" t="s">
        <v>141</v>
      </c>
      <c r="W2" s="1" t="s">
        <v>141</v>
      </c>
      <c r="X2" s="1"/>
      <c r="Y2" s="12"/>
      <c r="Z2" s="13"/>
      <c r="AA2" s="12"/>
      <c r="AB2" s="12"/>
      <c r="AC2" s="12"/>
      <c r="AD2" s="12">
        <f>Table_Query_from_UnBilled_13[[#This Row],[Payable]]*0.035</f>
        <v>0</v>
      </c>
      <c r="AE2" s="12"/>
      <c r="AF2" s="12"/>
      <c r="AG2" s="12"/>
      <c r="AH2" s="12">
        <f>Table_Query_from_UnBilled_13[[#This Row],[Payable]]*0.01</f>
        <v>0</v>
      </c>
      <c r="AI2" s="12">
        <f>Table_Query_from_UnBilled_13[[#This Row],[Payable]]+Table_Query_from_UnBilled_13[[#This Row],[AgencyCommission]]+Table_Query_from_UnBilled_13[[#This Row],[LevyBillable]]</f>
        <v>0</v>
      </c>
      <c r="AJ2" s="12"/>
      <c r="AK2" s="11"/>
      <c r="AL2" s="14"/>
      <c r="AM2" s="1" t="s">
        <v>55</v>
      </c>
      <c r="AN2" s="4"/>
      <c r="AO2" s="1" t="s">
        <v>56</v>
      </c>
      <c r="AP2" s="1" t="s">
        <v>57</v>
      </c>
      <c r="AQ2" s="12">
        <v>1</v>
      </c>
      <c r="AR2" s="12">
        <v>1233.6199951171875</v>
      </c>
      <c r="AS2" s="12">
        <v>0</v>
      </c>
      <c r="AT2" s="12">
        <v>0</v>
      </c>
      <c r="AU2" s="12">
        <v>1233.6199951171875</v>
      </c>
      <c r="AV2" s="12" t="s">
        <v>342</v>
      </c>
    </row>
    <row r="3" spans="1:48" ht="17.25" customHeight="1" x14ac:dyDescent="0.2">
      <c r="A3" s="1" t="s">
        <v>47</v>
      </c>
      <c r="B3" s="1" t="s">
        <v>121</v>
      </c>
      <c r="C3" s="1" t="s">
        <v>48</v>
      </c>
      <c r="E3" s="1" t="s">
        <v>49</v>
      </c>
      <c r="F3" s="1" t="s">
        <v>435</v>
      </c>
      <c r="H3" s="1" t="s">
        <v>139</v>
      </c>
      <c r="I3" s="11">
        <v>5</v>
      </c>
      <c r="J3" s="1" t="s">
        <v>140</v>
      </c>
      <c r="K3" s="3">
        <v>45444</v>
      </c>
      <c r="L3" s="1"/>
      <c r="M3" s="1" t="s">
        <v>52</v>
      </c>
      <c r="N3" s="1" t="s">
        <v>53</v>
      </c>
      <c r="Q3" s="4">
        <v>45444</v>
      </c>
      <c r="R3" s="5">
        <v>45441</v>
      </c>
      <c r="S3" s="4"/>
      <c r="U3" s="1" t="s">
        <v>141</v>
      </c>
      <c r="V3" s="1" t="s">
        <v>141</v>
      </c>
      <c r="W3" s="1" t="s">
        <v>141</v>
      </c>
      <c r="X3" s="1"/>
      <c r="Y3" s="12"/>
      <c r="Z3" s="13"/>
      <c r="AA3" s="12"/>
      <c r="AB3" s="12"/>
      <c r="AC3" s="12"/>
      <c r="AD3" s="12">
        <f>Table_Query_from_UnBilled_13[[#This Row],[Payable]]*0.035</f>
        <v>0</v>
      </c>
      <c r="AE3" s="12"/>
      <c r="AF3" s="12"/>
      <c r="AG3" s="12"/>
      <c r="AH3" s="12">
        <f>Table_Query_from_UnBilled_13[[#This Row],[Payable]]*0.01</f>
        <v>0</v>
      </c>
      <c r="AI3" s="12">
        <f>Table_Query_from_UnBilled_13[[#This Row],[Payable]]+Table_Query_from_UnBilled_13[[#This Row],[AgencyCommission]]+Table_Query_from_UnBilled_13[[#This Row],[LevyBillable]]</f>
        <v>0</v>
      </c>
      <c r="AJ3" s="12"/>
      <c r="AK3" s="11"/>
      <c r="AL3" s="14"/>
      <c r="AM3" s="1" t="s">
        <v>55</v>
      </c>
      <c r="AN3" s="4"/>
      <c r="AO3" s="1" t="s">
        <v>56</v>
      </c>
      <c r="AP3" s="1" t="s">
        <v>57</v>
      </c>
      <c r="AQ3" s="12">
        <v>1</v>
      </c>
      <c r="AR3" s="12">
        <v>836.58001708984375</v>
      </c>
      <c r="AS3" s="12">
        <v>0</v>
      </c>
      <c r="AT3" s="12">
        <v>0</v>
      </c>
      <c r="AU3" s="12">
        <v>836.58001708984375</v>
      </c>
      <c r="AV3" s="12" t="s">
        <v>343</v>
      </c>
    </row>
    <row r="4" spans="1:48" ht="17.25" customHeight="1" x14ac:dyDescent="0.2">
      <c r="A4" s="1" t="s">
        <v>47</v>
      </c>
      <c r="B4" s="1" t="s">
        <v>121</v>
      </c>
      <c r="C4" s="1" t="s">
        <v>48</v>
      </c>
      <c r="E4" s="1" t="s">
        <v>49</v>
      </c>
      <c r="F4" s="1" t="s">
        <v>435</v>
      </c>
      <c r="G4" s="10"/>
      <c r="H4" s="1" t="s">
        <v>139</v>
      </c>
      <c r="I4" s="11">
        <v>5</v>
      </c>
      <c r="J4" s="1" t="s">
        <v>140</v>
      </c>
      <c r="K4" s="3">
        <v>45444</v>
      </c>
      <c r="L4" s="1"/>
      <c r="M4" s="1" t="s">
        <v>58</v>
      </c>
      <c r="N4" s="1" t="s">
        <v>59</v>
      </c>
      <c r="Q4" s="4">
        <v>45446</v>
      </c>
      <c r="R4" s="5">
        <v>45441</v>
      </c>
      <c r="S4" s="4"/>
      <c r="U4" s="1" t="s">
        <v>141</v>
      </c>
      <c r="V4" s="1"/>
      <c r="W4" s="1" t="s">
        <v>141</v>
      </c>
      <c r="X4" s="1"/>
      <c r="Y4" s="12"/>
      <c r="Z4" s="13"/>
      <c r="AA4" s="12"/>
      <c r="AB4" s="12"/>
      <c r="AC4" s="12"/>
      <c r="AD4" s="12">
        <f>Table_Query_from_UnBilled_13[[#This Row],[Payable]]*0.035</f>
        <v>0</v>
      </c>
      <c r="AE4" s="12"/>
      <c r="AF4" s="12"/>
      <c r="AG4" s="12"/>
      <c r="AH4" s="12">
        <f>Table_Query_from_UnBilled_13[[#This Row],[Payable]]*0.01</f>
        <v>0</v>
      </c>
      <c r="AI4" s="12">
        <f>Table_Query_from_UnBilled_13[[#This Row],[Payable]]+Table_Query_from_UnBilled_13[[#This Row],[AgencyCommission]]+Table_Query_from_UnBilled_13[[#This Row],[LevyBillable]]</f>
        <v>0</v>
      </c>
      <c r="AJ4" s="12"/>
      <c r="AK4" s="11"/>
      <c r="AL4" s="14"/>
      <c r="AM4" s="1" t="s">
        <v>55</v>
      </c>
      <c r="AN4" s="4"/>
      <c r="AO4" s="1" t="s">
        <v>56</v>
      </c>
      <c r="AP4" s="1" t="s">
        <v>57</v>
      </c>
      <c r="AQ4" s="12">
        <v>1</v>
      </c>
      <c r="AR4" s="12">
        <v>17773.98046875</v>
      </c>
      <c r="AS4" s="12">
        <v>17.773980000000002</v>
      </c>
      <c r="AT4" s="12">
        <v>0</v>
      </c>
      <c r="AU4" s="12">
        <v>17773.98046875</v>
      </c>
      <c r="AV4" s="12" t="s">
        <v>344</v>
      </c>
    </row>
    <row r="5" spans="1:48" ht="17.25" customHeight="1" x14ac:dyDescent="0.2">
      <c r="A5" s="1" t="s">
        <v>47</v>
      </c>
      <c r="B5" s="1" t="s">
        <v>121</v>
      </c>
      <c r="C5" s="1" t="s">
        <v>48</v>
      </c>
      <c r="E5" s="1" t="s">
        <v>49</v>
      </c>
      <c r="F5" s="1" t="s">
        <v>435</v>
      </c>
      <c r="G5" s="10"/>
      <c r="H5" s="1" t="s">
        <v>139</v>
      </c>
      <c r="I5" s="11">
        <v>5</v>
      </c>
      <c r="J5" s="1" t="s">
        <v>140</v>
      </c>
      <c r="K5" s="3">
        <v>45444</v>
      </c>
      <c r="L5" s="1"/>
      <c r="M5" s="1" t="s">
        <v>58</v>
      </c>
      <c r="N5" s="1" t="s">
        <v>60</v>
      </c>
      <c r="Q5" s="4">
        <v>45446</v>
      </c>
      <c r="R5" s="5">
        <v>45441</v>
      </c>
      <c r="S5" s="4"/>
      <c r="U5" s="1" t="s">
        <v>141</v>
      </c>
      <c r="V5" s="1" t="s">
        <v>141</v>
      </c>
      <c r="W5" s="1" t="s">
        <v>141</v>
      </c>
      <c r="X5" s="1"/>
      <c r="Y5" s="12"/>
      <c r="Z5" s="13"/>
      <c r="AA5" s="12"/>
      <c r="AB5" s="12"/>
      <c r="AC5" s="12"/>
      <c r="AD5" s="12">
        <f>Table_Query_from_UnBilled_13[[#This Row],[Payable]]*0.035</f>
        <v>0</v>
      </c>
      <c r="AE5" s="12"/>
      <c r="AF5" s="12"/>
      <c r="AG5" s="12"/>
      <c r="AH5" s="12">
        <f>Table_Query_from_UnBilled_13[[#This Row],[Payable]]*0.01</f>
        <v>0</v>
      </c>
      <c r="AI5" s="12">
        <f>Table_Query_from_UnBilled_13[[#This Row],[Payable]]+Table_Query_from_UnBilled_13[[#This Row],[AgencyCommission]]+Table_Query_from_UnBilled_13[[#This Row],[LevyBillable]]</f>
        <v>0</v>
      </c>
      <c r="AJ5" s="12"/>
      <c r="AK5" s="11"/>
      <c r="AL5" s="14"/>
      <c r="AM5" s="1" t="s">
        <v>55</v>
      </c>
      <c r="AN5" s="4"/>
      <c r="AO5" s="1" t="s">
        <v>56</v>
      </c>
      <c r="AP5" s="1" t="s">
        <v>57</v>
      </c>
      <c r="AQ5" s="12">
        <v>1</v>
      </c>
      <c r="AR5" s="12">
        <v>33293.859375</v>
      </c>
      <c r="AS5" s="12">
        <v>33.293860000000002</v>
      </c>
      <c r="AT5" s="12">
        <v>0</v>
      </c>
      <c r="AU5" s="12">
        <v>33293.859375</v>
      </c>
      <c r="AV5" s="12" t="s">
        <v>345</v>
      </c>
    </row>
    <row r="6" spans="1:48" ht="17.25" customHeight="1" x14ac:dyDescent="0.2">
      <c r="A6" s="1" t="s">
        <v>47</v>
      </c>
      <c r="B6" s="1" t="s">
        <v>121</v>
      </c>
      <c r="C6" s="1" t="s">
        <v>48</v>
      </c>
      <c r="E6" s="1" t="s">
        <v>49</v>
      </c>
      <c r="F6" s="1" t="s">
        <v>434</v>
      </c>
      <c r="G6" s="10"/>
      <c r="H6" s="1" t="s">
        <v>142</v>
      </c>
      <c r="I6" s="11">
        <v>2</v>
      </c>
      <c r="J6" s="1" t="s">
        <v>143</v>
      </c>
      <c r="K6" s="3">
        <v>45444</v>
      </c>
      <c r="L6" s="1"/>
      <c r="M6" s="1" t="s">
        <v>58</v>
      </c>
      <c r="N6" s="1" t="s">
        <v>59</v>
      </c>
      <c r="Q6" s="4">
        <v>45456</v>
      </c>
      <c r="R6" s="5">
        <v>45482</v>
      </c>
      <c r="S6" s="4"/>
      <c r="V6" s="1"/>
      <c r="W6" s="1" t="s">
        <v>144</v>
      </c>
      <c r="X6" s="1" t="s">
        <v>144</v>
      </c>
      <c r="Y6" s="12"/>
      <c r="Z6" s="13"/>
      <c r="AA6" s="12">
        <v>6770</v>
      </c>
      <c r="AB6" s="12"/>
      <c r="AC6" s="12"/>
      <c r="AD6" s="12">
        <f>Table_Query_from_UnBilled_13[[#This Row],[Payable]]*0.035</f>
        <v>236.95000000000002</v>
      </c>
      <c r="AE6" s="12"/>
      <c r="AF6" s="12"/>
      <c r="AG6" s="12"/>
      <c r="AH6" s="12">
        <f>Table_Query_from_UnBilled_13[[#This Row],[Payable]]*0.01</f>
        <v>67.7</v>
      </c>
      <c r="AI6" s="12">
        <f>Table_Query_from_UnBilled_13[[#This Row],[Payable]]+Table_Query_from_UnBilled_13[[#This Row],[AgencyCommission]]+Table_Query_from_UnBilled_13[[#This Row],[LevyBillable]]</f>
        <v>7074.65</v>
      </c>
      <c r="AJ6" s="12"/>
      <c r="AK6" s="11"/>
      <c r="AL6" s="14"/>
      <c r="AM6" s="1" t="s">
        <v>55</v>
      </c>
      <c r="AN6" s="4"/>
      <c r="AO6" s="1" t="s">
        <v>56</v>
      </c>
      <c r="AP6" s="1" t="s">
        <v>57</v>
      </c>
      <c r="AQ6" s="12">
        <v>1</v>
      </c>
      <c r="AR6" s="12">
        <v>9534.7001953125</v>
      </c>
      <c r="AS6" s="12">
        <v>9.5347000000000008</v>
      </c>
      <c r="AT6" s="12">
        <v>0</v>
      </c>
      <c r="AU6" s="12">
        <v>9534.7001953125</v>
      </c>
      <c r="AV6" s="12" t="s">
        <v>346</v>
      </c>
    </row>
    <row r="7" spans="1:48" ht="17.25" customHeight="1" x14ac:dyDescent="0.2">
      <c r="A7" s="1" t="s">
        <v>47</v>
      </c>
      <c r="B7" s="1" t="s">
        <v>121</v>
      </c>
      <c r="C7" s="1" t="s">
        <v>48</v>
      </c>
      <c r="E7" s="1" t="s">
        <v>49</v>
      </c>
      <c r="F7" s="1" t="s">
        <v>434</v>
      </c>
      <c r="G7" s="10"/>
      <c r="H7" s="1" t="s">
        <v>142</v>
      </c>
      <c r="I7" s="11">
        <v>2</v>
      </c>
      <c r="J7" s="1" t="s">
        <v>143</v>
      </c>
      <c r="K7" s="3">
        <v>45444</v>
      </c>
      <c r="L7" s="1"/>
      <c r="M7" s="1" t="s">
        <v>52</v>
      </c>
      <c r="N7" s="1" t="s">
        <v>53</v>
      </c>
      <c r="Q7" s="4">
        <v>45444</v>
      </c>
      <c r="R7" s="5">
        <v>45482</v>
      </c>
      <c r="S7" s="4"/>
      <c r="V7" s="1" t="s">
        <v>144</v>
      </c>
      <c r="W7" s="1" t="s">
        <v>144</v>
      </c>
      <c r="X7" s="1" t="s">
        <v>144</v>
      </c>
      <c r="Y7" s="12"/>
      <c r="Z7" s="13"/>
      <c r="AA7" s="12">
        <v>1575</v>
      </c>
      <c r="AB7" s="12"/>
      <c r="AC7" s="12"/>
      <c r="AD7" s="12">
        <f>Table_Query_from_UnBilled_13[[#This Row],[Payable]]*0.035</f>
        <v>55.125000000000007</v>
      </c>
      <c r="AE7" s="12"/>
      <c r="AF7" s="12"/>
      <c r="AG7" s="12"/>
      <c r="AH7" s="12">
        <f>Table_Query_from_UnBilled_13[[#This Row],[Payable]]*0.01</f>
        <v>15.75</v>
      </c>
      <c r="AI7" s="12">
        <f>Table_Query_from_UnBilled_13[[#This Row],[Payable]]+Table_Query_from_UnBilled_13[[#This Row],[AgencyCommission]]+Table_Query_from_UnBilled_13[[#This Row],[LevyBillable]]</f>
        <v>1645.875</v>
      </c>
      <c r="AJ7" s="12"/>
      <c r="AK7" s="11"/>
      <c r="AL7" s="14"/>
      <c r="AM7" s="1" t="s">
        <v>55</v>
      </c>
      <c r="AN7" s="4"/>
      <c r="AO7" s="1" t="s">
        <v>56</v>
      </c>
      <c r="AP7" s="1" t="s">
        <v>57</v>
      </c>
      <c r="AQ7" s="12">
        <v>1</v>
      </c>
      <c r="AR7" s="12">
        <v>809.5</v>
      </c>
      <c r="AS7" s="12">
        <v>0</v>
      </c>
      <c r="AT7" s="12">
        <v>0</v>
      </c>
      <c r="AU7" s="12">
        <v>809.5</v>
      </c>
      <c r="AV7" s="12" t="s">
        <v>347</v>
      </c>
    </row>
    <row r="8" spans="1:48" ht="17.25" customHeight="1" x14ac:dyDescent="0.2">
      <c r="A8" s="1" t="s">
        <v>47</v>
      </c>
      <c r="B8" s="1" t="s">
        <v>121</v>
      </c>
      <c r="C8" s="1" t="s">
        <v>48</v>
      </c>
      <c r="E8" s="1" t="s">
        <v>49</v>
      </c>
      <c r="F8" s="1" t="s">
        <v>434</v>
      </c>
      <c r="G8" s="10"/>
      <c r="H8" s="1" t="s">
        <v>142</v>
      </c>
      <c r="I8" s="11">
        <v>2</v>
      </c>
      <c r="J8" s="1" t="s">
        <v>143</v>
      </c>
      <c r="K8" s="3">
        <v>45444</v>
      </c>
      <c r="L8" s="1"/>
      <c r="M8" s="1" t="s">
        <v>58</v>
      </c>
      <c r="N8" s="1" t="s">
        <v>59</v>
      </c>
      <c r="Q8" s="4">
        <v>45456</v>
      </c>
      <c r="R8" s="5">
        <v>45482</v>
      </c>
      <c r="S8" s="4"/>
      <c r="V8" s="1"/>
      <c r="W8" s="1" t="s">
        <v>144</v>
      </c>
      <c r="X8" s="1" t="s">
        <v>144</v>
      </c>
      <c r="Y8" s="12"/>
      <c r="Z8" s="13"/>
      <c r="AA8" s="12">
        <v>6770</v>
      </c>
      <c r="AB8" s="12"/>
      <c r="AC8" s="12"/>
      <c r="AD8" s="12">
        <f>Table_Query_from_UnBilled_13[[#This Row],[Payable]]*0.035</f>
        <v>236.95000000000002</v>
      </c>
      <c r="AE8" s="12"/>
      <c r="AF8" s="12"/>
      <c r="AG8" s="12"/>
      <c r="AH8" s="12">
        <f>Table_Query_from_UnBilled_13[[#This Row],[Payable]]*0.01</f>
        <v>67.7</v>
      </c>
      <c r="AI8" s="12">
        <f>Table_Query_from_UnBilled_13[[#This Row],[Payable]]+Table_Query_from_UnBilled_13[[#This Row],[AgencyCommission]]+Table_Query_from_UnBilled_13[[#This Row],[LevyBillable]]</f>
        <v>7074.65</v>
      </c>
      <c r="AJ8" s="12"/>
      <c r="AK8" s="11"/>
      <c r="AL8" s="14"/>
      <c r="AM8" s="1" t="s">
        <v>55</v>
      </c>
      <c r="AN8" s="4"/>
      <c r="AO8" s="1" t="s">
        <v>56</v>
      </c>
      <c r="AP8" s="1" t="s">
        <v>57</v>
      </c>
      <c r="AQ8" s="12">
        <v>1</v>
      </c>
      <c r="AR8" s="12">
        <v>23435.98046875</v>
      </c>
      <c r="AS8" s="12">
        <v>23.435980000000001</v>
      </c>
      <c r="AT8" s="12">
        <v>0</v>
      </c>
      <c r="AU8" s="12">
        <v>23435.98046875</v>
      </c>
      <c r="AV8" s="12" t="s">
        <v>348</v>
      </c>
    </row>
    <row r="9" spans="1:48" ht="17.25" customHeight="1" x14ac:dyDescent="0.2">
      <c r="A9" s="1" t="s">
        <v>47</v>
      </c>
      <c r="B9" s="1" t="s">
        <v>121</v>
      </c>
      <c r="C9" s="1" t="s">
        <v>48</v>
      </c>
      <c r="E9" s="1" t="s">
        <v>49</v>
      </c>
      <c r="F9" s="1" t="s">
        <v>434</v>
      </c>
      <c r="G9" s="10"/>
      <c r="H9" s="1" t="s">
        <v>142</v>
      </c>
      <c r="I9" s="11">
        <v>2</v>
      </c>
      <c r="J9" s="1" t="s">
        <v>143</v>
      </c>
      <c r="K9" s="3">
        <v>45444</v>
      </c>
      <c r="L9" s="1"/>
      <c r="M9" s="1" t="s">
        <v>58</v>
      </c>
      <c r="N9" s="1" t="s">
        <v>59</v>
      </c>
      <c r="Q9" s="4">
        <v>45456</v>
      </c>
      <c r="R9" s="5">
        <v>45482</v>
      </c>
      <c r="S9" s="4"/>
      <c r="V9" s="1"/>
      <c r="W9" s="1" t="s">
        <v>144</v>
      </c>
      <c r="X9" s="1" t="s">
        <v>144</v>
      </c>
      <c r="Y9" s="12"/>
      <c r="Z9" s="13"/>
      <c r="AA9" s="12">
        <v>6770</v>
      </c>
      <c r="AB9" s="12"/>
      <c r="AC9" s="12"/>
      <c r="AD9" s="12">
        <f>Table_Query_from_UnBilled_13[[#This Row],[Payable]]*0.035</f>
        <v>236.95000000000002</v>
      </c>
      <c r="AE9" s="12"/>
      <c r="AF9" s="12"/>
      <c r="AG9" s="12"/>
      <c r="AH9" s="12">
        <f>Table_Query_from_UnBilled_13[[#This Row],[Payable]]*0.01</f>
        <v>67.7</v>
      </c>
      <c r="AI9" s="12">
        <f>Table_Query_from_UnBilled_13[[#This Row],[Payable]]+Table_Query_from_UnBilled_13[[#This Row],[AgencyCommission]]+Table_Query_from_UnBilled_13[[#This Row],[LevyBillable]]</f>
        <v>7074.65</v>
      </c>
      <c r="AJ9" s="12"/>
      <c r="AK9" s="11"/>
      <c r="AL9" s="14"/>
      <c r="AM9" s="1" t="s">
        <v>55</v>
      </c>
      <c r="AN9" s="4"/>
      <c r="AO9" s="1" t="s">
        <v>56</v>
      </c>
      <c r="AP9" s="1" t="s">
        <v>57</v>
      </c>
      <c r="AQ9" s="12">
        <v>1</v>
      </c>
      <c r="AR9" s="12">
        <v>16952.849609375</v>
      </c>
      <c r="AS9" s="12">
        <v>16.952850000000002</v>
      </c>
      <c r="AT9" s="12">
        <v>0</v>
      </c>
      <c r="AU9" s="12">
        <v>16952.849609375</v>
      </c>
      <c r="AV9" s="12" t="s">
        <v>349</v>
      </c>
    </row>
    <row r="10" spans="1:48" ht="17.25" customHeight="1" x14ac:dyDescent="0.2">
      <c r="A10" s="1" t="s">
        <v>47</v>
      </c>
      <c r="B10" s="1" t="s">
        <v>121</v>
      </c>
      <c r="C10" s="1" t="s">
        <v>48</v>
      </c>
      <c r="E10" s="1" t="s">
        <v>49</v>
      </c>
      <c r="F10" s="1" t="s">
        <v>434</v>
      </c>
      <c r="G10" s="10"/>
      <c r="H10" s="1" t="s">
        <v>142</v>
      </c>
      <c r="I10" s="11">
        <v>2</v>
      </c>
      <c r="J10" s="1" t="s">
        <v>143</v>
      </c>
      <c r="K10" s="3">
        <v>45444</v>
      </c>
      <c r="L10" s="1"/>
      <c r="M10" s="1" t="s">
        <v>58</v>
      </c>
      <c r="N10" s="1" t="s">
        <v>59</v>
      </c>
      <c r="Q10" s="4">
        <v>45470</v>
      </c>
      <c r="R10" s="5">
        <v>45482</v>
      </c>
      <c r="S10" s="4"/>
      <c r="V10" s="1"/>
      <c r="W10" s="1" t="s">
        <v>144</v>
      </c>
      <c r="X10" s="1" t="s">
        <v>144</v>
      </c>
      <c r="Y10" s="12"/>
      <c r="Z10" s="13"/>
      <c r="AA10" s="12">
        <v>6770</v>
      </c>
      <c r="AB10" s="12"/>
      <c r="AC10" s="12"/>
      <c r="AD10" s="12">
        <f>Table_Query_from_UnBilled_13[[#This Row],[Payable]]*0.035</f>
        <v>236.95000000000002</v>
      </c>
      <c r="AE10" s="12"/>
      <c r="AF10" s="12"/>
      <c r="AG10" s="12"/>
      <c r="AH10" s="12">
        <f>Table_Query_from_UnBilled_13[[#This Row],[Payable]]*0.01</f>
        <v>67.7</v>
      </c>
      <c r="AI10" s="12">
        <f>Table_Query_from_UnBilled_13[[#This Row],[Payable]]+Table_Query_from_UnBilled_13[[#This Row],[AgencyCommission]]+Table_Query_from_UnBilled_13[[#This Row],[LevyBillable]]</f>
        <v>7074.65</v>
      </c>
      <c r="AJ10" s="12"/>
      <c r="AK10" s="11"/>
      <c r="AL10" s="14"/>
      <c r="AM10" s="1" t="s">
        <v>55</v>
      </c>
      <c r="AN10" s="4"/>
      <c r="AO10" s="1" t="s">
        <v>56</v>
      </c>
      <c r="AP10" s="1" t="s">
        <v>57</v>
      </c>
      <c r="AQ10" s="12">
        <v>1</v>
      </c>
      <c r="AR10" s="12">
        <v>6960.39990234375</v>
      </c>
      <c r="AS10" s="12">
        <v>6.9603999999999999</v>
      </c>
      <c r="AT10" s="12">
        <v>0</v>
      </c>
      <c r="AU10" s="12">
        <v>6960.39990234375</v>
      </c>
      <c r="AV10" s="12" t="s">
        <v>350</v>
      </c>
    </row>
    <row r="11" spans="1:48" ht="17.25" customHeight="1" x14ac:dyDescent="0.2">
      <c r="A11" s="1" t="s">
        <v>47</v>
      </c>
      <c r="B11" s="1" t="s">
        <v>121</v>
      </c>
      <c r="C11" s="1" t="s">
        <v>48</v>
      </c>
      <c r="E11" s="1" t="s">
        <v>78</v>
      </c>
      <c r="F11" s="1" t="s">
        <v>434</v>
      </c>
      <c r="G11" s="10"/>
      <c r="H11" s="1" t="s">
        <v>139</v>
      </c>
      <c r="I11" s="11">
        <v>10</v>
      </c>
      <c r="J11" s="1" t="s">
        <v>145</v>
      </c>
      <c r="K11" s="3">
        <v>45444</v>
      </c>
      <c r="L11" s="1"/>
      <c r="M11" s="1" t="s">
        <v>80</v>
      </c>
      <c r="N11" s="1" t="s">
        <v>81</v>
      </c>
      <c r="Q11" s="4">
        <v>45444</v>
      </c>
      <c r="R11" s="5">
        <v>45386</v>
      </c>
      <c r="S11" s="4"/>
      <c r="U11" s="1" t="s">
        <v>141</v>
      </c>
      <c r="V11" s="1" t="s">
        <v>146</v>
      </c>
      <c r="W11" s="1" t="s">
        <v>144</v>
      </c>
      <c r="X11" s="1"/>
      <c r="Y11" s="12"/>
      <c r="Z11" s="13"/>
      <c r="AA11" s="12"/>
      <c r="AB11" s="12"/>
      <c r="AC11" s="12"/>
      <c r="AD11" s="12">
        <f>Table_Query_from_UnBilled_13[[#This Row],[Payable]]*0.035</f>
        <v>0</v>
      </c>
      <c r="AE11" s="12"/>
      <c r="AF11" s="12"/>
      <c r="AG11" s="12"/>
      <c r="AH11" s="12">
        <f>Table_Query_from_UnBilled_13[[#This Row],[Payable]]*0.01</f>
        <v>0</v>
      </c>
      <c r="AI11" s="12">
        <f>Table_Query_from_UnBilled_13[[#This Row],[Payable]]+Table_Query_from_UnBilled_13[[#This Row],[AgencyCommission]]+Table_Query_from_UnBilled_13[[#This Row],[LevyBillable]]</f>
        <v>0</v>
      </c>
      <c r="AJ11" s="12"/>
      <c r="AK11" s="11"/>
      <c r="AL11" s="14"/>
      <c r="AM11" s="1" t="s">
        <v>55</v>
      </c>
      <c r="AN11" s="4"/>
      <c r="AO11" s="1" t="s">
        <v>56</v>
      </c>
      <c r="AP11" s="1" t="s">
        <v>57</v>
      </c>
      <c r="AQ11" s="12">
        <v>1</v>
      </c>
      <c r="AR11" s="12">
        <v>40.610000610351562</v>
      </c>
      <c r="AS11" s="12">
        <v>0</v>
      </c>
      <c r="AT11" s="12">
        <v>0</v>
      </c>
      <c r="AU11" s="12">
        <v>40.610000610351562</v>
      </c>
      <c r="AV11" s="12" t="s">
        <v>351</v>
      </c>
    </row>
    <row r="12" spans="1:48" ht="17.25" customHeight="1" x14ac:dyDescent="0.2">
      <c r="A12" s="1" t="s">
        <v>47</v>
      </c>
      <c r="B12" s="1" t="s">
        <v>121</v>
      </c>
      <c r="C12" s="1" t="s">
        <v>48</v>
      </c>
      <c r="E12" s="1" t="s">
        <v>78</v>
      </c>
      <c r="F12" s="1" t="s">
        <v>434</v>
      </c>
      <c r="G12" s="10"/>
      <c r="H12" s="1" t="s">
        <v>139</v>
      </c>
      <c r="I12" s="11">
        <v>10</v>
      </c>
      <c r="J12" s="1" t="s">
        <v>145</v>
      </c>
      <c r="K12" s="3">
        <v>45444</v>
      </c>
      <c r="L12" s="1"/>
      <c r="M12" s="1" t="s">
        <v>80</v>
      </c>
      <c r="N12" s="1" t="s">
        <v>89</v>
      </c>
      <c r="Q12" s="4">
        <v>45444</v>
      </c>
      <c r="R12" s="5">
        <v>45386</v>
      </c>
      <c r="S12" s="4"/>
      <c r="U12" s="1" t="s">
        <v>141</v>
      </c>
      <c r="V12" s="1" t="s">
        <v>146</v>
      </c>
      <c r="W12" s="1" t="s">
        <v>144</v>
      </c>
      <c r="X12" s="1"/>
      <c r="Y12" s="12"/>
      <c r="Z12" s="13"/>
      <c r="AA12" s="12"/>
      <c r="AB12" s="12"/>
      <c r="AC12" s="12"/>
      <c r="AD12" s="12">
        <f>Table_Query_from_UnBilled_13[[#This Row],[Payable]]*0.035</f>
        <v>0</v>
      </c>
      <c r="AE12" s="12"/>
      <c r="AF12" s="12"/>
      <c r="AG12" s="12"/>
      <c r="AH12" s="12">
        <f>Table_Query_from_UnBilled_13[[#This Row],[Payable]]*0.01</f>
        <v>0</v>
      </c>
      <c r="AI12" s="12">
        <f>Table_Query_from_UnBilled_13[[#This Row],[Payable]]+Table_Query_from_UnBilled_13[[#This Row],[AgencyCommission]]+Table_Query_from_UnBilled_13[[#This Row],[LevyBillable]]</f>
        <v>0</v>
      </c>
      <c r="AJ12" s="12"/>
      <c r="AK12" s="11"/>
      <c r="AL12" s="14"/>
      <c r="AM12" s="1" t="s">
        <v>55</v>
      </c>
      <c r="AN12" s="4"/>
      <c r="AO12" s="1" t="s">
        <v>56</v>
      </c>
      <c r="AP12" s="1" t="s">
        <v>57</v>
      </c>
      <c r="AQ12" s="12">
        <v>1</v>
      </c>
      <c r="AR12" s="12">
        <v>10.149999618530273</v>
      </c>
      <c r="AS12" s="12">
        <v>0</v>
      </c>
      <c r="AT12" s="12">
        <v>0</v>
      </c>
      <c r="AU12" s="12">
        <v>10.149999618530273</v>
      </c>
      <c r="AV12" s="12" t="s">
        <v>352</v>
      </c>
    </row>
    <row r="13" spans="1:48" ht="17.25" customHeight="1" x14ac:dyDescent="0.2">
      <c r="A13" s="1" t="s">
        <v>47</v>
      </c>
      <c r="B13" s="1" t="s">
        <v>121</v>
      </c>
      <c r="C13" s="1" t="s">
        <v>48</v>
      </c>
      <c r="E13" s="1" t="s">
        <v>78</v>
      </c>
      <c r="F13" s="1" t="s">
        <v>434</v>
      </c>
      <c r="G13" s="10"/>
      <c r="H13" s="1" t="s">
        <v>139</v>
      </c>
      <c r="I13" s="11">
        <v>9</v>
      </c>
      <c r="J13" s="1" t="s">
        <v>147</v>
      </c>
      <c r="K13" s="3">
        <v>45444</v>
      </c>
      <c r="L13" s="1"/>
      <c r="M13" s="1" t="s">
        <v>99</v>
      </c>
      <c r="N13" s="1" t="s">
        <v>109</v>
      </c>
      <c r="Q13" s="4">
        <v>45444</v>
      </c>
      <c r="R13" s="5">
        <v>45400</v>
      </c>
      <c r="S13" s="4"/>
      <c r="U13" s="1" t="s">
        <v>141</v>
      </c>
      <c r="V13" s="1"/>
      <c r="W13" s="1" t="s">
        <v>144</v>
      </c>
      <c r="X13" s="1"/>
      <c r="Y13" s="12"/>
      <c r="Z13" s="13"/>
      <c r="AA13" s="12"/>
      <c r="AB13" s="12"/>
      <c r="AC13" s="12"/>
      <c r="AD13" s="12">
        <f>Table_Query_from_UnBilled_13[[#This Row],[Payable]]*0.035</f>
        <v>0</v>
      </c>
      <c r="AE13" s="12"/>
      <c r="AF13" s="12"/>
      <c r="AG13" s="12"/>
      <c r="AH13" s="12">
        <f>Table_Query_from_UnBilled_13[[#This Row],[Payable]]*0.01</f>
        <v>0</v>
      </c>
      <c r="AI13" s="12">
        <f>Table_Query_from_UnBilled_13[[#This Row],[Payable]]+Table_Query_from_UnBilled_13[[#This Row],[AgencyCommission]]+Table_Query_from_UnBilled_13[[#This Row],[LevyBillable]]</f>
        <v>0</v>
      </c>
      <c r="AJ13" s="12"/>
      <c r="AK13" s="11"/>
      <c r="AL13" s="14"/>
      <c r="AM13" s="1" t="s">
        <v>55</v>
      </c>
      <c r="AN13" s="4"/>
      <c r="AO13" s="1" t="s">
        <v>56</v>
      </c>
      <c r="AP13" s="1" t="s">
        <v>57</v>
      </c>
      <c r="AQ13" s="12">
        <v>1</v>
      </c>
      <c r="AR13" s="12">
        <v>3146.419921875</v>
      </c>
      <c r="AS13" s="12">
        <v>3.14642</v>
      </c>
      <c r="AT13" s="12">
        <v>0</v>
      </c>
      <c r="AU13" s="12">
        <v>3146.419921875</v>
      </c>
      <c r="AV13" s="12" t="s">
        <v>353</v>
      </c>
    </row>
    <row r="14" spans="1:48" ht="17.25" customHeight="1" x14ac:dyDescent="0.2">
      <c r="A14" s="1" t="s">
        <v>47</v>
      </c>
      <c r="B14" s="1" t="s">
        <v>121</v>
      </c>
      <c r="C14" s="1" t="s">
        <v>48</v>
      </c>
      <c r="E14" s="1" t="s">
        <v>78</v>
      </c>
      <c r="F14" s="1" t="s">
        <v>434</v>
      </c>
      <c r="G14" s="10"/>
      <c r="H14" s="1" t="s">
        <v>139</v>
      </c>
      <c r="I14" s="11">
        <v>9</v>
      </c>
      <c r="J14" s="1" t="s">
        <v>147</v>
      </c>
      <c r="K14" s="3">
        <v>45444</v>
      </c>
      <c r="L14" s="1"/>
      <c r="M14" s="1" t="s">
        <v>99</v>
      </c>
      <c r="N14" s="1" t="s">
        <v>98</v>
      </c>
      <c r="Q14" s="4">
        <v>45444</v>
      </c>
      <c r="R14" s="5">
        <v>45400</v>
      </c>
      <c r="S14" s="4"/>
      <c r="U14" s="1" t="s">
        <v>141</v>
      </c>
      <c r="V14" s="1"/>
      <c r="W14" s="1" t="s">
        <v>144</v>
      </c>
      <c r="X14" s="1"/>
      <c r="Y14" s="12"/>
      <c r="Z14" s="13"/>
      <c r="AA14" s="12"/>
      <c r="AB14" s="12"/>
      <c r="AC14" s="12"/>
      <c r="AD14" s="12">
        <f>Table_Query_from_UnBilled_13[[#This Row],[Payable]]*0.035</f>
        <v>0</v>
      </c>
      <c r="AE14" s="12"/>
      <c r="AF14" s="12"/>
      <c r="AG14" s="12"/>
      <c r="AH14" s="12">
        <f>Table_Query_from_UnBilled_13[[#This Row],[Payable]]*0.01</f>
        <v>0</v>
      </c>
      <c r="AI14" s="12">
        <f>Table_Query_from_UnBilled_13[[#This Row],[Payable]]+Table_Query_from_UnBilled_13[[#This Row],[AgencyCommission]]+Table_Query_from_UnBilled_13[[#This Row],[LevyBillable]]</f>
        <v>0</v>
      </c>
      <c r="AJ14" s="12"/>
      <c r="AK14" s="11"/>
      <c r="AL14" s="14"/>
      <c r="AM14" s="1" t="s">
        <v>55</v>
      </c>
      <c r="AN14" s="4"/>
      <c r="AO14" s="1" t="s">
        <v>56</v>
      </c>
      <c r="AP14" s="1" t="s">
        <v>57</v>
      </c>
      <c r="AQ14" s="12">
        <v>1</v>
      </c>
      <c r="AR14" s="12">
        <v>3266.030029296875</v>
      </c>
      <c r="AS14" s="12">
        <v>3.2660300000000002</v>
      </c>
      <c r="AT14" s="12">
        <v>0</v>
      </c>
      <c r="AU14" s="12">
        <v>3266.030029296875</v>
      </c>
      <c r="AV14" s="12" t="s">
        <v>354</v>
      </c>
    </row>
    <row r="15" spans="1:48" ht="17.25" customHeight="1" x14ac:dyDescent="0.2">
      <c r="A15" s="1" t="s">
        <v>47</v>
      </c>
      <c r="B15" s="1" t="s">
        <v>121</v>
      </c>
      <c r="C15" s="1" t="s">
        <v>48</v>
      </c>
      <c r="E15" s="1" t="s">
        <v>78</v>
      </c>
      <c r="F15" s="1" t="s">
        <v>434</v>
      </c>
      <c r="G15" s="10"/>
      <c r="H15" s="1" t="s">
        <v>139</v>
      </c>
      <c r="I15" s="11">
        <v>9</v>
      </c>
      <c r="J15" s="1" t="s">
        <v>147</v>
      </c>
      <c r="K15" s="3">
        <v>45444</v>
      </c>
      <c r="L15" s="1"/>
      <c r="M15" s="1" t="s">
        <v>80</v>
      </c>
      <c r="N15" s="1" t="s">
        <v>89</v>
      </c>
      <c r="Q15" s="4">
        <v>45444</v>
      </c>
      <c r="R15" s="5">
        <v>45400</v>
      </c>
      <c r="S15" s="4"/>
      <c r="U15" s="1" t="s">
        <v>141</v>
      </c>
      <c r="V15" s="1"/>
      <c r="W15" s="1" t="s">
        <v>144</v>
      </c>
      <c r="X15" s="1"/>
      <c r="Y15" s="12"/>
      <c r="Z15" s="13"/>
      <c r="AA15" s="12"/>
      <c r="AB15" s="12"/>
      <c r="AC15" s="12"/>
      <c r="AD15" s="12">
        <f>Table_Query_from_UnBilled_13[[#This Row],[Payable]]*0.035</f>
        <v>0</v>
      </c>
      <c r="AE15" s="12"/>
      <c r="AF15" s="12"/>
      <c r="AG15" s="12"/>
      <c r="AH15" s="12">
        <f>Table_Query_from_UnBilled_13[[#This Row],[Payable]]*0.01</f>
        <v>0</v>
      </c>
      <c r="AI15" s="12">
        <f>Table_Query_from_UnBilled_13[[#This Row],[Payable]]+Table_Query_from_UnBilled_13[[#This Row],[AgencyCommission]]+Table_Query_from_UnBilled_13[[#This Row],[LevyBillable]]</f>
        <v>0</v>
      </c>
      <c r="AJ15" s="12"/>
      <c r="AK15" s="11"/>
      <c r="AL15" s="14"/>
      <c r="AM15" s="1" t="s">
        <v>55</v>
      </c>
      <c r="AN15" s="4"/>
      <c r="AO15" s="1" t="s">
        <v>56</v>
      </c>
      <c r="AP15" s="1" t="s">
        <v>57</v>
      </c>
      <c r="AQ15" s="12">
        <v>1</v>
      </c>
      <c r="AR15" s="12">
        <v>1.0800000429153442</v>
      </c>
      <c r="AS15" s="12">
        <v>0</v>
      </c>
      <c r="AT15" s="12">
        <v>0</v>
      </c>
      <c r="AU15" s="12">
        <v>1.0800000429153442</v>
      </c>
      <c r="AV15" s="12" t="s">
        <v>355</v>
      </c>
    </row>
    <row r="16" spans="1:48" ht="17.25" customHeight="1" x14ac:dyDescent="0.2">
      <c r="A16" s="1" t="s">
        <v>47</v>
      </c>
      <c r="B16" s="1" t="s">
        <v>121</v>
      </c>
      <c r="C16" s="1" t="s">
        <v>48</v>
      </c>
      <c r="E16" s="1" t="s">
        <v>78</v>
      </c>
      <c r="F16" s="1" t="s">
        <v>434</v>
      </c>
      <c r="G16" s="10"/>
      <c r="H16" s="1" t="s">
        <v>139</v>
      </c>
      <c r="I16" s="11">
        <v>9</v>
      </c>
      <c r="J16" s="1" t="s">
        <v>147</v>
      </c>
      <c r="K16" s="3">
        <v>45444</v>
      </c>
      <c r="L16" s="1"/>
      <c r="M16" s="1" t="s">
        <v>80</v>
      </c>
      <c r="N16" s="1" t="s">
        <v>81</v>
      </c>
      <c r="Q16" s="4">
        <v>45444</v>
      </c>
      <c r="R16" s="5">
        <v>45400</v>
      </c>
      <c r="S16" s="4"/>
      <c r="U16" s="1" t="s">
        <v>141</v>
      </c>
      <c r="V16" s="1"/>
      <c r="W16" s="1" t="s">
        <v>144</v>
      </c>
      <c r="X16" s="1"/>
      <c r="Y16" s="12"/>
      <c r="Z16" s="13"/>
      <c r="AA16" s="12"/>
      <c r="AB16" s="12"/>
      <c r="AC16" s="12"/>
      <c r="AD16" s="12">
        <f>Table_Query_from_UnBilled_13[[#This Row],[Payable]]*0.035</f>
        <v>0</v>
      </c>
      <c r="AE16" s="12"/>
      <c r="AF16" s="12"/>
      <c r="AG16" s="12"/>
      <c r="AH16" s="12">
        <f>Table_Query_from_UnBilled_13[[#This Row],[Payable]]*0.01</f>
        <v>0</v>
      </c>
      <c r="AI16" s="12">
        <f>Table_Query_from_UnBilled_13[[#This Row],[Payable]]+Table_Query_from_UnBilled_13[[#This Row],[AgencyCommission]]+Table_Query_from_UnBilled_13[[#This Row],[LevyBillable]]</f>
        <v>0</v>
      </c>
      <c r="AJ16" s="12"/>
      <c r="AK16" s="11"/>
      <c r="AL16" s="14"/>
      <c r="AM16" s="1" t="s">
        <v>55</v>
      </c>
      <c r="AN16" s="4"/>
      <c r="AO16" s="1" t="s">
        <v>56</v>
      </c>
      <c r="AP16" s="1" t="s">
        <v>57</v>
      </c>
      <c r="AQ16" s="12">
        <v>1</v>
      </c>
      <c r="AR16" s="12">
        <v>6.0100002288818359</v>
      </c>
      <c r="AS16" s="12">
        <v>0</v>
      </c>
      <c r="AT16" s="12">
        <v>0</v>
      </c>
      <c r="AU16" s="12">
        <v>6.0100002288818359</v>
      </c>
      <c r="AV16" s="12" t="s">
        <v>356</v>
      </c>
    </row>
    <row r="17" spans="1:48" ht="17.25" customHeight="1" x14ac:dyDescent="0.2">
      <c r="A17" s="1" t="s">
        <v>47</v>
      </c>
      <c r="B17" s="1" t="s">
        <v>121</v>
      </c>
      <c r="C17" s="1" t="s">
        <v>48</v>
      </c>
      <c r="E17" s="1" t="s">
        <v>78</v>
      </c>
      <c r="F17" s="1" t="s">
        <v>434</v>
      </c>
      <c r="G17" s="10"/>
      <c r="H17" s="1" t="s">
        <v>139</v>
      </c>
      <c r="I17" s="11">
        <v>9</v>
      </c>
      <c r="J17" s="1" t="s">
        <v>147</v>
      </c>
      <c r="K17" s="3">
        <v>45444</v>
      </c>
      <c r="L17" s="1"/>
      <c r="M17" s="1" t="s">
        <v>52</v>
      </c>
      <c r="N17" s="1" t="s">
        <v>98</v>
      </c>
      <c r="Q17" s="4">
        <v>45444</v>
      </c>
      <c r="R17" s="5">
        <v>45400</v>
      </c>
      <c r="S17" s="4"/>
      <c r="U17" s="1" t="s">
        <v>141</v>
      </c>
      <c r="V17" s="1"/>
      <c r="W17" s="1" t="s">
        <v>144</v>
      </c>
      <c r="X17" s="1"/>
      <c r="Y17" s="12"/>
      <c r="Z17" s="13"/>
      <c r="AA17" s="12"/>
      <c r="AB17" s="12"/>
      <c r="AC17" s="12"/>
      <c r="AD17" s="12">
        <f>Table_Query_from_UnBilled_13[[#This Row],[Payable]]*0.035</f>
        <v>0</v>
      </c>
      <c r="AE17" s="12"/>
      <c r="AF17" s="12"/>
      <c r="AG17" s="12"/>
      <c r="AH17" s="12">
        <f>Table_Query_from_UnBilled_13[[#This Row],[Payable]]*0.01</f>
        <v>0</v>
      </c>
      <c r="AI17" s="12">
        <f>Table_Query_from_UnBilled_13[[#This Row],[Payable]]+Table_Query_from_UnBilled_13[[#This Row],[AgencyCommission]]+Table_Query_from_UnBilled_13[[#This Row],[LevyBillable]]</f>
        <v>0</v>
      </c>
      <c r="AJ17" s="12"/>
      <c r="AK17" s="11"/>
      <c r="AL17" s="14"/>
      <c r="AM17" s="1" t="s">
        <v>55</v>
      </c>
      <c r="AN17" s="4"/>
      <c r="AO17" s="1" t="s">
        <v>56</v>
      </c>
      <c r="AP17" s="1" t="s">
        <v>57</v>
      </c>
      <c r="AQ17" s="12">
        <v>1</v>
      </c>
      <c r="AR17" s="12">
        <v>63.110000610351562</v>
      </c>
      <c r="AS17" s="12">
        <v>0</v>
      </c>
      <c r="AT17" s="12">
        <v>0</v>
      </c>
      <c r="AU17" s="12">
        <v>63.110000610351562</v>
      </c>
      <c r="AV17" s="12" t="s">
        <v>357</v>
      </c>
    </row>
    <row r="18" spans="1:48" ht="17.25" customHeight="1" x14ac:dyDescent="0.2">
      <c r="A18" s="1" t="s">
        <v>47</v>
      </c>
      <c r="B18" s="1" t="s">
        <v>121</v>
      </c>
      <c r="C18" s="1" t="s">
        <v>48</v>
      </c>
      <c r="E18" s="1" t="s">
        <v>78</v>
      </c>
      <c r="F18" s="1" t="s">
        <v>434</v>
      </c>
      <c r="G18" s="10"/>
      <c r="H18" s="1" t="s">
        <v>139</v>
      </c>
      <c r="I18" s="11">
        <v>10</v>
      </c>
      <c r="J18" s="1" t="s">
        <v>145</v>
      </c>
      <c r="K18" s="3">
        <v>45444</v>
      </c>
      <c r="L18" s="1"/>
      <c r="M18" s="1" t="s">
        <v>82</v>
      </c>
      <c r="N18" s="1" t="s">
        <v>109</v>
      </c>
      <c r="Q18" s="4">
        <v>45445</v>
      </c>
      <c r="R18" s="5">
        <v>45401</v>
      </c>
      <c r="S18" s="4"/>
      <c r="U18" s="1" t="s">
        <v>141</v>
      </c>
      <c r="V18" s="1" t="s">
        <v>146</v>
      </c>
      <c r="W18" s="1" t="s">
        <v>144</v>
      </c>
      <c r="X18" s="1"/>
      <c r="Y18" s="12"/>
      <c r="Z18" s="13"/>
      <c r="AA18" s="12"/>
      <c r="AB18" s="12"/>
      <c r="AC18" s="12"/>
      <c r="AD18" s="12">
        <f>Table_Query_from_UnBilled_13[[#This Row],[Payable]]*0.035</f>
        <v>0</v>
      </c>
      <c r="AE18" s="12"/>
      <c r="AF18" s="12"/>
      <c r="AG18" s="12"/>
      <c r="AH18" s="12">
        <f>Table_Query_from_UnBilled_13[[#This Row],[Payable]]*0.01</f>
        <v>0</v>
      </c>
      <c r="AI18" s="12">
        <f>Table_Query_from_UnBilled_13[[#This Row],[Payable]]+Table_Query_from_UnBilled_13[[#This Row],[AgencyCommission]]+Table_Query_from_UnBilled_13[[#This Row],[LevyBillable]]</f>
        <v>0</v>
      </c>
      <c r="AJ18" s="12"/>
      <c r="AK18" s="11"/>
      <c r="AL18" s="14"/>
      <c r="AM18" s="1" t="s">
        <v>55</v>
      </c>
      <c r="AN18" s="4"/>
      <c r="AO18" s="1" t="s">
        <v>56</v>
      </c>
      <c r="AP18" s="1" t="s">
        <v>57</v>
      </c>
      <c r="AQ18" s="12">
        <v>1</v>
      </c>
      <c r="AR18" s="12">
        <v>12370.16015625</v>
      </c>
      <c r="AS18" s="12">
        <v>12.37016</v>
      </c>
      <c r="AT18" s="12">
        <v>0</v>
      </c>
      <c r="AU18" s="12">
        <v>12370.16015625</v>
      </c>
      <c r="AV18" s="12" t="s">
        <v>358</v>
      </c>
    </row>
    <row r="19" spans="1:48" ht="17.25" customHeight="1" x14ac:dyDescent="0.2">
      <c r="A19" s="1" t="s">
        <v>47</v>
      </c>
      <c r="B19" s="1" t="s">
        <v>121</v>
      </c>
      <c r="C19" s="1" t="s">
        <v>48</v>
      </c>
      <c r="E19" s="1" t="s">
        <v>78</v>
      </c>
      <c r="F19" s="1" t="s">
        <v>434</v>
      </c>
      <c r="G19" s="10"/>
      <c r="H19" s="1" t="s">
        <v>142</v>
      </c>
      <c r="I19" s="11">
        <v>3</v>
      </c>
      <c r="J19" s="1" t="s">
        <v>148</v>
      </c>
      <c r="K19" s="3">
        <v>45444</v>
      </c>
      <c r="L19" s="1"/>
      <c r="M19" s="1" t="s">
        <v>99</v>
      </c>
      <c r="N19" s="1" t="s">
        <v>98</v>
      </c>
      <c r="Q19" s="4">
        <v>45444</v>
      </c>
      <c r="R19" s="5">
        <v>45421</v>
      </c>
      <c r="S19" s="4"/>
      <c r="U19" s="1" t="s">
        <v>144</v>
      </c>
      <c r="V19" s="1"/>
      <c r="W19" s="1" t="s">
        <v>144</v>
      </c>
      <c r="X19" s="1" t="s">
        <v>144</v>
      </c>
      <c r="Y19" s="12"/>
      <c r="Z19" s="13"/>
      <c r="AA19" s="12">
        <v>2345</v>
      </c>
      <c r="AB19" s="12"/>
      <c r="AC19" s="12"/>
      <c r="AD19" s="12">
        <f>Table_Query_from_UnBilled_13[[#This Row],[Payable]]*0.035</f>
        <v>82.075000000000003</v>
      </c>
      <c r="AE19" s="12"/>
      <c r="AF19" s="12"/>
      <c r="AG19" s="12"/>
      <c r="AH19" s="12">
        <f>Table_Query_from_UnBilled_13[[#This Row],[Payable]]*0.01</f>
        <v>23.45</v>
      </c>
      <c r="AI19" s="12">
        <f>Table_Query_from_UnBilled_13[[#This Row],[Payable]]+Table_Query_from_UnBilled_13[[#This Row],[AgencyCommission]]+Table_Query_from_UnBilled_13[[#This Row],[LevyBillable]]</f>
        <v>2450.5249999999996</v>
      </c>
      <c r="AJ19" s="12"/>
      <c r="AK19" s="11"/>
      <c r="AL19" s="14"/>
      <c r="AM19" s="1" t="s">
        <v>55</v>
      </c>
      <c r="AN19" s="4"/>
      <c r="AO19" s="1" t="s">
        <v>56</v>
      </c>
      <c r="AP19" s="1" t="s">
        <v>57</v>
      </c>
      <c r="AQ19" s="12">
        <v>1</v>
      </c>
      <c r="AR19" s="12">
        <v>11462.9404296875</v>
      </c>
      <c r="AS19" s="12">
        <v>11.46294</v>
      </c>
      <c r="AT19" s="12">
        <v>0</v>
      </c>
      <c r="AU19" s="12">
        <v>11462.9404296875</v>
      </c>
      <c r="AV19" s="12" t="s">
        <v>359</v>
      </c>
    </row>
    <row r="20" spans="1:48" ht="17.25" customHeight="1" x14ac:dyDescent="0.2">
      <c r="A20" s="1" t="s">
        <v>47</v>
      </c>
      <c r="B20" s="1" t="s">
        <v>121</v>
      </c>
      <c r="C20" s="1" t="s">
        <v>48</v>
      </c>
      <c r="E20" s="1" t="s">
        <v>78</v>
      </c>
      <c r="F20" s="1" t="s">
        <v>434</v>
      </c>
      <c r="G20" s="10"/>
      <c r="H20" s="1" t="s">
        <v>142</v>
      </c>
      <c r="I20" s="11">
        <v>3</v>
      </c>
      <c r="J20" s="1" t="s">
        <v>148</v>
      </c>
      <c r="K20" s="3">
        <v>45444</v>
      </c>
      <c r="L20" s="1"/>
      <c r="M20" s="1" t="s">
        <v>80</v>
      </c>
      <c r="N20" s="1" t="s">
        <v>89</v>
      </c>
      <c r="Q20" s="4">
        <v>45444</v>
      </c>
      <c r="R20" s="5">
        <v>45421</v>
      </c>
      <c r="S20" s="4"/>
      <c r="U20" s="1" t="s">
        <v>144</v>
      </c>
      <c r="V20" s="1"/>
      <c r="W20" s="1" t="s">
        <v>144</v>
      </c>
      <c r="X20" s="1" t="s">
        <v>144</v>
      </c>
      <c r="Y20" s="12"/>
      <c r="Z20" s="13"/>
      <c r="AA20" s="12">
        <v>2750</v>
      </c>
      <c r="AB20" s="12"/>
      <c r="AC20" s="12"/>
      <c r="AD20" s="12">
        <f>Table_Query_from_UnBilled_13[[#This Row],[Payable]]*0.035</f>
        <v>96.250000000000014</v>
      </c>
      <c r="AE20" s="12"/>
      <c r="AF20" s="12"/>
      <c r="AG20" s="12"/>
      <c r="AH20" s="12">
        <f>Table_Query_from_UnBilled_13[[#This Row],[Payable]]*0.01</f>
        <v>27.5</v>
      </c>
      <c r="AI20" s="12">
        <f>Table_Query_from_UnBilled_13[[#This Row],[Payable]]+Table_Query_from_UnBilled_13[[#This Row],[AgencyCommission]]+Table_Query_from_UnBilled_13[[#This Row],[LevyBillable]]</f>
        <v>2873.75</v>
      </c>
      <c r="AJ20" s="12"/>
      <c r="AK20" s="11"/>
      <c r="AL20" s="14"/>
      <c r="AM20" s="1" t="s">
        <v>55</v>
      </c>
      <c r="AN20" s="4"/>
      <c r="AO20" s="1" t="s">
        <v>56</v>
      </c>
      <c r="AP20" s="1" t="s">
        <v>57</v>
      </c>
      <c r="AQ20" s="12">
        <v>1</v>
      </c>
      <c r="AR20" s="12">
        <v>3.2599999904632568</v>
      </c>
      <c r="AS20" s="12">
        <v>0</v>
      </c>
      <c r="AT20" s="12">
        <v>0</v>
      </c>
      <c r="AU20" s="12">
        <v>3.2599999904632568</v>
      </c>
      <c r="AV20" s="12" t="s">
        <v>360</v>
      </c>
    </row>
    <row r="21" spans="1:48" ht="17.25" customHeight="1" x14ac:dyDescent="0.2">
      <c r="A21" s="1" t="s">
        <v>47</v>
      </c>
      <c r="B21" s="1" t="s">
        <v>121</v>
      </c>
      <c r="C21" s="1" t="s">
        <v>48</v>
      </c>
      <c r="E21" s="1" t="s">
        <v>78</v>
      </c>
      <c r="F21" s="1" t="s">
        <v>434</v>
      </c>
      <c r="G21" s="10"/>
      <c r="H21" s="1" t="s">
        <v>142</v>
      </c>
      <c r="I21" s="11">
        <v>3</v>
      </c>
      <c r="J21" s="1" t="s">
        <v>148</v>
      </c>
      <c r="K21" s="3">
        <v>45444</v>
      </c>
      <c r="L21" s="1"/>
      <c r="M21" s="1" t="s">
        <v>52</v>
      </c>
      <c r="N21" s="1" t="s">
        <v>98</v>
      </c>
      <c r="Q21" s="4">
        <v>45444</v>
      </c>
      <c r="R21" s="5">
        <v>45421</v>
      </c>
      <c r="S21" s="4"/>
      <c r="U21" s="1" t="s">
        <v>144</v>
      </c>
      <c r="V21" s="1"/>
      <c r="W21" s="1" t="s">
        <v>144</v>
      </c>
      <c r="X21" s="1" t="s">
        <v>144</v>
      </c>
      <c r="Y21" s="12"/>
      <c r="Z21" s="13"/>
      <c r="AA21" s="12">
        <v>5670</v>
      </c>
      <c r="AB21" s="12"/>
      <c r="AC21" s="12"/>
      <c r="AD21" s="12">
        <f>Table_Query_from_UnBilled_13[[#This Row],[Payable]]*0.035</f>
        <v>198.45000000000002</v>
      </c>
      <c r="AE21" s="12"/>
      <c r="AF21" s="12"/>
      <c r="AG21" s="12"/>
      <c r="AH21" s="12">
        <f>Table_Query_from_UnBilled_13[[#This Row],[Payable]]*0.01</f>
        <v>56.7</v>
      </c>
      <c r="AI21" s="12">
        <f>Table_Query_from_UnBilled_13[[#This Row],[Payable]]+Table_Query_from_UnBilled_13[[#This Row],[AgencyCommission]]+Table_Query_from_UnBilled_13[[#This Row],[LevyBillable]]</f>
        <v>5925.15</v>
      </c>
      <c r="AJ21" s="12"/>
      <c r="AK21" s="11"/>
      <c r="AL21" s="14"/>
      <c r="AM21" s="1" t="s">
        <v>55</v>
      </c>
      <c r="AN21" s="4"/>
      <c r="AO21" s="1" t="s">
        <v>56</v>
      </c>
      <c r="AP21" s="1" t="s">
        <v>57</v>
      </c>
      <c r="AQ21" s="12">
        <v>1</v>
      </c>
      <c r="AR21" s="12">
        <v>221.50999450683594</v>
      </c>
      <c r="AS21" s="12">
        <v>0</v>
      </c>
      <c r="AT21" s="12">
        <v>0</v>
      </c>
      <c r="AU21" s="12">
        <v>221.50999450683594</v>
      </c>
      <c r="AV21" s="12" t="s">
        <v>361</v>
      </c>
    </row>
    <row r="22" spans="1:48" ht="17.25" customHeight="1" x14ac:dyDescent="0.2">
      <c r="A22" s="1" t="s">
        <v>47</v>
      </c>
      <c r="B22" s="1" t="s">
        <v>121</v>
      </c>
      <c r="C22" s="1" t="s">
        <v>48</v>
      </c>
      <c r="E22" s="1" t="s">
        <v>78</v>
      </c>
      <c r="F22" s="1" t="s">
        <v>434</v>
      </c>
      <c r="G22" s="10"/>
      <c r="H22" s="1" t="s">
        <v>142</v>
      </c>
      <c r="I22" s="11">
        <v>2</v>
      </c>
      <c r="J22" s="1" t="s">
        <v>149</v>
      </c>
      <c r="K22" s="3">
        <v>45444</v>
      </c>
      <c r="L22" s="1"/>
      <c r="M22" s="1" t="s">
        <v>80</v>
      </c>
      <c r="N22" s="1" t="s">
        <v>89</v>
      </c>
      <c r="Q22" s="4">
        <v>45444</v>
      </c>
      <c r="R22" s="5">
        <v>45422</v>
      </c>
      <c r="S22" s="4"/>
      <c r="U22" s="1" t="s">
        <v>150</v>
      </c>
      <c r="V22" s="1" t="s">
        <v>150</v>
      </c>
      <c r="W22" s="1" t="s">
        <v>144</v>
      </c>
      <c r="X22" s="1" t="s">
        <v>144</v>
      </c>
      <c r="Y22" s="12"/>
      <c r="Z22" s="13"/>
      <c r="AA22" s="12">
        <v>3455</v>
      </c>
      <c r="AB22" s="12"/>
      <c r="AC22" s="12"/>
      <c r="AD22" s="12">
        <f>Table_Query_from_UnBilled_13[[#This Row],[Payable]]*0.035</f>
        <v>120.92500000000001</v>
      </c>
      <c r="AE22" s="12"/>
      <c r="AF22" s="12"/>
      <c r="AG22" s="12"/>
      <c r="AH22" s="12">
        <f>Table_Query_from_UnBilled_13[[#This Row],[Payable]]*0.01</f>
        <v>34.550000000000004</v>
      </c>
      <c r="AI22" s="12">
        <f>Table_Query_from_UnBilled_13[[#This Row],[Payable]]+Table_Query_from_UnBilled_13[[#This Row],[AgencyCommission]]+Table_Query_from_UnBilled_13[[#This Row],[LevyBillable]]</f>
        <v>3610.4750000000004</v>
      </c>
      <c r="AJ22" s="12"/>
      <c r="AK22" s="11"/>
      <c r="AL22" s="14"/>
      <c r="AM22" s="1" t="s">
        <v>55</v>
      </c>
      <c r="AN22" s="4"/>
      <c r="AO22" s="1" t="s">
        <v>56</v>
      </c>
      <c r="AP22" s="1" t="s">
        <v>57</v>
      </c>
      <c r="AQ22" s="12">
        <v>1</v>
      </c>
      <c r="AR22" s="12">
        <v>34.080001831054688</v>
      </c>
      <c r="AS22" s="12">
        <v>0</v>
      </c>
      <c r="AT22" s="12">
        <v>0</v>
      </c>
      <c r="AU22" s="12">
        <v>34.080001831054688</v>
      </c>
      <c r="AV22" s="12" t="s">
        <v>362</v>
      </c>
    </row>
    <row r="23" spans="1:48" ht="17.25" customHeight="1" x14ac:dyDescent="0.2">
      <c r="A23" s="1" t="s">
        <v>47</v>
      </c>
      <c r="B23" s="1" t="s">
        <v>121</v>
      </c>
      <c r="C23" s="1" t="s">
        <v>48</v>
      </c>
      <c r="E23" s="1" t="s">
        <v>78</v>
      </c>
      <c r="F23" s="1" t="s">
        <v>434</v>
      </c>
      <c r="G23" s="10"/>
      <c r="H23" s="1" t="s">
        <v>142</v>
      </c>
      <c r="I23" s="11">
        <v>2</v>
      </c>
      <c r="J23" s="1" t="s">
        <v>149</v>
      </c>
      <c r="K23" s="3">
        <v>45444</v>
      </c>
      <c r="L23" s="1"/>
      <c r="M23" s="1" t="s">
        <v>80</v>
      </c>
      <c r="N23" s="1" t="s">
        <v>81</v>
      </c>
      <c r="Q23" s="4">
        <v>45444</v>
      </c>
      <c r="R23" s="5">
        <v>45422</v>
      </c>
      <c r="S23" s="4"/>
      <c r="U23" s="1" t="s">
        <v>150</v>
      </c>
      <c r="V23" s="1" t="s">
        <v>150</v>
      </c>
      <c r="W23" s="1" t="s">
        <v>144</v>
      </c>
      <c r="X23" s="1" t="s">
        <v>144</v>
      </c>
      <c r="Y23" s="12"/>
      <c r="Z23" s="13"/>
      <c r="AA23" s="12">
        <v>1070</v>
      </c>
      <c r="AB23" s="12"/>
      <c r="AC23" s="12"/>
      <c r="AD23" s="12">
        <f>Table_Query_from_UnBilled_13[[#This Row],[Payable]]*0.035</f>
        <v>37.450000000000003</v>
      </c>
      <c r="AE23" s="12"/>
      <c r="AF23" s="12"/>
      <c r="AG23" s="12"/>
      <c r="AH23" s="12">
        <f>Table_Query_from_UnBilled_13[[#This Row],[Payable]]*0.01</f>
        <v>10.700000000000001</v>
      </c>
      <c r="AI23" s="12">
        <f>Table_Query_from_UnBilled_13[[#This Row],[Payable]]+Table_Query_from_UnBilled_13[[#This Row],[AgencyCommission]]+Table_Query_from_UnBilled_13[[#This Row],[LevyBillable]]</f>
        <v>1118.1500000000001</v>
      </c>
      <c r="AJ23" s="12"/>
      <c r="AK23" s="11"/>
      <c r="AL23" s="14"/>
      <c r="AM23" s="1" t="s">
        <v>55</v>
      </c>
      <c r="AN23" s="4"/>
      <c r="AO23" s="1" t="s">
        <v>56</v>
      </c>
      <c r="AP23" s="1" t="s">
        <v>57</v>
      </c>
      <c r="AQ23" s="12">
        <v>1</v>
      </c>
      <c r="AR23" s="12">
        <v>123.93000030517578</v>
      </c>
      <c r="AS23" s="12">
        <v>0</v>
      </c>
      <c r="AT23" s="12">
        <v>0</v>
      </c>
      <c r="AU23" s="12">
        <v>123.93000030517578</v>
      </c>
      <c r="AV23" s="12" t="s">
        <v>363</v>
      </c>
    </row>
    <row r="24" spans="1:48" ht="17.25" customHeight="1" x14ac:dyDescent="0.2">
      <c r="A24" s="1" t="s">
        <v>47</v>
      </c>
      <c r="B24" s="1" t="s">
        <v>121</v>
      </c>
      <c r="C24" s="1" t="s">
        <v>48</v>
      </c>
      <c r="E24" s="1" t="s">
        <v>78</v>
      </c>
      <c r="F24" s="1" t="s">
        <v>434</v>
      </c>
      <c r="G24" s="10"/>
      <c r="H24" s="1" t="s">
        <v>142</v>
      </c>
      <c r="I24" s="11">
        <v>2</v>
      </c>
      <c r="J24" s="1" t="s">
        <v>149</v>
      </c>
      <c r="K24" s="3">
        <v>45444</v>
      </c>
      <c r="L24" s="1"/>
      <c r="M24" s="1" t="s">
        <v>82</v>
      </c>
      <c r="N24" s="1" t="s">
        <v>131</v>
      </c>
      <c r="Q24" s="4">
        <v>45458</v>
      </c>
      <c r="R24" s="5">
        <v>45428</v>
      </c>
      <c r="S24" s="4"/>
      <c r="U24" s="1" t="s">
        <v>150</v>
      </c>
      <c r="V24" s="1" t="s">
        <v>150</v>
      </c>
      <c r="W24" s="1" t="s">
        <v>144</v>
      </c>
      <c r="X24" s="1" t="s">
        <v>144</v>
      </c>
      <c r="Y24" s="12"/>
      <c r="Z24" s="13"/>
      <c r="AA24" s="12">
        <v>5430</v>
      </c>
      <c r="AB24" s="12"/>
      <c r="AC24" s="12"/>
      <c r="AD24" s="12">
        <f>Table_Query_from_UnBilled_13[[#This Row],[Payable]]*0.035</f>
        <v>190.05</v>
      </c>
      <c r="AE24" s="12"/>
      <c r="AF24" s="12"/>
      <c r="AG24" s="12"/>
      <c r="AH24" s="12">
        <f>Table_Query_from_UnBilled_13[[#This Row],[Payable]]*0.01</f>
        <v>54.300000000000004</v>
      </c>
      <c r="AI24" s="12">
        <f>Table_Query_from_UnBilled_13[[#This Row],[Payable]]+Table_Query_from_UnBilled_13[[#This Row],[AgencyCommission]]+Table_Query_from_UnBilled_13[[#This Row],[LevyBillable]]</f>
        <v>5674.35</v>
      </c>
      <c r="AJ24" s="12"/>
      <c r="AK24" s="11"/>
      <c r="AL24" s="14"/>
      <c r="AM24" s="1" t="s">
        <v>55</v>
      </c>
      <c r="AN24" s="4"/>
      <c r="AO24" s="1" t="s">
        <v>56</v>
      </c>
      <c r="AP24" s="1" t="s">
        <v>57</v>
      </c>
      <c r="AQ24" s="12">
        <v>1</v>
      </c>
      <c r="AR24" s="12">
        <v>3668.919921875</v>
      </c>
      <c r="AS24" s="12">
        <v>3.66892</v>
      </c>
      <c r="AT24" s="12">
        <v>0</v>
      </c>
      <c r="AU24" s="12">
        <v>3668.919921875</v>
      </c>
      <c r="AV24" s="12" t="s">
        <v>364</v>
      </c>
    </row>
    <row r="25" spans="1:48" ht="17.25" customHeight="1" x14ac:dyDescent="0.2">
      <c r="A25" s="1" t="s">
        <v>47</v>
      </c>
      <c r="B25" s="1" t="s">
        <v>121</v>
      </c>
      <c r="C25" s="1" t="s">
        <v>48</v>
      </c>
      <c r="E25" s="1" t="s">
        <v>78</v>
      </c>
      <c r="F25" s="1" t="s">
        <v>434</v>
      </c>
      <c r="G25" s="10"/>
      <c r="H25" s="1" t="s">
        <v>142</v>
      </c>
      <c r="I25" s="11">
        <v>2</v>
      </c>
      <c r="J25" s="1" t="s">
        <v>149</v>
      </c>
      <c r="K25" s="3">
        <v>45444</v>
      </c>
      <c r="L25" s="1"/>
      <c r="M25" s="1" t="s">
        <v>82</v>
      </c>
      <c r="N25" s="1" t="s">
        <v>151</v>
      </c>
      <c r="Q25" s="4">
        <v>45448</v>
      </c>
      <c r="R25" s="5">
        <v>45428</v>
      </c>
      <c r="S25" s="4"/>
      <c r="U25" s="1" t="s">
        <v>150</v>
      </c>
      <c r="V25" s="1" t="s">
        <v>150</v>
      </c>
      <c r="W25" s="1" t="s">
        <v>144</v>
      </c>
      <c r="X25" s="1" t="s">
        <v>144</v>
      </c>
      <c r="Y25" s="12"/>
      <c r="Z25" s="13"/>
      <c r="AA25" s="12">
        <v>2390</v>
      </c>
      <c r="AB25" s="12"/>
      <c r="AC25" s="12"/>
      <c r="AD25" s="12">
        <f>Table_Query_from_UnBilled_13[[#This Row],[Payable]]*0.035</f>
        <v>83.65</v>
      </c>
      <c r="AE25" s="12"/>
      <c r="AF25" s="12"/>
      <c r="AG25" s="12"/>
      <c r="AH25" s="12">
        <f>Table_Query_from_UnBilled_13[[#This Row],[Payable]]*0.01</f>
        <v>23.900000000000002</v>
      </c>
      <c r="AI25" s="12">
        <f>Table_Query_from_UnBilled_13[[#This Row],[Payable]]+Table_Query_from_UnBilled_13[[#This Row],[AgencyCommission]]+Table_Query_from_UnBilled_13[[#This Row],[LevyBillable]]</f>
        <v>2497.5500000000002</v>
      </c>
      <c r="AJ25" s="12"/>
      <c r="AK25" s="11"/>
      <c r="AL25" s="14"/>
      <c r="AM25" s="1" t="s">
        <v>55</v>
      </c>
      <c r="AN25" s="4"/>
      <c r="AO25" s="1" t="s">
        <v>56</v>
      </c>
      <c r="AP25" s="1" t="s">
        <v>57</v>
      </c>
      <c r="AQ25" s="12">
        <v>1</v>
      </c>
      <c r="AR25" s="12">
        <v>2219.340087890625</v>
      </c>
      <c r="AS25" s="12">
        <v>2.2193399999999999</v>
      </c>
      <c r="AT25" s="12">
        <v>0</v>
      </c>
      <c r="AU25" s="12">
        <v>2219.340087890625</v>
      </c>
      <c r="AV25" s="12" t="s">
        <v>365</v>
      </c>
    </row>
    <row r="26" spans="1:48" ht="17.25" customHeight="1" x14ac:dyDescent="0.2">
      <c r="A26" s="1" t="s">
        <v>47</v>
      </c>
      <c r="B26" s="1" t="s">
        <v>121</v>
      </c>
      <c r="C26" s="1" t="s">
        <v>48</v>
      </c>
      <c r="E26" s="1" t="s">
        <v>78</v>
      </c>
      <c r="F26" s="1" t="s">
        <v>434</v>
      </c>
      <c r="G26" s="10"/>
      <c r="H26" s="1" t="s">
        <v>142</v>
      </c>
      <c r="I26" s="11">
        <v>2</v>
      </c>
      <c r="J26" s="1" t="s">
        <v>149</v>
      </c>
      <c r="K26" s="3">
        <v>45444</v>
      </c>
      <c r="L26" s="1"/>
      <c r="M26" s="1" t="s">
        <v>82</v>
      </c>
      <c r="N26" s="1" t="s">
        <v>85</v>
      </c>
      <c r="Q26" s="4">
        <v>45450</v>
      </c>
      <c r="R26" s="5">
        <v>45428</v>
      </c>
      <c r="S26" s="4"/>
      <c r="U26" s="1" t="s">
        <v>150</v>
      </c>
      <c r="V26" s="1" t="s">
        <v>150</v>
      </c>
      <c r="W26" s="1" t="s">
        <v>144</v>
      </c>
      <c r="X26" s="1" t="s">
        <v>144</v>
      </c>
      <c r="Y26" s="12"/>
      <c r="Z26" s="13"/>
      <c r="AA26" s="12">
        <v>1005</v>
      </c>
      <c r="AB26" s="12"/>
      <c r="AC26" s="12"/>
      <c r="AD26" s="12">
        <f>Table_Query_from_UnBilled_13[[#This Row],[Payable]]*0.035</f>
        <v>35.175000000000004</v>
      </c>
      <c r="AE26" s="12"/>
      <c r="AF26" s="12"/>
      <c r="AG26" s="12"/>
      <c r="AH26" s="12">
        <f>Table_Query_from_UnBilled_13[[#This Row],[Payable]]*0.01</f>
        <v>10.050000000000001</v>
      </c>
      <c r="AI26" s="12">
        <f>Table_Query_from_UnBilled_13[[#This Row],[Payable]]+Table_Query_from_UnBilled_13[[#This Row],[AgencyCommission]]+Table_Query_from_UnBilled_13[[#This Row],[LevyBillable]]</f>
        <v>1050.2249999999999</v>
      </c>
      <c r="AJ26" s="12"/>
      <c r="AK26" s="11"/>
      <c r="AL26" s="14"/>
      <c r="AM26" s="1" t="s">
        <v>55</v>
      </c>
      <c r="AN26" s="4"/>
      <c r="AO26" s="1" t="s">
        <v>56</v>
      </c>
      <c r="AP26" s="1" t="s">
        <v>57</v>
      </c>
      <c r="AQ26" s="12">
        <v>1</v>
      </c>
      <c r="AR26" s="12">
        <v>7303.81005859375</v>
      </c>
      <c r="AS26" s="12">
        <v>7.3038100000000004</v>
      </c>
      <c r="AT26" s="12">
        <v>0</v>
      </c>
      <c r="AU26" s="12">
        <v>7303.81005859375</v>
      </c>
      <c r="AV26" s="12" t="s">
        <v>366</v>
      </c>
    </row>
    <row r="27" spans="1:48" ht="17.25" customHeight="1" x14ac:dyDescent="0.2">
      <c r="A27" s="1" t="s">
        <v>47</v>
      </c>
      <c r="B27" s="1" t="s">
        <v>121</v>
      </c>
      <c r="C27" s="1" t="s">
        <v>48</v>
      </c>
      <c r="E27" s="1" t="s">
        <v>78</v>
      </c>
      <c r="F27" s="1" t="s">
        <v>434</v>
      </c>
      <c r="G27" s="10"/>
      <c r="H27" s="1" t="s">
        <v>142</v>
      </c>
      <c r="I27" s="11">
        <v>2</v>
      </c>
      <c r="J27" s="1" t="s">
        <v>149</v>
      </c>
      <c r="K27" s="3">
        <v>45444</v>
      </c>
      <c r="L27" s="1"/>
      <c r="M27" s="1" t="s">
        <v>82</v>
      </c>
      <c r="N27" s="1" t="s">
        <v>85</v>
      </c>
      <c r="Q27" s="4">
        <v>45444</v>
      </c>
      <c r="R27" s="5">
        <v>45428</v>
      </c>
      <c r="S27" s="4"/>
      <c r="U27" s="1" t="s">
        <v>150</v>
      </c>
      <c r="V27" s="1" t="s">
        <v>150</v>
      </c>
      <c r="W27" s="1" t="s">
        <v>144</v>
      </c>
      <c r="X27" s="1" t="s">
        <v>144</v>
      </c>
      <c r="Y27" s="12"/>
      <c r="Z27" s="13"/>
      <c r="AA27" s="12">
        <v>1050</v>
      </c>
      <c r="AB27" s="12"/>
      <c r="AC27" s="12"/>
      <c r="AD27" s="12">
        <f>Table_Query_from_UnBilled_13[[#This Row],[Payable]]*0.035</f>
        <v>36.75</v>
      </c>
      <c r="AE27" s="12"/>
      <c r="AF27" s="12"/>
      <c r="AG27" s="12"/>
      <c r="AH27" s="12">
        <f>Table_Query_from_UnBilled_13[[#This Row],[Payable]]*0.01</f>
        <v>10.5</v>
      </c>
      <c r="AI27" s="12">
        <f>Table_Query_from_UnBilled_13[[#This Row],[Payable]]+Table_Query_from_UnBilled_13[[#This Row],[AgencyCommission]]+Table_Query_from_UnBilled_13[[#This Row],[LevyBillable]]</f>
        <v>1097.25</v>
      </c>
      <c r="AJ27" s="12"/>
      <c r="AK27" s="11"/>
      <c r="AL27" s="14"/>
      <c r="AM27" s="1" t="s">
        <v>55</v>
      </c>
      <c r="AN27" s="4"/>
      <c r="AO27" s="1" t="s">
        <v>56</v>
      </c>
      <c r="AP27" s="1" t="s">
        <v>57</v>
      </c>
      <c r="AQ27" s="12">
        <v>1</v>
      </c>
      <c r="AR27" s="12">
        <v>195.69000244140625</v>
      </c>
      <c r="AS27" s="12">
        <v>0.19569</v>
      </c>
      <c r="AT27" s="12">
        <v>0</v>
      </c>
      <c r="AU27" s="12">
        <v>195.69000244140625</v>
      </c>
      <c r="AV27" s="12" t="s">
        <v>367</v>
      </c>
    </row>
    <row r="28" spans="1:48" ht="17.25" customHeight="1" x14ac:dyDescent="0.2">
      <c r="A28" s="1" t="s">
        <v>47</v>
      </c>
      <c r="B28" s="1" t="s">
        <v>121</v>
      </c>
      <c r="C28" s="1" t="s">
        <v>48</v>
      </c>
      <c r="E28" s="1" t="s">
        <v>78</v>
      </c>
      <c r="F28" s="1" t="s">
        <v>434</v>
      </c>
      <c r="G28" s="10"/>
      <c r="H28" s="1" t="s">
        <v>142</v>
      </c>
      <c r="I28" s="11">
        <v>2</v>
      </c>
      <c r="J28" s="1" t="s">
        <v>149</v>
      </c>
      <c r="K28" s="3">
        <v>45444</v>
      </c>
      <c r="L28" s="1"/>
      <c r="M28" s="1" t="s">
        <v>82</v>
      </c>
      <c r="N28" s="1" t="s">
        <v>85</v>
      </c>
      <c r="Q28" s="4">
        <v>45450</v>
      </c>
      <c r="R28" s="5">
        <v>45428</v>
      </c>
      <c r="S28" s="4"/>
      <c r="U28" s="1" t="s">
        <v>150</v>
      </c>
      <c r="V28" s="1" t="s">
        <v>150</v>
      </c>
      <c r="W28" s="1" t="s">
        <v>144</v>
      </c>
      <c r="X28" s="1" t="s">
        <v>144</v>
      </c>
      <c r="Y28" s="12"/>
      <c r="Z28" s="13"/>
      <c r="AA28" s="12">
        <v>3270</v>
      </c>
      <c r="AB28" s="12"/>
      <c r="AC28" s="12"/>
      <c r="AD28" s="12">
        <f>Table_Query_from_UnBilled_13[[#This Row],[Payable]]*0.035</f>
        <v>114.45000000000002</v>
      </c>
      <c r="AE28" s="12"/>
      <c r="AF28" s="12"/>
      <c r="AG28" s="12"/>
      <c r="AH28" s="12">
        <f>Table_Query_from_UnBilled_13[[#This Row],[Payable]]*0.01</f>
        <v>32.700000000000003</v>
      </c>
      <c r="AI28" s="12">
        <f>Table_Query_from_UnBilled_13[[#This Row],[Payable]]+Table_Query_from_UnBilled_13[[#This Row],[AgencyCommission]]+Table_Query_from_UnBilled_13[[#This Row],[LevyBillable]]</f>
        <v>3417.1499999999996</v>
      </c>
      <c r="AJ28" s="12"/>
      <c r="AK28" s="11"/>
      <c r="AL28" s="14"/>
      <c r="AM28" s="1" t="s">
        <v>55</v>
      </c>
      <c r="AN28" s="4"/>
      <c r="AO28" s="1" t="s">
        <v>56</v>
      </c>
      <c r="AP28" s="1" t="s">
        <v>57</v>
      </c>
      <c r="AQ28" s="12">
        <v>1</v>
      </c>
      <c r="AR28" s="12">
        <v>10641.2001953125</v>
      </c>
      <c r="AS28" s="12">
        <v>10.6412</v>
      </c>
      <c r="AT28" s="12">
        <v>0</v>
      </c>
      <c r="AU28" s="12">
        <v>10641.2001953125</v>
      </c>
      <c r="AV28" s="12" t="s">
        <v>368</v>
      </c>
    </row>
    <row r="29" spans="1:48" ht="17.25" customHeight="1" x14ac:dyDescent="0.2">
      <c r="A29" s="1" t="s">
        <v>47</v>
      </c>
      <c r="B29" s="1" t="s">
        <v>121</v>
      </c>
      <c r="C29" s="1" t="s">
        <v>48</v>
      </c>
      <c r="E29" s="1" t="s">
        <v>78</v>
      </c>
      <c r="F29" s="1" t="s">
        <v>434</v>
      </c>
      <c r="G29" s="10"/>
      <c r="H29" s="1" t="s">
        <v>142</v>
      </c>
      <c r="I29" s="11">
        <v>2</v>
      </c>
      <c r="J29" s="1" t="s">
        <v>149</v>
      </c>
      <c r="K29" s="3">
        <v>45444</v>
      </c>
      <c r="L29" s="1"/>
      <c r="M29" s="1" t="s">
        <v>82</v>
      </c>
      <c r="N29" s="1" t="s">
        <v>151</v>
      </c>
      <c r="Q29" s="4">
        <v>45448</v>
      </c>
      <c r="R29" s="5">
        <v>45428</v>
      </c>
      <c r="S29" s="4"/>
      <c r="U29" s="1" t="s">
        <v>150</v>
      </c>
      <c r="V29" s="1" t="s">
        <v>150</v>
      </c>
      <c r="W29" s="1" t="s">
        <v>144</v>
      </c>
      <c r="X29" s="1" t="s">
        <v>144</v>
      </c>
      <c r="Y29" s="12"/>
      <c r="Z29" s="13"/>
      <c r="AA29" s="12">
        <v>5600</v>
      </c>
      <c r="AB29" s="12"/>
      <c r="AC29" s="12"/>
      <c r="AD29" s="12">
        <f>Table_Query_from_UnBilled_13[[#This Row],[Payable]]*0.035</f>
        <v>196.00000000000003</v>
      </c>
      <c r="AE29" s="12"/>
      <c r="AF29" s="12"/>
      <c r="AG29" s="12"/>
      <c r="AH29" s="12">
        <f>Table_Query_from_UnBilled_13[[#This Row],[Payable]]*0.01</f>
        <v>56</v>
      </c>
      <c r="AI29" s="12">
        <f>Table_Query_from_UnBilled_13[[#This Row],[Payable]]+Table_Query_from_UnBilled_13[[#This Row],[AgencyCommission]]+Table_Query_from_UnBilled_13[[#This Row],[LevyBillable]]</f>
        <v>5852</v>
      </c>
      <c r="AJ29" s="12"/>
      <c r="AK29" s="11"/>
      <c r="AL29" s="14"/>
      <c r="AM29" s="1" t="s">
        <v>55</v>
      </c>
      <c r="AN29" s="4"/>
      <c r="AO29" s="1" t="s">
        <v>56</v>
      </c>
      <c r="AP29" s="1" t="s">
        <v>57</v>
      </c>
      <c r="AQ29" s="12">
        <v>1</v>
      </c>
      <c r="AR29" s="12">
        <v>1538.530029296875</v>
      </c>
      <c r="AS29" s="12">
        <v>1.53853</v>
      </c>
      <c r="AT29" s="12">
        <v>0</v>
      </c>
      <c r="AU29" s="12">
        <v>1538.530029296875</v>
      </c>
      <c r="AV29" s="12" t="s">
        <v>369</v>
      </c>
    </row>
    <row r="30" spans="1:48" ht="17.25" customHeight="1" x14ac:dyDescent="0.2">
      <c r="A30" s="1" t="s">
        <v>47</v>
      </c>
      <c r="B30" s="1" t="s">
        <v>121</v>
      </c>
      <c r="C30" s="1" t="s">
        <v>48</v>
      </c>
      <c r="E30" s="1" t="s">
        <v>78</v>
      </c>
      <c r="F30" s="1" t="s">
        <v>434</v>
      </c>
      <c r="G30" s="10"/>
      <c r="H30" s="1" t="s">
        <v>142</v>
      </c>
      <c r="I30" s="11">
        <v>2</v>
      </c>
      <c r="J30" s="1" t="s">
        <v>149</v>
      </c>
      <c r="K30" s="3">
        <v>45444</v>
      </c>
      <c r="L30" s="1"/>
      <c r="M30" s="1" t="s">
        <v>82</v>
      </c>
      <c r="N30" s="1" t="s">
        <v>102</v>
      </c>
      <c r="Q30" s="4">
        <v>45459</v>
      </c>
      <c r="R30" s="5">
        <v>45428</v>
      </c>
      <c r="S30" s="4"/>
      <c r="U30" s="1" t="s">
        <v>150</v>
      </c>
      <c r="V30" s="1" t="s">
        <v>150</v>
      </c>
      <c r="W30" s="1" t="s">
        <v>144</v>
      </c>
      <c r="X30" s="1" t="s">
        <v>144</v>
      </c>
      <c r="Y30" s="12"/>
      <c r="Z30" s="13"/>
      <c r="AA30" s="12">
        <v>3240</v>
      </c>
      <c r="AB30" s="12"/>
      <c r="AC30" s="12"/>
      <c r="AD30" s="12">
        <f>Table_Query_from_UnBilled_13[[#This Row],[Payable]]*0.035</f>
        <v>113.4</v>
      </c>
      <c r="AE30" s="12"/>
      <c r="AF30" s="12"/>
      <c r="AG30" s="12"/>
      <c r="AH30" s="12">
        <f>Table_Query_from_UnBilled_13[[#This Row],[Payable]]*0.01</f>
        <v>32.4</v>
      </c>
      <c r="AI30" s="12">
        <f>Table_Query_from_UnBilled_13[[#This Row],[Payable]]+Table_Query_from_UnBilled_13[[#This Row],[AgencyCommission]]+Table_Query_from_UnBilled_13[[#This Row],[LevyBillable]]</f>
        <v>3385.8</v>
      </c>
      <c r="AJ30" s="12"/>
      <c r="AK30" s="11"/>
      <c r="AL30" s="14"/>
      <c r="AM30" s="1" t="s">
        <v>55</v>
      </c>
      <c r="AN30" s="4"/>
      <c r="AO30" s="1" t="s">
        <v>56</v>
      </c>
      <c r="AP30" s="1" t="s">
        <v>57</v>
      </c>
      <c r="AQ30" s="12">
        <v>1</v>
      </c>
      <c r="AR30" s="12">
        <v>10502.169921875</v>
      </c>
      <c r="AS30" s="12">
        <v>10.50217</v>
      </c>
      <c r="AT30" s="12">
        <v>0</v>
      </c>
      <c r="AU30" s="12">
        <v>10502.169921875</v>
      </c>
      <c r="AV30" s="12" t="s">
        <v>370</v>
      </c>
    </row>
    <row r="31" spans="1:48" ht="17.25" customHeight="1" x14ac:dyDescent="0.2">
      <c r="A31" s="1" t="s">
        <v>47</v>
      </c>
      <c r="B31" s="1" t="s">
        <v>121</v>
      </c>
      <c r="C31" s="1" t="s">
        <v>48</v>
      </c>
      <c r="E31" s="1" t="s">
        <v>78</v>
      </c>
      <c r="F31" s="1" t="s">
        <v>434</v>
      </c>
      <c r="G31" s="10"/>
      <c r="H31" s="1" t="s">
        <v>142</v>
      </c>
      <c r="I31" s="11">
        <v>2</v>
      </c>
      <c r="J31" s="1" t="s">
        <v>149</v>
      </c>
      <c r="K31" s="3">
        <v>45444</v>
      </c>
      <c r="L31" s="1"/>
      <c r="M31" s="1" t="s">
        <v>82</v>
      </c>
      <c r="N31" s="1" t="s">
        <v>85</v>
      </c>
      <c r="Q31" s="4">
        <v>45444</v>
      </c>
      <c r="R31" s="5">
        <v>45428</v>
      </c>
      <c r="S31" s="4"/>
      <c r="U31" s="1" t="s">
        <v>150</v>
      </c>
      <c r="V31" s="1" t="s">
        <v>150</v>
      </c>
      <c r="W31" s="1" t="s">
        <v>144</v>
      </c>
      <c r="X31" s="1" t="s">
        <v>144</v>
      </c>
      <c r="Y31" s="12"/>
      <c r="Z31" s="13"/>
      <c r="AA31" s="12">
        <v>5670</v>
      </c>
      <c r="AB31" s="12"/>
      <c r="AC31" s="12"/>
      <c r="AD31" s="12">
        <f>Table_Query_from_UnBilled_13[[#This Row],[Payable]]*0.035</f>
        <v>198.45000000000002</v>
      </c>
      <c r="AE31" s="12"/>
      <c r="AF31" s="12"/>
      <c r="AG31" s="12"/>
      <c r="AH31" s="12">
        <f>Table_Query_from_UnBilled_13[[#This Row],[Payable]]*0.01</f>
        <v>56.7</v>
      </c>
      <c r="AI31" s="12">
        <f>Table_Query_from_UnBilled_13[[#This Row],[Payable]]+Table_Query_from_UnBilled_13[[#This Row],[AgencyCommission]]+Table_Query_from_UnBilled_13[[#This Row],[LevyBillable]]</f>
        <v>5925.15</v>
      </c>
      <c r="AJ31" s="12"/>
      <c r="AK31" s="11"/>
      <c r="AL31" s="14"/>
      <c r="AM31" s="1" t="s">
        <v>55</v>
      </c>
      <c r="AN31" s="4"/>
      <c r="AO31" s="1" t="s">
        <v>56</v>
      </c>
      <c r="AP31" s="1" t="s">
        <v>57</v>
      </c>
      <c r="AQ31" s="12">
        <v>1</v>
      </c>
      <c r="AR31" s="12">
        <v>1988.68994140625</v>
      </c>
      <c r="AS31" s="12">
        <v>1.9886900000000001</v>
      </c>
      <c r="AT31" s="12">
        <v>0</v>
      </c>
      <c r="AU31" s="12">
        <v>1988.68994140625</v>
      </c>
      <c r="AV31" s="12" t="s">
        <v>371</v>
      </c>
    </row>
    <row r="32" spans="1:48" ht="17.25" customHeight="1" x14ac:dyDescent="0.2">
      <c r="A32" s="1" t="s">
        <v>47</v>
      </c>
      <c r="B32" s="1" t="s">
        <v>121</v>
      </c>
      <c r="C32" s="1" t="s">
        <v>48</v>
      </c>
      <c r="E32" s="1" t="s">
        <v>78</v>
      </c>
      <c r="F32" s="1" t="s">
        <v>434</v>
      </c>
      <c r="G32" s="10"/>
      <c r="H32" s="1" t="s">
        <v>142</v>
      </c>
      <c r="I32" s="11">
        <v>2</v>
      </c>
      <c r="J32" s="1" t="s">
        <v>149</v>
      </c>
      <c r="K32" s="3">
        <v>45444</v>
      </c>
      <c r="L32" s="1"/>
      <c r="M32" s="1" t="s">
        <v>82</v>
      </c>
      <c r="N32" s="1" t="s">
        <v>103</v>
      </c>
      <c r="Q32" s="4">
        <v>45444</v>
      </c>
      <c r="R32" s="5">
        <v>45428</v>
      </c>
      <c r="S32" s="4"/>
      <c r="U32" s="1" t="s">
        <v>150</v>
      </c>
      <c r="V32" s="1" t="s">
        <v>150</v>
      </c>
      <c r="W32" s="1" t="s">
        <v>144</v>
      </c>
      <c r="X32" s="1" t="s">
        <v>144</v>
      </c>
      <c r="Y32" s="12"/>
      <c r="Z32" s="13"/>
      <c r="AA32" s="12">
        <v>4530</v>
      </c>
      <c r="AB32" s="12"/>
      <c r="AC32" s="12"/>
      <c r="AD32" s="12">
        <f>Table_Query_from_UnBilled_13[[#This Row],[Payable]]*0.035</f>
        <v>158.55000000000001</v>
      </c>
      <c r="AE32" s="12"/>
      <c r="AF32" s="12"/>
      <c r="AG32" s="12"/>
      <c r="AH32" s="12">
        <f>Table_Query_from_UnBilled_13[[#This Row],[Payable]]*0.01</f>
        <v>45.300000000000004</v>
      </c>
      <c r="AI32" s="12">
        <f>Table_Query_from_UnBilled_13[[#This Row],[Payable]]+Table_Query_from_UnBilled_13[[#This Row],[AgencyCommission]]+Table_Query_from_UnBilled_13[[#This Row],[LevyBillable]]</f>
        <v>4733.8500000000004</v>
      </c>
      <c r="AJ32" s="12"/>
      <c r="AK32" s="11"/>
      <c r="AL32" s="14"/>
      <c r="AM32" s="1" t="s">
        <v>55</v>
      </c>
      <c r="AN32" s="4"/>
      <c r="AO32" s="1" t="s">
        <v>56</v>
      </c>
      <c r="AP32" s="1" t="s">
        <v>57</v>
      </c>
      <c r="AQ32" s="12">
        <v>1</v>
      </c>
      <c r="AR32" s="12">
        <v>4904.919921875</v>
      </c>
      <c r="AS32" s="12">
        <v>4.9049199999999997</v>
      </c>
      <c r="AT32" s="12">
        <v>0</v>
      </c>
      <c r="AU32" s="12">
        <v>4904.919921875</v>
      </c>
      <c r="AV32" s="12" t="s">
        <v>372</v>
      </c>
    </row>
    <row r="33" spans="1:48" ht="17.25" customHeight="1" x14ac:dyDescent="0.2">
      <c r="A33" s="1" t="s">
        <v>47</v>
      </c>
      <c r="B33" s="1" t="s">
        <v>121</v>
      </c>
      <c r="C33" s="1" t="s">
        <v>48</v>
      </c>
      <c r="E33" s="1" t="s">
        <v>78</v>
      </c>
      <c r="F33" s="1" t="s">
        <v>434</v>
      </c>
      <c r="G33" s="10"/>
      <c r="H33" s="1" t="s">
        <v>142</v>
      </c>
      <c r="I33" s="11">
        <v>2</v>
      </c>
      <c r="J33" s="1" t="s">
        <v>149</v>
      </c>
      <c r="K33" s="3">
        <v>45444</v>
      </c>
      <c r="L33" s="1"/>
      <c r="M33" s="1" t="s">
        <v>82</v>
      </c>
      <c r="N33" s="1" t="s">
        <v>85</v>
      </c>
      <c r="Q33" s="4">
        <v>45444</v>
      </c>
      <c r="R33" s="5">
        <v>45428</v>
      </c>
      <c r="S33" s="4"/>
      <c r="U33" s="1" t="s">
        <v>150</v>
      </c>
      <c r="V33" s="1" t="s">
        <v>150</v>
      </c>
      <c r="W33" s="1" t="s">
        <v>144</v>
      </c>
      <c r="X33" s="1" t="s">
        <v>144</v>
      </c>
      <c r="Y33" s="12"/>
      <c r="Z33" s="13"/>
      <c r="AA33" s="12">
        <v>1230</v>
      </c>
      <c r="AB33" s="12"/>
      <c r="AC33" s="12"/>
      <c r="AD33" s="12">
        <f>Table_Query_from_UnBilled_13[[#This Row],[Payable]]*0.035</f>
        <v>43.050000000000004</v>
      </c>
      <c r="AE33" s="12"/>
      <c r="AF33" s="12"/>
      <c r="AG33" s="12"/>
      <c r="AH33" s="12">
        <f>Table_Query_from_UnBilled_13[[#This Row],[Payable]]*0.01</f>
        <v>12.3</v>
      </c>
      <c r="AI33" s="12">
        <f>Table_Query_from_UnBilled_13[[#This Row],[Payable]]+Table_Query_from_UnBilled_13[[#This Row],[AgencyCommission]]+Table_Query_from_UnBilled_13[[#This Row],[LevyBillable]]</f>
        <v>1285.3499999999999</v>
      </c>
      <c r="AJ33" s="12"/>
      <c r="AK33" s="11"/>
      <c r="AL33" s="14"/>
      <c r="AM33" s="1" t="s">
        <v>55</v>
      </c>
      <c r="AN33" s="4"/>
      <c r="AO33" s="1" t="s">
        <v>56</v>
      </c>
      <c r="AP33" s="1" t="s">
        <v>57</v>
      </c>
      <c r="AQ33" s="12">
        <v>1</v>
      </c>
      <c r="AR33" s="12">
        <v>709.66998291015625</v>
      </c>
      <c r="AS33" s="12">
        <v>0.70967000000000002</v>
      </c>
      <c r="AT33" s="12">
        <v>0</v>
      </c>
      <c r="AU33" s="12">
        <v>709.66998291015625</v>
      </c>
      <c r="AV33" s="12" t="s">
        <v>373</v>
      </c>
    </row>
    <row r="34" spans="1:48" ht="17.25" customHeight="1" x14ac:dyDescent="0.2">
      <c r="A34" s="1" t="s">
        <v>47</v>
      </c>
      <c r="B34" s="1" t="s">
        <v>121</v>
      </c>
      <c r="C34" s="1" t="s">
        <v>48</v>
      </c>
      <c r="E34" s="1" t="s">
        <v>78</v>
      </c>
      <c r="F34" s="1" t="s">
        <v>434</v>
      </c>
      <c r="G34" s="10"/>
      <c r="H34" s="1" t="s">
        <v>142</v>
      </c>
      <c r="I34" s="11">
        <v>2</v>
      </c>
      <c r="J34" s="1" t="s">
        <v>149</v>
      </c>
      <c r="K34" s="3">
        <v>45444</v>
      </c>
      <c r="L34" s="1"/>
      <c r="M34" s="1" t="s">
        <v>82</v>
      </c>
      <c r="N34" s="1" t="s">
        <v>103</v>
      </c>
      <c r="Q34" s="4">
        <v>45444</v>
      </c>
      <c r="R34" s="5">
        <v>45428</v>
      </c>
      <c r="S34" s="4"/>
      <c r="U34" s="1" t="s">
        <v>150</v>
      </c>
      <c r="V34" s="1" t="s">
        <v>150</v>
      </c>
      <c r="W34" s="1" t="s">
        <v>144</v>
      </c>
      <c r="X34" s="1" t="s">
        <v>144</v>
      </c>
      <c r="Y34" s="12"/>
      <c r="Z34" s="13"/>
      <c r="AA34" s="12">
        <v>1240</v>
      </c>
      <c r="AB34" s="12"/>
      <c r="AC34" s="12"/>
      <c r="AD34" s="12">
        <f>Table_Query_from_UnBilled_13[[#This Row],[Payable]]*0.035</f>
        <v>43.400000000000006</v>
      </c>
      <c r="AE34" s="12"/>
      <c r="AF34" s="12"/>
      <c r="AG34" s="12"/>
      <c r="AH34" s="12">
        <f>Table_Query_from_UnBilled_13[[#This Row],[Payable]]*0.01</f>
        <v>12.4</v>
      </c>
      <c r="AI34" s="12">
        <f>Table_Query_from_UnBilled_13[[#This Row],[Payable]]+Table_Query_from_UnBilled_13[[#This Row],[AgencyCommission]]+Table_Query_from_UnBilled_13[[#This Row],[LevyBillable]]</f>
        <v>1295.8000000000002</v>
      </c>
      <c r="AJ34" s="12"/>
      <c r="AK34" s="11"/>
      <c r="AL34" s="14"/>
      <c r="AM34" s="1" t="s">
        <v>55</v>
      </c>
      <c r="AN34" s="4"/>
      <c r="AO34" s="1" t="s">
        <v>56</v>
      </c>
      <c r="AP34" s="1" t="s">
        <v>57</v>
      </c>
      <c r="AQ34" s="12">
        <v>1</v>
      </c>
      <c r="AR34" s="12">
        <v>34726.28125</v>
      </c>
      <c r="AS34" s="12">
        <v>34.726280000000003</v>
      </c>
      <c r="AT34" s="12">
        <v>0</v>
      </c>
      <c r="AU34" s="12">
        <v>34726.28125</v>
      </c>
      <c r="AV34" s="12" t="s">
        <v>374</v>
      </c>
    </row>
    <row r="35" spans="1:48" ht="17.25" customHeight="1" x14ac:dyDescent="0.2">
      <c r="A35" s="1" t="s">
        <v>47</v>
      </c>
      <c r="B35" s="1" t="s">
        <v>121</v>
      </c>
      <c r="C35" s="1" t="s">
        <v>48</v>
      </c>
      <c r="E35" s="1" t="s">
        <v>78</v>
      </c>
      <c r="F35" s="1" t="s">
        <v>434</v>
      </c>
      <c r="G35" s="10"/>
      <c r="H35" s="1" t="s">
        <v>142</v>
      </c>
      <c r="I35" s="11">
        <v>2</v>
      </c>
      <c r="J35" s="1" t="s">
        <v>149</v>
      </c>
      <c r="K35" s="3">
        <v>45444</v>
      </c>
      <c r="L35" s="1"/>
      <c r="M35" s="1" t="s">
        <v>82</v>
      </c>
      <c r="N35" s="1" t="s">
        <v>85</v>
      </c>
      <c r="Q35" s="4">
        <v>45444</v>
      </c>
      <c r="R35" s="5">
        <v>45428</v>
      </c>
      <c r="S35" s="4"/>
      <c r="U35" s="1" t="s">
        <v>150</v>
      </c>
      <c r="V35" s="1" t="s">
        <v>150</v>
      </c>
      <c r="W35" s="1" t="s">
        <v>144</v>
      </c>
      <c r="X35" s="1" t="s">
        <v>144</v>
      </c>
      <c r="Y35" s="12"/>
      <c r="Z35" s="13"/>
      <c r="AA35" s="12">
        <v>3280</v>
      </c>
      <c r="AB35" s="12"/>
      <c r="AC35" s="12"/>
      <c r="AD35" s="12">
        <f>Table_Query_from_UnBilled_13[[#This Row],[Payable]]*0.035</f>
        <v>114.80000000000001</v>
      </c>
      <c r="AE35" s="12"/>
      <c r="AF35" s="12"/>
      <c r="AG35" s="12"/>
      <c r="AH35" s="12">
        <f>Table_Query_from_UnBilled_13[[#This Row],[Payable]]*0.01</f>
        <v>32.799999999999997</v>
      </c>
      <c r="AI35" s="12">
        <f>Table_Query_from_UnBilled_13[[#This Row],[Payable]]+Table_Query_from_UnBilled_13[[#This Row],[AgencyCommission]]+Table_Query_from_UnBilled_13[[#This Row],[LevyBillable]]</f>
        <v>3427.6000000000004</v>
      </c>
      <c r="AJ35" s="12"/>
      <c r="AK35" s="11"/>
      <c r="AL35" s="14"/>
      <c r="AM35" s="1" t="s">
        <v>55</v>
      </c>
      <c r="AN35" s="4"/>
      <c r="AO35" s="1" t="s">
        <v>56</v>
      </c>
      <c r="AP35" s="1" t="s">
        <v>57</v>
      </c>
      <c r="AQ35" s="12">
        <v>1</v>
      </c>
      <c r="AR35" s="12">
        <v>595.84002685546875</v>
      </c>
      <c r="AS35" s="12">
        <v>0.59584000000000004</v>
      </c>
      <c r="AT35" s="12">
        <v>0</v>
      </c>
      <c r="AU35" s="12">
        <v>595.84002685546875</v>
      </c>
      <c r="AV35" s="12" t="s">
        <v>375</v>
      </c>
    </row>
    <row r="36" spans="1:48" ht="17.25" customHeight="1" x14ac:dyDescent="0.2">
      <c r="A36" s="1" t="s">
        <v>47</v>
      </c>
      <c r="B36" s="1" t="s">
        <v>121</v>
      </c>
      <c r="C36" s="1" t="s">
        <v>48</v>
      </c>
      <c r="E36" s="1" t="s">
        <v>78</v>
      </c>
      <c r="F36" s="1" t="s">
        <v>434</v>
      </c>
      <c r="G36" s="10"/>
      <c r="H36" s="1" t="s">
        <v>142</v>
      </c>
      <c r="I36" s="11">
        <v>2</v>
      </c>
      <c r="J36" s="1" t="s">
        <v>149</v>
      </c>
      <c r="K36" s="3">
        <v>45444</v>
      </c>
      <c r="L36" s="1"/>
      <c r="M36" s="1" t="s">
        <v>82</v>
      </c>
      <c r="N36" s="1" t="s">
        <v>130</v>
      </c>
      <c r="Q36" s="4">
        <v>45444</v>
      </c>
      <c r="R36" s="5">
        <v>45428</v>
      </c>
      <c r="S36" s="4"/>
      <c r="U36" s="1" t="s">
        <v>150</v>
      </c>
      <c r="V36" s="1" t="s">
        <v>150</v>
      </c>
      <c r="W36" s="1" t="s">
        <v>144</v>
      </c>
      <c r="X36" s="1" t="s">
        <v>144</v>
      </c>
      <c r="Y36" s="12"/>
      <c r="Z36" s="13"/>
      <c r="AA36" s="12">
        <v>4350</v>
      </c>
      <c r="AB36" s="12"/>
      <c r="AC36" s="12"/>
      <c r="AD36" s="12">
        <f>Table_Query_from_UnBilled_13[[#This Row],[Payable]]*0.035</f>
        <v>152.25000000000003</v>
      </c>
      <c r="AE36" s="12"/>
      <c r="AF36" s="12"/>
      <c r="AG36" s="12"/>
      <c r="AH36" s="12">
        <f>Table_Query_from_UnBilled_13[[#This Row],[Payable]]*0.01</f>
        <v>43.5</v>
      </c>
      <c r="AI36" s="12">
        <f>Table_Query_from_UnBilled_13[[#This Row],[Payable]]+Table_Query_from_UnBilled_13[[#This Row],[AgencyCommission]]+Table_Query_from_UnBilled_13[[#This Row],[LevyBillable]]</f>
        <v>4545.75</v>
      </c>
      <c r="AJ36" s="12"/>
      <c r="AK36" s="11"/>
      <c r="AL36" s="14"/>
      <c r="AM36" s="1" t="s">
        <v>55</v>
      </c>
      <c r="AN36" s="4"/>
      <c r="AO36" s="1" t="s">
        <v>56</v>
      </c>
      <c r="AP36" s="1" t="s">
        <v>57</v>
      </c>
      <c r="AQ36" s="12">
        <v>1</v>
      </c>
      <c r="AR36" s="12">
        <v>172.83000183105469</v>
      </c>
      <c r="AS36" s="12">
        <v>0.17283000000000001</v>
      </c>
      <c r="AT36" s="12">
        <v>0</v>
      </c>
      <c r="AU36" s="12">
        <v>172.83000183105469</v>
      </c>
      <c r="AV36" s="12" t="s">
        <v>376</v>
      </c>
    </row>
    <row r="37" spans="1:48" ht="17.25" customHeight="1" x14ac:dyDescent="0.2">
      <c r="A37" s="1" t="s">
        <v>47</v>
      </c>
      <c r="B37" s="1" t="s">
        <v>121</v>
      </c>
      <c r="C37" s="1" t="s">
        <v>48</v>
      </c>
      <c r="E37" s="1" t="s">
        <v>78</v>
      </c>
      <c r="F37" s="1" t="s">
        <v>434</v>
      </c>
      <c r="G37" s="10"/>
      <c r="H37" s="1" t="s">
        <v>142</v>
      </c>
      <c r="I37" s="11">
        <v>2</v>
      </c>
      <c r="J37" s="1" t="s">
        <v>149</v>
      </c>
      <c r="K37" s="3">
        <v>45444</v>
      </c>
      <c r="L37" s="1"/>
      <c r="M37" s="1" t="s">
        <v>82</v>
      </c>
      <c r="N37" s="1" t="s">
        <v>130</v>
      </c>
      <c r="Q37" s="4">
        <v>45458</v>
      </c>
      <c r="R37" s="5">
        <v>45429</v>
      </c>
      <c r="S37" s="4"/>
      <c r="U37" s="1" t="s">
        <v>150</v>
      </c>
      <c r="V37" s="1" t="s">
        <v>150</v>
      </c>
      <c r="W37" s="1" t="s">
        <v>144</v>
      </c>
      <c r="X37" s="1" t="s">
        <v>144</v>
      </c>
      <c r="Y37" s="12"/>
      <c r="Z37" s="13"/>
      <c r="AA37" s="12">
        <v>3340</v>
      </c>
      <c r="AB37" s="12"/>
      <c r="AC37" s="12"/>
      <c r="AD37" s="12">
        <f>Table_Query_from_UnBilled_13[[#This Row],[Payable]]*0.035</f>
        <v>116.9</v>
      </c>
      <c r="AE37" s="12"/>
      <c r="AF37" s="12"/>
      <c r="AG37" s="12"/>
      <c r="AH37" s="12">
        <f>Table_Query_from_UnBilled_13[[#This Row],[Payable]]*0.01</f>
        <v>33.4</v>
      </c>
      <c r="AI37" s="12">
        <f>Table_Query_from_UnBilled_13[[#This Row],[Payable]]+Table_Query_from_UnBilled_13[[#This Row],[AgencyCommission]]+Table_Query_from_UnBilled_13[[#This Row],[LevyBillable]]</f>
        <v>3490.3</v>
      </c>
      <c r="AJ37" s="12"/>
      <c r="AK37" s="11"/>
      <c r="AL37" s="14"/>
      <c r="AM37" s="1" t="s">
        <v>55</v>
      </c>
      <c r="AN37" s="4"/>
      <c r="AO37" s="1" t="s">
        <v>56</v>
      </c>
      <c r="AP37" s="1" t="s">
        <v>57</v>
      </c>
      <c r="AQ37" s="12">
        <v>1</v>
      </c>
      <c r="AR37" s="12">
        <v>2502.010009765625</v>
      </c>
      <c r="AS37" s="12">
        <v>2.5020099999999998</v>
      </c>
      <c r="AT37" s="12">
        <v>0</v>
      </c>
      <c r="AU37" s="12">
        <v>2502.010009765625</v>
      </c>
      <c r="AV37" s="12" t="s">
        <v>377</v>
      </c>
    </row>
    <row r="38" spans="1:48" ht="17.25" customHeight="1" x14ac:dyDescent="0.2">
      <c r="A38" s="1" t="s">
        <v>47</v>
      </c>
      <c r="B38" s="1" t="s">
        <v>121</v>
      </c>
      <c r="C38" s="1" t="s">
        <v>48</v>
      </c>
      <c r="E38" s="1" t="s">
        <v>78</v>
      </c>
      <c r="F38" s="1" t="s">
        <v>434</v>
      </c>
      <c r="G38" s="10"/>
      <c r="H38" s="1" t="s">
        <v>142</v>
      </c>
      <c r="I38" s="11">
        <v>2</v>
      </c>
      <c r="J38" s="1" t="s">
        <v>149</v>
      </c>
      <c r="K38" s="3">
        <v>45444</v>
      </c>
      <c r="L38" s="1"/>
      <c r="M38" s="1" t="s">
        <v>82</v>
      </c>
      <c r="N38" s="1" t="s">
        <v>130</v>
      </c>
      <c r="Q38" s="4">
        <v>45456</v>
      </c>
      <c r="R38" s="5">
        <v>45456</v>
      </c>
      <c r="S38" s="4"/>
      <c r="U38" s="1" t="s">
        <v>150</v>
      </c>
      <c r="V38" s="1" t="s">
        <v>150</v>
      </c>
      <c r="W38" s="1" t="s">
        <v>144</v>
      </c>
      <c r="X38" s="1" t="s">
        <v>144</v>
      </c>
      <c r="Y38" s="12"/>
      <c r="Z38" s="13"/>
      <c r="AA38" s="12">
        <v>5200</v>
      </c>
      <c r="AB38" s="12"/>
      <c r="AC38" s="12"/>
      <c r="AD38" s="12">
        <f>Table_Query_from_UnBilled_13[[#This Row],[Payable]]*0.035</f>
        <v>182.00000000000003</v>
      </c>
      <c r="AE38" s="12"/>
      <c r="AF38" s="12"/>
      <c r="AG38" s="12"/>
      <c r="AH38" s="12">
        <f>Table_Query_from_UnBilled_13[[#This Row],[Payable]]*0.01</f>
        <v>52</v>
      </c>
      <c r="AI38" s="12">
        <f>Table_Query_from_UnBilled_13[[#This Row],[Payable]]+Table_Query_from_UnBilled_13[[#This Row],[AgencyCommission]]+Table_Query_from_UnBilled_13[[#This Row],[LevyBillable]]</f>
        <v>5434</v>
      </c>
      <c r="AJ38" s="12"/>
      <c r="AK38" s="11"/>
      <c r="AL38" s="14"/>
      <c r="AM38" s="1" t="s">
        <v>55</v>
      </c>
      <c r="AN38" s="4"/>
      <c r="AO38" s="1" t="s">
        <v>56</v>
      </c>
      <c r="AP38" s="1" t="s">
        <v>57</v>
      </c>
      <c r="AQ38" s="12">
        <v>1</v>
      </c>
      <c r="AR38" s="12">
        <v>450.01998901367188</v>
      </c>
      <c r="AS38" s="12">
        <v>0.45001999999999998</v>
      </c>
      <c r="AT38" s="12">
        <v>0</v>
      </c>
      <c r="AU38" s="12">
        <v>450.01998901367188</v>
      </c>
      <c r="AV38" s="12" t="s">
        <v>378</v>
      </c>
    </row>
    <row r="39" spans="1:48" ht="17.25" customHeight="1" x14ac:dyDescent="0.2">
      <c r="A39" s="1" t="s">
        <v>47</v>
      </c>
      <c r="B39" s="1" t="s">
        <v>121</v>
      </c>
      <c r="C39" s="1" t="s">
        <v>48</v>
      </c>
      <c r="E39" s="1" t="s">
        <v>69</v>
      </c>
      <c r="F39" s="1" t="s">
        <v>435</v>
      </c>
      <c r="G39" s="10"/>
      <c r="H39" s="1" t="s">
        <v>152</v>
      </c>
      <c r="I39" s="11">
        <v>13</v>
      </c>
      <c r="J39" s="1" t="s">
        <v>153</v>
      </c>
      <c r="K39" s="3">
        <v>45474</v>
      </c>
      <c r="L39" s="1"/>
      <c r="M39" s="1" t="s">
        <v>71</v>
      </c>
      <c r="N39" s="1" t="s">
        <v>154</v>
      </c>
      <c r="Q39" s="4">
        <v>45474</v>
      </c>
      <c r="R39" s="5">
        <v>45407</v>
      </c>
      <c r="S39" s="4"/>
      <c r="V39" s="1" t="s">
        <v>155</v>
      </c>
      <c r="W39" s="1" t="s">
        <v>144</v>
      </c>
      <c r="X39" s="1"/>
      <c r="Y39" s="12"/>
      <c r="Z39" s="13"/>
      <c r="AA39" s="12"/>
      <c r="AB39" s="12"/>
      <c r="AC39" s="12"/>
      <c r="AD39" s="12">
        <f>Table_Query_from_UnBilled_13[[#This Row],[Payable]]*0.035</f>
        <v>0</v>
      </c>
      <c r="AE39" s="12"/>
      <c r="AF39" s="12"/>
      <c r="AG39" s="12"/>
      <c r="AH39" s="12">
        <f>Table_Query_from_UnBilled_13[[#This Row],[Payable]]*0.01</f>
        <v>0</v>
      </c>
      <c r="AI39" s="12">
        <f>Table_Query_from_UnBilled_13[[#This Row],[Payable]]+Table_Query_from_UnBilled_13[[#This Row],[AgencyCommission]]+Table_Query_from_UnBilled_13[[#This Row],[LevyBillable]]</f>
        <v>0</v>
      </c>
      <c r="AJ39" s="12"/>
      <c r="AK39" s="11"/>
      <c r="AL39" s="14"/>
      <c r="AM39" s="1" t="s">
        <v>55</v>
      </c>
      <c r="AN39" s="4"/>
      <c r="AO39" s="1" t="s">
        <v>56</v>
      </c>
      <c r="AP39" s="1" t="s">
        <v>57</v>
      </c>
      <c r="AQ39" s="12">
        <v>1</v>
      </c>
      <c r="AR39" s="12">
        <v>21284.83984375</v>
      </c>
      <c r="AS39" s="12">
        <v>21.284839999999999</v>
      </c>
      <c r="AT39" s="12">
        <v>0</v>
      </c>
      <c r="AU39" s="12">
        <v>21284.83984375</v>
      </c>
      <c r="AV39" s="12" t="s">
        <v>379</v>
      </c>
    </row>
    <row r="40" spans="1:48" ht="17.25" customHeight="1" x14ac:dyDescent="0.2">
      <c r="A40" s="1" t="s">
        <v>47</v>
      </c>
      <c r="B40" s="1" t="s">
        <v>121</v>
      </c>
      <c r="C40" s="1" t="s">
        <v>48</v>
      </c>
      <c r="E40" s="1" t="s">
        <v>69</v>
      </c>
      <c r="F40" s="1" t="s">
        <v>435</v>
      </c>
      <c r="G40" s="10"/>
      <c r="H40" s="1" t="s">
        <v>152</v>
      </c>
      <c r="I40" s="11">
        <v>13</v>
      </c>
      <c r="J40" s="1" t="s">
        <v>153</v>
      </c>
      <c r="K40" s="3">
        <v>45474</v>
      </c>
      <c r="L40" s="1"/>
      <c r="M40" s="1" t="s">
        <v>74</v>
      </c>
      <c r="N40" s="1" t="s">
        <v>154</v>
      </c>
      <c r="Q40" s="4">
        <v>45474</v>
      </c>
      <c r="R40" s="5">
        <v>45407</v>
      </c>
      <c r="S40" s="4"/>
      <c r="V40" s="1" t="s">
        <v>155</v>
      </c>
      <c r="W40" s="1" t="s">
        <v>144</v>
      </c>
      <c r="X40" s="1"/>
      <c r="Y40" s="12"/>
      <c r="Z40" s="13"/>
      <c r="AA40" s="12"/>
      <c r="AB40" s="12"/>
      <c r="AC40" s="12"/>
      <c r="AD40" s="12">
        <f>Table_Query_from_UnBilled_13[[#This Row],[Payable]]*0.035</f>
        <v>0</v>
      </c>
      <c r="AE40" s="12"/>
      <c r="AF40" s="12"/>
      <c r="AG40" s="12"/>
      <c r="AH40" s="12">
        <f>Table_Query_from_UnBilled_13[[#This Row],[Payable]]*0.01</f>
        <v>0</v>
      </c>
      <c r="AI40" s="12">
        <f>Table_Query_from_UnBilled_13[[#This Row],[Payable]]+Table_Query_from_UnBilled_13[[#This Row],[AgencyCommission]]+Table_Query_from_UnBilled_13[[#This Row],[LevyBillable]]</f>
        <v>0</v>
      </c>
      <c r="AJ40" s="12"/>
      <c r="AK40" s="11"/>
      <c r="AL40" s="14"/>
      <c r="AM40" s="1" t="s">
        <v>55</v>
      </c>
      <c r="AN40" s="4"/>
      <c r="AO40" s="1" t="s">
        <v>56</v>
      </c>
      <c r="AP40" s="1" t="s">
        <v>57</v>
      </c>
      <c r="AQ40" s="12">
        <v>1</v>
      </c>
      <c r="AR40" s="12">
        <v>1875</v>
      </c>
      <c r="AS40" s="12">
        <v>0</v>
      </c>
      <c r="AT40" s="12">
        <v>0</v>
      </c>
      <c r="AU40" s="12">
        <v>1875</v>
      </c>
      <c r="AV40" s="12" t="s">
        <v>380</v>
      </c>
    </row>
    <row r="41" spans="1:48" ht="17.25" customHeight="1" x14ac:dyDescent="0.2">
      <c r="A41" s="1" t="s">
        <v>47</v>
      </c>
      <c r="B41" s="1" t="s">
        <v>121</v>
      </c>
      <c r="C41" s="1" t="s">
        <v>48</v>
      </c>
      <c r="E41" s="1" t="s">
        <v>49</v>
      </c>
      <c r="F41" s="1" t="s">
        <v>434</v>
      </c>
      <c r="G41" s="10"/>
      <c r="H41" s="1" t="s">
        <v>142</v>
      </c>
      <c r="I41" s="11">
        <v>2</v>
      </c>
      <c r="J41" s="1" t="s">
        <v>143</v>
      </c>
      <c r="K41" s="3">
        <v>45474</v>
      </c>
      <c r="L41" s="1"/>
      <c r="M41" s="1" t="s">
        <v>58</v>
      </c>
      <c r="N41" s="1" t="s">
        <v>59</v>
      </c>
      <c r="Q41" s="4">
        <v>45478</v>
      </c>
      <c r="R41" s="5">
        <v>45482</v>
      </c>
      <c r="S41" s="4"/>
      <c r="V41" s="1"/>
      <c r="W41" s="1" t="s">
        <v>144</v>
      </c>
      <c r="X41" s="1" t="s">
        <v>144</v>
      </c>
      <c r="Y41" s="12"/>
      <c r="Z41" s="13"/>
      <c r="AA41" s="12">
        <v>4550</v>
      </c>
      <c r="AB41" s="12"/>
      <c r="AC41" s="12"/>
      <c r="AD41" s="12">
        <f>Table_Query_from_UnBilled_13[[#This Row],[Payable]]*0.035</f>
        <v>159.25000000000003</v>
      </c>
      <c r="AE41" s="12"/>
      <c r="AF41" s="12"/>
      <c r="AG41" s="12"/>
      <c r="AH41" s="12">
        <f>Table_Query_from_UnBilled_13[[#This Row],[Payable]]*0.01</f>
        <v>45.5</v>
      </c>
      <c r="AI41" s="12">
        <f>Table_Query_from_UnBilled_13[[#This Row],[Payable]]+Table_Query_from_UnBilled_13[[#This Row],[AgencyCommission]]+Table_Query_from_UnBilled_13[[#This Row],[LevyBillable]]</f>
        <v>4754.75</v>
      </c>
      <c r="AJ41" s="12"/>
      <c r="AK41" s="11"/>
      <c r="AL41" s="14"/>
      <c r="AM41" s="1" t="s">
        <v>132</v>
      </c>
      <c r="AN41" s="4"/>
      <c r="AO41" s="1" t="s">
        <v>133</v>
      </c>
      <c r="AP41" s="1" t="s">
        <v>57</v>
      </c>
      <c r="AQ41" s="12">
        <v>1</v>
      </c>
      <c r="AR41" s="12">
        <v>11751.580078125</v>
      </c>
      <c r="AS41" s="12">
        <v>11.751580000000001</v>
      </c>
      <c r="AT41" s="12">
        <v>0</v>
      </c>
      <c r="AU41" s="12">
        <v>11751.580078125</v>
      </c>
      <c r="AV41" s="12" t="s">
        <v>381</v>
      </c>
    </row>
    <row r="42" spans="1:48" ht="17.25" customHeight="1" x14ac:dyDescent="0.2">
      <c r="A42" s="1" t="s">
        <v>47</v>
      </c>
      <c r="B42" s="1" t="s">
        <v>121</v>
      </c>
      <c r="C42" s="1" t="s">
        <v>48</v>
      </c>
      <c r="E42" s="1" t="s">
        <v>49</v>
      </c>
      <c r="F42" s="1" t="s">
        <v>434</v>
      </c>
      <c r="G42" s="10"/>
      <c r="H42" s="1" t="s">
        <v>142</v>
      </c>
      <c r="I42" s="11">
        <v>2</v>
      </c>
      <c r="J42" s="1" t="s">
        <v>143</v>
      </c>
      <c r="K42" s="3">
        <v>45474</v>
      </c>
      <c r="L42" s="1"/>
      <c r="M42" s="1" t="s">
        <v>58</v>
      </c>
      <c r="N42" s="1" t="s">
        <v>59</v>
      </c>
      <c r="Q42" s="4">
        <v>45478</v>
      </c>
      <c r="R42" s="5">
        <v>45482</v>
      </c>
      <c r="S42" s="4"/>
      <c r="V42" s="1"/>
      <c r="W42" s="1" t="s">
        <v>144</v>
      </c>
      <c r="X42" s="1" t="s">
        <v>144</v>
      </c>
      <c r="Y42" s="12"/>
      <c r="Z42" s="13"/>
      <c r="AA42" s="12">
        <v>7345</v>
      </c>
      <c r="AB42" s="12"/>
      <c r="AC42" s="12"/>
      <c r="AD42" s="12">
        <f>Table_Query_from_UnBilled_13[[#This Row],[Payable]]*0.035</f>
        <v>257.07500000000005</v>
      </c>
      <c r="AE42" s="12"/>
      <c r="AF42" s="12"/>
      <c r="AG42" s="12"/>
      <c r="AH42" s="12">
        <f>Table_Query_from_UnBilled_13[[#This Row],[Payable]]*0.01</f>
        <v>73.45</v>
      </c>
      <c r="AI42" s="12">
        <f>Table_Query_from_UnBilled_13[[#This Row],[Payable]]+Table_Query_from_UnBilled_13[[#This Row],[AgencyCommission]]+Table_Query_from_UnBilled_13[[#This Row],[LevyBillable]]</f>
        <v>7675.5249999999996</v>
      </c>
      <c r="AJ42" s="12"/>
      <c r="AK42" s="11"/>
      <c r="AL42" s="14"/>
      <c r="AM42" s="1" t="s">
        <v>132</v>
      </c>
      <c r="AN42" s="4"/>
      <c r="AO42" s="1" t="s">
        <v>133</v>
      </c>
      <c r="AP42" s="1" t="s">
        <v>57</v>
      </c>
      <c r="AQ42" s="12">
        <v>1</v>
      </c>
      <c r="AR42" s="12">
        <v>11544.830078125</v>
      </c>
      <c r="AS42" s="12">
        <v>11.544829999999999</v>
      </c>
      <c r="AT42" s="12">
        <v>0</v>
      </c>
      <c r="AU42" s="12">
        <v>11544.830078125</v>
      </c>
      <c r="AV42" s="12" t="s">
        <v>382</v>
      </c>
    </row>
    <row r="43" spans="1:48" ht="17.25" customHeight="1" x14ac:dyDescent="0.2">
      <c r="A43" s="1" t="s">
        <v>47</v>
      </c>
      <c r="B43" s="1" t="s">
        <v>121</v>
      </c>
      <c r="C43" s="1" t="s">
        <v>48</v>
      </c>
      <c r="E43" s="1" t="s">
        <v>49</v>
      </c>
      <c r="F43" s="1" t="s">
        <v>434</v>
      </c>
      <c r="G43" s="10"/>
      <c r="H43" s="1" t="s">
        <v>142</v>
      </c>
      <c r="I43" s="11">
        <v>2</v>
      </c>
      <c r="J43" s="1" t="s">
        <v>143</v>
      </c>
      <c r="K43" s="3">
        <v>45474</v>
      </c>
      <c r="L43" s="1"/>
      <c r="M43" s="1" t="s">
        <v>58</v>
      </c>
      <c r="N43" s="1" t="s">
        <v>59</v>
      </c>
      <c r="Q43" s="4">
        <v>45474</v>
      </c>
      <c r="R43" s="5">
        <v>45482</v>
      </c>
      <c r="S43" s="4"/>
      <c r="V43" s="1"/>
      <c r="W43" s="1" t="s">
        <v>144</v>
      </c>
      <c r="X43" s="1" t="s">
        <v>144</v>
      </c>
      <c r="Y43" s="12"/>
      <c r="Z43" s="13"/>
      <c r="AA43" s="12">
        <v>5455</v>
      </c>
      <c r="AB43" s="12"/>
      <c r="AC43" s="12"/>
      <c r="AD43" s="12">
        <f>Table_Query_from_UnBilled_13[[#This Row],[Payable]]*0.035</f>
        <v>190.92500000000001</v>
      </c>
      <c r="AE43" s="12"/>
      <c r="AF43" s="12"/>
      <c r="AG43" s="12"/>
      <c r="AH43" s="12">
        <f>Table_Query_from_UnBilled_13[[#This Row],[Payable]]*0.01</f>
        <v>54.550000000000004</v>
      </c>
      <c r="AI43" s="12">
        <f>Table_Query_from_UnBilled_13[[#This Row],[Payable]]+Table_Query_from_UnBilled_13[[#This Row],[AgencyCommission]]+Table_Query_from_UnBilled_13[[#This Row],[LevyBillable]]</f>
        <v>5700.4750000000004</v>
      </c>
      <c r="AJ43" s="12"/>
      <c r="AK43" s="11"/>
      <c r="AL43" s="14"/>
      <c r="AM43" s="1" t="s">
        <v>132</v>
      </c>
      <c r="AN43" s="4"/>
      <c r="AO43" s="1" t="s">
        <v>133</v>
      </c>
      <c r="AP43" s="1" t="s">
        <v>57</v>
      </c>
      <c r="AQ43" s="12">
        <v>1</v>
      </c>
      <c r="AR43" s="12">
        <v>9420.7802734375</v>
      </c>
      <c r="AS43" s="12">
        <v>9.4207800000000006</v>
      </c>
      <c r="AT43" s="12">
        <v>0</v>
      </c>
      <c r="AU43" s="12">
        <v>9420.7802734375</v>
      </c>
      <c r="AV43" s="12" t="s">
        <v>383</v>
      </c>
    </row>
    <row r="44" spans="1:48" ht="17.25" customHeight="1" x14ac:dyDescent="0.2">
      <c r="A44" s="1" t="s">
        <v>47</v>
      </c>
      <c r="B44" s="1" t="s">
        <v>121</v>
      </c>
      <c r="C44" s="1" t="s">
        <v>48</v>
      </c>
      <c r="E44" s="1" t="s">
        <v>49</v>
      </c>
      <c r="F44" s="1" t="s">
        <v>434</v>
      </c>
      <c r="G44" s="10"/>
      <c r="H44" s="1" t="s">
        <v>142</v>
      </c>
      <c r="I44" s="11">
        <v>2</v>
      </c>
      <c r="J44" s="1" t="s">
        <v>143</v>
      </c>
      <c r="K44" s="3">
        <v>45474</v>
      </c>
      <c r="L44" s="1"/>
      <c r="M44" s="1" t="s">
        <v>52</v>
      </c>
      <c r="N44" s="1" t="s">
        <v>53</v>
      </c>
      <c r="Q44" s="4">
        <v>45474</v>
      </c>
      <c r="R44" s="5">
        <v>45482</v>
      </c>
      <c r="S44" s="4"/>
      <c r="V44" s="1" t="s">
        <v>144</v>
      </c>
      <c r="W44" s="1" t="s">
        <v>144</v>
      </c>
      <c r="X44" s="1" t="s">
        <v>144</v>
      </c>
      <c r="Y44" s="12"/>
      <c r="Z44" s="13"/>
      <c r="AA44" s="12">
        <v>4350</v>
      </c>
      <c r="AB44" s="12"/>
      <c r="AC44" s="12"/>
      <c r="AD44" s="12">
        <f>Table_Query_from_UnBilled_13[[#This Row],[Payable]]*0.035</f>
        <v>152.25000000000003</v>
      </c>
      <c r="AE44" s="12"/>
      <c r="AF44" s="12"/>
      <c r="AG44" s="12"/>
      <c r="AH44" s="12">
        <f>Table_Query_from_UnBilled_13[[#This Row],[Payable]]*0.01</f>
        <v>43.5</v>
      </c>
      <c r="AI44" s="12">
        <f>Table_Query_from_UnBilled_13[[#This Row],[Payable]]+Table_Query_from_UnBilled_13[[#This Row],[AgencyCommission]]+Table_Query_from_UnBilled_13[[#This Row],[LevyBillable]]</f>
        <v>4545.75</v>
      </c>
      <c r="AJ44" s="12"/>
      <c r="AK44" s="11"/>
      <c r="AL44" s="14"/>
      <c r="AM44" s="1" t="s">
        <v>132</v>
      </c>
      <c r="AN44" s="4"/>
      <c r="AO44" s="1" t="s">
        <v>133</v>
      </c>
      <c r="AP44" s="1" t="s">
        <v>57</v>
      </c>
      <c r="AQ44" s="12">
        <v>1</v>
      </c>
      <c r="AR44" s="12">
        <v>1535.199951171875</v>
      </c>
      <c r="AS44" s="12">
        <v>0</v>
      </c>
      <c r="AT44" s="12">
        <v>0</v>
      </c>
      <c r="AU44" s="12">
        <v>1535.199951171875</v>
      </c>
      <c r="AV44" s="12" t="s">
        <v>384</v>
      </c>
    </row>
    <row r="45" spans="1:48" ht="17.25" customHeight="1" x14ac:dyDescent="0.2">
      <c r="A45" s="1" t="s">
        <v>47</v>
      </c>
      <c r="B45" s="1" t="s">
        <v>121</v>
      </c>
      <c r="C45" s="1" t="s">
        <v>48</v>
      </c>
      <c r="E45" s="1" t="s">
        <v>134</v>
      </c>
      <c r="F45" s="1" t="s">
        <v>434</v>
      </c>
      <c r="G45" s="10"/>
      <c r="H45" s="1" t="s">
        <v>142</v>
      </c>
      <c r="I45" s="11">
        <v>3</v>
      </c>
      <c r="J45" s="1" t="s">
        <v>156</v>
      </c>
      <c r="K45" s="3">
        <v>45474</v>
      </c>
      <c r="L45" s="1"/>
      <c r="M45" s="1" t="s">
        <v>137</v>
      </c>
      <c r="N45" s="1" t="s">
        <v>157</v>
      </c>
      <c r="Q45" s="4">
        <v>45478</v>
      </c>
      <c r="R45" s="5">
        <v>45421</v>
      </c>
      <c r="S45" s="4"/>
      <c r="U45" s="1" t="s">
        <v>144</v>
      </c>
      <c r="V45" s="1" t="s">
        <v>144</v>
      </c>
      <c r="W45" s="1" t="s">
        <v>144</v>
      </c>
      <c r="X45" s="1" t="s">
        <v>144</v>
      </c>
      <c r="Y45" s="12"/>
      <c r="Z45" s="13"/>
      <c r="AA45" s="12">
        <v>8970</v>
      </c>
      <c r="AB45" s="12"/>
      <c r="AC45" s="12"/>
      <c r="AD45" s="12">
        <f>Table_Query_from_UnBilled_13[[#This Row],[Payable]]*0.035</f>
        <v>313.95000000000005</v>
      </c>
      <c r="AE45" s="12"/>
      <c r="AF45" s="12"/>
      <c r="AG45" s="12"/>
      <c r="AH45" s="12">
        <f>Table_Query_from_UnBilled_13[[#This Row],[Payable]]*0.01</f>
        <v>89.7</v>
      </c>
      <c r="AI45" s="12">
        <f>Table_Query_from_UnBilled_13[[#This Row],[Payable]]+Table_Query_from_UnBilled_13[[#This Row],[AgencyCommission]]+Table_Query_from_UnBilled_13[[#This Row],[LevyBillable]]</f>
        <v>9373.6500000000015</v>
      </c>
      <c r="AJ45" s="12"/>
      <c r="AK45" s="11"/>
      <c r="AL45" s="14"/>
      <c r="AM45" s="1" t="s">
        <v>55</v>
      </c>
      <c r="AN45" s="4"/>
      <c r="AO45" s="1" t="s">
        <v>56</v>
      </c>
      <c r="AP45" s="1" t="s">
        <v>57</v>
      </c>
      <c r="AQ45" s="12">
        <v>1</v>
      </c>
      <c r="AR45" s="12">
        <v>15324.7900390625</v>
      </c>
      <c r="AS45" s="12">
        <v>15.32479</v>
      </c>
      <c r="AT45" s="12">
        <v>0</v>
      </c>
      <c r="AU45" s="12">
        <v>15324.7900390625</v>
      </c>
      <c r="AV45" s="12" t="s">
        <v>385</v>
      </c>
    </row>
    <row r="46" spans="1:48" ht="17.25" customHeight="1" x14ac:dyDescent="0.2">
      <c r="A46" s="1" t="s">
        <v>47</v>
      </c>
      <c r="B46" s="1" t="s">
        <v>121</v>
      </c>
      <c r="C46" s="1" t="s">
        <v>48</v>
      </c>
      <c r="E46" s="1" t="s">
        <v>134</v>
      </c>
      <c r="F46" s="1" t="s">
        <v>434</v>
      </c>
      <c r="G46" s="10"/>
      <c r="H46" s="1" t="s">
        <v>142</v>
      </c>
      <c r="I46" s="11">
        <v>4</v>
      </c>
      <c r="J46" s="1" t="s">
        <v>158</v>
      </c>
      <c r="K46" s="3">
        <v>45474</v>
      </c>
      <c r="L46" s="1"/>
      <c r="M46" s="1" t="s">
        <v>137</v>
      </c>
      <c r="N46" s="1" t="s">
        <v>84</v>
      </c>
      <c r="Q46" s="4">
        <v>45489</v>
      </c>
      <c r="R46" s="5">
        <v>45425</v>
      </c>
      <c r="S46" s="4"/>
      <c r="U46" s="1" t="s">
        <v>159</v>
      </c>
      <c r="V46" s="1" t="s">
        <v>144</v>
      </c>
      <c r="W46" s="1" t="s">
        <v>144</v>
      </c>
      <c r="X46" s="1" t="s">
        <v>144</v>
      </c>
      <c r="Y46" s="12"/>
      <c r="Z46" s="13"/>
      <c r="AA46" s="12">
        <v>8865</v>
      </c>
      <c r="AB46" s="12"/>
      <c r="AC46" s="12"/>
      <c r="AD46" s="12">
        <f>Table_Query_from_UnBilled_13[[#This Row],[Payable]]*0.035</f>
        <v>310.27500000000003</v>
      </c>
      <c r="AE46" s="12"/>
      <c r="AF46" s="12"/>
      <c r="AG46" s="12"/>
      <c r="AH46" s="12">
        <f>Table_Query_from_UnBilled_13[[#This Row],[Payable]]*0.01</f>
        <v>88.65</v>
      </c>
      <c r="AI46" s="12">
        <f>Table_Query_from_UnBilled_13[[#This Row],[Payable]]+Table_Query_from_UnBilled_13[[#This Row],[AgencyCommission]]+Table_Query_from_UnBilled_13[[#This Row],[LevyBillable]]</f>
        <v>9263.9249999999993</v>
      </c>
      <c r="AJ46" s="12"/>
      <c r="AK46" s="11"/>
      <c r="AL46" s="14"/>
      <c r="AM46" s="1" t="s">
        <v>55</v>
      </c>
      <c r="AN46" s="4"/>
      <c r="AO46" s="1" t="s">
        <v>56</v>
      </c>
      <c r="AP46" s="1" t="s">
        <v>57</v>
      </c>
      <c r="AQ46" s="12">
        <v>1</v>
      </c>
      <c r="AR46" s="12">
        <v>24768.4296875</v>
      </c>
      <c r="AS46" s="12">
        <v>24.768429999999999</v>
      </c>
      <c r="AT46" s="12">
        <v>0</v>
      </c>
      <c r="AU46" s="12">
        <v>24768.4296875</v>
      </c>
      <c r="AV46" s="12" t="s">
        <v>386</v>
      </c>
    </row>
    <row r="47" spans="1:48" ht="17.25" customHeight="1" x14ac:dyDescent="0.2">
      <c r="A47" s="1" t="s">
        <v>47</v>
      </c>
      <c r="B47" s="1" t="s">
        <v>121</v>
      </c>
      <c r="C47" s="1" t="s">
        <v>48</v>
      </c>
      <c r="E47" s="1" t="s">
        <v>134</v>
      </c>
      <c r="F47" s="1" t="s">
        <v>434</v>
      </c>
      <c r="G47" s="10"/>
      <c r="H47" s="1" t="s">
        <v>142</v>
      </c>
      <c r="I47" s="11">
        <v>4</v>
      </c>
      <c r="J47" s="1" t="s">
        <v>158</v>
      </c>
      <c r="K47" s="3">
        <v>45474</v>
      </c>
      <c r="L47" s="1"/>
      <c r="M47" s="1" t="s">
        <v>137</v>
      </c>
      <c r="N47" s="1" t="s">
        <v>84</v>
      </c>
      <c r="Q47" s="4">
        <v>45489</v>
      </c>
      <c r="R47" s="5">
        <v>45425</v>
      </c>
      <c r="S47" s="4"/>
      <c r="U47" s="1" t="s">
        <v>159</v>
      </c>
      <c r="V47" s="1" t="s">
        <v>144</v>
      </c>
      <c r="W47" s="1" t="s">
        <v>144</v>
      </c>
      <c r="X47" s="1" t="s">
        <v>144</v>
      </c>
      <c r="Y47" s="12"/>
      <c r="Z47" s="13"/>
      <c r="AA47" s="12">
        <v>6654</v>
      </c>
      <c r="AB47" s="12"/>
      <c r="AC47" s="12"/>
      <c r="AD47" s="12">
        <f>Table_Query_from_UnBilled_13[[#This Row],[Payable]]*0.035</f>
        <v>232.89000000000001</v>
      </c>
      <c r="AE47" s="12"/>
      <c r="AF47" s="12"/>
      <c r="AG47" s="12"/>
      <c r="AH47" s="12">
        <f>Table_Query_from_UnBilled_13[[#This Row],[Payable]]*0.01</f>
        <v>66.540000000000006</v>
      </c>
      <c r="AI47" s="12">
        <f>Table_Query_from_UnBilled_13[[#This Row],[Payable]]+Table_Query_from_UnBilled_13[[#This Row],[AgencyCommission]]+Table_Query_from_UnBilled_13[[#This Row],[LevyBillable]]</f>
        <v>6953.43</v>
      </c>
      <c r="AJ47" s="12"/>
      <c r="AK47" s="11"/>
      <c r="AL47" s="14"/>
      <c r="AM47" s="1" t="s">
        <v>55</v>
      </c>
      <c r="AN47" s="4"/>
      <c r="AO47" s="1" t="s">
        <v>56</v>
      </c>
      <c r="AP47" s="1" t="s">
        <v>57</v>
      </c>
      <c r="AQ47" s="12">
        <v>1</v>
      </c>
      <c r="AR47" s="12">
        <v>26544.029296875</v>
      </c>
      <c r="AS47" s="12">
        <v>26.544029999999999</v>
      </c>
      <c r="AT47" s="12">
        <v>0</v>
      </c>
      <c r="AU47" s="12">
        <v>26544.029296875</v>
      </c>
      <c r="AV47" s="12" t="s">
        <v>387</v>
      </c>
    </row>
    <row r="48" spans="1:48" ht="17.25" customHeight="1" x14ac:dyDescent="0.2">
      <c r="A48" s="1" t="s">
        <v>47</v>
      </c>
      <c r="B48" s="1" t="s">
        <v>121</v>
      </c>
      <c r="C48" s="1" t="s">
        <v>48</v>
      </c>
      <c r="E48" s="1" t="s">
        <v>134</v>
      </c>
      <c r="F48" s="1" t="s">
        <v>434</v>
      </c>
      <c r="G48" s="10"/>
      <c r="H48" s="1" t="s">
        <v>142</v>
      </c>
      <c r="I48" s="11">
        <v>4</v>
      </c>
      <c r="J48" s="1" t="s">
        <v>158</v>
      </c>
      <c r="K48" s="3">
        <v>45474</v>
      </c>
      <c r="L48" s="1"/>
      <c r="M48" s="1" t="s">
        <v>137</v>
      </c>
      <c r="N48" s="1" t="s">
        <v>84</v>
      </c>
      <c r="Q48" s="4">
        <v>45489</v>
      </c>
      <c r="R48" s="5">
        <v>45425</v>
      </c>
      <c r="S48" s="4"/>
      <c r="U48" s="1" t="s">
        <v>159</v>
      </c>
      <c r="V48" s="1" t="s">
        <v>144</v>
      </c>
      <c r="W48" s="1" t="s">
        <v>144</v>
      </c>
      <c r="X48" s="1" t="s">
        <v>144</v>
      </c>
      <c r="Y48" s="12"/>
      <c r="Z48" s="13"/>
      <c r="AA48" s="12">
        <v>6660</v>
      </c>
      <c r="AB48" s="12"/>
      <c r="AC48" s="12"/>
      <c r="AD48" s="12">
        <f>Table_Query_from_UnBilled_13[[#This Row],[Payable]]*0.035</f>
        <v>233.10000000000002</v>
      </c>
      <c r="AE48" s="12"/>
      <c r="AF48" s="12"/>
      <c r="AG48" s="12"/>
      <c r="AH48" s="12">
        <f>Table_Query_from_UnBilled_13[[#This Row],[Payable]]*0.01</f>
        <v>66.599999999999994</v>
      </c>
      <c r="AI48" s="12">
        <f>Table_Query_from_UnBilled_13[[#This Row],[Payable]]+Table_Query_from_UnBilled_13[[#This Row],[AgencyCommission]]+Table_Query_from_UnBilled_13[[#This Row],[LevyBillable]]</f>
        <v>6959.7000000000007</v>
      </c>
      <c r="AJ48" s="12"/>
      <c r="AK48" s="11"/>
      <c r="AL48" s="14"/>
      <c r="AM48" s="1" t="s">
        <v>55</v>
      </c>
      <c r="AN48" s="4"/>
      <c r="AO48" s="1" t="s">
        <v>56</v>
      </c>
      <c r="AP48" s="1" t="s">
        <v>57</v>
      </c>
      <c r="AQ48" s="12">
        <v>1</v>
      </c>
      <c r="AR48" s="12">
        <v>24768.4296875</v>
      </c>
      <c r="AS48" s="12">
        <v>24.768429999999999</v>
      </c>
      <c r="AT48" s="12">
        <v>0</v>
      </c>
      <c r="AU48" s="12">
        <v>24768.4296875</v>
      </c>
      <c r="AV48" s="12" t="s">
        <v>388</v>
      </c>
    </row>
    <row r="49" spans="1:48" ht="17.25" customHeight="1" x14ac:dyDescent="0.2">
      <c r="A49" s="1" t="s">
        <v>47</v>
      </c>
      <c r="B49" s="1" t="s">
        <v>121</v>
      </c>
      <c r="C49" s="1" t="s">
        <v>48</v>
      </c>
      <c r="E49" s="1" t="s">
        <v>134</v>
      </c>
      <c r="F49" s="1" t="s">
        <v>434</v>
      </c>
      <c r="G49" s="10"/>
      <c r="H49" s="1" t="s">
        <v>142</v>
      </c>
      <c r="I49" s="11">
        <v>3</v>
      </c>
      <c r="J49" s="1" t="s">
        <v>156</v>
      </c>
      <c r="K49" s="3">
        <v>45474</v>
      </c>
      <c r="L49" s="1"/>
      <c r="M49" s="1" t="s">
        <v>137</v>
      </c>
      <c r="N49" s="1" t="s">
        <v>160</v>
      </c>
      <c r="Q49" s="4">
        <v>45481</v>
      </c>
      <c r="R49" s="5">
        <v>45433</v>
      </c>
      <c r="S49" s="4"/>
      <c r="U49" s="1" t="s">
        <v>144</v>
      </c>
      <c r="V49" s="1" t="s">
        <v>144</v>
      </c>
      <c r="W49" s="1" t="s">
        <v>144</v>
      </c>
      <c r="X49" s="1" t="s">
        <v>144</v>
      </c>
      <c r="Y49" s="12"/>
      <c r="Z49" s="13"/>
      <c r="AA49" s="12">
        <v>7120</v>
      </c>
      <c r="AB49" s="12"/>
      <c r="AC49" s="12"/>
      <c r="AD49" s="12">
        <f>Table_Query_from_UnBilled_13[[#This Row],[Payable]]*0.035</f>
        <v>249.20000000000002</v>
      </c>
      <c r="AE49" s="12"/>
      <c r="AF49" s="12"/>
      <c r="AG49" s="12"/>
      <c r="AH49" s="12">
        <f>Table_Query_from_UnBilled_13[[#This Row],[Payable]]*0.01</f>
        <v>71.2</v>
      </c>
      <c r="AI49" s="12">
        <f>Table_Query_from_UnBilled_13[[#This Row],[Payable]]+Table_Query_from_UnBilled_13[[#This Row],[AgencyCommission]]+Table_Query_from_UnBilled_13[[#This Row],[LevyBillable]]</f>
        <v>7440.4</v>
      </c>
      <c r="AJ49" s="12"/>
      <c r="AK49" s="11"/>
      <c r="AL49" s="14"/>
      <c r="AM49" s="1" t="s">
        <v>55</v>
      </c>
      <c r="AN49" s="4"/>
      <c r="AO49" s="1" t="s">
        <v>56</v>
      </c>
      <c r="AP49" s="1" t="s">
        <v>57</v>
      </c>
      <c r="AQ49" s="12">
        <v>1</v>
      </c>
      <c r="AR49" s="12">
        <v>17103.859375</v>
      </c>
      <c r="AS49" s="12">
        <v>17.103860000000001</v>
      </c>
      <c r="AT49" s="12">
        <v>0</v>
      </c>
      <c r="AU49" s="12">
        <v>17103.859375</v>
      </c>
      <c r="AV49" s="12" t="s">
        <v>389</v>
      </c>
    </row>
    <row r="50" spans="1:48" ht="17.25" customHeight="1" x14ac:dyDescent="0.2">
      <c r="A50" s="1" t="s">
        <v>47</v>
      </c>
      <c r="B50" s="1" t="s">
        <v>121</v>
      </c>
      <c r="C50" s="1" t="s">
        <v>48</v>
      </c>
      <c r="E50" s="1" t="s">
        <v>78</v>
      </c>
      <c r="F50" s="1" t="s">
        <v>434</v>
      </c>
      <c r="G50" s="10"/>
      <c r="H50" s="1" t="s">
        <v>142</v>
      </c>
      <c r="I50" s="11">
        <v>2</v>
      </c>
      <c r="J50" s="1" t="s">
        <v>149</v>
      </c>
      <c r="K50" s="3">
        <v>45474</v>
      </c>
      <c r="L50" s="1"/>
      <c r="M50" s="1" t="s">
        <v>82</v>
      </c>
      <c r="N50" s="1" t="s">
        <v>131</v>
      </c>
      <c r="Q50" s="4">
        <v>45474</v>
      </c>
      <c r="R50" s="5">
        <v>45428</v>
      </c>
      <c r="S50" s="4"/>
      <c r="U50" s="1" t="s">
        <v>150</v>
      </c>
      <c r="V50" s="1" t="s">
        <v>150</v>
      </c>
      <c r="W50" s="1" t="s">
        <v>144</v>
      </c>
      <c r="X50" s="1" t="s">
        <v>144</v>
      </c>
      <c r="Y50" s="12"/>
      <c r="Z50" s="13"/>
      <c r="AA50" s="12">
        <v>4355</v>
      </c>
      <c r="AB50" s="12"/>
      <c r="AC50" s="12"/>
      <c r="AD50" s="12">
        <f>Table_Query_from_UnBilled_13[[#This Row],[Payable]]*0.035</f>
        <v>152.42500000000001</v>
      </c>
      <c r="AE50" s="12"/>
      <c r="AF50" s="12"/>
      <c r="AG50" s="12"/>
      <c r="AH50" s="12">
        <f>Table_Query_from_UnBilled_13[[#This Row],[Payable]]*0.01</f>
        <v>43.550000000000004</v>
      </c>
      <c r="AI50" s="12">
        <f>Table_Query_from_UnBilled_13[[#This Row],[Payable]]+Table_Query_from_UnBilled_13[[#This Row],[AgencyCommission]]+Table_Query_from_UnBilled_13[[#This Row],[LevyBillable]]</f>
        <v>4550.9750000000004</v>
      </c>
      <c r="AJ50" s="12"/>
      <c r="AK50" s="11"/>
      <c r="AL50" s="14"/>
      <c r="AM50" s="1" t="s">
        <v>132</v>
      </c>
      <c r="AN50" s="4"/>
      <c r="AO50" s="1" t="s">
        <v>133</v>
      </c>
      <c r="AP50" s="1" t="s">
        <v>57</v>
      </c>
      <c r="AQ50" s="12">
        <v>1</v>
      </c>
      <c r="AR50" s="12">
        <v>1891.0999755859375</v>
      </c>
      <c r="AS50" s="12">
        <v>1.8911</v>
      </c>
      <c r="AT50" s="12">
        <v>0</v>
      </c>
      <c r="AU50" s="12">
        <v>1891.0999755859375</v>
      </c>
      <c r="AV50" s="12" t="s">
        <v>390</v>
      </c>
    </row>
    <row r="51" spans="1:48" ht="17.25" customHeight="1" x14ac:dyDescent="0.2">
      <c r="A51" s="1" t="s">
        <v>47</v>
      </c>
      <c r="B51" s="1" t="s">
        <v>121</v>
      </c>
      <c r="C51" s="1" t="s">
        <v>48</v>
      </c>
      <c r="E51" s="1" t="s">
        <v>78</v>
      </c>
      <c r="F51" s="1" t="s">
        <v>434</v>
      </c>
      <c r="G51" s="10"/>
      <c r="H51" s="1" t="s">
        <v>142</v>
      </c>
      <c r="I51" s="11">
        <v>2</v>
      </c>
      <c r="J51" s="1" t="s">
        <v>149</v>
      </c>
      <c r="K51" s="3">
        <v>45474</v>
      </c>
      <c r="L51" s="1"/>
      <c r="M51" s="1" t="s">
        <v>82</v>
      </c>
      <c r="N51" s="1" t="s">
        <v>151</v>
      </c>
      <c r="Q51" s="4">
        <v>45474</v>
      </c>
      <c r="R51" s="5">
        <v>45428</v>
      </c>
      <c r="S51" s="4"/>
      <c r="U51" s="1" t="s">
        <v>150</v>
      </c>
      <c r="V51" s="1" t="s">
        <v>150</v>
      </c>
      <c r="W51" s="1" t="s">
        <v>144</v>
      </c>
      <c r="X51" s="1" t="s">
        <v>144</v>
      </c>
      <c r="Y51" s="12"/>
      <c r="Z51" s="13"/>
      <c r="AA51" s="12">
        <v>3200</v>
      </c>
      <c r="AB51" s="12"/>
      <c r="AC51" s="12"/>
      <c r="AD51" s="12">
        <f>Table_Query_from_UnBilled_13[[#This Row],[Payable]]*0.035</f>
        <v>112.00000000000001</v>
      </c>
      <c r="AE51" s="12"/>
      <c r="AF51" s="12"/>
      <c r="AG51" s="12"/>
      <c r="AH51" s="12">
        <f>Table_Query_from_UnBilled_13[[#This Row],[Payable]]*0.01</f>
        <v>32</v>
      </c>
      <c r="AI51" s="12">
        <f>Table_Query_from_UnBilled_13[[#This Row],[Payable]]+Table_Query_from_UnBilled_13[[#This Row],[AgencyCommission]]+Table_Query_from_UnBilled_13[[#This Row],[LevyBillable]]</f>
        <v>3344</v>
      </c>
      <c r="AJ51" s="12"/>
      <c r="AK51" s="11"/>
      <c r="AL51" s="14"/>
      <c r="AM51" s="1" t="s">
        <v>132</v>
      </c>
      <c r="AN51" s="4"/>
      <c r="AO51" s="1" t="s">
        <v>133</v>
      </c>
      <c r="AP51" s="1" t="s">
        <v>57</v>
      </c>
      <c r="AQ51" s="12">
        <v>1</v>
      </c>
      <c r="AR51" s="12">
        <v>7776.27001953125</v>
      </c>
      <c r="AS51" s="12">
        <v>7.7762700000000002</v>
      </c>
      <c r="AT51" s="12">
        <v>0</v>
      </c>
      <c r="AU51" s="12">
        <v>7776.27001953125</v>
      </c>
      <c r="AV51" s="12" t="s">
        <v>391</v>
      </c>
    </row>
    <row r="52" spans="1:48" ht="17.25" customHeight="1" x14ac:dyDescent="0.2">
      <c r="A52" s="1" t="s">
        <v>47</v>
      </c>
      <c r="B52" s="1" t="s">
        <v>121</v>
      </c>
      <c r="C52" s="1" t="s">
        <v>48</v>
      </c>
      <c r="E52" s="1" t="s">
        <v>78</v>
      </c>
      <c r="F52" s="1" t="s">
        <v>434</v>
      </c>
      <c r="G52" s="10"/>
      <c r="H52" s="1" t="s">
        <v>142</v>
      </c>
      <c r="I52" s="11">
        <v>2</v>
      </c>
      <c r="J52" s="1" t="s">
        <v>149</v>
      </c>
      <c r="K52" s="3">
        <v>45474</v>
      </c>
      <c r="L52" s="1"/>
      <c r="M52" s="1" t="s">
        <v>82</v>
      </c>
      <c r="N52" s="1" t="s">
        <v>102</v>
      </c>
      <c r="Q52" s="4">
        <v>45474</v>
      </c>
      <c r="R52" s="5">
        <v>45428</v>
      </c>
      <c r="S52" s="4"/>
      <c r="U52" s="1" t="s">
        <v>150</v>
      </c>
      <c r="V52" s="1" t="s">
        <v>150</v>
      </c>
      <c r="W52" s="1" t="s">
        <v>144</v>
      </c>
      <c r="X52" s="1" t="s">
        <v>144</v>
      </c>
      <c r="Y52" s="12"/>
      <c r="Z52" s="13"/>
      <c r="AA52" s="12">
        <v>5100</v>
      </c>
      <c r="AB52" s="12"/>
      <c r="AC52" s="12"/>
      <c r="AD52" s="12">
        <f>Table_Query_from_UnBilled_13[[#This Row],[Payable]]*0.035</f>
        <v>178.50000000000003</v>
      </c>
      <c r="AE52" s="12"/>
      <c r="AF52" s="12"/>
      <c r="AG52" s="12"/>
      <c r="AH52" s="12">
        <f>Table_Query_from_UnBilled_13[[#This Row],[Payable]]*0.01</f>
        <v>51</v>
      </c>
      <c r="AI52" s="12">
        <f>Table_Query_from_UnBilled_13[[#This Row],[Payable]]+Table_Query_from_UnBilled_13[[#This Row],[AgencyCommission]]+Table_Query_from_UnBilled_13[[#This Row],[LevyBillable]]</f>
        <v>5329.5</v>
      </c>
      <c r="AJ52" s="12"/>
      <c r="AK52" s="11"/>
      <c r="AL52" s="14"/>
      <c r="AM52" s="1" t="s">
        <v>132</v>
      </c>
      <c r="AN52" s="4"/>
      <c r="AO52" s="1" t="s">
        <v>133</v>
      </c>
      <c r="AP52" s="1" t="s">
        <v>57</v>
      </c>
      <c r="AQ52" s="12">
        <v>1</v>
      </c>
      <c r="AR52" s="12">
        <v>12876.2099609375</v>
      </c>
      <c r="AS52" s="12">
        <v>12.87621</v>
      </c>
      <c r="AT52" s="12">
        <v>0</v>
      </c>
      <c r="AU52" s="12">
        <v>12876.2099609375</v>
      </c>
      <c r="AV52" s="12" t="s">
        <v>392</v>
      </c>
    </row>
    <row r="53" spans="1:48" ht="17.25" customHeight="1" x14ac:dyDescent="0.2">
      <c r="A53" s="1" t="s">
        <v>47</v>
      </c>
      <c r="B53" s="1" t="s">
        <v>121</v>
      </c>
      <c r="C53" s="1" t="s">
        <v>48</v>
      </c>
      <c r="E53" s="1" t="s">
        <v>78</v>
      </c>
      <c r="F53" s="1" t="s">
        <v>434</v>
      </c>
      <c r="G53" s="10"/>
      <c r="H53" s="1" t="s">
        <v>142</v>
      </c>
      <c r="I53" s="11">
        <v>2</v>
      </c>
      <c r="J53" s="1" t="s">
        <v>149</v>
      </c>
      <c r="K53" s="3">
        <v>45474</v>
      </c>
      <c r="L53" s="1"/>
      <c r="M53" s="1" t="s">
        <v>82</v>
      </c>
      <c r="N53" s="1" t="s">
        <v>151</v>
      </c>
      <c r="Q53" s="4">
        <v>45474</v>
      </c>
      <c r="R53" s="5">
        <v>45428</v>
      </c>
      <c r="S53" s="4"/>
      <c r="U53" s="1" t="s">
        <v>150</v>
      </c>
      <c r="V53" s="1" t="s">
        <v>150</v>
      </c>
      <c r="W53" s="1" t="s">
        <v>144</v>
      </c>
      <c r="X53" s="1" t="s">
        <v>144</v>
      </c>
      <c r="Y53" s="12"/>
      <c r="Z53" s="13"/>
      <c r="AA53" s="12">
        <v>7900</v>
      </c>
      <c r="AB53" s="12"/>
      <c r="AC53" s="12"/>
      <c r="AD53" s="12">
        <f>Table_Query_from_UnBilled_13[[#This Row],[Payable]]*0.035</f>
        <v>276.5</v>
      </c>
      <c r="AE53" s="12"/>
      <c r="AF53" s="12"/>
      <c r="AG53" s="12"/>
      <c r="AH53" s="12">
        <f>Table_Query_from_UnBilled_13[[#This Row],[Payable]]*0.01</f>
        <v>79</v>
      </c>
      <c r="AI53" s="12">
        <f>Table_Query_from_UnBilled_13[[#This Row],[Payable]]+Table_Query_from_UnBilled_13[[#This Row],[AgencyCommission]]+Table_Query_from_UnBilled_13[[#This Row],[LevyBillable]]</f>
        <v>8255.5</v>
      </c>
      <c r="AJ53" s="12"/>
      <c r="AK53" s="11"/>
      <c r="AL53" s="14"/>
      <c r="AM53" s="1" t="s">
        <v>132</v>
      </c>
      <c r="AN53" s="4"/>
      <c r="AO53" s="1" t="s">
        <v>133</v>
      </c>
      <c r="AP53" s="1" t="s">
        <v>57</v>
      </c>
      <c r="AQ53" s="12">
        <v>1</v>
      </c>
      <c r="AR53" s="12">
        <v>6163.9599609375</v>
      </c>
      <c r="AS53" s="12">
        <v>6.1639600000000003</v>
      </c>
      <c r="AT53" s="12">
        <v>0</v>
      </c>
      <c r="AU53" s="12">
        <v>6163.9599609375</v>
      </c>
      <c r="AV53" s="12" t="s">
        <v>393</v>
      </c>
    </row>
    <row r="54" spans="1:48" ht="17.25" customHeight="1" x14ac:dyDescent="0.2">
      <c r="A54" s="1" t="s">
        <v>47</v>
      </c>
      <c r="B54" s="1" t="s">
        <v>121</v>
      </c>
      <c r="C54" s="1" t="s">
        <v>48</v>
      </c>
      <c r="E54" s="1" t="s">
        <v>78</v>
      </c>
      <c r="F54" s="1" t="s">
        <v>434</v>
      </c>
      <c r="G54" s="10"/>
      <c r="H54" s="1" t="s">
        <v>142</v>
      </c>
      <c r="I54" s="11">
        <v>2</v>
      </c>
      <c r="J54" s="1" t="s">
        <v>149</v>
      </c>
      <c r="K54" s="3">
        <v>45474</v>
      </c>
      <c r="L54" s="1"/>
      <c r="M54" s="1" t="s">
        <v>80</v>
      </c>
      <c r="N54" s="1" t="s">
        <v>89</v>
      </c>
      <c r="Q54" s="4">
        <v>45474</v>
      </c>
      <c r="R54" s="5">
        <v>45428</v>
      </c>
      <c r="S54" s="4"/>
      <c r="U54" s="1" t="s">
        <v>150</v>
      </c>
      <c r="V54" s="1" t="s">
        <v>150</v>
      </c>
      <c r="W54" s="1" t="s">
        <v>144</v>
      </c>
      <c r="X54" s="1" t="s">
        <v>144</v>
      </c>
      <c r="Y54" s="12"/>
      <c r="Z54" s="13"/>
      <c r="AA54" s="12">
        <v>7345</v>
      </c>
      <c r="AB54" s="12"/>
      <c r="AC54" s="12"/>
      <c r="AD54" s="12">
        <f>Table_Query_from_UnBilled_13[[#This Row],[Payable]]*0.035</f>
        <v>257.07500000000005</v>
      </c>
      <c r="AE54" s="12"/>
      <c r="AF54" s="12"/>
      <c r="AG54" s="12"/>
      <c r="AH54" s="12">
        <f>Table_Query_from_UnBilled_13[[#This Row],[Payable]]*0.01</f>
        <v>73.45</v>
      </c>
      <c r="AI54" s="12">
        <f>Table_Query_from_UnBilled_13[[#This Row],[Payable]]+Table_Query_from_UnBilled_13[[#This Row],[AgencyCommission]]+Table_Query_from_UnBilled_13[[#This Row],[LevyBillable]]</f>
        <v>7675.5249999999996</v>
      </c>
      <c r="AJ54" s="12"/>
      <c r="AK54" s="11"/>
      <c r="AL54" s="14"/>
      <c r="AM54" s="1" t="s">
        <v>132</v>
      </c>
      <c r="AN54" s="4"/>
      <c r="AO54" s="1" t="s">
        <v>133</v>
      </c>
      <c r="AP54" s="1" t="s">
        <v>57</v>
      </c>
      <c r="AQ54" s="12">
        <v>1</v>
      </c>
      <c r="AR54" s="12">
        <v>42.069999694824219</v>
      </c>
      <c r="AS54" s="12">
        <v>0</v>
      </c>
      <c r="AT54" s="12">
        <v>0</v>
      </c>
      <c r="AU54" s="12">
        <v>42.069999694824219</v>
      </c>
      <c r="AV54" s="12" t="s">
        <v>394</v>
      </c>
    </row>
    <row r="55" spans="1:48" ht="17.25" customHeight="1" x14ac:dyDescent="0.2">
      <c r="A55" s="1" t="s">
        <v>47</v>
      </c>
      <c r="B55" s="1" t="s">
        <v>121</v>
      </c>
      <c r="C55" s="1" t="s">
        <v>48</v>
      </c>
      <c r="E55" s="1" t="s">
        <v>78</v>
      </c>
      <c r="F55" s="1" t="s">
        <v>434</v>
      </c>
      <c r="G55" s="10"/>
      <c r="H55" s="1" t="s">
        <v>142</v>
      </c>
      <c r="I55" s="11">
        <v>2</v>
      </c>
      <c r="J55" s="1" t="s">
        <v>149</v>
      </c>
      <c r="K55" s="3">
        <v>45474</v>
      </c>
      <c r="L55" s="1"/>
      <c r="M55" s="1" t="s">
        <v>82</v>
      </c>
      <c r="N55" s="1" t="s">
        <v>103</v>
      </c>
      <c r="Q55" s="4">
        <v>45474</v>
      </c>
      <c r="R55" s="5">
        <v>45428</v>
      </c>
      <c r="S55" s="4"/>
      <c r="U55" s="1" t="s">
        <v>150</v>
      </c>
      <c r="V55" s="1" t="s">
        <v>150</v>
      </c>
      <c r="W55" s="1" t="s">
        <v>144</v>
      </c>
      <c r="X55" s="1" t="s">
        <v>144</v>
      </c>
      <c r="Y55" s="12"/>
      <c r="Z55" s="13"/>
      <c r="AA55" s="12">
        <v>2690</v>
      </c>
      <c r="AB55" s="12"/>
      <c r="AC55" s="12"/>
      <c r="AD55" s="12">
        <f>Table_Query_from_UnBilled_13[[#This Row],[Payable]]*0.035</f>
        <v>94.15</v>
      </c>
      <c r="AE55" s="12"/>
      <c r="AF55" s="12"/>
      <c r="AG55" s="12"/>
      <c r="AH55" s="12">
        <f>Table_Query_from_UnBilled_13[[#This Row],[Payable]]*0.01</f>
        <v>26.900000000000002</v>
      </c>
      <c r="AI55" s="12">
        <f>Table_Query_from_UnBilled_13[[#This Row],[Payable]]+Table_Query_from_UnBilled_13[[#This Row],[AgencyCommission]]+Table_Query_from_UnBilled_13[[#This Row],[LevyBillable]]</f>
        <v>2811.05</v>
      </c>
      <c r="AJ55" s="12"/>
      <c r="AK55" s="11"/>
      <c r="AL55" s="14"/>
      <c r="AM55" s="1" t="s">
        <v>132</v>
      </c>
      <c r="AN55" s="4"/>
      <c r="AO55" s="1" t="s">
        <v>133</v>
      </c>
      <c r="AP55" s="1" t="s">
        <v>57</v>
      </c>
      <c r="AQ55" s="12">
        <v>1</v>
      </c>
      <c r="AR55" s="12">
        <v>3892.570068359375</v>
      </c>
      <c r="AS55" s="12">
        <v>3.8925700000000001</v>
      </c>
      <c r="AT55" s="12">
        <v>0</v>
      </c>
      <c r="AU55" s="12">
        <v>3892.570068359375</v>
      </c>
      <c r="AV55" s="12" t="s">
        <v>395</v>
      </c>
    </row>
    <row r="56" spans="1:48" ht="17.25" customHeight="1" x14ac:dyDescent="0.2">
      <c r="A56" s="1" t="s">
        <v>47</v>
      </c>
      <c r="B56" s="1" t="s">
        <v>121</v>
      </c>
      <c r="C56" s="1" t="s">
        <v>48</v>
      </c>
      <c r="E56" s="1" t="s">
        <v>78</v>
      </c>
      <c r="F56" s="1" t="s">
        <v>434</v>
      </c>
      <c r="G56" s="10"/>
      <c r="H56" s="1" t="s">
        <v>142</v>
      </c>
      <c r="I56" s="11">
        <v>2</v>
      </c>
      <c r="J56" s="1" t="s">
        <v>149</v>
      </c>
      <c r="K56" s="3">
        <v>45474</v>
      </c>
      <c r="L56" s="1"/>
      <c r="M56" s="1" t="s">
        <v>82</v>
      </c>
      <c r="N56" s="1" t="s">
        <v>85</v>
      </c>
      <c r="Q56" s="4">
        <v>45474</v>
      </c>
      <c r="R56" s="5">
        <v>45428</v>
      </c>
      <c r="S56" s="4"/>
      <c r="U56" s="1" t="s">
        <v>150</v>
      </c>
      <c r="V56" s="1" t="s">
        <v>150</v>
      </c>
      <c r="W56" s="1" t="s">
        <v>144</v>
      </c>
      <c r="X56" s="1" t="s">
        <v>144</v>
      </c>
      <c r="Y56" s="12"/>
      <c r="Z56" s="13"/>
      <c r="AA56" s="12">
        <v>1740</v>
      </c>
      <c r="AB56" s="12"/>
      <c r="AC56" s="12"/>
      <c r="AD56" s="12">
        <f>Table_Query_from_UnBilled_13[[#This Row],[Payable]]*0.035</f>
        <v>60.900000000000006</v>
      </c>
      <c r="AE56" s="12"/>
      <c r="AF56" s="12"/>
      <c r="AG56" s="12"/>
      <c r="AH56" s="12">
        <f>Table_Query_from_UnBilled_13[[#This Row],[Payable]]*0.01</f>
        <v>17.400000000000002</v>
      </c>
      <c r="AI56" s="12">
        <f>Table_Query_from_UnBilled_13[[#This Row],[Payable]]+Table_Query_from_UnBilled_13[[#This Row],[AgencyCommission]]+Table_Query_from_UnBilled_13[[#This Row],[LevyBillable]]</f>
        <v>1818.3000000000002</v>
      </c>
      <c r="AJ56" s="12"/>
      <c r="AK56" s="11"/>
      <c r="AL56" s="14"/>
      <c r="AM56" s="1" t="s">
        <v>132</v>
      </c>
      <c r="AN56" s="4"/>
      <c r="AO56" s="1" t="s">
        <v>133</v>
      </c>
      <c r="AP56" s="1" t="s">
        <v>57</v>
      </c>
      <c r="AQ56" s="12">
        <v>1</v>
      </c>
      <c r="AR56" s="12">
        <v>3118.31005859375</v>
      </c>
      <c r="AS56" s="12">
        <v>3.1183100000000001</v>
      </c>
      <c r="AT56" s="12">
        <v>0</v>
      </c>
      <c r="AU56" s="12">
        <v>3118.31005859375</v>
      </c>
      <c r="AV56" s="12" t="s">
        <v>396</v>
      </c>
    </row>
    <row r="57" spans="1:48" ht="17.25" customHeight="1" x14ac:dyDescent="0.2">
      <c r="A57" s="1" t="s">
        <v>47</v>
      </c>
      <c r="B57" s="1" t="s">
        <v>121</v>
      </c>
      <c r="C57" s="1" t="s">
        <v>48</v>
      </c>
      <c r="E57" s="1" t="s">
        <v>78</v>
      </c>
      <c r="F57" s="1" t="s">
        <v>434</v>
      </c>
      <c r="G57" s="10"/>
      <c r="H57" s="1" t="s">
        <v>142</v>
      </c>
      <c r="I57" s="11">
        <v>2</v>
      </c>
      <c r="J57" s="1" t="s">
        <v>149</v>
      </c>
      <c r="K57" s="3">
        <v>45474</v>
      </c>
      <c r="L57" s="1"/>
      <c r="M57" s="1" t="s">
        <v>82</v>
      </c>
      <c r="N57" s="1" t="s">
        <v>103</v>
      </c>
      <c r="Q57" s="4">
        <v>45474</v>
      </c>
      <c r="R57" s="5">
        <v>45428</v>
      </c>
      <c r="S57" s="4"/>
      <c r="U57" s="1" t="s">
        <v>150</v>
      </c>
      <c r="V57" s="1" t="s">
        <v>150</v>
      </c>
      <c r="W57" s="1" t="s">
        <v>144</v>
      </c>
      <c r="X57" s="1" t="s">
        <v>144</v>
      </c>
      <c r="Y57" s="12"/>
      <c r="Z57" s="13"/>
      <c r="AA57" s="12">
        <v>7770</v>
      </c>
      <c r="AB57" s="12"/>
      <c r="AC57" s="12"/>
      <c r="AD57" s="12">
        <f>Table_Query_from_UnBilled_13[[#This Row],[Payable]]*0.035</f>
        <v>271.95000000000005</v>
      </c>
      <c r="AE57" s="12"/>
      <c r="AF57" s="12"/>
      <c r="AG57" s="12"/>
      <c r="AH57" s="12">
        <f>Table_Query_from_UnBilled_13[[#This Row],[Payable]]*0.01</f>
        <v>77.7</v>
      </c>
      <c r="AI57" s="12">
        <f>Table_Query_from_UnBilled_13[[#This Row],[Payable]]+Table_Query_from_UnBilled_13[[#This Row],[AgencyCommission]]+Table_Query_from_UnBilled_13[[#This Row],[LevyBillable]]</f>
        <v>8119.65</v>
      </c>
      <c r="AJ57" s="12"/>
      <c r="AK57" s="11"/>
      <c r="AL57" s="14"/>
      <c r="AM57" s="1" t="s">
        <v>132</v>
      </c>
      <c r="AN57" s="4"/>
      <c r="AO57" s="1" t="s">
        <v>133</v>
      </c>
      <c r="AP57" s="1" t="s">
        <v>57</v>
      </c>
      <c r="AQ57" s="12">
        <v>1</v>
      </c>
      <c r="AR57" s="12">
        <v>23337.2109375</v>
      </c>
      <c r="AS57" s="12">
        <v>23.337209999999999</v>
      </c>
      <c r="AT57" s="12">
        <v>0</v>
      </c>
      <c r="AU57" s="12">
        <v>23337.2109375</v>
      </c>
      <c r="AV57" s="12" t="s">
        <v>397</v>
      </c>
    </row>
    <row r="58" spans="1:48" ht="17.25" customHeight="1" x14ac:dyDescent="0.2">
      <c r="A58" s="1" t="s">
        <v>47</v>
      </c>
      <c r="B58" s="1" t="s">
        <v>121</v>
      </c>
      <c r="C58" s="1" t="s">
        <v>48</v>
      </c>
      <c r="E58" s="1" t="s">
        <v>78</v>
      </c>
      <c r="F58" s="1" t="s">
        <v>434</v>
      </c>
      <c r="G58" s="10"/>
      <c r="H58" s="1" t="s">
        <v>142</v>
      </c>
      <c r="I58" s="11">
        <v>2</v>
      </c>
      <c r="J58" s="1" t="s">
        <v>149</v>
      </c>
      <c r="K58" s="3">
        <v>45474</v>
      </c>
      <c r="L58" s="1"/>
      <c r="M58" s="1" t="s">
        <v>80</v>
      </c>
      <c r="N58" s="1" t="s">
        <v>81</v>
      </c>
      <c r="Q58" s="4">
        <v>45474</v>
      </c>
      <c r="R58" s="5">
        <v>45428</v>
      </c>
      <c r="S58" s="4"/>
      <c r="U58" s="1" t="s">
        <v>150</v>
      </c>
      <c r="V58" s="1" t="s">
        <v>150</v>
      </c>
      <c r="W58" s="1" t="s">
        <v>144</v>
      </c>
      <c r="X58" s="1" t="s">
        <v>144</v>
      </c>
      <c r="Y58" s="12"/>
      <c r="Z58" s="13"/>
      <c r="AA58" s="12">
        <v>1110</v>
      </c>
      <c r="AB58" s="12"/>
      <c r="AC58" s="12"/>
      <c r="AD58" s="12">
        <f>Table_Query_from_UnBilled_13[[#This Row],[Payable]]*0.035</f>
        <v>38.85</v>
      </c>
      <c r="AE58" s="12"/>
      <c r="AF58" s="12"/>
      <c r="AG58" s="12"/>
      <c r="AH58" s="12">
        <f>Table_Query_from_UnBilled_13[[#This Row],[Payable]]*0.01</f>
        <v>11.1</v>
      </c>
      <c r="AI58" s="12">
        <f>Table_Query_from_UnBilled_13[[#This Row],[Payable]]+Table_Query_from_UnBilled_13[[#This Row],[AgencyCommission]]+Table_Query_from_UnBilled_13[[#This Row],[LevyBillable]]</f>
        <v>1159.9499999999998</v>
      </c>
      <c r="AJ58" s="12"/>
      <c r="AK58" s="11"/>
      <c r="AL58" s="14"/>
      <c r="AM58" s="1" t="s">
        <v>132</v>
      </c>
      <c r="AN58" s="4"/>
      <c r="AO58" s="1" t="s">
        <v>133</v>
      </c>
      <c r="AP58" s="1" t="s">
        <v>57</v>
      </c>
      <c r="AQ58" s="12">
        <v>1</v>
      </c>
      <c r="AR58" s="12">
        <v>153</v>
      </c>
      <c r="AS58" s="12">
        <v>0</v>
      </c>
      <c r="AT58" s="12">
        <v>0</v>
      </c>
      <c r="AU58" s="12">
        <v>153</v>
      </c>
      <c r="AV58" s="12" t="s">
        <v>398</v>
      </c>
    </row>
    <row r="59" spans="1:48" ht="17.25" customHeight="1" x14ac:dyDescent="0.2">
      <c r="A59" s="1" t="s">
        <v>47</v>
      </c>
      <c r="B59" s="1" t="s">
        <v>121</v>
      </c>
      <c r="C59" s="1" t="s">
        <v>48</v>
      </c>
      <c r="E59" s="1" t="s">
        <v>78</v>
      </c>
      <c r="F59" s="1" t="s">
        <v>434</v>
      </c>
      <c r="G59" s="10"/>
      <c r="H59" s="1" t="s">
        <v>142</v>
      </c>
      <c r="I59" s="11">
        <v>2</v>
      </c>
      <c r="J59" s="1" t="s">
        <v>149</v>
      </c>
      <c r="K59" s="3">
        <v>45474</v>
      </c>
      <c r="L59" s="1"/>
      <c r="M59" s="1" t="s">
        <v>82</v>
      </c>
      <c r="N59" s="1" t="s">
        <v>85</v>
      </c>
      <c r="Q59" s="4">
        <v>45474</v>
      </c>
      <c r="R59" s="5">
        <v>45428</v>
      </c>
      <c r="S59" s="4"/>
      <c r="U59" s="1" t="s">
        <v>150</v>
      </c>
      <c r="V59" s="1" t="s">
        <v>150</v>
      </c>
      <c r="W59" s="1" t="s">
        <v>144</v>
      </c>
      <c r="X59" s="1" t="s">
        <v>144</v>
      </c>
      <c r="Y59" s="12"/>
      <c r="Z59" s="13"/>
      <c r="AA59" s="12">
        <v>9560</v>
      </c>
      <c r="AB59" s="12"/>
      <c r="AC59" s="12"/>
      <c r="AD59" s="12">
        <f>Table_Query_from_UnBilled_13[[#This Row],[Payable]]*0.035</f>
        <v>334.6</v>
      </c>
      <c r="AE59" s="12"/>
      <c r="AF59" s="12"/>
      <c r="AG59" s="12"/>
      <c r="AH59" s="12">
        <f>Table_Query_from_UnBilled_13[[#This Row],[Payable]]*0.01</f>
        <v>95.600000000000009</v>
      </c>
      <c r="AI59" s="12">
        <f>Table_Query_from_UnBilled_13[[#This Row],[Payable]]+Table_Query_from_UnBilled_13[[#This Row],[AgencyCommission]]+Table_Query_from_UnBilled_13[[#This Row],[LevyBillable]]</f>
        <v>9990.2000000000007</v>
      </c>
      <c r="AJ59" s="12"/>
      <c r="AK59" s="11"/>
      <c r="AL59" s="14"/>
      <c r="AM59" s="1" t="s">
        <v>132</v>
      </c>
      <c r="AN59" s="4"/>
      <c r="AO59" s="1" t="s">
        <v>133</v>
      </c>
      <c r="AP59" s="1" t="s">
        <v>57</v>
      </c>
      <c r="AQ59" s="12">
        <v>1</v>
      </c>
      <c r="AR59" s="12">
        <v>1839.2900390625</v>
      </c>
      <c r="AS59" s="12">
        <v>1.8392900000000001</v>
      </c>
      <c r="AT59" s="12">
        <v>0</v>
      </c>
      <c r="AU59" s="12">
        <v>1839.2900390625</v>
      </c>
      <c r="AV59" s="12" t="s">
        <v>399</v>
      </c>
    </row>
    <row r="60" spans="1:48" ht="17.25" customHeight="1" x14ac:dyDescent="0.2">
      <c r="A60" s="1" t="s">
        <v>47</v>
      </c>
      <c r="B60" s="1" t="s">
        <v>121</v>
      </c>
      <c r="C60" s="1" t="s">
        <v>48</v>
      </c>
      <c r="E60" s="1" t="s">
        <v>78</v>
      </c>
      <c r="F60" s="1" t="s">
        <v>434</v>
      </c>
      <c r="G60" s="10"/>
      <c r="H60" s="1" t="s">
        <v>142</v>
      </c>
      <c r="I60" s="11">
        <v>2</v>
      </c>
      <c r="J60" s="1" t="s">
        <v>149</v>
      </c>
      <c r="K60" s="3">
        <v>45474</v>
      </c>
      <c r="L60" s="1"/>
      <c r="M60" s="1" t="s">
        <v>82</v>
      </c>
      <c r="N60" s="1" t="s">
        <v>130</v>
      </c>
      <c r="Q60" s="4">
        <v>45474</v>
      </c>
      <c r="R60" s="5">
        <v>45429</v>
      </c>
      <c r="S60" s="4"/>
      <c r="U60" s="1" t="s">
        <v>150</v>
      </c>
      <c r="V60" s="1" t="s">
        <v>150</v>
      </c>
      <c r="W60" s="1" t="s">
        <v>144</v>
      </c>
      <c r="X60" s="1" t="s">
        <v>144</v>
      </c>
      <c r="Y60" s="12"/>
      <c r="Z60" s="13"/>
      <c r="AA60" s="12">
        <v>3755</v>
      </c>
      <c r="AB60" s="12"/>
      <c r="AC60" s="12"/>
      <c r="AD60" s="12">
        <f>Table_Query_from_UnBilled_13[[#This Row],[Payable]]*0.035</f>
        <v>131.42500000000001</v>
      </c>
      <c r="AE60" s="12"/>
      <c r="AF60" s="12"/>
      <c r="AG60" s="12"/>
      <c r="AH60" s="12">
        <f>Table_Query_from_UnBilled_13[[#This Row],[Payable]]*0.01</f>
        <v>37.550000000000004</v>
      </c>
      <c r="AI60" s="12">
        <f>Table_Query_from_UnBilled_13[[#This Row],[Payable]]+Table_Query_from_UnBilled_13[[#This Row],[AgencyCommission]]+Table_Query_from_UnBilled_13[[#This Row],[LevyBillable]]</f>
        <v>3923.9750000000004</v>
      </c>
      <c r="AJ60" s="12"/>
      <c r="AK60" s="11"/>
      <c r="AL60" s="14"/>
      <c r="AM60" s="1" t="s">
        <v>132</v>
      </c>
      <c r="AN60" s="4"/>
      <c r="AO60" s="1" t="s">
        <v>133</v>
      </c>
      <c r="AP60" s="1" t="s">
        <v>57</v>
      </c>
      <c r="AQ60" s="12">
        <v>1</v>
      </c>
      <c r="AR60" s="12">
        <v>1865.949951171875</v>
      </c>
      <c r="AS60" s="12">
        <v>1.86595</v>
      </c>
      <c r="AT60" s="12">
        <v>0</v>
      </c>
      <c r="AU60" s="12">
        <v>1865.949951171875</v>
      </c>
      <c r="AV60" s="12" t="s">
        <v>400</v>
      </c>
    </row>
    <row r="61" spans="1:48" ht="17.25" customHeight="1" x14ac:dyDescent="0.2">
      <c r="A61" s="1" t="s">
        <v>47</v>
      </c>
      <c r="B61" s="1" t="s">
        <v>121</v>
      </c>
      <c r="C61" s="1" t="s">
        <v>48</v>
      </c>
      <c r="E61" s="1" t="s">
        <v>78</v>
      </c>
      <c r="F61" s="1" t="s">
        <v>434</v>
      </c>
      <c r="G61" s="10"/>
      <c r="H61" s="1" t="s">
        <v>142</v>
      </c>
      <c r="I61" s="11">
        <v>2</v>
      </c>
      <c r="J61" s="1" t="s">
        <v>149</v>
      </c>
      <c r="K61" s="3">
        <v>45474</v>
      </c>
      <c r="L61" s="1"/>
      <c r="M61" s="1" t="s">
        <v>82</v>
      </c>
      <c r="N61" s="1" t="s">
        <v>101</v>
      </c>
      <c r="Q61" s="4">
        <v>45481</v>
      </c>
      <c r="R61" s="5">
        <v>45447</v>
      </c>
      <c r="S61" s="4"/>
      <c r="U61" s="1" t="s">
        <v>150</v>
      </c>
      <c r="V61" s="1" t="s">
        <v>150</v>
      </c>
      <c r="W61" s="1" t="s">
        <v>144</v>
      </c>
      <c r="X61" s="1" t="s">
        <v>144</v>
      </c>
      <c r="Y61" s="12"/>
      <c r="Z61" s="13"/>
      <c r="AA61" s="12">
        <v>8850</v>
      </c>
      <c r="AB61" s="12"/>
      <c r="AC61" s="12"/>
      <c r="AD61" s="12">
        <f>Table_Query_from_UnBilled_13[[#This Row],[Payable]]*0.035</f>
        <v>309.75000000000006</v>
      </c>
      <c r="AE61" s="12"/>
      <c r="AF61" s="12"/>
      <c r="AG61" s="12"/>
      <c r="AH61" s="12">
        <f>Table_Query_from_UnBilled_13[[#This Row],[Payable]]*0.01</f>
        <v>88.5</v>
      </c>
      <c r="AI61" s="12">
        <f>Table_Query_from_UnBilled_13[[#This Row],[Payable]]+Table_Query_from_UnBilled_13[[#This Row],[AgencyCommission]]+Table_Query_from_UnBilled_13[[#This Row],[LevyBillable]]</f>
        <v>9248.25</v>
      </c>
      <c r="AJ61" s="12"/>
      <c r="AK61" s="11"/>
      <c r="AL61" s="14"/>
      <c r="AM61" s="1" t="s">
        <v>132</v>
      </c>
      <c r="AN61" s="4"/>
      <c r="AO61" s="1" t="s">
        <v>133</v>
      </c>
      <c r="AP61" s="1" t="s">
        <v>57</v>
      </c>
      <c r="AQ61" s="12">
        <v>1</v>
      </c>
      <c r="AR61" s="12">
        <v>2327.18994140625</v>
      </c>
      <c r="AS61" s="12">
        <v>2.3271899999999999</v>
      </c>
      <c r="AT61" s="12">
        <v>0</v>
      </c>
      <c r="AU61" s="12">
        <v>2327.18994140625</v>
      </c>
      <c r="AV61" s="12" t="s">
        <v>401</v>
      </c>
    </row>
    <row r="62" spans="1:48" ht="17.25" customHeight="1" x14ac:dyDescent="0.2">
      <c r="A62" s="1" t="s">
        <v>47</v>
      </c>
      <c r="B62" s="1" t="s">
        <v>121</v>
      </c>
      <c r="C62" s="1" t="s">
        <v>48</v>
      </c>
      <c r="E62" s="1" t="s">
        <v>78</v>
      </c>
      <c r="F62" s="1" t="s">
        <v>434</v>
      </c>
      <c r="G62" s="10"/>
      <c r="H62" s="1" t="s">
        <v>142</v>
      </c>
      <c r="I62" s="11">
        <v>2</v>
      </c>
      <c r="J62" s="1" t="s">
        <v>149</v>
      </c>
      <c r="K62" s="3">
        <v>45474</v>
      </c>
      <c r="L62" s="1"/>
      <c r="M62" s="1" t="s">
        <v>82</v>
      </c>
      <c r="N62" s="1" t="s">
        <v>101</v>
      </c>
      <c r="Q62" s="4">
        <v>45481</v>
      </c>
      <c r="R62" s="5">
        <v>45447</v>
      </c>
      <c r="S62" s="4"/>
      <c r="U62" s="1" t="s">
        <v>150</v>
      </c>
      <c r="V62" s="1" t="s">
        <v>150</v>
      </c>
      <c r="W62" s="1" t="s">
        <v>144</v>
      </c>
      <c r="X62" s="1" t="s">
        <v>144</v>
      </c>
      <c r="Y62" s="12"/>
      <c r="Z62" s="13"/>
      <c r="AA62" s="12">
        <v>1730</v>
      </c>
      <c r="AB62" s="12"/>
      <c r="AC62" s="12"/>
      <c r="AD62" s="12">
        <f>Table_Query_from_UnBilled_13[[#This Row],[Payable]]*0.035</f>
        <v>60.550000000000004</v>
      </c>
      <c r="AE62" s="12"/>
      <c r="AF62" s="12"/>
      <c r="AG62" s="12"/>
      <c r="AH62" s="12">
        <f>Table_Query_from_UnBilled_13[[#This Row],[Payable]]*0.01</f>
        <v>17.3</v>
      </c>
      <c r="AI62" s="12">
        <f>Table_Query_from_UnBilled_13[[#This Row],[Payable]]+Table_Query_from_UnBilled_13[[#This Row],[AgencyCommission]]+Table_Query_from_UnBilled_13[[#This Row],[LevyBillable]]</f>
        <v>1807.85</v>
      </c>
      <c r="AJ62" s="12"/>
      <c r="AK62" s="11"/>
      <c r="AL62" s="14"/>
      <c r="AM62" s="1" t="s">
        <v>132</v>
      </c>
      <c r="AN62" s="4"/>
      <c r="AO62" s="1" t="s">
        <v>133</v>
      </c>
      <c r="AP62" s="1" t="s">
        <v>57</v>
      </c>
      <c r="AQ62" s="12">
        <v>1</v>
      </c>
      <c r="AR62" s="12">
        <v>6486.39990234375</v>
      </c>
      <c r="AS62" s="12">
        <v>6.4863999999999997</v>
      </c>
      <c r="AT62" s="12">
        <v>0</v>
      </c>
      <c r="AU62" s="12">
        <v>6486.39990234375</v>
      </c>
      <c r="AV62" s="12" t="s">
        <v>402</v>
      </c>
    </row>
    <row r="63" spans="1:48" ht="17.25" customHeight="1" x14ac:dyDescent="0.2">
      <c r="A63" s="1" t="s">
        <v>47</v>
      </c>
      <c r="B63" s="1" t="s">
        <v>121</v>
      </c>
      <c r="C63" s="1" t="s">
        <v>48</v>
      </c>
      <c r="E63" s="1" t="s">
        <v>78</v>
      </c>
      <c r="F63" s="1" t="s">
        <v>434</v>
      </c>
      <c r="G63" s="10"/>
      <c r="H63" s="1" t="s">
        <v>142</v>
      </c>
      <c r="I63" s="11">
        <v>2</v>
      </c>
      <c r="J63" s="1" t="s">
        <v>149</v>
      </c>
      <c r="K63" s="3">
        <v>45474</v>
      </c>
      <c r="L63" s="1"/>
      <c r="M63" s="1" t="s">
        <v>82</v>
      </c>
      <c r="N63" s="1" t="s">
        <v>130</v>
      </c>
      <c r="Q63" s="4">
        <v>45474</v>
      </c>
      <c r="R63" s="5">
        <v>45456</v>
      </c>
      <c r="S63" s="4"/>
      <c r="U63" s="1" t="s">
        <v>150</v>
      </c>
      <c r="V63" s="1" t="s">
        <v>150</v>
      </c>
      <c r="W63" s="1" t="s">
        <v>144</v>
      </c>
      <c r="X63" s="1" t="s">
        <v>144</v>
      </c>
      <c r="Y63" s="12"/>
      <c r="Z63" s="13"/>
      <c r="AA63" s="12">
        <v>5700</v>
      </c>
      <c r="AB63" s="12"/>
      <c r="AC63" s="12"/>
      <c r="AD63" s="12">
        <f>Table_Query_from_UnBilled_13[[#This Row],[Payable]]*0.035</f>
        <v>199.50000000000003</v>
      </c>
      <c r="AE63" s="12"/>
      <c r="AF63" s="12"/>
      <c r="AG63" s="12"/>
      <c r="AH63" s="12">
        <f>Table_Query_from_UnBilled_13[[#This Row],[Payable]]*0.01</f>
        <v>57</v>
      </c>
      <c r="AI63" s="12">
        <f>Table_Query_from_UnBilled_13[[#This Row],[Payable]]+Table_Query_from_UnBilled_13[[#This Row],[AgencyCommission]]+Table_Query_from_UnBilled_13[[#This Row],[LevyBillable]]</f>
        <v>5956.5</v>
      </c>
      <c r="AJ63" s="12"/>
      <c r="AK63" s="11"/>
      <c r="AL63" s="14"/>
      <c r="AM63" s="1" t="s">
        <v>132</v>
      </c>
      <c r="AN63" s="4"/>
      <c r="AO63" s="1" t="s">
        <v>133</v>
      </c>
      <c r="AP63" s="1" t="s">
        <v>57</v>
      </c>
      <c r="AQ63" s="12">
        <v>1</v>
      </c>
      <c r="AR63" s="12">
        <v>252.55000305175781</v>
      </c>
      <c r="AS63" s="12">
        <v>0.25255</v>
      </c>
      <c r="AT63" s="12">
        <v>0</v>
      </c>
      <c r="AU63" s="12">
        <v>252.55000305175781</v>
      </c>
      <c r="AV63" s="12" t="s">
        <v>403</v>
      </c>
    </row>
    <row r="64" spans="1:48" ht="18" customHeight="1" x14ac:dyDescent="0.2">
      <c r="A64" s="11" t="s">
        <v>120</v>
      </c>
      <c r="E64" s="1"/>
      <c r="G64" s="10"/>
      <c r="I64" s="11"/>
      <c r="K64" s="10"/>
      <c r="L64" s="1"/>
      <c r="M64" s="11"/>
      <c r="N64" s="11"/>
      <c r="Q64" s="4"/>
      <c r="R64" s="5"/>
      <c r="S64" s="11"/>
      <c r="V64" s="1"/>
      <c r="W64" s="1"/>
      <c r="X64" s="4"/>
      <c r="Y64" s="12">
        <f>SUBTOTAL(109,Table_Query_from_UnBilled_13[Payable])</f>
        <v>225544</v>
      </c>
      <c r="Z64" s="13"/>
      <c r="AA64" s="12">
        <f>SUBTOTAL(109,Table_Query_from_UnBilled_13[Payable])</f>
        <v>225544</v>
      </c>
      <c r="AB64" s="12">
        <f>SUBTOTAL(109,Table_Query_from_UnBilled_13[Paid])</f>
        <v>0</v>
      </c>
      <c r="AC64" s="12">
        <f>SUBTOTAL(109,Table_Query_from_UnBilled_13[Billed])</f>
        <v>0</v>
      </c>
      <c r="AD64" s="12">
        <f>SUBTOTAL(109,Table_Query_from_UnBilled_13[AgencyCommission])</f>
        <v>7894.0400000000018</v>
      </c>
      <c r="AE64" s="12">
        <f>SUBTOTAL(109,Table_Query_from_UnBilled_13[Billable])</f>
        <v>0</v>
      </c>
      <c r="AF64" s="12">
        <f>SUBTOTAL(109,Table_Query_from_UnBilled_13[Billed])</f>
        <v>0</v>
      </c>
      <c r="AG64" s="12">
        <f>SUBTOTAL(109,Table_Query_from_UnBilled_13[UnBilled])</f>
        <v>0</v>
      </c>
      <c r="AH64" s="12">
        <f>SUBTOTAL(109,Table_Query_from_UnBilled_13[LevyBillable])</f>
        <v>2255.4400000000005</v>
      </c>
      <c r="AI64" s="12">
        <f>SUBTOTAL(109,Table_Query_from_UnBilled_13[Unbilled Client Cost])</f>
        <v>235693.48</v>
      </c>
      <c r="AJ64" s="12">
        <f>SUBTOTAL(109,Table_Query_from_UnBilled_13[VATBillable])</f>
        <v>0</v>
      </c>
      <c r="AK64" s="11"/>
      <c r="AL64" s="4"/>
      <c r="AM64" s="4"/>
      <c r="AN64" s="4"/>
      <c r="AO64" s="4"/>
      <c r="AP64" s="12"/>
      <c r="AQ64" s="12"/>
      <c r="AR64" s="12">
        <f>SUBTOTAL(109,Table_Query_from_UnBilled_13[BillableCurrency])</f>
        <v>461644.53103625774</v>
      </c>
      <c r="AS64" s="12"/>
      <c r="AT64" s="12">
        <f>SUBTOTAL(109,Table_Query_from_UnBilled_13[BilledCurrency])</f>
        <v>0</v>
      </c>
      <c r="AU64" s="12">
        <f>SUBTOTAL(109,Table_Query_from_UnBilled_13[UnbilledCurrency])</f>
        <v>461644.53103625774</v>
      </c>
      <c r="AV64" s="38"/>
    </row>
    <row r="65" ht="16" customHeight="1" x14ac:dyDescent="0.2"/>
    <row r="68" hidden="1" x14ac:dyDescent="0.2"/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V26"/>
  <sheetViews>
    <sheetView workbookViewId="0">
      <selection activeCell="F31" sqref="F31"/>
    </sheetView>
  </sheetViews>
  <sheetFormatPr baseColWidth="10" defaultColWidth="8.83203125" defaultRowHeight="15" x14ac:dyDescent="0.2"/>
  <cols>
    <col min="1" max="1" width="8.5" bestFit="1" customWidth="1"/>
    <col min="2" max="2" width="11.5" bestFit="1" customWidth="1"/>
    <col min="3" max="3" width="12.6640625" bestFit="1" customWidth="1"/>
    <col min="4" max="4" width="18.6640625" bestFit="1" customWidth="1"/>
    <col min="5" max="5" width="11.83203125" bestFit="1" customWidth="1"/>
    <col min="6" max="6" width="11.33203125" bestFit="1" customWidth="1"/>
    <col min="7" max="7" width="12.5" bestFit="1" customWidth="1"/>
    <col min="8" max="8" width="26.5" bestFit="1" customWidth="1"/>
    <col min="9" max="9" width="14.33203125" style="15" bestFit="1" customWidth="1"/>
    <col min="10" max="10" width="24.1640625" bestFit="1" customWidth="1"/>
    <col min="11" max="11" width="10.33203125" style="16" bestFit="1" customWidth="1"/>
    <col min="12" max="12" width="9.83203125" bestFit="1" customWidth="1"/>
    <col min="13" max="13" width="23.5" bestFit="1" customWidth="1"/>
    <col min="14" max="14" width="29" bestFit="1" customWidth="1"/>
    <col min="15" max="15" width="18.5" bestFit="1" customWidth="1"/>
    <col min="16" max="16" width="9.83203125" bestFit="1" customWidth="1"/>
    <col min="17" max="17" width="9.33203125" style="17" bestFit="1" customWidth="1"/>
    <col min="18" max="18" width="14.33203125" style="18" bestFit="1" customWidth="1"/>
    <col min="19" max="19" width="18.33203125" bestFit="1" customWidth="1"/>
    <col min="20" max="20" width="18" bestFit="1" customWidth="1"/>
    <col min="21" max="21" width="29.1640625" bestFit="1" customWidth="1"/>
    <col min="22" max="22" width="36.6640625" bestFit="1" customWidth="1"/>
    <col min="23" max="24" width="17.33203125" bestFit="1" customWidth="1"/>
    <col min="25" max="25" width="11.1640625" style="19" bestFit="1" customWidth="1"/>
    <col min="26" max="26" width="24.6640625" style="20" bestFit="1" customWidth="1"/>
    <col min="27" max="27" width="10" style="19" bestFit="1" customWidth="1"/>
    <col min="28" max="29" width="8.6640625" style="19" bestFit="1" customWidth="1"/>
    <col min="30" max="30" width="17.6640625" style="19" bestFit="1" customWidth="1"/>
    <col min="31" max="31" width="10" style="19" bestFit="1" customWidth="1"/>
    <col min="32" max="32" width="7.33203125" style="19" bestFit="1" customWidth="1"/>
    <col min="33" max="33" width="10" style="19" bestFit="1" customWidth="1"/>
    <col min="34" max="34" width="11.6640625" style="19" bestFit="1" customWidth="1"/>
    <col min="35" max="35" width="17.5" style="19" bestFit="1" customWidth="1"/>
    <col min="36" max="36" width="11.33203125" style="19" bestFit="1" customWidth="1"/>
    <col min="37" max="37" width="11.33203125" bestFit="1" customWidth="1"/>
    <col min="38" max="38" width="17.5" bestFit="1" customWidth="1"/>
    <col min="39" max="39" width="11.33203125" bestFit="1" customWidth="1"/>
    <col min="40" max="40" width="19.1640625" bestFit="1" customWidth="1"/>
    <col min="41" max="41" width="5.5" bestFit="1" customWidth="1"/>
    <col min="42" max="42" width="17.5" bestFit="1" customWidth="1"/>
    <col min="43" max="43" width="18.83203125" style="21" bestFit="1" customWidth="1"/>
    <col min="44" max="44" width="15" style="19" bestFit="1" customWidth="1"/>
    <col min="45" max="45" width="15.1640625" style="21" bestFit="1" customWidth="1"/>
    <col min="46" max="46" width="13.6640625" style="19" bestFit="1" customWidth="1"/>
    <col min="47" max="47" width="15.5" style="19" bestFit="1" customWidth="1"/>
    <col min="48" max="48" width="19.5" customWidth="1"/>
  </cols>
  <sheetData>
    <row r="1" spans="1:48" ht="17.2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6" t="s">
        <v>24</v>
      </c>
      <c r="Z1" s="7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8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192</v>
      </c>
    </row>
    <row r="2" spans="1:48" ht="17.25" customHeight="1" x14ac:dyDescent="0.2">
      <c r="A2" s="1" t="s">
        <v>47</v>
      </c>
      <c r="B2" s="1" t="s">
        <v>121</v>
      </c>
      <c r="C2" s="1" t="s">
        <v>48</v>
      </c>
      <c r="E2" s="1" t="s">
        <v>49</v>
      </c>
      <c r="F2" s="1" t="s">
        <v>436</v>
      </c>
      <c r="G2" s="10"/>
      <c r="H2" s="1" t="s">
        <v>161</v>
      </c>
      <c r="I2" s="11">
        <v>9</v>
      </c>
      <c r="J2" s="1" t="s">
        <v>162</v>
      </c>
      <c r="K2" s="3">
        <v>45444</v>
      </c>
      <c r="L2" s="1" t="s">
        <v>163</v>
      </c>
      <c r="M2" s="1" t="s">
        <v>164</v>
      </c>
      <c r="N2" s="1" t="s">
        <v>165</v>
      </c>
      <c r="Q2" s="4">
        <v>45444</v>
      </c>
      <c r="R2" s="5">
        <v>45379</v>
      </c>
      <c r="S2" s="4"/>
      <c r="V2" s="1"/>
      <c r="W2" s="1" t="s">
        <v>431</v>
      </c>
      <c r="X2" s="1"/>
      <c r="Y2" s="12"/>
      <c r="Z2" s="13"/>
      <c r="AA2" s="12">
        <v>1000</v>
      </c>
      <c r="AB2" s="12"/>
      <c r="AC2" s="12"/>
      <c r="AD2" s="12">
        <f>Table_Query_from_UnBilled_1[[#This Row],[Payable]]*0.035</f>
        <v>35</v>
      </c>
      <c r="AE2" s="12"/>
      <c r="AF2" s="12"/>
      <c r="AG2" s="12"/>
      <c r="AH2" s="12">
        <f>Table_Query_from_UnBilled_1[[#This Row],[Payable]]*0.01</f>
        <v>10</v>
      </c>
      <c r="AI2" s="12">
        <f>Table_Query_from_UnBilled_1[[#This Row],[Payable]]+Table_Query_from_UnBilled_1[[#This Row],[AgencyCommission]]+Table_Query_from_UnBilled_1[[#This Row],[LevyBillable]]</f>
        <v>1045</v>
      </c>
      <c r="AJ2" s="12"/>
      <c r="AK2" s="11"/>
      <c r="AL2" s="14"/>
      <c r="AM2" s="1" t="s">
        <v>55</v>
      </c>
      <c r="AN2" s="4"/>
      <c r="AO2" s="1" t="s">
        <v>56</v>
      </c>
      <c r="AP2" s="1" t="s">
        <v>57</v>
      </c>
      <c r="AQ2" s="12">
        <v>1</v>
      </c>
      <c r="AR2" s="12">
        <v>83798.1796875</v>
      </c>
      <c r="AS2" s="12">
        <v>83.798180000000002</v>
      </c>
      <c r="AT2" s="12">
        <v>0</v>
      </c>
      <c r="AU2" s="12">
        <v>83798.1796875</v>
      </c>
      <c r="AV2" s="12" t="s">
        <v>404</v>
      </c>
    </row>
    <row r="3" spans="1:48" ht="17.25" customHeight="1" x14ac:dyDescent="0.2">
      <c r="A3" s="1" t="s">
        <v>47</v>
      </c>
      <c r="B3" s="1" t="s">
        <v>121</v>
      </c>
      <c r="C3" s="1" t="s">
        <v>48</v>
      </c>
      <c r="E3" s="1" t="s">
        <v>49</v>
      </c>
      <c r="F3" s="1" t="s">
        <v>436</v>
      </c>
      <c r="G3" s="10"/>
      <c r="H3" s="1" t="s">
        <v>161</v>
      </c>
      <c r="I3" s="11">
        <v>9</v>
      </c>
      <c r="J3" s="1" t="s">
        <v>162</v>
      </c>
      <c r="K3" s="3">
        <v>45444</v>
      </c>
      <c r="L3" s="1" t="s">
        <v>166</v>
      </c>
      <c r="M3" s="1" t="s">
        <v>164</v>
      </c>
      <c r="N3" s="1" t="s">
        <v>165</v>
      </c>
      <c r="Q3" s="4">
        <v>45444</v>
      </c>
      <c r="R3" s="5">
        <v>45379</v>
      </c>
      <c r="S3" s="4"/>
      <c r="V3" s="1"/>
      <c r="W3" s="1" t="s">
        <v>431</v>
      </c>
      <c r="X3" s="1"/>
      <c r="Y3" s="12"/>
      <c r="Z3" s="13"/>
      <c r="AA3" s="12">
        <v>1000</v>
      </c>
      <c r="AB3" s="12"/>
      <c r="AC3" s="12"/>
      <c r="AD3" s="12">
        <f>Table_Query_from_UnBilled_1[[#This Row],[Payable]]*0.035</f>
        <v>35</v>
      </c>
      <c r="AE3" s="12"/>
      <c r="AF3" s="12"/>
      <c r="AG3" s="12"/>
      <c r="AH3" s="12">
        <f>Table_Query_from_UnBilled_1[[#This Row],[Payable]]*0.01</f>
        <v>10</v>
      </c>
      <c r="AI3" s="12">
        <f>Table_Query_from_UnBilled_1[[#This Row],[Payable]]+Table_Query_from_UnBilled_1[[#This Row],[AgencyCommission]]+Table_Query_from_UnBilled_1[[#This Row],[LevyBillable]]</f>
        <v>1045</v>
      </c>
      <c r="AJ3" s="12"/>
      <c r="AK3" s="11"/>
      <c r="AL3" s="14"/>
      <c r="AM3" s="1" t="s">
        <v>55</v>
      </c>
      <c r="AN3" s="4"/>
      <c r="AO3" s="1" t="s">
        <v>56</v>
      </c>
      <c r="AP3" s="1" t="s">
        <v>57</v>
      </c>
      <c r="AQ3" s="12">
        <v>1</v>
      </c>
      <c r="AR3" s="12">
        <v>5051.31982421875</v>
      </c>
      <c r="AS3" s="12">
        <v>5.0513199999999996</v>
      </c>
      <c r="AT3" s="12">
        <v>0</v>
      </c>
      <c r="AU3" s="12">
        <v>5051.31982421875</v>
      </c>
      <c r="AV3" s="12" t="s">
        <v>405</v>
      </c>
    </row>
    <row r="4" spans="1:48" ht="17.25" customHeight="1" x14ac:dyDescent="0.2">
      <c r="A4" s="1" t="s">
        <v>47</v>
      </c>
      <c r="B4" s="1" t="s">
        <v>121</v>
      </c>
      <c r="C4" s="1" t="s">
        <v>48</v>
      </c>
      <c r="E4" s="1" t="s">
        <v>49</v>
      </c>
      <c r="F4" s="1" t="s">
        <v>436</v>
      </c>
      <c r="G4" s="10"/>
      <c r="H4" s="1" t="s">
        <v>161</v>
      </c>
      <c r="I4" s="11">
        <v>9</v>
      </c>
      <c r="J4" s="1" t="s">
        <v>162</v>
      </c>
      <c r="K4" s="3">
        <v>45444</v>
      </c>
      <c r="L4" s="1" t="s">
        <v>167</v>
      </c>
      <c r="M4" s="1" t="s">
        <v>164</v>
      </c>
      <c r="N4" s="1" t="s">
        <v>165</v>
      </c>
      <c r="Q4" s="4">
        <v>45444</v>
      </c>
      <c r="R4" s="5">
        <v>45379</v>
      </c>
      <c r="S4" s="4"/>
      <c r="V4" s="1"/>
      <c r="W4" s="1" t="s">
        <v>431</v>
      </c>
      <c r="X4" s="1"/>
      <c r="Y4" s="12"/>
      <c r="Z4" s="13"/>
      <c r="AA4" s="12">
        <v>1000</v>
      </c>
      <c r="AB4" s="12"/>
      <c r="AC4" s="12"/>
      <c r="AD4" s="12">
        <f>Table_Query_from_UnBilled_1[[#This Row],[Payable]]*0.035</f>
        <v>35</v>
      </c>
      <c r="AE4" s="12"/>
      <c r="AF4" s="12"/>
      <c r="AG4" s="12"/>
      <c r="AH4" s="12">
        <f>Table_Query_from_UnBilled_1[[#This Row],[Payable]]*0.01</f>
        <v>10</v>
      </c>
      <c r="AI4" s="12">
        <f>Table_Query_from_UnBilled_1[[#This Row],[Payable]]+Table_Query_from_UnBilled_1[[#This Row],[AgencyCommission]]+Table_Query_from_UnBilled_1[[#This Row],[LevyBillable]]</f>
        <v>1045</v>
      </c>
      <c r="AJ4" s="12"/>
      <c r="AK4" s="11"/>
      <c r="AL4" s="14"/>
      <c r="AM4" s="1" t="s">
        <v>55</v>
      </c>
      <c r="AN4" s="4"/>
      <c r="AO4" s="1" t="s">
        <v>56</v>
      </c>
      <c r="AP4" s="1" t="s">
        <v>57</v>
      </c>
      <c r="AQ4" s="12">
        <v>1</v>
      </c>
      <c r="AR4" s="12">
        <v>5562.2001953125</v>
      </c>
      <c r="AS4" s="12">
        <v>5.5621999999999998</v>
      </c>
      <c r="AT4" s="12">
        <v>0</v>
      </c>
      <c r="AU4" s="12">
        <v>5562.2001953125</v>
      </c>
      <c r="AV4" s="12" t="s">
        <v>406</v>
      </c>
    </row>
    <row r="5" spans="1:48" ht="17.25" customHeight="1" x14ac:dyDescent="0.2">
      <c r="A5" s="1" t="s">
        <v>47</v>
      </c>
      <c r="B5" s="1" t="s">
        <v>121</v>
      </c>
      <c r="C5" s="1" t="s">
        <v>48</v>
      </c>
      <c r="E5" s="1" t="s">
        <v>49</v>
      </c>
      <c r="F5" s="1" t="s">
        <v>436</v>
      </c>
      <c r="G5" s="10"/>
      <c r="H5" s="1" t="s">
        <v>161</v>
      </c>
      <c r="I5" s="11">
        <v>9</v>
      </c>
      <c r="J5" s="1" t="s">
        <v>162</v>
      </c>
      <c r="K5" s="3">
        <v>45444</v>
      </c>
      <c r="L5" s="1" t="s">
        <v>168</v>
      </c>
      <c r="M5" s="1" t="s">
        <v>164</v>
      </c>
      <c r="N5" s="1" t="s">
        <v>165</v>
      </c>
      <c r="Q5" s="4">
        <v>45444</v>
      </c>
      <c r="R5" s="5">
        <v>45379</v>
      </c>
      <c r="S5" s="4"/>
      <c r="V5" s="1"/>
      <c r="W5" s="1" t="s">
        <v>431</v>
      </c>
      <c r="X5" s="1"/>
      <c r="Y5" s="12"/>
      <c r="Z5" s="13"/>
      <c r="AA5" s="12">
        <v>1000</v>
      </c>
      <c r="AB5" s="12"/>
      <c r="AC5" s="12"/>
      <c r="AD5" s="12">
        <f>Table_Query_from_UnBilled_1[[#This Row],[Payable]]*0.035</f>
        <v>35</v>
      </c>
      <c r="AE5" s="12"/>
      <c r="AF5" s="12"/>
      <c r="AG5" s="12"/>
      <c r="AH5" s="12">
        <f>Table_Query_from_UnBilled_1[[#This Row],[Payable]]*0.01</f>
        <v>10</v>
      </c>
      <c r="AI5" s="12">
        <f>Table_Query_from_UnBilled_1[[#This Row],[Payable]]+Table_Query_from_UnBilled_1[[#This Row],[AgencyCommission]]+Table_Query_from_UnBilled_1[[#This Row],[LevyBillable]]</f>
        <v>1045</v>
      </c>
      <c r="AJ5" s="12"/>
      <c r="AK5" s="11"/>
      <c r="AL5" s="14"/>
      <c r="AM5" s="1" t="s">
        <v>55</v>
      </c>
      <c r="AN5" s="4"/>
      <c r="AO5" s="1" t="s">
        <v>56</v>
      </c>
      <c r="AP5" s="1" t="s">
        <v>57</v>
      </c>
      <c r="AQ5" s="12">
        <v>1</v>
      </c>
      <c r="AR5" s="12">
        <v>91111.421875</v>
      </c>
      <c r="AS5" s="12">
        <v>91.111419999999995</v>
      </c>
      <c r="AT5" s="12">
        <v>0</v>
      </c>
      <c r="AU5" s="12">
        <v>91111.421875</v>
      </c>
      <c r="AV5" s="12" t="s">
        <v>407</v>
      </c>
    </row>
    <row r="6" spans="1:48" ht="17.25" customHeight="1" x14ac:dyDescent="0.2">
      <c r="A6" s="1" t="s">
        <v>47</v>
      </c>
      <c r="B6" s="1" t="s">
        <v>121</v>
      </c>
      <c r="C6" s="1" t="s">
        <v>48</v>
      </c>
      <c r="E6" s="1" t="s">
        <v>49</v>
      </c>
      <c r="F6" s="1" t="s">
        <v>436</v>
      </c>
      <c r="G6" s="10"/>
      <c r="H6" s="1" t="s">
        <v>161</v>
      </c>
      <c r="I6" s="11">
        <v>9</v>
      </c>
      <c r="J6" s="1" t="s">
        <v>162</v>
      </c>
      <c r="K6" s="3">
        <v>45444</v>
      </c>
      <c r="L6" s="1" t="s">
        <v>169</v>
      </c>
      <c r="M6" s="1" t="s">
        <v>164</v>
      </c>
      <c r="N6" s="1" t="s">
        <v>165</v>
      </c>
      <c r="Q6" s="4">
        <v>45444</v>
      </c>
      <c r="R6" s="5">
        <v>45379</v>
      </c>
      <c r="S6" s="4"/>
      <c r="V6" s="1"/>
      <c r="W6" s="1" t="s">
        <v>431</v>
      </c>
      <c r="X6" s="1"/>
      <c r="Y6" s="12"/>
      <c r="Z6" s="13"/>
      <c r="AA6" s="12">
        <v>1000</v>
      </c>
      <c r="AB6" s="12"/>
      <c r="AC6" s="12"/>
      <c r="AD6" s="12">
        <f>Table_Query_from_UnBilled_1[[#This Row],[Payable]]*0.035</f>
        <v>35</v>
      </c>
      <c r="AE6" s="12"/>
      <c r="AF6" s="12"/>
      <c r="AG6" s="12"/>
      <c r="AH6" s="12">
        <f>Table_Query_from_UnBilled_1[[#This Row],[Payable]]*0.01</f>
        <v>10</v>
      </c>
      <c r="AI6" s="12">
        <f>Table_Query_from_UnBilled_1[[#This Row],[Payable]]+Table_Query_from_UnBilled_1[[#This Row],[AgencyCommission]]+Table_Query_from_UnBilled_1[[#This Row],[LevyBillable]]</f>
        <v>1045</v>
      </c>
      <c r="AJ6" s="12"/>
      <c r="AK6" s="11"/>
      <c r="AL6" s="14"/>
      <c r="AM6" s="1" t="s">
        <v>55</v>
      </c>
      <c r="AN6" s="4"/>
      <c r="AO6" s="1" t="s">
        <v>56</v>
      </c>
      <c r="AP6" s="1" t="s">
        <v>57</v>
      </c>
      <c r="AQ6" s="12">
        <v>1</v>
      </c>
      <c r="AR6" s="12">
        <v>32382.470703125</v>
      </c>
      <c r="AS6" s="12">
        <v>32.382469999999998</v>
      </c>
      <c r="AT6" s="12">
        <v>0</v>
      </c>
      <c r="AU6" s="12">
        <v>32382.470703125</v>
      </c>
      <c r="AV6" s="12" t="s">
        <v>408</v>
      </c>
    </row>
    <row r="7" spans="1:48" ht="17.25" customHeight="1" x14ac:dyDescent="0.2">
      <c r="A7" s="1" t="s">
        <v>47</v>
      </c>
      <c r="B7" s="1" t="s">
        <v>121</v>
      </c>
      <c r="C7" s="1" t="s">
        <v>48</v>
      </c>
      <c r="E7" s="1" t="s">
        <v>49</v>
      </c>
      <c r="F7" s="1" t="s">
        <v>436</v>
      </c>
      <c r="G7" s="10"/>
      <c r="H7" s="1" t="s">
        <v>161</v>
      </c>
      <c r="I7" s="11">
        <v>9</v>
      </c>
      <c r="J7" s="1" t="s">
        <v>162</v>
      </c>
      <c r="K7" s="3">
        <v>45444</v>
      </c>
      <c r="L7" s="1" t="s">
        <v>170</v>
      </c>
      <c r="M7" s="1" t="s">
        <v>164</v>
      </c>
      <c r="N7" s="1" t="s">
        <v>165</v>
      </c>
      <c r="Q7" s="4">
        <v>45444</v>
      </c>
      <c r="R7" s="5">
        <v>45379</v>
      </c>
      <c r="S7" s="4"/>
      <c r="V7" s="1"/>
      <c r="W7" s="1" t="s">
        <v>431</v>
      </c>
      <c r="X7" s="1"/>
      <c r="Y7" s="12"/>
      <c r="Z7" s="13"/>
      <c r="AA7" s="12">
        <v>1000</v>
      </c>
      <c r="AB7" s="12"/>
      <c r="AC7" s="12"/>
      <c r="AD7" s="12">
        <f>Table_Query_from_UnBilled_1[[#This Row],[Payable]]*0.035</f>
        <v>35</v>
      </c>
      <c r="AE7" s="12"/>
      <c r="AF7" s="12"/>
      <c r="AG7" s="12"/>
      <c r="AH7" s="12">
        <f>Table_Query_from_UnBilled_1[[#This Row],[Payable]]*0.01</f>
        <v>10</v>
      </c>
      <c r="AI7" s="12">
        <f>Table_Query_from_UnBilled_1[[#This Row],[Payable]]+Table_Query_from_UnBilled_1[[#This Row],[AgencyCommission]]+Table_Query_from_UnBilled_1[[#This Row],[LevyBillable]]</f>
        <v>1045</v>
      </c>
      <c r="AJ7" s="12"/>
      <c r="AK7" s="11"/>
      <c r="AL7" s="14"/>
      <c r="AM7" s="1" t="s">
        <v>55</v>
      </c>
      <c r="AN7" s="4"/>
      <c r="AO7" s="1" t="s">
        <v>56</v>
      </c>
      <c r="AP7" s="1" t="s">
        <v>57</v>
      </c>
      <c r="AQ7" s="12">
        <v>1</v>
      </c>
      <c r="AR7" s="12">
        <v>866.010009765625</v>
      </c>
      <c r="AS7" s="12">
        <v>0.86600999999999995</v>
      </c>
      <c r="AT7" s="12">
        <v>0</v>
      </c>
      <c r="AU7" s="12">
        <v>866.010009765625</v>
      </c>
      <c r="AV7" s="12" t="s">
        <v>409</v>
      </c>
    </row>
    <row r="8" spans="1:48" ht="17.25" customHeight="1" x14ac:dyDescent="0.2">
      <c r="A8" s="1" t="s">
        <v>47</v>
      </c>
      <c r="B8" s="1" t="s">
        <v>121</v>
      </c>
      <c r="C8" s="1" t="s">
        <v>48</v>
      </c>
      <c r="E8" s="1" t="s">
        <v>49</v>
      </c>
      <c r="F8" s="1" t="s">
        <v>436</v>
      </c>
      <c r="G8" s="10"/>
      <c r="H8" s="1" t="s">
        <v>161</v>
      </c>
      <c r="I8" s="11">
        <v>9</v>
      </c>
      <c r="J8" s="1" t="s">
        <v>162</v>
      </c>
      <c r="K8" s="3">
        <v>45444</v>
      </c>
      <c r="L8" s="1" t="s">
        <v>171</v>
      </c>
      <c r="M8" s="1" t="s">
        <v>164</v>
      </c>
      <c r="N8" s="1" t="s">
        <v>165</v>
      </c>
      <c r="Q8" s="4">
        <v>45444</v>
      </c>
      <c r="R8" s="5">
        <v>45379</v>
      </c>
      <c r="S8" s="4"/>
      <c r="V8" s="1"/>
      <c r="W8" s="1" t="s">
        <v>431</v>
      </c>
      <c r="X8" s="1"/>
      <c r="Y8" s="12"/>
      <c r="Z8" s="13"/>
      <c r="AA8" s="12">
        <v>1000</v>
      </c>
      <c r="AB8" s="12"/>
      <c r="AC8" s="12"/>
      <c r="AD8" s="12">
        <f>Table_Query_from_UnBilled_1[[#This Row],[Payable]]*0.035</f>
        <v>35</v>
      </c>
      <c r="AE8" s="12"/>
      <c r="AF8" s="12"/>
      <c r="AG8" s="12"/>
      <c r="AH8" s="12">
        <f>Table_Query_from_UnBilled_1[[#This Row],[Payable]]*0.01</f>
        <v>10</v>
      </c>
      <c r="AI8" s="12">
        <f>Table_Query_from_UnBilled_1[[#This Row],[Payable]]+Table_Query_from_UnBilled_1[[#This Row],[AgencyCommission]]+Table_Query_from_UnBilled_1[[#This Row],[LevyBillable]]</f>
        <v>1045</v>
      </c>
      <c r="AJ8" s="12"/>
      <c r="AK8" s="11"/>
      <c r="AL8" s="14"/>
      <c r="AM8" s="1" t="s">
        <v>55</v>
      </c>
      <c r="AN8" s="4"/>
      <c r="AO8" s="1" t="s">
        <v>56</v>
      </c>
      <c r="AP8" s="1" t="s">
        <v>57</v>
      </c>
      <c r="AQ8" s="12">
        <v>1</v>
      </c>
      <c r="AR8" s="12">
        <v>34934.26171875</v>
      </c>
      <c r="AS8" s="12">
        <v>34.934260000000002</v>
      </c>
      <c r="AT8" s="12">
        <v>0</v>
      </c>
      <c r="AU8" s="12">
        <v>34934.26171875</v>
      </c>
      <c r="AV8" s="12" t="s">
        <v>410</v>
      </c>
    </row>
    <row r="9" spans="1:48" ht="17.25" customHeight="1" x14ac:dyDescent="0.2">
      <c r="A9" s="1" t="s">
        <v>47</v>
      </c>
      <c r="B9" s="1" t="s">
        <v>121</v>
      </c>
      <c r="C9" s="1" t="s">
        <v>48</v>
      </c>
      <c r="E9" s="1" t="s">
        <v>49</v>
      </c>
      <c r="F9" s="1" t="s">
        <v>436</v>
      </c>
      <c r="G9" s="10"/>
      <c r="H9" s="1" t="s">
        <v>161</v>
      </c>
      <c r="I9" s="11">
        <v>9</v>
      </c>
      <c r="J9" s="1" t="s">
        <v>162</v>
      </c>
      <c r="K9" s="3">
        <v>45444</v>
      </c>
      <c r="L9" s="1" t="s">
        <v>172</v>
      </c>
      <c r="M9" s="1" t="s">
        <v>164</v>
      </c>
      <c r="N9" s="1" t="s">
        <v>165</v>
      </c>
      <c r="Q9" s="4">
        <v>45444</v>
      </c>
      <c r="R9" s="5">
        <v>45379</v>
      </c>
      <c r="S9" s="4"/>
      <c r="V9" s="1"/>
      <c r="W9" s="1" t="s">
        <v>431</v>
      </c>
      <c r="X9" s="1"/>
      <c r="Y9" s="12"/>
      <c r="Z9" s="13"/>
      <c r="AA9" s="12">
        <v>1000</v>
      </c>
      <c r="AB9" s="12"/>
      <c r="AC9" s="12"/>
      <c r="AD9" s="12">
        <f>Table_Query_from_UnBilled_1[[#This Row],[Payable]]*0.035</f>
        <v>35</v>
      </c>
      <c r="AE9" s="12"/>
      <c r="AF9" s="12"/>
      <c r="AG9" s="12"/>
      <c r="AH9" s="12">
        <f>Table_Query_from_UnBilled_1[[#This Row],[Payable]]*0.01</f>
        <v>10</v>
      </c>
      <c r="AI9" s="12">
        <f>Table_Query_from_UnBilled_1[[#This Row],[Payable]]+Table_Query_from_UnBilled_1[[#This Row],[AgencyCommission]]+Table_Query_from_UnBilled_1[[#This Row],[LevyBillable]]</f>
        <v>1045</v>
      </c>
      <c r="AJ9" s="12"/>
      <c r="AK9" s="11"/>
      <c r="AL9" s="14"/>
      <c r="AM9" s="1" t="s">
        <v>55</v>
      </c>
      <c r="AN9" s="4"/>
      <c r="AO9" s="1" t="s">
        <v>56</v>
      </c>
      <c r="AP9" s="1" t="s">
        <v>57</v>
      </c>
      <c r="AQ9" s="12">
        <v>1</v>
      </c>
      <c r="AR9" s="12">
        <v>317.94000244140625</v>
      </c>
      <c r="AS9" s="12">
        <v>0.31794</v>
      </c>
      <c r="AT9" s="12">
        <v>0</v>
      </c>
      <c r="AU9" s="12">
        <v>317.94000244140625</v>
      </c>
      <c r="AV9" s="12" t="s">
        <v>411</v>
      </c>
    </row>
    <row r="10" spans="1:48" ht="17.25" customHeight="1" x14ac:dyDescent="0.2">
      <c r="A10" s="1" t="s">
        <v>47</v>
      </c>
      <c r="B10" s="1" t="s">
        <v>121</v>
      </c>
      <c r="C10" s="1" t="s">
        <v>48</v>
      </c>
      <c r="E10" s="1" t="s">
        <v>49</v>
      </c>
      <c r="F10" s="1" t="s">
        <v>436</v>
      </c>
      <c r="G10" s="10"/>
      <c r="H10" s="1" t="s">
        <v>161</v>
      </c>
      <c r="I10" s="11">
        <v>9</v>
      </c>
      <c r="J10" s="1" t="s">
        <v>162</v>
      </c>
      <c r="K10" s="3">
        <v>45444</v>
      </c>
      <c r="L10" s="1" t="s">
        <v>173</v>
      </c>
      <c r="M10" s="1" t="s">
        <v>164</v>
      </c>
      <c r="N10" s="1" t="s">
        <v>174</v>
      </c>
      <c r="Q10" s="4">
        <v>45444</v>
      </c>
      <c r="R10" s="5">
        <v>45379</v>
      </c>
      <c r="S10" s="4"/>
      <c r="V10" s="1"/>
      <c r="W10" s="1" t="s">
        <v>431</v>
      </c>
      <c r="X10" s="1"/>
      <c r="Y10" s="12"/>
      <c r="Z10" s="13"/>
      <c r="AA10" s="12">
        <v>2500</v>
      </c>
      <c r="AB10" s="12"/>
      <c r="AC10" s="12"/>
      <c r="AD10" s="12">
        <f>Table_Query_from_UnBilled_1[[#This Row],[Payable]]*0.035</f>
        <v>87.500000000000014</v>
      </c>
      <c r="AE10" s="12"/>
      <c r="AF10" s="12"/>
      <c r="AG10" s="12"/>
      <c r="AH10" s="12">
        <f>Table_Query_from_UnBilled_1[[#This Row],[Payable]]*0.01</f>
        <v>25</v>
      </c>
      <c r="AI10" s="12">
        <f>Table_Query_from_UnBilled_1[[#This Row],[Payable]]+Table_Query_from_UnBilled_1[[#This Row],[AgencyCommission]]+Table_Query_from_UnBilled_1[[#This Row],[LevyBillable]]</f>
        <v>2612.5</v>
      </c>
      <c r="AJ10" s="12"/>
      <c r="AK10" s="11"/>
      <c r="AL10" s="14"/>
      <c r="AM10" s="1" t="s">
        <v>55</v>
      </c>
      <c r="AN10" s="4"/>
      <c r="AO10" s="1" t="s">
        <v>56</v>
      </c>
      <c r="AP10" s="1" t="s">
        <v>57</v>
      </c>
      <c r="AQ10" s="12">
        <v>1</v>
      </c>
      <c r="AR10" s="12">
        <v>27.770000457763672</v>
      </c>
      <c r="AS10" s="12">
        <v>2.777E-2</v>
      </c>
      <c r="AT10" s="12">
        <v>0</v>
      </c>
      <c r="AU10" s="12">
        <v>27.770000457763672</v>
      </c>
      <c r="AV10" s="12" t="s">
        <v>412</v>
      </c>
    </row>
    <row r="11" spans="1:48" ht="17.25" customHeight="1" x14ac:dyDescent="0.2">
      <c r="A11" s="1" t="s">
        <v>47</v>
      </c>
      <c r="B11" s="1" t="s">
        <v>121</v>
      </c>
      <c r="C11" s="1" t="s">
        <v>48</v>
      </c>
      <c r="E11" s="1" t="s">
        <v>49</v>
      </c>
      <c r="F11" s="1" t="s">
        <v>436</v>
      </c>
      <c r="G11" s="10"/>
      <c r="H11" s="1" t="s">
        <v>161</v>
      </c>
      <c r="I11" s="11">
        <v>9</v>
      </c>
      <c r="J11" s="1" t="s">
        <v>162</v>
      </c>
      <c r="K11" s="3">
        <v>45444</v>
      </c>
      <c r="L11" s="1" t="s">
        <v>175</v>
      </c>
      <c r="M11" s="1" t="s">
        <v>164</v>
      </c>
      <c r="N11" s="1" t="s">
        <v>165</v>
      </c>
      <c r="Q11" s="4">
        <v>45444</v>
      </c>
      <c r="R11" s="5">
        <v>45379</v>
      </c>
      <c r="S11" s="4"/>
      <c r="V11" s="1"/>
      <c r="W11" s="1" t="s">
        <v>431</v>
      </c>
      <c r="X11" s="1"/>
      <c r="Y11" s="12"/>
      <c r="Z11" s="13"/>
      <c r="AA11" s="12">
        <v>1000</v>
      </c>
      <c r="AB11" s="12"/>
      <c r="AC11" s="12"/>
      <c r="AD11" s="12">
        <f>Table_Query_from_UnBilled_1[[#This Row],[Payable]]*0.035</f>
        <v>35</v>
      </c>
      <c r="AE11" s="12"/>
      <c r="AF11" s="12"/>
      <c r="AG11" s="12"/>
      <c r="AH11" s="12">
        <f>Table_Query_from_UnBilled_1[[#This Row],[Payable]]*0.01</f>
        <v>10</v>
      </c>
      <c r="AI11" s="12">
        <f>Table_Query_from_UnBilled_1[[#This Row],[Payable]]+Table_Query_from_UnBilled_1[[#This Row],[AgencyCommission]]+Table_Query_from_UnBilled_1[[#This Row],[LevyBillable]]</f>
        <v>1045</v>
      </c>
      <c r="AJ11" s="12"/>
      <c r="AK11" s="11"/>
      <c r="AL11" s="14"/>
      <c r="AM11" s="1" t="s">
        <v>55</v>
      </c>
      <c r="AN11" s="4"/>
      <c r="AO11" s="1" t="s">
        <v>56</v>
      </c>
      <c r="AP11" s="1" t="s">
        <v>57</v>
      </c>
      <c r="AQ11" s="12">
        <v>1</v>
      </c>
      <c r="AR11" s="12">
        <v>18518.900390625</v>
      </c>
      <c r="AS11" s="12">
        <v>18.518899999999999</v>
      </c>
      <c r="AT11" s="12">
        <v>0</v>
      </c>
      <c r="AU11" s="12">
        <v>18518.900390625</v>
      </c>
      <c r="AV11" s="12" t="s">
        <v>413</v>
      </c>
    </row>
    <row r="12" spans="1:48" ht="17.25" customHeight="1" x14ac:dyDescent="0.2">
      <c r="A12" s="1" t="s">
        <v>47</v>
      </c>
      <c r="B12" s="1" t="s">
        <v>121</v>
      </c>
      <c r="C12" s="1" t="s">
        <v>48</v>
      </c>
      <c r="E12" s="1" t="s">
        <v>49</v>
      </c>
      <c r="F12" s="1" t="s">
        <v>436</v>
      </c>
      <c r="G12" s="10"/>
      <c r="H12" s="1" t="s">
        <v>161</v>
      </c>
      <c r="I12" s="11">
        <v>9</v>
      </c>
      <c r="J12" s="1" t="s">
        <v>162</v>
      </c>
      <c r="K12" s="3">
        <v>45444</v>
      </c>
      <c r="L12" s="1" t="s">
        <v>176</v>
      </c>
      <c r="M12" s="1" t="s">
        <v>164</v>
      </c>
      <c r="N12" s="1" t="s">
        <v>174</v>
      </c>
      <c r="Q12" s="4">
        <v>45444</v>
      </c>
      <c r="R12" s="5">
        <v>45379</v>
      </c>
      <c r="S12" s="4"/>
      <c r="V12" s="1"/>
      <c r="W12" s="1" t="s">
        <v>431</v>
      </c>
      <c r="X12" s="1"/>
      <c r="Y12" s="12"/>
      <c r="Z12" s="13"/>
      <c r="AA12" s="12">
        <v>2500</v>
      </c>
      <c r="AB12" s="12"/>
      <c r="AC12" s="12"/>
      <c r="AD12" s="12">
        <f>Table_Query_from_UnBilled_1[[#This Row],[Payable]]*0.035</f>
        <v>87.500000000000014</v>
      </c>
      <c r="AE12" s="12"/>
      <c r="AF12" s="12"/>
      <c r="AG12" s="12"/>
      <c r="AH12" s="12">
        <f>Table_Query_from_UnBilled_1[[#This Row],[Payable]]*0.01</f>
        <v>25</v>
      </c>
      <c r="AI12" s="12">
        <f>Table_Query_from_UnBilled_1[[#This Row],[Payable]]+Table_Query_from_UnBilled_1[[#This Row],[AgencyCommission]]+Table_Query_from_UnBilled_1[[#This Row],[LevyBillable]]</f>
        <v>2612.5</v>
      </c>
      <c r="AJ12" s="12"/>
      <c r="AK12" s="11"/>
      <c r="AL12" s="14"/>
      <c r="AM12" s="1" t="s">
        <v>55</v>
      </c>
      <c r="AN12" s="4"/>
      <c r="AO12" s="1" t="s">
        <v>56</v>
      </c>
      <c r="AP12" s="1" t="s">
        <v>57</v>
      </c>
      <c r="AQ12" s="12">
        <v>1</v>
      </c>
      <c r="AR12" s="12">
        <v>608.989990234375</v>
      </c>
      <c r="AS12" s="12">
        <v>0.60899000000000003</v>
      </c>
      <c r="AT12" s="12">
        <v>0</v>
      </c>
      <c r="AU12" s="12">
        <v>608.989990234375</v>
      </c>
      <c r="AV12" s="12" t="s">
        <v>414</v>
      </c>
    </row>
    <row r="13" spans="1:48" ht="17.25" customHeight="1" x14ac:dyDescent="0.2">
      <c r="A13" s="1" t="s">
        <v>47</v>
      </c>
      <c r="B13" s="1" t="s">
        <v>121</v>
      </c>
      <c r="C13" s="1" t="s">
        <v>48</v>
      </c>
      <c r="E13" s="1" t="s">
        <v>49</v>
      </c>
      <c r="F13" s="1" t="s">
        <v>436</v>
      </c>
      <c r="G13" s="10"/>
      <c r="H13" s="1" t="s">
        <v>161</v>
      </c>
      <c r="I13" s="11">
        <v>9</v>
      </c>
      <c r="J13" s="1" t="s">
        <v>162</v>
      </c>
      <c r="K13" s="3">
        <v>45444</v>
      </c>
      <c r="L13" s="1" t="s">
        <v>177</v>
      </c>
      <c r="M13" s="1" t="s">
        <v>178</v>
      </c>
      <c r="N13" s="1" t="s">
        <v>179</v>
      </c>
      <c r="Q13" s="4">
        <v>45444</v>
      </c>
      <c r="R13" s="5">
        <v>45379</v>
      </c>
      <c r="S13" s="4"/>
      <c r="V13" s="1"/>
      <c r="W13" s="1" t="s">
        <v>431</v>
      </c>
      <c r="X13" s="1"/>
      <c r="Y13" s="12"/>
      <c r="Z13" s="13"/>
      <c r="AA13" s="12">
        <v>4550</v>
      </c>
      <c r="AB13" s="12"/>
      <c r="AC13" s="12"/>
      <c r="AD13" s="12">
        <f>Table_Query_from_UnBilled_1[[#This Row],[Payable]]*0.035</f>
        <v>159.25000000000003</v>
      </c>
      <c r="AE13" s="12"/>
      <c r="AF13" s="12"/>
      <c r="AG13" s="12"/>
      <c r="AH13" s="12">
        <f>Table_Query_from_UnBilled_1[[#This Row],[Payable]]*0.01</f>
        <v>45.5</v>
      </c>
      <c r="AI13" s="12">
        <f>Table_Query_from_UnBilled_1[[#This Row],[Payable]]+Table_Query_from_UnBilled_1[[#This Row],[AgencyCommission]]+Table_Query_from_UnBilled_1[[#This Row],[LevyBillable]]</f>
        <v>4754.75</v>
      </c>
      <c r="AJ13" s="12"/>
      <c r="AK13" s="11"/>
      <c r="AL13" s="14"/>
      <c r="AM13" s="1" t="s">
        <v>55</v>
      </c>
      <c r="AN13" s="4"/>
      <c r="AO13" s="1" t="s">
        <v>56</v>
      </c>
      <c r="AP13" s="1" t="s">
        <v>57</v>
      </c>
      <c r="AQ13" s="12">
        <v>1</v>
      </c>
      <c r="AR13" s="12">
        <v>667.96002197265625</v>
      </c>
      <c r="AS13" s="12">
        <v>0</v>
      </c>
      <c r="AT13" s="12">
        <v>0</v>
      </c>
      <c r="AU13" s="12">
        <v>667.96002197265625</v>
      </c>
      <c r="AV13" s="12" t="s">
        <v>415</v>
      </c>
    </row>
    <row r="14" spans="1:48" ht="17.25" customHeight="1" x14ac:dyDescent="0.2">
      <c r="A14" s="1" t="s">
        <v>47</v>
      </c>
      <c r="B14" s="1" t="s">
        <v>121</v>
      </c>
      <c r="C14" s="1" t="s">
        <v>48</v>
      </c>
      <c r="E14" s="1" t="s">
        <v>49</v>
      </c>
      <c r="F14" s="1" t="s">
        <v>436</v>
      </c>
      <c r="G14" s="10"/>
      <c r="H14" s="1" t="s">
        <v>161</v>
      </c>
      <c r="I14" s="11">
        <v>9</v>
      </c>
      <c r="J14" s="1" t="s">
        <v>162</v>
      </c>
      <c r="K14" s="3">
        <v>45444</v>
      </c>
      <c r="L14" s="1" t="s">
        <v>180</v>
      </c>
      <c r="M14" s="1" t="s">
        <v>178</v>
      </c>
      <c r="N14" s="1" t="s">
        <v>179</v>
      </c>
      <c r="Q14" s="4">
        <v>45444</v>
      </c>
      <c r="R14" s="5">
        <v>45379</v>
      </c>
      <c r="S14" s="4"/>
      <c r="V14" s="1"/>
      <c r="W14" s="1" t="s">
        <v>431</v>
      </c>
      <c r="X14" s="1"/>
      <c r="Y14" s="12"/>
      <c r="Z14" s="13"/>
      <c r="AA14" s="12">
        <v>4550</v>
      </c>
      <c r="AB14" s="12"/>
      <c r="AC14" s="12"/>
      <c r="AD14" s="12">
        <f>Table_Query_from_UnBilled_1[[#This Row],[Payable]]*0.035</f>
        <v>159.25000000000003</v>
      </c>
      <c r="AE14" s="12"/>
      <c r="AF14" s="12"/>
      <c r="AG14" s="12"/>
      <c r="AH14" s="12">
        <f>Table_Query_from_UnBilled_1[[#This Row],[Payable]]*0.01</f>
        <v>45.5</v>
      </c>
      <c r="AI14" s="12">
        <f>Table_Query_from_UnBilled_1[[#This Row],[Payable]]+Table_Query_from_UnBilled_1[[#This Row],[AgencyCommission]]+Table_Query_from_UnBilled_1[[#This Row],[LevyBillable]]</f>
        <v>4754.75</v>
      </c>
      <c r="AJ14" s="12"/>
      <c r="AK14" s="11"/>
      <c r="AL14" s="14"/>
      <c r="AM14" s="1" t="s">
        <v>55</v>
      </c>
      <c r="AN14" s="4"/>
      <c r="AO14" s="1" t="s">
        <v>56</v>
      </c>
      <c r="AP14" s="1" t="s">
        <v>57</v>
      </c>
      <c r="AQ14" s="12">
        <v>1</v>
      </c>
      <c r="AR14" s="12">
        <v>83.069999694824219</v>
      </c>
      <c r="AS14" s="12">
        <v>0</v>
      </c>
      <c r="AT14" s="12">
        <v>0</v>
      </c>
      <c r="AU14" s="12">
        <v>83.069999694824219</v>
      </c>
      <c r="AV14" s="12" t="s">
        <v>416</v>
      </c>
    </row>
    <row r="15" spans="1:48" ht="17.25" customHeight="1" x14ac:dyDescent="0.2">
      <c r="A15" s="1" t="s">
        <v>47</v>
      </c>
      <c r="B15" s="1" t="s">
        <v>121</v>
      </c>
      <c r="C15" s="1" t="s">
        <v>48</v>
      </c>
      <c r="E15" s="1" t="s">
        <v>49</v>
      </c>
      <c r="F15" s="1" t="s">
        <v>436</v>
      </c>
      <c r="G15" s="10"/>
      <c r="H15" s="1" t="s">
        <v>161</v>
      </c>
      <c r="I15" s="11">
        <v>9</v>
      </c>
      <c r="J15" s="1" t="s">
        <v>162</v>
      </c>
      <c r="K15" s="3">
        <v>45444</v>
      </c>
      <c r="L15" s="1" t="s">
        <v>181</v>
      </c>
      <c r="M15" s="1" t="s">
        <v>178</v>
      </c>
      <c r="N15" s="1" t="s">
        <v>179</v>
      </c>
      <c r="Q15" s="4">
        <v>45444</v>
      </c>
      <c r="R15" s="5">
        <v>45379</v>
      </c>
      <c r="S15" s="4"/>
      <c r="V15" s="1"/>
      <c r="W15" s="1" t="s">
        <v>431</v>
      </c>
      <c r="X15" s="1"/>
      <c r="Y15" s="12"/>
      <c r="Z15" s="13"/>
      <c r="AA15" s="12">
        <v>4550</v>
      </c>
      <c r="AB15" s="12"/>
      <c r="AC15" s="12"/>
      <c r="AD15" s="12">
        <f>Table_Query_from_UnBilled_1[[#This Row],[Payable]]*0.035</f>
        <v>159.25000000000003</v>
      </c>
      <c r="AE15" s="12"/>
      <c r="AF15" s="12"/>
      <c r="AG15" s="12"/>
      <c r="AH15" s="12">
        <f>Table_Query_from_UnBilled_1[[#This Row],[Payable]]*0.01</f>
        <v>45.5</v>
      </c>
      <c r="AI15" s="12">
        <f>Table_Query_from_UnBilled_1[[#This Row],[Payable]]+Table_Query_from_UnBilled_1[[#This Row],[AgencyCommission]]+Table_Query_from_UnBilled_1[[#This Row],[LevyBillable]]</f>
        <v>4754.75</v>
      </c>
      <c r="AJ15" s="12"/>
      <c r="AK15" s="11"/>
      <c r="AL15" s="14"/>
      <c r="AM15" s="1" t="s">
        <v>55</v>
      </c>
      <c r="AN15" s="4"/>
      <c r="AO15" s="1" t="s">
        <v>56</v>
      </c>
      <c r="AP15" s="1" t="s">
        <v>57</v>
      </c>
      <c r="AQ15" s="12">
        <v>1</v>
      </c>
      <c r="AR15" s="12">
        <v>619.16998291015625</v>
      </c>
      <c r="AS15" s="12">
        <v>0</v>
      </c>
      <c r="AT15" s="12">
        <v>0</v>
      </c>
      <c r="AU15" s="12">
        <v>619.16998291015625</v>
      </c>
      <c r="AV15" s="12" t="s">
        <v>417</v>
      </c>
    </row>
    <row r="16" spans="1:48" ht="17.25" customHeight="1" x14ac:dyDescent="0.2">
      <c r="A16" s="1" t="s">
        <v>47</v>
      </c>
      <c r="B16" s="1" t="s">
        <v>121</v>
      </c>
      <c r="C16" s="1" t="s">
        <v>48</v>
      </c>
      <c r="E16" s="1" t="s">
        <v>49</v>
      </c>
      <c r="F16" s="1" t="s">
        <v>436</v>
      </c>
      <c r="G16" s="10"/>
      <c r="H16" s="1" t="s">
        <v>161</v>
      </c>
      <c r="I16" s="11">
        <v>9</v>
      </c>
      <c r="J16" s="1" t="s">
        <v>162</v>
      </c>
      <c r="K16" s="3">
        <v>45444</v>
      </c>
      <c r="L16" s="1" t="s">
        <v>182</v>
      </c>
      <c r="M16" s="1" t="s">
        <v>178</v>
      </c>
      <c r="N16" s="1" t="s">
        <v>179</v>
      </c>
      <c r="Q16" s="4">
        <v>45444</v>
      </c>
      <c r="R16" s="5">
        <v>45379</v>
      </c>
      <c r="S16" s="4"/>
      <c r="V16" s="1"/>
      <c r="W16" s="1" t="s">
        <v>431</v>
      </c>
      <c r="X16" s="1"/>
      <c r="Y16" s="12"/>
      <c r="Z16" s="13"/>
      <c r="AA16" s="12">
        <v>4550</v>
      </c>
      <c r="AB16" s="12"/>
      <c r="AC16" s="12"/>
      <c r="AD16" s="12">
        <f>Table_Query_from_UnBilled_1[[#This Row],[Payable]]*0.035</f>
        <v>159.25000000000003</v>
      </c>
      <c r="AE16" s="12"/>
      <c r="AF16" s="12"/>
      <c r="AG16" s="12"/>
      <c r="AH16" s="12">
        <f>Table_Query_from_UnBilled_1[[#This Row],[Payable]]*0.01</f>
        <v>45.5</v>
      </c>
      <c r="AI16" s="12">
        <f>Table_Query_from_UnBilled_1[[#This Row],[Payable]]+Table_Query_from_UnBilled_1[[#This Row],[AgencyCommission]]+Table_Query_from_UnBilled_1[[#This Row],[LevyBillable]]</f>
        <v>4754.75</v>
      </c>
      <c r="AJ16" s="12"/>
      <c r="AK16" s="11"/>
      <c r="AL16" s="14"/>
      <c r="AM16" s="1" t="s">
        <v>55</v>
      </c>
      <c r="AN16" s="4"/>
      <c r="AO16" s="1" t="s">
        <v>56</v>
      </c>
      <c r="AP16" s="1" t="s">
        <v>57</v>
      </c>
      <c r="AQ16" s="12">
        <v>1</v>
      </c>
      <c r="AR16" s="12">
        <v>1742.0899658203125</v>
      </c>
      <c r="AS16" s="12">
        <v>0</v>
      </c>
      <c r="AT16" s="12">
        <v>0</v>
      </c>
      <c r="AU16" s="12">
        <v>1742.0899658203125</v>
      </c>
      <c r="AV16" s="12" t="s">
        <v>418</v>
      </c>
    </row>
    <row r="17" spans="1:48" ht="17.25" customHeight="1" x14ac:dyDescent="0.2">
      <c r="A17" s="1" t="s">
        <v>47</v>
      </c>
      <c r="B17" s="1" t="s">
        <v>121</v>
      </c>
      <c r="C17" s="1" t="s">
        <v>48</v>
      </c>
      <c r="E17" s="1" t="s">
        <v>49</v>
      </c>
      <c r="F17" s="1" t="s">
        <v>436</v>
      </c>
      <c r="G17" s="10"/>
      <c r="H17" s="1" t="s">
        <v>161</v>
      </c>
      <c r="I17" s="11">
        <v>9</v>
      </c>
      <c r="J17" s="1" t="s">
        <v>162</v>
      </c>
      <c r="K17" s="3">
        <v>45444</v>
      </c>
      <c r="L17" s="1" t="s">
        <v>183</v>
      </c>
      <c r="M17" s="1" t="s">
        <v>178</v>
      </c>
      <c r="N17" s="1" t="s">
        <v>179</v>
      </c>
      <c r="Q17" s="4">
        <v>45444</v>
      </c>
      <c r="R17" s="5">
        <v>45379</v>
      </c>
      <c r="S17" s="4"/>
      <c r="V17" s="1"/>
      <c r="W17" s="1" t="s">
        <v>431</v>
      </c>
      <c r="X17" s="1"/>
      <c r="Y17" s="12"/>
      <c r="Z17" s="13"/>
      <c r="AA17" s="12">
        <v>4550</v>
      </c>
      <c r="AB17" s="12"/>
      <c r="AC17" s="12"/>
      <c r="AD17" s="12">
        <f>Table_Query_from_UnBilled_1[[#This Row],[Payable]]*0.035</f>
        <v>159.25000000000003</v>
      </c>
      <c r="AE17" s="12"/>
      <c r="AF17" s="12"/>
      <c r="AG17" s="12"/>
      <c r="AH17" s="12">
        <f>Table_Query_from_UnBilled_1[[#This Row],[Payable]]*0.01</f>
        <v>45.5</v>
      </c>
      <c r="AI17" s="12">
        <f>Table_Query_from_UnBilled_1[[#This Row],[Payable]]+Table_Query_from_UnBilled_1[[#This Row],[AgencyCommission]]+Table_Query_from_UnBilled_1[[#This Row],[LevyBillable]]</f>
        <v>4754.75</v>
      </c>
      <c r="AJ17" s="12"/>
      <c r="AK17" s="11"/>
      <c r="AL17" s="14"/>
      <c r="AM17" s="1" t="s">
        <v>55</v>
      </c>
      <c r="AN17" s="4"/>
      <c r="AO17" s="1" t="s">
        <v>56</v>
      </c>
      <c r="AP17" s="1" t="s">
        <v>57</v>
      </c>
      <c r="AQ17" s="12">
        <v>1</v>
      </c>
      <c r="AR17" s="12">
        <v>354.08999633789062</v>
      </c>
      <c r="AS17" s="12">
        <v>0</v>
      </c>
      <c r="AT17" s="12">
        <v>0</v>
      </c>
      <c r="AU17" s="12">
        <v>354.08999633789062</v>
      </c>
      <c r="AV17" s="12" t="s">
        <v>419</v>
      </c>
    </row>
    <row r="18" spans="1:48" ht="17.25" customHeight="1" x14ac:dyDescent="0.2">
      <c r="A18" s="1" t="s">
        <v>47</v>
      </c>
      <c r="B18" s="1" t="s">
        <v>121</v>
      </c>
      <c r="C18" s="1" t="s">
        <v>48</v>
      </c>
      <c r="E18" s="1" t="s">
        <v>49</v>
      </c>
      <c r="F18" s="1" t="s">
        <v>436</v>
      </c>
      <c r="G18" s="10"/>
      <c r="H18" s="1" t="s">
        <v>161</v>
      </c>
      <c r="I18" s="11">
        <v>9</v>
      </c>
      <c r="J18" s="1" t="s">
        <v>162</v>
      </c>
      <c r="K18" s="3">
        <v>45444</v>
      </c>
      <c r="L18" s="1" t="s">
        <v>184</v>
      </c>
      <c r="M18" s="1" t="s">
        <v>178</v>
      </c>
      <c r="N18" s="1" t="s">
        <v>179</v>
      </c>
      <c r="Q18" s="4">
        <v>45444</v>
      </c>
      <c r="R18" s="5">
        <v>45379</v>
      </c>
      <c r="S18" s="4"/>
      <c r="V18" s="1"/>
      <c r="W18" s="1" t="s">
        <v>431</v>
      </c>
      <c r="X18" s="1"/>
      <c r="Y18" s="12"/>
      <c r="Z18" s="13"/>
      <c r="AA18" s="12">
        <v>4550</v>
      </c>
      <c r="AB18" s="12"/>
      <c r="AC18" s="12"/>
      <c r="AD18" s="12">
        <f>Table_Query_from_UnBilled_1[[#This Row],[Payable]]*0.035</f>
        <v>159.25000000000003</v>
      </c>
      <c r="AE18" s="12"/>
      <c r="AF18" s="12"/>
      <c r="AG18" s="12"/>
      <c r="AH18" s="12">
        <f>Table_Query_from_UnBilled_1[[#This Row],[Payable]]*0.01</f>
        <v>45.5</v>
      </c>
      <c r="AI18" s="12">
        <f>Table_Query_from_UnBilled_1[[#This Row],[Payable]]+Table_Query_from_UnBilled_1[[#This Row],[AgencyCommission]]+Table_Query_from_UnBilled_1[[#This Row],[LevyBillable]]</f>
        <v>4754.75</v>
      </c>
      <c r="AJ18" s="12"/>
      <c r="AK18" s="11"/>
      <c r="AL18" s="14"/>
      <c r="AM18" s="1" t="s">
        <v>55</v>
      </c>
      <c r="AN18" s="4"/>
      <c r="AO18" s="1" t="s">
        <v>56</v>
      </c>
      <c r="AP18" s="1" t="s">
        <v>57</v>
      </c>
      <c r="AQ18" s="12">
        <v>1</v>
      </c>
      <c r="AR18" s="12">
        <v>96.580001831054688</v>
      </c>
      <c r="AS18" s="12">
        <v>0</v>
      </c>
      <c r="AT18" s="12">
        <v>0</v>
      </c>
      <c r="AU18" s="12">
        <v>96.580001831054688</v>
      </c>
      <c r="AV18" s="12" t="s">
        <v>420</v>
      </c>
    </row>
    <row r="19" spans="1:48" ht="17.25" customHeight="1" x14ac:dyDescent="0.2">
      <c r="A19" s="1" t="s">
        <v>47</v>
      </c>
      <c r="B19" s="1" t="s">
        <v>121</v>
      </c>
      <c r="C19" s="1" t="s">
        <v>48</v>
      </c>
      <c r="E19" s="1" t="s">
        <v>49</v>
      </c>
      <c r="F19" s="1" t="s">
        <v>436</v>
      </c>
      <c r="G19" s="10"/>
      <c r="H19" s="1" t="s">
        <v>161</v>
      </c>
      <c r="I19" s="11">
        <v>9</v>
      </c>
      <c r="J19" s="1" t="s">
        <v>162</v>
      </c>
      <c r="K19" s="3">
        <v>45444</v>
      </c>
      <c r="L19" s="1" t="s">
        <v>185</v>
      </c>
      <c r="M19" s="1" t="s">
        <v>164</v>
      </c>
      <c r="N19" s="1" t="s">
        <v>174</v>
      </c>
      <c r="Q19" s="4">
        <v>45444</v>
      </c>
      <c r="R19" s="5">
        <v>45379</v>
      </c>
      <c r="S19" s="4"/>
      <c r="V19" s="1"/>
      <c r="W19" s="1" t="s">
        <v>431</v>
      </c>
      <c r="X19" s="1"/>
      <c r="Y19" s="12"/>
      <c r="Z19" s="13"/>
      <c r="AA19" s="12">
        <v>2500</v>
      </c>
      <c r="AB19" s="12"/>
      <c r="AC19" s="12"/>
      <c r="AD19" s="12">
        <f>Table_Query_from_UnBilled_1[[#This Row],[Payable]]*0.035</f>
        <v>87.500000000000014</v>
      </c>
      <c r="AE19" s="12"/>
      <c r="AF19" s="12"/>
      <c r="AG19" s="12"/>
      <c r="AH19" s="12">
        <f>Table_Query_from_UnBilled_1[[#This Row],[Payable]]*0.01</f>
        <v>25</v>
      </c>
      <c r="AI19" s="12">
        <f>Table_Query_from_UnBilled_1[[#This Row],[Payable]]+Table_Query_from_UnBilled_1[[#This Row],[AgencyCommission]]+Table_Query_from_UnBilled_1[[#This Row],[LevyBillable]]</f>
        <v>2612.5</v>
      </c>
      <c r="AJ19" s="12"/>
      <c r="AK19" s="11"/>
      <c r="AL19" s="14"/>
      <c r="AM19" s="1" t="s">
        <v>55</v>
      </c>
      <c r="AN19" s="4"/>
      <c r="AO19" s="1" t="s">
        <v>56</v>
      </c>
      <c r="AP19" s="1" t="s">
        <v>57</v>
      </c>
      <c r="AQ19" s="12">
        <v>1</v>
      </c>
      <c r="AR19" s="12">
        <v>402.79000854492188</v>
      </c>
      <c r="AS19" s="12">
        <v>0.40278999999999998</v>
      </c>
      <c r="AT19" s="12">
        <v>0</v>
      </c>
      <c r="AU19" s="12">
        <v>402.79000854492188</v>
      </c>
      <c r="AV19" s="12" t="s">
        <v>421</v>
      </c>
    </row>
    <row r="20" spans="1:48" ht="17.25" customHeight="1" x14ac:dyDescent="0.2">
      <c r="A20" s="1" t="s">
        <v>47</v>
      </c>
      <c r="B20" s="1" t="s">
        <v>121</v>
      </c>
      <c r="C20" s="1" t="s">
        <v>48</v>
      </c>
      <c r="E20" s="1" t="s">
        <v>49</v>
      </c>
      <c r="F20" s="1" t="s">
        <v>436</v>
      </c>
      <c r="G20" s="10"/>
      <c r="H20" s="1" t="s">
        <v>161</v>
      </c>
      <c r="I20" s="11">
        <v>9</v>
      </c>
      <c r="J20" s="1" t="s">
        <v>162</v>
      </c>
      <c r="K20" s="3">
        <v>45444</v>
      </c>
      <c r="L20" s="1" t="s">
        <v>186</v>
      </c>
      <c r="M20" s="1" t="s">
        <v>164</v>
      </c>
      <c r="N20" s="1" t="s">
        <v>174</v>
      </c>
      <c r="Q20" s="4">
        <v>45444</v>
      </c>
      <c r="R20" s="5">
        <v>45379</v>
      </c>
      <c r="S20" s="4"/>
      <c r="V20" s="1"/>
      <c r="W20" s="1" t="s">
        <v>431</v>
      </c>
      <c r="X20" s="1"/>
      <c r="Y20" s="12"/>
      <c r="Z20" s="13"/>
      <c r="AA20" s="12">
        <v>2500</v>
      </c>
      <c r="AB20" s="12"/>
      <c r="AC20" s="12"/>
      <c r="AD20" s="12">
        <f>Table_Query_from_UnBilled_1[[#This Row],[Payable]]*0.035</f>
        <v>87.500000000000014</v>
      </c>
      <c r="AE20" s="12"/>
      <c r="AF20" s="12"/>
      <c r="AG20" s="12"/>
      <c r="AH20" s="12">
        <f>Table_Query_from_UnBilled_1[[#This Row],[Payable]]*0.01</f>
        <v>25</v>
      </c>
      <c r="AI20" s="12">
        <f>Table_Query_from_UnBilled_1[[#This Row],[Payable]]+Table_Query_from_UnBilled_1[[#This Row],[AgencyCommission]]+Table_Query_from_UnBilled_1[[#This Row],[LevyBillable]]</f>
        <v>2612.5</v>
      </c>
      <c r="AJ20" s="12"/>
      <c r="AK20" s="11"/>
      <c r="AL20" s="14"/>
      <c r="AM20" s="1" t="s">
        <v>55</v>
      </c>
      <c r="AN20" s="4"/>
      <c r="AO20" s="1" t="s">
        <v>56</v>
      </c>
      <c r="AP20" s="1" t="s">
        <v>57</v>
      </c>
      <c r="AQ20" s="12">
        <v>1</v>
      </c>
      <c r="AR20" s="12">
        <v>953.65997314453125</v>
      </c>
      <c r="AS20" s="12">
        <v>0.95365999999999995</v>
      </c>
      <c r="AT20" s="12">
        <v>0</v>
      </c>
      <c r="AU20" s="12">
        <v>953.65997314453125</v>
      </c>
      <c r="AV20" s="12" t="s">
        <v>422</v>
      </c>
    </row>
    <row r="21" spans="1:48" ht="17.25" customHeight="1" x14ac:dyDescent="0.2">
      <c r="A21" s="1" t="s">
        <v>47</v>
      </c>
      <c r="B21" s="1" t="s">
        <v>121</v>
      </c>
      <c r="C21" s="1" t="s">
        <v>48</v>
      </c>
      <c r="E21" s="1" t="s">
        <v>49</v>
      </c>
      <c r="F21" s="1" t="s">
        <v>436</v>
      </c>
      <c r="G21" s="10"/>
      <c r="H21" s="1" t="s">
        <v>161</v>
      </c>
      <c r="I21" s="11">
        <v>9</v>
      </c>
      <c r="J21" s="1" t="s">
        <v>162</v>
      </c>
      <c r="K21" s="3">
        <v>45444</v>
      </c>
      <c r="L21" s="1" t="s">
        <v>187</v>
      </c>
      <c r="M21" s="1" t="s">
        <v>164</v>
      </c>
      <c r="N21" s="1" t="s">
        <v>174</v>
      </c>
      <c r="Q21" s="4">
        <v>45444</v>
      </c>
      <c r="R21" s="5">
        <v>45379</v>
      </c>
      <c r="S21" s="4"/>
      <c r="V21" s="1"/>
      <c r="W21" s="1" t="s">
        <v>431</v>
      </c>
      <c r="X21" s="1"/>
      <c r="Y21" s="12"/>
      <c r="Z21" s="13"/>
      <c r="AA21" s="12">
        <v>2500</v>
      </c>
      <c r="AB21" s="12"/>
      <c r="AC21" s="12"/>
      <c r="AD21" s="12">
        <f>Table_Query_from_UnBilled_1[[#This Row],[Payable]]*0.035</f>
        <v>87.500000000000014</v>
      </c>
      <c r="AE21" s="12"/>
      <c r="AF21" s="12"/>
      <c r="AG21" s="12"/>
      <c r="AH21" s="12">
        <f>Table_Query_from_UnBilled_1[[#This Row],[Payable]]*0.01</f>
        <v>25</v>
      </c>
      <c r="AI21" s="12">
        <f>Table_Query_from_UnBilled_1[[#This Row],[Payable]]+Table_Query_from_UnBilled_1[[#This Row],[AgencyCommission]]+Table_Query_from_UnBilled_1[[#This Row],[LevyBillable]]</f>
        <v>2612.5</v>
      </c>
      <c r="AJ21" s="12"/>
      <c r="AK21" s="11"/>
      <c r="AL21" s="14"/>
      <c r="AM21" s="1" t="s">
        <v>55</v>
      </c>
      <c r="AN21" s="4"/>
      <c r="AO21" s="1" t="s">
        <v>56</v>
      </c>
      <c r="AP21" s="1" t="s">
        <v>57</v>
      </c>
      <c r="AQ21" s="12">
        <v>1</v>
      </c>
      <c r="AR21" s="12">
        <v>136.00999450683594</v>
      </c>
      <c r="AS21" s="12">
        <v>0.13600999999999999</v>
      </c>
      <c r="AT21" s="12">
        <v>0</v>
      </c>
      <c r="AU21" s="12">
        <v>136.00999450683594</v>
      </c>
      <c r="AV21" s="12" t="s">
        <v>423</v>
      </c>
    </row>
    <row r="22" spans="1:48" ht="17.25" customHeight="1" x14ac:dyDescent="0.2">
      <c r="A22" s="1" t="s">
        <v>47</v>
      </c>
      <c r="B22" s="1" t="s">
        <v>121</v>
      </c>
      <c r="C22" s="1" t="s">
        <v>48</v>
      </c>
      <c r="E22" s="1" t="s">
        <v>49</v>
      </c>
      <c r="F22" s="1" t="s">
        <v>436</v>
      </c>
      <c r="G22" s="10"/>
      <c r="H22" s="1" t="s">
        <v>161</v>
      </c>
      <c r="I22" s="11">
        <v>9</v>
      </c>
      <c r="J22" s="1" t="s">
        <v>162</v>
      </c>
      <c r="K22" s="3">
        <v>45444</v>
      </c>
      <c r="L22" s="1" t="s">
        <v>188</v>
      </c>
      <c r="M22" s="1" t="s">
        <v>178</v>
      </c>
      <c r="N22" s="1" t="s">
        <v>179</v>
      </c>
      <c r="Q22" s="4">
        <v>45444</v>
      </c>
      <c r="R22" s="5">
        <v>45379</v>
      </c>
      <c r="S22" s="4"/>
      <c r="V22" s="1"/>
      <c r="W22" s="1" t="s">
        <v>431</v>
      </c>
      <c r="X22" s="1"/>
      <c r="Y22" s="12"/>
      <c r="Z22" s="13"/>
      <c r="AA22" s="12">
        <v>4550</v>
      </c>
      <c r="AB22" s="12"/>
      <c r="AC22" s="12"/>
      <c r="AD22" s="12">
        <f>Table_Query_from_UnBilled_1[[#This Row],[Payable]]*0.035</f>
        <v>159.25000000000003</v>
      </c>
      <c r="AE22" s="12"/>
      <c r="AF22" s="12"/>
      <c r="AG22" s="12"/>
      <c r="AH22" s="12">
        <f>Table_Query_from_UnBilled_1[[#This Row],[Payable]]*0.01</f>
        <v>45.5</v>
      </c>
      <c r="AI22" s="12">
        <f>Table_Query_from_UnBilled_1[[#This Row],[Payable]]+Table_Query_from_UnBilled_1[[#This Row],[AgencyCommission]]+Table_Query_from_UnBilled_1[[#This Row],[LevyBillable]]</f>
        <v>4754.75</v>
      </c>
      <c r="AJ22" s="12"/>
      <c r="AK22" s="11"/>
      <c r="AL22" s="14"/>
      <c r="AM22" s="1" t="s">
        <v>55</v>
      </c>
      <c r="AN22" s="4"/>
      <c r="AO22" s="1" t="s">
        <v>56</v>
      </c>
      <c r="AP22" s="1" t="s">
        <v>57</v>
      </c>
      <c r="AQ22" s="12">
        <v>1</v>
      </c>
      <c r="AR22" s="12">
        <v>16.559999465942383</v>
      </c>
      <c r="AS22" s="12">
        <v>0</v>
      </c>
      <c r="AT22" s="12">
        <v>0</v>
      </c>
      <c r="AU22" s="12">
        <v>16.559999465942383</v>
      </c>
      <c r="AV22" s="12" t="s">
        <v>424</v>
      </c>
    </row>
    <row r="23" spans="1:48" ht="17.25" customHeight="1" x14ac:dyDescent="0.2">
      <c r="A23" s="1" t="s">
        <v>47</v>
      </c>
      <c r="B23" s="1" t="s">
        <v>121</v>
      </c>
      <c r="C23" s="1" t="s">
        <v>48</v>
      </c>
      <c r="E23" s="1" t="s">
        <v>49</v>
      </c>
      <c r="F23" s="1" t="s">
        <v>436</v>
      </c>
      <c r="G23" s="10"/>
      <c r="H23" s="1" t="s">
        <v>161</v>
      </c>
      <c r="I23" s="11">
        <v>9</v>
      </c>
      <c r="J23" s="1" t="s">
        <v>162</v>
      </c>
      <c r="K23" s="3">
        <v>45444</v>
      </c>
      <c r="L23" s="1" t="s">
        <v>189</v>
      </c>
      <c r="M23" s="1" t="s">
        <v>178</v>
      </c>
      <c r="N23" s="1" t="s">
        <v>179</v>
      </c>
      <c r="Q23" s="4">
        <v>45444</v>
      </c>
      <c r="R23" s="5">
        <v>45379</v>
      </c>
      <c r="S23" s="4"/>
      <c r="V23" s="1"/>
      <c r="W23" s="1" t="s">
        <v>431</v>
      </c>
      <c r="X23" s="1"/>
      <c r="Y23" s="12"/>
      <c r="Z23" s="13"/>
      <c r="AA23" s="12">
        <v>4550</v>
      </c>
      <c r="AB23" s="12"/>
      <c r="AC23" s="12"/>
      <c r="AD23" s="12">
        <f>Table_Query_from_UnBilled_1[[#This Row],[Payable]]*0.035</f>
        <v>159.25000000000003</v>
      </c>
      <c r="AE23" s="12"/>
      <c r="AF23" s="12"/>
      <c r="AG23" s="12"/>
      <c r="AH23" s="12">
        <f>Table_Query_from_UnBilled_1[[#This Row],[Payable]]*0.01</f>
        <v>45.5</v>
      </c>
      <c r="AI23" s="12">
        <f>Table_Query_from_UnBilled_1[[#This Row],[Payable]]+Table_Query_from_UnBilled_1[[#This Row],[AgencyCommission]]+Table_Query_from_UnBilled_1[[#This Row],[LevyBillable]]</f>
        <v>4754.75</v>
      </c>
      <c r="AJ23" s="12"/>
      <c r="AK23" s="11"/>
      <c r="AL23" s="14"/>
      <c r="AM23" s="1" t="s">
        <v>55</v>
      </c>
      <c r="AN23" s="4"/>
      <c r="AO23" s="1" t="s">
        <v>56</v>
      </c>
      <c r="AP23" s="1" t="s">
        <v>57</v>
      </c>
      <c r="AQ23" s="12">
        <v>1</v>
      </c>
      <c r="AR23" s="12">
        <v>1602.260009765625</v>
      </c>
      <c r="AS23" s="12">
        <v>0</v>
      </c>
      <c r="AT23" s="12">
        <v>0</v>
      </c>
      <c r="AU23" s="12">
        <v>1602.260009765625</v>
      </c>
      <c r="AV23" s="12" t="s">
        <v>425</v>
      </c>
    </row>
    <row r="24" spans="1:48" ht="17.25" customHeight="1" x14ac:dyDescent="0.2">
      <c r="A24" s="1" t="s">
        <v>47</v>
      </c>
      <c r="B24" s="1" t="s">
        <v>121</v>
      </c>
      <c r="C24" s="1" t="s">
        <v>48</v>
      </c>
      <c r="E24" s="1" t="s">
        <v>49</v>
      </c>
      <c r="F24" s="1" t="s">
        <v>436</v>
      </c>
      <c r="G24" s="10"/>
      <c r="H24" s="1" t="s">
        <v>161</v>
      </c>
      <c r="I24" s="11">
        <v>9</v>
      </c>
      <c r="J24" s="1" t="s">
        <v>162</v>
      </c>
      <c r="K24" s="3">
        <v>45444</v>
      </c>
      <c r="L24" s="1" t="s">
        <v>190</v>
      </c>
      <c r="M24" s="1" t="s">
        <v>164</v>
      </c>
      <c r="N24" s="1" t="s">
        <v>174</v>
      </c>
      <c r="Q24" s="4">
        <v>45444</v>
      </c>
      <c r="R24" s="5">
        <v>45379</v>
      </c>
      <c r="S24" s="4"/>
      <c r="V24" s="1"/>
      <c r="W24" s="1" t="s">
        <v>431</v>
      </c>
      <c r="X24" s="1"/>
      <c r="Y24" s="12"/>
      <c r="Z24" s="13"/>
      <c r="AA24" s="12">
        <v>2500</v>
      </c>
      <c r="AB24" s="12"/>
      <c r="AC24" s="12"/>
      <c r="AD24" s="12">
        <f>Table_Query_from_UnBilled_1[[#This Row],[Payable]]*0.035</f>
        <v>87.500000000000014</v>
      </c>
      <c r="AE24" s="12"/>
      <c r="AF24" s="12"/>
      <c r="AG24" s="12"/>
      <c r="AH24" s="12">
        <f>Table_Query_from_UnBilled_1[[#This Row],[Payable]]*0.01</f>
        <v>25</v>
      </c>
      <c r="AI24" s="12">
        <f>Table_Query_from_UnBilled_1[[#This Row],[Payable]]+Table_Query_from_UnBilled_1[[#This Row],[AgencyCommission]]+Table_Query_from_UnBilled_1[[#This Row],[LevyBillable]]</f>
        <v>2612.5</v>
      </c>
      <c r="AJ24" s="12"/>
      <c r="AK24" s="11"/>
      <c r="AL24" s="14"/>
      <c r="AM24" s="1" t="s">
        <v>55</v>
      </c>
      <c r="AN24" s="4"/>
      <c r="AO24" s="1" t="s">
        <v>56</v>
      </c>
      <c r="AP24" s="1" t="s">
        <v>57</v>
      </c>
      <c r="AQ24" s="12">
        <v>1</v>
      </c>
      <c r="AR24" s="12">
        <v>86.889999389648438</v>
      </c>
      <c r="AS24" s="12">
        <v>8.6889999999999995E-2</v>
      </c>
      <c r="AT24" s="12">
        <v>0</v>
      </c>
      <c r="AU24" s="12">
        <v>86.889999389648438</v>
      </c>
      <c r="AV24" s="12" t="s">
        <v>426</v>
      </c>
    </row>
    <row r="25" spans="1:48" ht="17.25" customHeight="1" x14ac:dyDescent="0.2">
      <c r="A25" s="1" t="s">
        <v>47</v>
      </c>
      <c r="B25" s="1" t="s">
        <v>121</v>
      </c>
      <c r="C25" s="1" t="s">
        <v>48</v>
      </c>
      <c r="E25" s="1" t="s">
        <v>49</v>
      </c>
      <c r="F25" s="1" t="s">
        <v>436</v>
      </c>
      <c r="G25" s="10"/>
      <c r="H25" s="1" t="s">
        <v>161</v>
      </c>
      <c r="I25" s="11">
        <v>9</v>
      </c>
      <c r="J25" s="1" t="s">
        <v>162</v>
      </c>
      <c r="K25" s="3">
        <v>45444</v>
      </c>
      <c r="L25" s="1" t="s">
        <v>191</v>
      </c>
      <c r="M25" s="1" t="s">
        <v>164</v>
      </c>
      <c r="N25" s="1" t="s">
        <v>174</v>
      </c>
      <c r="Q25" s="4">
        <v>45444</v>
      </c>
      <c r="R25" s="5">
        <v>45379</v>
      </c>
      <c r="S25" s="4"/>
      <c r="V25" s="1"/>
      <c r="W25" s="1" t="s">
        <v>431</v>
      </c>
      <c r="X25" s="1"/>
      <c r="Y25" s="12"/>
      <c r="Z25" s="13"/>
      <c r="AA25" s="12">
        <v>2500</v>
      </c>
      <c r="AB25" s="12"/>
      <c r="AC25" s="12"/>
      <c r="AD25" s="12">
        <f>Table_Query_from_UnBilled_1[[#This Row],[Payable]]*0.035</f>
        <v>87.500000000000014</v>
      </c>
      <c r="AE25" s="12"/>
      <c r="AF25" s="12"/>
      <c r="AG25" s="12"/>
      <c r="AH25" s="12">
        <f>Table_Query_from_UnBilled_1[[#This Row],[Payable]]*0.01</f>
        <v>25</v>
      </c>
      <c r="AI25" s="12">
        <f>Table_Query_from_UnBilled_1[[#This Row],[Payable]]+Table_Query_from_UnBilled_1[[#This Row],[AgencyCommission]]+Table_Query_from_UnBilled_1[[#This Row],[LevyBillable]]</f>
        <v>2612.5</v>
      </c>
      <c r="AJ25" s="12"/>
      <c r="AK25" s="11"/>
      <c r="AL25" s="14"/>
      <c r="AM25" s="1" t="s">
        <v>55</v>
      </c>
      <c r="AN25" s="4"/>
      <c r="AO25" s="1" t="s">
        <v>56</v>
      </c>
      <c r="AP25" s="1" t="s">
        <v>57</v>
      </c>
      <c r="AQ25" s="12">
        <v>1</v>
      </c>
      <c r="AR25" s="12">
        <v>1151.3499755859375</v>
      </c>
      <c r="AS25" s="12">
        <v>1.1513500000000001</v>
      </c>
      <c r="AT25" s="12">
        <v>0</v>
      </c>
      <c r="AU25" s="12">
        <v>1151.3499755859375</v>
      </c>
      <c r="AV25" s="12" t="s">
        <v>427</v>
      </c>
    </row>
    <row r="26" spans="1:48" ht="17.25" customHeight="1" x14ac:dyDescent="0.2">
      <c r="A26" s="11" t="s">
        <v>120</v>
      </c>
      <c r="E26" s="1"/>
      <c r="G26" s="10"/>
      <c r="I26" s="11"/>
      <c r="K26" s="10"/>
      <c r="L26" s="1"/>
      <c r="M26" s="11"/>
      <c r="N26" s="11"/>
      <c r="Q26" s="4"/>
      <c r="R26" s="5"/>
      <c r="S26" s="11"/>
      <c r="V26" s="1"/>
      <c r="W26" s="1"/>
      <c r="X26" s="4"/>
      <c r="Y26" s="12">
        <f>SUBTOTAL(109,Table_Query_from_UnBilled_1[Payable])</f>
        <v>62900</v>
      </c>
      <c r="Z26" s="13"/>
      <c r="AA26" s="12">
        <f>SUBTOTAL(109,Table_Query_from_UnBilled_1[Payable])</f>
        <v>62900</v>
      </c>
      <c r="AB26" s="12">
        <f>SUBTOTAL(109,Table_Query_from_UnBilled_1[Paid])</f>
        <v>0</v>
      </c>
      <c r="AC26" s="12">
        <f>SUBTOTAL(109,Table_Query_from_UnBilled_1[Billed])</f>
        <v>0</v>
      </c>
      <c r="AD26" s="12">
        <f>SUBTOTAL(109,Table_Query_from_UnBilled_1[AgencyCommission])</f>
        <v>2201.5</v>
      </c>
      <c r="AE26" s="12">
        <f>SUBTOTAL(109,Table_Query_from_UnBilled_1[Billable])</f>
        <v>0</v>
      </c>
      <c r="AF26" s="12">
        <f>SUBTOTAL(109,Table_Query_from_UnBilled_1[Billed])</f>
        <v>0</v>
      </c>
      <c r="AG26" s="12">
        <f>SUBTOTAL(109,Table_Query_from_UnBilled_1[UnBilled])</f>
        <v>0</v>
      </c>
      <c r="AH26" s="12">
        <f>SUBTOTAL(109,Table_Query_from_UnBilled_1[LevyBillable])</f>
        <v>629</v>
      </c>
      <c r="AI26" s="12">
        <f>SUBTOTAL(109,Table_Query_from_UnBilled_1[Unbilled Client Cost])</f>
        <v>65730.5</v>
      </c>
      <c r="AJ26" s="12">
        <f>SUBTOTAL(109,Table_Query_from_UnBilled_1[VATBillable])</f>
        <v>0</v>
      </c>
      <c r="AK26" s="11"/>
      <c r="AL26" s="4"/>
      <c r="AM26" s="4"/>
      <c r="AN26" s="4"/>
      <c r="AO26" s="4"/>
      <c r="AP26" s="12"/>
      <c r="AQ26" s="12"/>
      <c r="AR26" s="12">
        <f>SUBTOTAL(109,Table_Query_from_UnBilled_1[BillableCurrency])</f>
        <v>281091.94432640076</v>
      </c>
      <c r="AS26" s="12"/>
      <c r="AT26" s="12">
        <f>SUBTOTAL(109,Table_Query_from_UnBilled_1[BilledCurrency])</f>
        <v>0</v>
      </c>
      <c r="AU26" s="12">
        <f>SUBTOTAL(109,Table_Query_from_UnBilled_1[UnbilledCurrency])</f>
        <v>281091.94432640076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F_B</vt:lpstr>
      <vt:lpstr>WFJ</vt:lpstr>
      <vt:lpstr>FASHION</vt:lpstr>
      <vt:lpstr>PAID SEARCH</vt:lpstr>
      <vt:lpstr>F_B!Query_from_UnBilled_1</vt:lpstr>
      <vt:lpstr>FASHION!Query_from_UnBilled_1</vt:lpstr>
      <vt:lpstr>'PAID SEARCH'!Query_from_UnBilled_1</vt:lpstr>
      <vt:lpstr>WFJ!Query_from_UnBilled_1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Shankar, Anika</cp:lastModifiedBy>
  <cp:revision/>
  <dcterms:created xsi:type="dcterms:W3CDTF">2024-12-27T21:33:14Z</dcterms:created>
  <dcterms:modified xsi:type="dcterms:W3CDTF">2025-03-20T17:23:55Z</dcterms:modified>
  <cp:category/>
  <cp:contentStatus/>
</cp:coreProperties>
</file>